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heets/sheet1.xml" ContentType="application/vnd.openxmlformats-officedocument.spreadsheetml.chart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G:\Shared drives\Volkswagen PA - Contrôleurs\1- Dossier de fin de mois\a) BV ; ÉF réalisé\2025\"/>
    </mc:Choice>
  </mc:AlternateContent>
  <xr:revisionPtr revIDLastSave="0" documentId="13_ncr:1_{25A893D7-1DA1-4163-9A2C-522B6FF02F94}" xr6:coauthVersionLast="47" xr6:coauthVersionMax="47" xr10:uidLastSave="{00000000-0000-0000-0000-000000000000}"/>
  <bookViews>
    <workbookView xWindow="28680" yWindow="-120" windowWidth="29040" windowHeight="15720" firstSheet="7" activeTab="7" xr2:uid="{D14DB106-68DC-46EB-83CF-DB0FB1D670C2}"/>
  </bookViews>
  <sheets>
    <sheet name="Parametres" sheetId="1" r:id="rId1"/>
    <sheet name="Bilan" sheetId="2" r:id="rId2"/>
    <sheet name="Budget original" sheetId="3" r:id="rId3"/>
    <sheet name="Réel 2024" sheetId="20" r:id="rId4"/>
    <sheet name="Capex" sheetId="5" r:id="rId5"/>
    <sheet name="Inventaire_Used" sheetId="7" state="hidden" r:id="rId6"/>
    <sheet name="Inventaire_Neuf" sheetId="6" state="hidden" r:id="rId7"/>
    <sheet name="Print_Mois" sheetId="9" r:id="rId8"/>
    <sheet name="2pager" sheetId="8" r:id="rId9"/>
    <sheet name="Chart1" sheetId="19" r:id="rId10"/>
    <sheet name="Démo" sheetId="22" r:id="rId11"/>
    <sheet name="Wholesale" sheetId="21" r:id="rId12"/>
    <sheet name="Vol &amp; Taux MOIS" sheetId="10" r:id="rId13"/>
    <sheet name="Print_AAD" sheetId="12" r:id="rId14"/>
    <sheet name="Mix Produits Volks Mois" sheetId="11" r:id="rId15"/>
    <sheet name="Vol &amp; Taux AAJ" sheetId="13" r:id="rId16"/>
    <sheet name="Mix Produits Volks AAJ" sheetId="14" r:id="rId17"/>
    <sheet name="BV_Data_An_Cour" sheetId="15" r:id="rId18"/>
    <sheet name="Data_Validation" sheetId="16" r:id="rId19"/>
    <sheet name="BV_Data_An_Prec" sheetId="17" r:id="rId20"/>
    <sheet name="Feuil1" sheetId="18" r:id="rId21"/>
  </sheets>
  <definedNames>
    <definedName name="_xlnm._FilterDatabase" localSheetId="17" hidden="1">BV_Data_An_Cour!$A$1:$X$478</definedName>
    <definedName name="_xlnm._FilterDatabase" localSheetId="19" hidden="1">BV_Data_An_Prec!$A$1:$X$1055</definedName>
    <definedName name="_xlnm._FilterDatabase" localSheetId="18" hidden="1">Data_Validation!$A$1:$G$946</definedName>
    <definedName name="_xlnm._FilterDatabase" localSheetId="20" hidden="1">Feuil1!$A$1:$D$1</definedName>
    <definedName name="_xlnm._FilterDatabase" localSheetId="6" hidden="1">Inventaire_Neuf!$A$1:$H$25</definedName>
    <definedName name="_xlnm._FilterDatabase" localSheetId="5" hidden="1">Inventaire_Used!$A$1:$H$75</definedName>
    <definedName name="_xlnm._FilterDatabase" localSheetId="3" hidden="1">'Réel 2024'!$B$1:$B$701</definedName>
    <definedName name="Ticker" localSheetId="11">#REF!</definedName>
    <definedName name="Ticker">#REF!</definedName>
    <definedName name="_xlnm.Print_Area" localSheetId="13">Print_AAD!$C$1:$S$353,Print_AAD!$V$402:$AO$498</definedName>
    <definedName name="_xlnm.Print_Area" localSheetId="7">Print_Mois!$C$1:$S$353,Print_Mois!$V$402:$AO$498</definedName>
  </definedNames>
  <calcPr calcId="191029"/>
</workbook>
</file>

<file path=xl/calcChain.xml><?xml version="1.0" encoding="utf-8"?>
<calcChain xmlns="http://schemas.openxmlformats.org/spreadsheetml/2006/main">
  <c r="S478" i="15" l="1"/>
  <c r="R478" i="15"/>
  <c r="Q478" i="15"/>
  <c r="O478" i="15" s="1"/>
  <c r="M478" i="15"/>
  <c r="L478" i="15"/>
  <c r="X478" i="15" s="1"/>
  <c r="S477" i="15"/>
  <c r="R477" i="15"/>
  <c r="Q477" i="15"/>
  <c r="P477" i="15" s="1"/>
  <c r="M477" i="15"/>
  <c r="L477" i="15"/>
  <c r="W477" i="15" s="1"/>
  <c r="S476" i="15"/>
  <c r="R476" i="15"/>
  <c r="Q476" i="15"/>
  <c r="O476" i="15" s="1"/>
  <c r="M476" i="15"/>
  <c r="L476" i="15"/>
  <c r="X476" i="15" s="1"/>
  <c r="S475" i="15"/>
  <c r="R475" i="15"/>
  <c r="Q475" i="15"/>
  <c r="O475" i="15" s="1"/>
  <c r="M475" i="15"/>
  <c r="L475" i="15"/>
  <c r="T475" i="15" s="1"/>
  <c r="S474" i="15"/>
  <c r="R474" i="15"/>
  <c r="Q474" i="15"/>
  <c r="N474" i="15" s="1"/>
  <c r="M474" i="15"/>
  <c r="L474" i="15"/>
  <c r="X474" i="15" s="1"/>
  <c r="S473" i="15"/>
  <c r="R473" i="15"/>
  <c r="Q473" i="15"/>
  <c r="P473" i="15" s="1"/>
  <c r="M473" i="15"/>
  <c r="L473" i="15"/>
  <c r="X473" i="15" s="1"/>
  <c r="S472" i="15"/>
  <c r="R472" i="15"/>
  <c r="Q472" i="15"/>
  <c r="O472" i="15" s="1"/>
  <c r="M472" i="15"/>
  <c r="L472" i="15"/>
  <c r="X472" i="15" s="1"/>
  <c r="S471" i="15"/>
  <c r="R471" i="15"/>
  <c r="Q471" i="15"/>
  <c r="N471" i="15" s="1"/>
  <c r="M471" i="15"/>
  <c r="L471" i="15"/>
  <c r="W471" i="15" s="1"/>
  <c r="S470" i="15"/>
  <c r="R470" i="15"/>
  <c r="Q470" i="15"/>
  <c r="O470" i="15" s="1"/>
  <c r="M470" i="15"/>
  <c r="L470" i="15"/>
  <c r="X470" i="15" s="1"/>
  <c r="P475" i="15" l="1"/>
  <c r="O474" i="15"/>
  <c r="U476" i="15"/>
  <c r="N478" i="15"/>
  <c r="P478" i="15"/>
  <c r="N477" i="15"/>
  <c r="O477" i="15"/>
  <c r="P476" i="15"/>
  <c r="N475" i="15"/>
  <c r="P474" i="15"/>
  <c r="T474" i="15"/>
  <c r="U474" i="15"/>
  <c r="N476" i="15"/>
  <c r="W474" i="15"/>
  <c r="W478" i="15"/>
  <c r="V474" i="15"/>
  <c r="U475" i="15"/>
  <c r="T476" i="15"/>
  <c r="V475" i="15"/>
  <c r="W475" i="15"/>
  <c r="V476" i="15"/>
  <c r="U477" i="15"/>
  <c r="T478" i="15"/>
  <c r="X475" i="15"/>
  <c r="W476" i="15"/>
  <c r="V477" i="15"/>
  <c r="U478" i="15"/>
  <c r="X477" i="15"/>
  <c r="T477" i="15"/>
  <c r="V478" i="15"/>
  <c r="O471" i="15"/>
  <c r="N472" i="15"/>
  <c r="P472" i="15"/>
  <c r="P471" i="15"/>
  <c r="P470" i="15"/>
  <c r="U470" i="15"/>
  <c r="U471" i="15"/>
  <c r="V472" i="15"/>
  <c r="V470" i="15"/>
  <c r="V471" i="15"/>
  <c r="W470" i="15"/>
  <c r="T472" i="15"/>
  <c r="T473" i="15"/>
  <c r="T470" i="15"/>
  <c r="T471" i="15"/>
  <c r="U472" i="15"/>
  <c r="U473" i="15"/>
  <c r="X471" i="15"/>
  <c r="W472" i="15"/>
  <c r="V473" i="15"/>
  <c r="N470" i="15"/>
  <c r="W473" i="15"/>
  <c r="N473" i="15"/>
  <c r="O473" i="15"/>
  <c r="S469" i="15" l="1"/>
  <c r="R469" i="15"/>
  <c r="Q469" i="15"/>
  <c r="P469" i="15" s="1"/>
  <c r="M469" i="15"/>
  <c r="L469" i="15"/>
  <c r="U469" i="15" s="1"/>
  <c r="S468" i="15"/>
  <c r="R468" i="15"/>
  <c r="Q468" i="15"/>
  <c r="P468" i="15" s="1"/>
  <c r="M468" i="15"/>
  <c r="L468" i="15"/>
  <c r="V468" i="15" s="1"/>
  <c r="S467" i="15"/>
  <c r="R467" i="15"/>
  <c r="Q467" i="15"/>
  <c r="P467" i="15" s="1"/>
  <c r="M467" i="15"/>
  <c r="L467" i="15"/>
  <c r="W467" i="15" s="1"/>
  <c r="S466" i="15"/>
  <c r="R466" i="15"/>
  <c r="Q466" i="15"/>
  <c r="P466" i="15" s="1"/>
  <c r="M466" i="15"/>
  <c r="L466" i="15"/>
  <c r="W466" i="15" s="1"/>
  <c r="S465" i="15"/>
  <c r="R465" i="15"/>
  <c r="Q465" i="15"/>
  <c r="P465" i="15" s="1"/>
  <c r="M465" i="15"/>
  <c r="L465" i="15"/>
  <c r="X465" i="15" s="1"/>
  <c r="S464" i="15"/>
  <c r="R464" i="15"/>
  <c r="Q464" i="15"/>
  <c r="O464" i="15" s="1"/>
  <c r="M464" i="15"/>
  <c r="L464" i="15"/>
  <c r="X464" i="15" s="1"/>
  <c r="S463" i="15"/>
  <c r="R463" i="15"/>
  <c r="Q463" i="15"/>
  <c r="N463" i="15" s="1"/>
  <c r="M463" i="15"/>
  <c r="L463" i="15"/>
  <c r="X463" i="15" s="1"/>
  <c r="S462" i="15"/>
  <c r="R462" i="15"/>
  <c r="Q462" i="15"/>
  <c r="O462" i="15" s="1"/>
  <c r="M462" i="15"/>
  <c r="L462" i="15"/>
  <c r="X462" i="15" s="1"/>
  <c r="S461" i="15"/>
  <c r="R461" i="15"/>
  <c r="Q461" i="15"/>
  <c r="P461" i="15" s="1"/>
  <c r="M461" i="15"/>
  <c r="L461" i="15"/>
  <c r="X461" i="15" s="1"/>
  <c r="S460" i="15"/>
  <c r="R460" i="15"/>
  <c r="Q460" i="15"/>
  <c r="O460" i="15" s="1"/>
  <c r="M460" i="15"/>
  <c r="L460" i="15"/>
  <c r="X460" i="15" s="1"/>
  <c r="S459" i="15"/>
  <c r="R459" i="15"/>
  <c r="Q459" i="15"/>
  <c r="P459" i="15" s="1"/>
  <c r="M459" i="15"/>
  <c r="L459" i="15"/>
  <c r="X459" i="15" s="1"/>
  <c r="S458" i="15"/>
  <c r="R458" i="15"/>
  <c r="Q458" i="15"/>
  <c r="P458" i="15" s="1"/>
  <c r="M458" i="15"/>
  <c r="L458" i="15"/>
  <c r="X458" i="15" s="1"/>
  <c r="S457" i="15"/>
  <c r="R457" i="15"/>
  <c r="Q457" i="15"/>
  <c r="O457" i="15" s="1"/>
  <c r="M457" i="15"/>
  <c r="L457" i="15"/>
  <c r="X457" i="15" s="1"/>
  <c r="S456" i="15"/>
  <c r="R456" i="15"/>
  <c r="Q456" i="15"/>
  <c r="P456" i="15" s="1"/>
  <c r="M456" i="15"/>
  <c r="L456" i="15"/>
  <c r="X456" i="15" s="1"/>
  <c r="S455" i="15"/>
  <c r="R455" i="15"/>
  <c r="Q455" i="15"/>
  <c r="P455" i="15" s="1"/>
  <c r="M455" i="15"/>
  <c r="L455" i="15"/>
  <c r="V455" i="15" s="1"/>
  <c r="S454" i="15"/>
  <c r="R454" i="15"/>
  <c r="Q454" i="15"/>
  <c r="P454" i="15" s="1"/>
  <c r="M454" i="15"/>
  <c r="L454" i="15"/>
  <c r="W454" i="15" s="1"/>
  <c r="S453" i="15"/>
  <c r="R453" i="15"/>
  <c r="Q453" i="15"/>
  <c r="P453" i="15" s="1"/>
  <c r="M453" i="15"/>
  <c r="L453" i="15"/>
  <c r="X453" i="15" s="1"/>
  <c r="S452" i="15"/>
  <c r="R452" i="15"/>
  <c r="Q452" i="15"/>
  <c r="P452" i="15" s="1"/>
  <c r="M452" i="15"/>
  <c r="L452" i="15"/>
  <c r="X452" i="15" s="1"/>
  <c r="S451" i="15"/>
  <c r="R451" i="15"/>
  <c r="Q451" i="15"/>
  <c r="N451" i="15" s="1"/>
  <c r="M451" i="15"/>
  <c r="L451" i="15"/>
  <c r="X451" i="15" s="1"/>
  <c r="S450" i="15"/>
  <c r="R450" i="15"/>
  <c r="Q450" i="15"/>
  <c r="O450" i="15" s="1"/>
  <c r="M450" i="15"/>
  <c r="L450" i="15"/>
  <c r="X450" i="15" s="1"/>
  <c r="S449" i="15"/>
  <c r="R449" i="15"/>
  <c r="Q449" i="15"/>
  <c r="P449" i="15" s="1"/>
  <c r="M449" i="15"/>
  <c r="L449" i="15"/>
  <c r="X449" i="15" s="1"/>
  <c r="S448" i="15"/>
  <c r="R448" i="15"/>
  <c r="Q448" i="15"/>
  <c r="O448" i="15" s="1"/>
  <c r="M448" i="15"/>
  <c r="L448" i="15"/>
  <c r="X448" i="15" s="1"/>
  <c r="S447" i="15"/>
  <c r="R447" i="15"/>
  <c r="Q447" i="15"/>
  <c r="P447" i="15" s="1"/>
  <c r="M447" i="15"/>
  <c r="L447" i="15"/>
  <c r="X447" i="15" s="1"/>
  <c r="S446" i="15"/>
  <c r="R446" i="15"/>
  <c r="Q446" i="15"/>
  <c r="P446" i="15" s="1"/>
  <c r="M446" i="15"/>
  <c r="L446" i="15"/>
  <c r="X446" i="15" s="1"/>
  <c r="S445" i="15"/>
  <c r="R445" i="15"/>
  <c r="Q445" i="15"/>
  <c r="O445" i="15" s="1"/>
  <c r="M445" i="15"/>
  <c r="L445" i="15"/>
  <c r="T445" i="15" s="1"/>
  <c r="S444" i="15"/>
  <c r="R444" i="15"/>
  <c r="Q444" i="15"/>
  <c r="P444" i="15" s="1"/>
  <c r="M444" i="15"/>
  <c r="L444" i="15"/>
  <c r="X444" i="15" s="1"/>
  <c r="S443" i="15"/>
  <c r="R443" i="15"/>
  <c r="Q443" i="15"/>
  <c r="P443" i="15" s="1"/>
  <c r="M443" i="15"/>
  <c r="L443" i="15"/>
  <c r="V443" i="15" s="1"/>
  <c r="S442" i="15"/>
  <c r="R442" i="15"/>
  <c r="Q442" i="15"/>
  <c r="P442" i="15" s="1"/>
  <c r="M442" i="15"/>
  <c r="L442" i="15"/>
  <c r="W442" i="15" s="1"/>
  <c r="S441" i="15"/>
  <c r="R441" i="15"/>
  <c r="Q441" i="15"/>
  <c r="N441" i="15" s="1"/>
  <c r="M441" i="15"/>
  <c r="L441" i="15"/>
  <c r="X441" i="15" s="1"/>
  <c r="S440" i="15"/>
  <c r="R440" i="15"/>
  <c r="Q440" i="15"/>
  <c r="P440" i="15" s="1"/>
  <c r="M440" i="15"/>
  <c r="L440" i="15"/>
  <c r="X440" i="15" s="1"/>
  <c r="S439" i="15"/>
  <c r="R439" i="15"/>
  <c r="Q439" i="15"/>
  <c r="N439" i="15" s="1"/>
  <c r="M439" i="15"/>
  <c r="L439" i="15"/>
  <c r="X439" i="15" s="1"/>
  <c r="S438" i="15"/>
  <c r="R438" i="15"/>
  <c r="Q438" i="15"/>
  <c r="O438" i="15" s="1"/>
  <c r="M438" i="15"/>
  <c r="L438" i="15"/>
  <c r="X438" i="15" s="1"/>
  <c r="S437" i="15"/>
  <c r="R437" i="15"/>
  <c r="Q437" i="15"/>
  <c r="P437" i="15" s="1"/>
  <c r="M437" i="15"/>
  <c r="L437" i="15"/>
  <c r="X437" i="15" s="1"/>
  <c r="S436" i="15"/>
  <c r="R436" i="15"/>
  <c r="Q436" i="15"/>
  <c r="O436" i="15" s="1"/>
  <c r="M436" i="15"/>
  <c r="L436" i="15"/>
  <c r="X436" i="15" s="1"/>
  <c r="S435" i="15"/>
  <c r="R435" i="15"/>
  <c r="Q435" i="15"/>
  <c r="P435" i="15" s="1"/>
  <c r="M435" i="15"/>
  <c r="L435" i="15"/>
  <c r="X435" i="15" s="1"/>
  <c r="S434" i="15"/>
  <c r="R434" i="15"/>
  <c r="Q434" i="15"/>
  <c r="P434" i="15" s="1"/>
  <c r="M434" i="15"/>
  <c r="L434" i="15"/>
  <c r="X434" i="15" s="1"/>
  <c r="S433" i="15"/>
  <c r="R433" i="15"/>
  <c r="Q433" i="15"/>
  <c r="O433" i="15" s="1"/>
  <c r="M433" i="15"/>
  <c r="L433" i="15"/>
  <c r="T433" i="15" s="1"/>
  <c r="S432" i="15"/>
  <c r="R432" i="15"/>
  <c r="Q432" i="15"/>
  <c r="P432" i="15" s="1"/>
  <c r="M432" i="15"/>
  <c r="L432" i="15"/>
  <c r="U432" i="15" s="1"/>
  <c r="S431" i="15"/>
  <c r="R431" i="15"/>
  <c r="Q431" i="15"/>
  <c r="P431" i="15" s="1"/>
  <c r="M431" i="15"/>
  <c r="L431" i="15"/>
  <c r="X431" i="15" s="1"/>
  <c r="S430" i="15"/>
  <c r="R430" i="15"/>
  <c r="Q430" i="15"/>
  <c r="P430" i="15" s="1"/>
  <c r="M430" i="15"/>
  <c r="L430" i="15"/>
  <c r="W430" i="15" s="1"/>
  <c r="S429" i="15"/>
  <c r="R429" i="15"/>
  <c r="Q429" i="15"/>
  <c r="P429" i="15" s="1"/>
  <c r="M429" i="15"/>
  <c r="L429" i="15"/>
  <c r="X429" i="15" s="1"/>
  <c r="S428" i="15"/>
  <c r="R428" i="15"/>
  <c r="Q428" i="15"/>
  <c r="P428" i="15" s="1"/>
  <c r="M428" i="15"/>
  <c r="L428" i="15"/>
  <c r="X428" i="15" s="1"/>
  <c r="S427" i="15"/>
  <c r="R427" i="15"/>
  <c r="Q427" i="15"/>
  <c r="N427" i="15" s="1"/>
  <c r="M427" i="15"/>
  <c r="L427" i="15"/>
  <c r="X427" i="15" s="1"/>
  <c r="S426" i="15"/>
  <c r="R426" i="15"/>
  <c r="Q426" i="15"/>
  <c r="O426" i="15" s="1"/>
  <c r="M426" i="15"/>
  <c r="L426" i="15"/>
  <c r="X426" i="15" s="1"/>
  <c r="S425" i="15"/>
  <c r="R425" i="15"/>
  <c r="Q425" i="15"/>
  <c r="P425" i="15" s="1"/>
  <c r="M425" i="15"/>
  <c r="L425" i="15"/>
  <c r="X425" i="15" s="1"/>
  <c r="S424" i="15"/>
  <c r="R424" i="15"/>
  <c r="Q424" i="15"/>
  <c r="O424" i="15" s="1"/>
  <c r="M424" i="15"/>
  <c r="L424" i="15"/>
  <c r="X424" i="15" s="1"/>
  <c r="S423" i="15"/>
  <c r="R423" i="15"/>
  <c r="Q423" i="15"/>
  <c r="P423" i="15" s="1"/>
  <c r="M423" i="15"/>
  <c r="L423" i="15"/>
  <c r="X423" i="15" s="1"/>
  <c r="S422" i="15"/>
  <c r="R422" i="15"/>
  <c r="Q422" i="15"/>
  <c r="P422" i="15" s="1"/>
  <c r="M422" i="15"/>
  <c r="L422" i="15"/>
  <c r="X422" i="15" s="1"/>
  <c r="S421" i="15"/>
  <c r="R421" i="15"/>
  <c r="Q421" i="15"/>
  <c r="O421" i="15" s="1"/>
  <c r="M421" i="15"/>
  <c r="L421" i="15"/>
  <c r="T421" i="15" s="1"/>
  <c r="S420" i="15"/>
  <c r="R420" i="15"/>
  <c r="Q420" i="15"/>
  <c r="P420" i="15" s="1"/>
  <c r="M420" i="15"/>
  <c r="L420" i="15"/>
  <c r="U420" i="15" s="1"/>
  <c r="S419" i="15"/>
  <c r="R419" i="15"/>
  <c r="Q419" i="15"/>
  <c r="P419" i="15" s="1"/>
  <c r="M419" i="15"/>
  <c r="L419" i="15"/>
  <c r="V419" i="15" s="1"/>
  <c r="S418" i="15"/>
  <c r="R418" i="15"/>
  <c r="Q418" i="15"/>
  <c r="P418" i="15" s="1"/>
  <c r="M418" i="15"/>
  <c r="L418" i="15"/>
  <c r="X418" i="15" s="1"/>
  <c r="S417" i="15"/>
  <c r="R417" i="15"/>
  <c r="Q417" i="15"/>
  <c r="N417" i="15" s="1"/>
  <c r="M417" i="15"/>
  <c r="L417" i="15"/>
  <c r="X417" i="15" s="1"/>
  <c r="S416" i="15"/>
  <c r="R416" i="15"/>
  <c r="Q416" i="15"/>
  <c r="P416" i="15" s="1"/>
  <c r="M416" i="15"/>
  <c r="L416" i="15"/>
  <c r="X416" i="15" s="1"/>
  <c r="S415" i="15"/>
  <c r="R415" i="15"/>
  <c r="Q415" i="15"/>
  <c r="N415" i="15" s="1"/>
  <c r="M415" i="15"/>
  <c r="L415" i="15"/>
  <c r="X415" i="15" s="1"/>
  <c r="S414" i="15"/>
  <c r="R414" i="15"/>
  <c r="Q414" i="15"/>
  <c r="O414" i="15" s="1"/>
  <c r="M414" i="15"/>
  <c r="L414" i="15"/>
  <c r="X414" i="15" s="1"/>
  <c r="S413" i="15"/>
  <c r="R413" i="15"/>
  <c r="Q413" i="15"/>
  <c r="P413" i="15" s="1"/>
  <c r="M413" i="15"/>
  <c r="L413" i="15"/>
  <c r="X413" i="15" s="1"/>
  <c r="S412" i="15"/>
  <c r="R412" i="15"/>
  <c r="Q412" i="15"/>
  <c r="O412" i="15" s="1"/>
  <c r="M412" i="15"/>
  <c r="L412" i="15"/>
  <c r="X412" i="15" s="1"/>
  <c r="S411" i="15"/>
  <c r="R411" i="15"/>
  <c r="Q411" i="15"/>
  <c r="P411" i="15" s="1"/>
  <c r="M411" i="15"/>
  <c r="L411" i="15"/>
  <c r="X411" i="15" s="1"/>
  <c r="S410" i="15"/>
  <c r="R410" i="15"/>
  <c r="Q410" i="15"/>
  <c r="P410" i="15" s="1"/>
  <c r="M410" i="15"/>
  <c r="L410" i="15"/>
  <c r="X410" i="15" s="1"/>
  <c r="S409" i="15"/>
  <c r="R409" i="15"/>
  <c r="Q409" i="15"/>
  <c r="O409" i="15" s="1"/>
  <c r="M409" i="15"/>
  <c r="L409" i="15"/>
  <c r="T409" i="15" s="1"/>
  <c r="S408" i="15"/>
  <c r="R408" i="15"/>
  <c r="Q408" i="15"/>
  <c r="P408" i="15" s="1"/>
  <c r="M408" i="15"/>
  <c r="L408" i="15"/>
  <c r="U408" i="15" s="1"/>
  <c r="S407" i="15"/>
  <c r="R407" i="15"/>
  <c r="Q407" i="15"/>
  <c r="P407" i="15" s="1"/>
  <c r="M407" i="15"/>
  <c r="L407" i="15"/>
  <c r="V407" i="15" s="1"/>
  <c r="S406" i="15"/>
  <c r="R406" i="15"/>
  <c r="Q406" i="15"/>
  <c r="P406" i="15" s="1"/>
  <c r="M406" i="15"/>
  <c r="L406" i="15"/>
  <c r="X406" i="15" s="1"/>
  <c r="S405" i="15"/>
  <c r="R405" i="15"/>
  <c r="Q405" i="15"/>
  <c r="O405" i="15" s="1"/>
  <c r="M405" i="15"/>
  <c r="L405" i="15"/>
  <c r="X405" i="15" s="1"/>
  <c r="S404" i="15"/>
  <c r="R404" i="15"/>
  <c r="Q404" i="15"/>
  <c r="N404" i="15" s="1"/>
  <c r="M404" i="15"/>
  <c r="L404" i="15"/>
  <c r="X404" i="15" s="1"/>
  <c r="S403" i="15"/>
  <c r="R403" i="15"/>
  <c r="Q403" i="15"/>
  <c r="N403" i="15" s="1"/>
  <c r="M403" i="15"/>
  <c r="L403" i="15"/>
  <c r="X403" i="15" s="1"/>
  <c r="S402" i="15"/>
  <c r="R402" i="15"/>
  <c r="Q402" i="15"/>
  <c r="O402" i="15" s="1"/>
  <c r="M402" i="15"/>
  <c r="L402" i="15"/>
  <c r="X402" i="15" s="1"/>
  <c r="S401" i="15"/>
  <c r="R401" i="15"/>
  <c r="Q401" i="15"/>
  <c r="P401" i="15" s="1"/>
  <c r="M401" i="15"/>
  <c r="L401" i="15"/>
  <c r="X401" i="15" s="1"/>
  <c r="S400" i="15"/>
  <c r="R400" i="15"/>
  <c r="Q400" i="15"/>
  <c r="O400" i="15" s="1"/>
  <c r="M400" i="15"/>
  <c r="L400" i="15"/>
  <c r="X400" i="15" s="1"/>
  <c r="H37" i="21"/>
  <c r="N467" i="15" l="1"/>
  <c r="W469" i="15"/>
  <c r="V469" i="15"/>
  <c r="N468" i="15"/>
  <c r="W468" i="15"/>
  <c r="O467" i="15"/>
  <c r="X467" i="15"/>
  <c r="O468" i="15"/>
  <c r="N469" i="15"/>
  <c r="O469" i="15"/>
  <c r="X469" i="15"/>
  <c r="T467" i="15"/>
  <c r="X468" i="15"/>
  <c r="U467" i="15"/>
  <c r="T468" i="15"/>
  <c r="V467" i="15"/>
  <c r="U468" i="15"/>
  <c r="T469" i="15"/>
  <c r="O417" i="15"/>
  <c r="N430" i="15"/>
  <c r="U435" i="15"/>
  <c r="O453" i="15"/>
  <c r="P421" i="15"/>
  <c r="O428" i="15"/>
  <c r="W441" i="15"/>
  <c r="T400" i="15"/>
  <c r="N440" i="15"/>
  <c r="N431" i="15"/>
  <c r="V435" i="15"/>
  <c r="N466" i="15"/>
  <c r="T413" i="15"/>
  <c r="N418" i="15"/>
  <c r="P462" i="15"/>
  <c r="P417" i="15"/>
  <c r="N419" i="15"/>
  <c r="N455" i="15"/>
  <c r="V459" i="15"/>
  <c r="P464" i="15"/>
  <c r="N411" i="15"/>
  <c r="O451" i="15"/>
  <c r="V409" i="15"/>
  <c r="N416" i="15"/>
  <c r="O440" i="15"/>
  <c r="U400" i="15"/>
  <c r="O410" i="15"/>
  <c r="P426" i="15"/>
  <c r="O430" i="15"/>
  <c r="W453" i="15"/>
  <c r="P460" i="15"/>
  <c r="P400" i="15"/>
  <c r="O404" i="15"/>
  <c r="N406" i="15"/>
  <c r="V434" i="15"/>
  <c r="U447" i="15"/>
  <c r="W407" i="15"/>
  <c r="T434" i="15"/>
  <c r="P402" i="15"/>
  <c r="P404" i="15"/>
  <c r="U422" i="15"/>
  <c r="T424" i="15"/>
  <c r="N454" i="15"/>
  <c r="V422" i="15"/>
  <c r="U424" i="15"/>
  <c r="O465" i="15"/>
  <c r="P415" i="15"/>
  <c r="O429" i="15"/>
  <c r="P448" i="15"/>
  <c r="T435" i="15"/>
  <c r="N464" i="15"/>
  <c r="T458" i="15"/>
  <c r="V458" i="15"/>
  <c r="W434" i="15"/>
  <c r="V446" i="15"/>
  <c r="U448" i="15"/>
  <c r="U404" i="15"/>
  <c r="W419" i="15"/>
  <c r="V444" i="15"/>
  <c r="O441" i="15"/>
  <c r="V421" i="15"/>
  <c r="N405" i="15"/>
  <c r="U410" i="15"/>
  <c r="W414" i="15"/>
  <c r="O422" i="15"/>
  <c r="T425" i="15"/>
  <c r="V427" i="15"/>
  <c r="U433" i="15"/>
  <c r="P441" i="15"/>
  <c r="N443" i="15"/>
  <c r="P445" i="15"/>
  <c r="T401" i="15"/>
  <c r="V403" i="15"/>
  <c r="P405" i="15"/>
  <c r="N407" i="15"/>
  <c r="P409" i="15"/>
  <c r="V410" i="15"/>
  <c r="P424" i="15"/>
  <c r="T459" i="15"/>
  <c r="O406" i="15"/>
  <c r="U409" i="15"/>
  <c r="W410" i="15"/>
  <c r="P412" i="15"/>
  <c r="O418" i="15"/>
  <c r="U421" i="15"/>
  <c r="W422" i="15"/>
  <c r="N429" i="15"/>
  <c r="V433" i="15"/>
  <c r="P438" i="15"/>
  <c r="W444" i="15"/>
  <c r="T447" i="15"/>
  <c r="W455" i="15"/>
  <c r="U458" i="15"/>
  <c r="T461" i="15"/>
  <c r="N465" i="15"/>
  <c r="W433" i="15"/>
  <c r="W409" i="15"/>
  <c r="P414" i="15"/>
  <c r="V415" i="15"/>
  <c r="W421" i="15"/>
  <c r="T436" i="15"/>
  <c r="V447" i="15"/>
  <c r="P451" i="15"/>
  <c r="O454" i="15"/>
  <c r="U457" i="15"/>
  <c r="W458" i="15"/>
  <c r="V432" i="15"/>
  <c r="U436" i="15"/>
  <c r="T446" i="15"/>
  <c r="V457" i="15"/>
  <c r="V408" i="15"/>
  <c r="T412" i="15"/>
  <c r="V420" i="15"/>
  <c r="N428" i="15"/>
  <c r="W432" i="15"/>
  <c r="O434" i="15"/>
  <c r="U446" i="15"/>
  <c r="T449" i="15"/>
  <c r="N453" i="15"/>
  <c r="W457" i="15"/>
  <c r="W402" i="15"/>
  <c r="W408" i="15"/>
  <c r="U412" i="15"/>
  <c r="W420" i="15"/>
  <c r="W426" i="15"/>
  <c r="W443" i="15"/>
  <c r="T460" i="15"/>
  <c r="O416" i="15"/>
  <c r="T423" i="15"/>
  <c r="T429" i="15"/>
  <c r="O439" i="15"/>
  <c r="N442" i="15"/>
  <c r="W446" i="15"/>
  <c r="V456" i="15"/>
  <c r="U460" i="15"/>
  <c r="T405" i="15"/>
  <c r="T411" i="15"/>
  <c r="T417" i="15"/>
  <c r="U423" i="15"/>
  <c r="W429" i="15"/>
  <c r="P433" i="15"/>
  <c r="P439" i="15"/>
  <c r="O442" i="15"/>
  <c r="U445" i="15"/>
  <c r="P450" i="15"/>
  <c r="W456" i="15"/>
  <c r="O458" i="15"/>
  <c r="U411" i="15"/>
  <c r="V423" i="15"/>
  <c r="O427" i="15"/>
  <c r="V445" i="15"/>
  <c r="N452" i="15"/>
  <c r="O403" i="15"/>
  <c r="W405" i="15"/>
  <c r="W417" i="15"/>
  <c r="P403" i="15"/>
  <c r="T410" i="15"/>
  <c r="V411" i="15"/>
  <c r="O415" i="15"/>
  <c r="T422" i="15"/>
  <c r="P427" i="15"/>
  <c r="W431" i="15"/>
  <c r="U434" i="15"/>
  <c r="T437" i="15"/>
  <c r="W445" i="15"/>
  <c r="T448" i="15"/>
  <c r="O452" i="15"/>
  <c r="U459" i="15"/>
  <c r="O463" i="15"/>
  <c r="O466" i="15"/>
  <c r="P436" i="15"/>
  <c r="P457" i="15"/>
  <c r="P463" i="15"/>
  <c r="X466" i="15"/>
  <c r="X421" i="15"/>
  <c r="X433" i="15"/>
  <c r="V400" i="15"/>
  <c r="U401" i="15"/>
  <c r="T402" i="15"/>
  <c r="O407" i="15"/>
  <c r="N408" i="15"/>
  <c r="W411" i="15"/>
  <c r="V412" i="15"/>
  <c r="U413" i="15"/>
  <c r="T414" i="15"/>
  <c r="O419" i="15"/>
  <c r="N420" i="15"/>
  <c r="W423" i="15"/>
  <c r="V424" i="15"/>
  <c r="U425" i="15"/>
  <c r="T426" i="15"/>
  <c r="O431" i="15"/>
  <c r="N432" i="15"/>
  <c r="W435" i="15"/>
  <c r="V436" i="15"/>
  <c r="U437" i="15"/>
  <c r="T438" i="15"/>
  <c r="O443" i="15"/>
  <c r="N444" i="15"/>
  <c r="W447" i="15"/>
  <c r="V448" i="15"/>
  <c r="U449" i="15"/>
  <c r="T450" i="15"/>
  <c r="O455" i="15"/>
  <c r="N456" i="15"/>
  <c r="W459" i="15"/>
  <c r="V460" i="15"/>
  <c r="U461" i="15"/>
  <c r="T462" i="15"/>
  <c r="X407" i="15"/>
  <c r="X409" i="15"/>
  <c r="W400" i="15"/>
  <c r="V401" i="15"/>
  <c r="U402" i="15"/>
  <c r="T403" i="15"/>
  <c r="O408" i="15"/>
  <c r="N409" i="15"/>
  <c r="W412" i="15"/>
  <c r="V413" i="15"/>
  <c r="U414" i="15"/>
  <c r="T415" i="15"/>
  <c r="O420" i="15"/>
  <c r="N421" i="15"/>
  <c r="W424" i="15"/>
  <c r="V425" i="15"/>
  <c r="U426" i="15"/>
  <c r="T427" i="15"/>
  <c r="O432" i="15"/>
  <c r="N433" i="15"/>
  <c r="W436" i="15"/>
  <c r="V437" i="15"/>
  <c r="U438" i="15"/>
  <c r="T439" i="15"/>
  <c r="O444" i="15"/>
  <c r="N445" i="15"/>
  <c r="W448" i="15"/>
  <c r="V449" i="15"/>
  <c r="U450" i="15"/>
  <c r="T451" i="15"/>
  <c r="O456" i="15"/>
  <c r="N457" i="15"/>
  <c r="W460" i="15"/>
  <c r="V461" i="15"/>
  <c r="U462" i="15"/>
  <c r="T463" i="15"/>
  <c r="X430" i="15"/>
  <c r="X442" i="15"/>
  <c r="X419" i="15"/>
  <c r="X445" i="15"/>
  <c r="W401" i="15"/>
  <c r="V402" i="15"/>
  <c r="U403" i="15"/>
  <c r="T404" i="15"/>
  <c r="N410" i="15"/>
  <c r="W413" i="15"/>
  <c r="V414" i="15"/>
  <c r="U415" i="15"/>
  <c r="T416" i="15"/>
  <c r="N422" i="15"/>
  <c r="W425" i="15"/>
  <c r="V426" i="15"/>
  <c r="U427" i="15"/>
  <c r="T428" i="15"/>
  <c r="N434" i="15"/>
  <c r="W437" i="15"/>
  <c r="V438" i="15"/>
  <c r="U439" i="15"/>
  <c r="T440" i="15"/>
  <c r="N446" i="15"/>
  <c r="W449" i="15"/>
  <c r="V450" i="15"/>
  <c r="U451" i="15"/>
  <c r="T452" i="15"/>
  <c r="N458" i="15"/>
  <c r="W461" i="15"/>
  <c r="V462" i="15"/>
  <c r="U463" i="15"/>
  <c r="T464" i="15"/>
  <c r="X455" i="15"/>
  <c r="U416" i="15"/>
  <c r="U428" i="15"/>
  <c r="N435" i="15"/>
  <c r="W438" i="15"/>
  <c r="V439" i="15"/>
  <c r="U440" i="15"/>
  <c r="T441" i="15"/>
  <c r="O446" i="15"/>
  <c r="N447" i="15"/>
  <c r="W450" i="15"/>
  <c r="V451" i="15"/>
  <c r="U452" i="15"/>
  <c r="T453" i="15"/>
  <c r="N459" i="15"/>
  <c r="W462" i="15"/>
  <c r="V463" i="15"/>
  <c r="U464" i="15"/>
  <c r="T465" i="15"/>
  <c r="X420" i="15"/>
  <c r="N400" i="15"/>
  <c r="W403" i="15"/>
  <c r="V404" i="15"/>
  <c r="U405" i="15"/>
  <c r="T406" i="15"/>
  <c r="O411" i="15"/>
  <c r="N412" i="15"/>
  <c r="W415" i="15"/>
  <c r="V416" i="15"/>
  <c r="U417" i="15"/>
  <c r="T418" i="15"/>
  <c r="O423" i="15"/>
  <c r="N424" i="15"/>
  <c r="W427" i="15"/>
  <c r="V428" i="15"/>
  <c r="U429" i="15"/>
  <c r="T430" i="15"/>
  <c r="O435" i="15"/>
  <c r="N436" i="15"/>
  <c r="W439" i="15"/>
  <c r="V440" i="15"/>
  <c r="U441" i="15"/>
  <c r="T442" i="15"/>
  <c r="O447" i="15"/>
  <c r="N448" i="15"/>
  <c r="W451" i="15"/>
  <c r="V452" i="15"/>
  <c r="U453" i="15"/>
  <c r="T454" i="15"/>
  <c r="O459" i="15"/>
  <c r="N460" i="15"/>
  <c r="W463" i="15"/>
  <c r="V464" i="15"/>
  <c r="U465" i="15"/>
  <c r="T466" i="15"/>
  <c r="X408" i="15"/>
  <c r="N423" i="15"/>
  <c r="N401" i="15"/>
  <c r="W404" i="15"/>
  <c r="V405" i="15"/>
  <c r="U406" i="15"/>
  <c r="T407" i="15"/>
  <c r="N413" i="15"/>
  <c r="W416" i="15"/>
  <c r="V417" i="15"/>
  <c r="U418" i="15"/>
  <c r="T419" i="15"/>
  <c r="N425" i="15"/>
  <c r="W428" i="15"/>
  <c r="V429" i="15"/>
  <c r="U430" i="15"/>
  <c r="T431" i="15"/>
  <c r="N437" i="15"/>
  <c r="W440" i="15"/>
  <c r="V441" i="15"/>
  <c r="U442" i="15"/>
  <c r="T443" i="15"/>
  <c r="N449" i="15"/>
  <c r="W452" i="15"/>
  <c r="V453" i="15"/>
  <c r="U454" i="15"/>
  <c r="T455" i="15"/>
  <c r="N461" i="15"/>
  <c r="W464" i="15"/>
  <c r="V465" i="15"/>
  <c r="U466" i="15"/>
  <c r="X454" i="15"/>
  <c r="X443" i="15"/>
  <c r="X432" i="15"/>
  <c r="O401" i="15"/>
  <c r="N402" i="15"/>
  <c r="V418" i="15"/>
  <c r="U419" i="15"/>
  <c r="T420" i="15"/>
  <c r="O425" i="15"/>
  <c r="N426" i="15"/>
  <c r="V430" i="15"/>
  <c r="U431" i="15"/>
  <c r="O437" i="15"/>
  <c r="V442" i="15"/>
  <c r="U443" i="15"/>
  <c r="O449" i="15"/>
  <c r="N450" i="15"/>
  <c r="V454" i="15"/>
  <c r="U455" i="15"/>
  <c r="T456" i="15"/>
  <c r="O461" i="15"/>
  <c r="N462" i="15"/>
  <c r="W465" i="15"/>
  <c r="V466" i="15"/>
  <c r="V406" i="15"/>
  <c r="U407" i="15"/>
  <c r="T408" i="15"/>
  <c r="O413" i="15"/>
  <c r="N414" i="15"/>
  <c r="T432" i="15"/>
  <c r="N438" i="15"/>
  <c r="T444" i="15"/>
  <c r="W406" i="15"/>
  <c r="W418" i="15"/>
  <c r="V431" i="15"/>
  <c r="U444" i="15"/>
  <c r="U456" i="15"/>
  <c r="T457" i="15"/>
  <c r="S399" i="15"/>
  <c r="R399" i="15"/>
  <c r="Q399" i="15"/>
  <c r="P399" i="15" s="1"/>
  <c r="M399" i="15"/>
  <c r="L399" i="15"/>
  <c r="X399" i="15" s="1"/>
  <c r="S398" i="15"/>
  <c r="R398" i="15"/>
  <c r="Q398" i="15"/>
  <c r="N398" i="15" s="1"/>
  <c r="M398" i="15"/>
  <c r="L398" i="15"/>
  <c r="X398" i="15" s="1"/>
  <c r="S397" i="15"/>
  <c r="R397" i="15"/>
  <c r="Q397" i="15"/>
  <c r="O397" i="15" s="1"/>
  <c r="M397" i="15"/>
  <c r="L397" i="15"/>
  <c r="X397" i="15" s="1"/>
  <c r="S396" i="15"/>
  <c r="R396" i="15"/>
  <c r="Q396" i="15"/>
  <c r="P396" i="15" s="1"/>
  <c r="M396" i="15"/>
  <c r="L396" i="15"/>
  <c r="X396" i="15" s="1"/>
  <c r="S395" i="15"/>
  <c r="R395" i="15"/>
  <c r="Q395" i="15"/>
  <c r="N395" i="15" s="1"/>
  <c r="M395" i="15"/>
  <c r="L395" i="15"/>
  <c r="X395" i="15" s="1"/>
  <c r="S394" i="15"/>
  <c r="R394" i="15"/>
  <c r="Q394" i="15"/>
  <c r="O394" i="15" s="1"/>
  <c r="M394" i="15"/>
  <c r="L394" i="15"/>
  <c r="X394" i="15" s="1"/>
  <c r="S393" i="15"/>
  <c r="R393" i="15"/>
  <c r="Q393" i="15"/>
  <c r="P393" i="15" s="1"/>
  <c r="M393" i="15"/>
  <c r="L393" i="15"/>
  <c r="X393" i="15" s="1"/>
  <c r="S392" i="15"/>
  <c r="R392" i="15"/>
  <c r="Q392" i="15"/>
  <c r="O392" i="15" s="1"/>
  <c r="M392" i="15"/>
  <c r="L392" i="15"/>
  <c r="T392" i="15" s="1"/>
  <c r="S391" i="15"/>
  <c r="R391" i="15"/>
  <c r="Q391" i="15"/>
  <c r="O391" i="15" s="1"/>
  <c r="M391" i="15"/>
  <c r="L391" i="15"/>
  <c r="U391" i="15" s="1"/>
  <c r="S390" i="15"/>
  <c r="R390" i="15"/>
  <c r="Q390" i="15"/>
  <c r="O390" i="15" s="1"/>
  <c r="M390" i="15"/>
  <c r="L390" i="15"/>
  <c r="V390" i="15" s="1"/>
  <c r="S389" i="15"/>
  <c r="R389" i="15"/>
  <c r="Q389" i="15"/>
  <c r="P389" i="15" s="1"/>
  <c r="M389" i="15"/>
  <c r="L389" i="15"/>
  <c r="W389" i="15" s="1"/>
  <c r="A496" i="9"/>
  <c r="P392" i="15" l="1"/>
  <c r="N390" i="15"/>
  <c r="P390" i="15"/>
  <c r="P391" i="15"/>
  <c r="P398" i="15"/>
  <c r="V393" i="15"/>
  <c r="U392" i="15"/>
  <c r="V392" i="15"/>
  <c r="P394" i="15"/>
  <c r="W395" i="15"/>
  <c r="W392" i="15"/>
  <c r="W397" i="15"/>
  <c r="V394" i="15"/>
  <c r="W394" i="15"/>
  <c r="T396" i="15"/>
  <c r="T393" i="15"/>
  <c r="V396" i="15"/>
  <c r="U393" i="15"/>
  <c r="P395" i="15"/>
  <c r="W396" i="15"/>
  <c r="N391" i="15"/>
  <c r="W393" i="15"/>
  <c r="U397" i="15"/>
  <c r="O395" i="15"/>
  <c r="V397" i="15"/>
  <c r="U396" i="15"/>
  <c r="N389" i="15"/>
  <c r="T395" i="15"/>
  <c r="O389" i="15"/>
  <c r="N392" i="15"/>
  <c r="T394" i="15"/>
  <c r="U395" i="15"/>
  <c r="W390" i="15"/>
  <c r="U394" i="15"/>
  <c r="V395" i="15"/>
  <c r="P397" i="15"/>
  <c r="O398" i="15"/>
  <c r="N399" i="15"/>
  <c r="O399" i="15"/>
  <c r="T397" i="15"/>
  <c r="T398" i="15"/>
  <c r="X391" i="15"/>
  <c r="U398" i="15"/>
  <c r="T399" i="15"/>
  <c r="X392" i="15"/>
  <c r="N393" i="15"/>
  <c r="V398" i="15"/>
  <c r="U399" i="15"/>
  <c r="X389" i="15"/>
  <c r="O393" i="15"/>
  <c r="N394" i="15"/>
  <c r="T389" i="15"/>
  <c r="W398" i="15"/>
  <c r="V399" i="15"/>
  <c r="V391" i="15"/>
  <c r="X390" i="15"/>
  <c r="W391" i="15"/>
  <c r="T390" i="15"/>
  <c r="N396" i="15"/>
  <c r="W399" i="15"/>
  <c r="U389" i="15"/>
  <c r="V389" i="15"/>
  <c r="U390" i="15"/>
  <c r="T391" i="15"/>
  <c r="O396" i="15"/>
  <c r="N397" i="15"/>
  <c r="S223" i="15"/>
  <c r="R223" i="15"/>
  <c r="Q223" i="15"/>
  <c r="P223" i="15" s="1"/>
  <c r="M223" i="15"/>
  <c r="L223" i="15"/>
  <c r="V223" i="15" s="1"/>
  <c r="S225" i="15"/>
  <c r="R225" i="15"/>
  <c r="Q225" i="15"/>
  <c r="O225" i="15" s="1"/>
  <c r="M225" i="15"/>
  <c r="L225" i="15"/>
  <c r="V225" i="15" s="1"/>
  <c r="S224" i="15"/>
  <c r="R224" i="15"/>
  <c r="Q224" i="15"/>
  <c r="P224" i="15" s="1"/>
  <c r="M224" i="15"/>
  <c r="L224" i="15"/>
  <c r="T224" i="15" s="1"/>
  <c r="S388" i="15"/>
  <c r="R388" i="15"/>
  <c r="Q388" i="15"/>
  <c r="O388" i="15" s="1"/>
  <c r="M388" i="15"/>
  <c r="L388" i="15"/>
  <c r="W388" i="15" s="1"/>
  <c r="S387" i="15"/>
  <c r="R387" i="15"/>
  <c r="Q387" i="15"/>
  <c r="P387" i="15" s="1"/>
  <c r="M387" i="15"/>
  <c r="L387" i="15"/>
  <c r="X387" i="15" s="1"/>
  <c r="N223" i="15" l="1"/>
  <c r="W224" i="15"/>
  <c r="X388" i="15"/>
  <c r="U224" i="15"/>
  <c r="X224" i="15"/>
  <c r="U387" i="15"/>
  <c r="V387" i="15"/>
  <c r="T387" i="15"/>
  <c r="O223" i="15"/>
  <c r="P388" i="15"/>
  <c r="V224" i="15"/>
  <c r="W223" i="15"/>
  <c r="X223" i="15"/>
  <c r="T388" i="15"/>
  <c r="O387" i="15"/>
  <c r="V388" i="15"/>
  <c r="N387" i="15"/>
  <c r="U388" i="15"/>
  <c r="P225" i="15"/>
  <c r="N225" i="15"/>
  <c r="W387" i="15"/>
  <c r="T225" i="15"/>
  <c r="U225" i="15"/>
  <c r="W225" i="15"/>
  <c r="X225" i="15"/>
  <c r="N224" i="15"/>
  <c r="T223" i="15"/>
  <c r="N388" i="15"/>
  <c r="O224" i="15"/>
  <c r="U223" i="15"/>
  <c r="A48" i="21" l="1"/>
  <c r="A47" i="21"/>
  <c r="A46" i="21"/>
  <c r="A45" i="21"/>
  <c r="A44" i="21"/>
  <c r="A43" i="21"/>
  <c r="A42" i="21"/>
  <c r="A41" i="21"/>
  <c r="A40" i="21"/>
  <c r="A39" i="21"/>
  <c r="A38" i="21"/>
  <c r="A37" i="21"/>
  <c r="AO36" i="21"/>
  <c r="AN36" i="21"/>
  <c r="AM36" i="21"/>
  <c r="AL36" i="21"/>
  <c r="AK36" i="21"/>
  <c r="AJ36" i="21"/>
  <c r="AI36" i="21"/>
  <c r="AH36" i="21"/>
  <c r="AG36" i="21"/>
  <c r="AF36" i="21"/>
  <c r="AE36" i="21"/>
  <c r="AD36" i="21"/>
  <c r="AC36" i="21"/>
  <c r="AB36" i="21"/>
  <c r="AA36" i="21"/>
  <c r="Z36" i="21"/>
  <c r="Y36" i="21"/>
  <c r="X36" i="21"/>
  <c r="W36" i="21"/>
  <c r="V36" i="21"/>
  <c r="U36" i="21"/>
  <c r="S36" i="21"/>
  <c r="R36" i="21"/>
  <c r="Q36" i="21"/>
  <c r="P36" i="21"/>
  <c r="O36" i="21"/>
  <c r="N36" i="21"/>
  <c r="M36" i="21"/>
  <c r="L36" i="21"/>
  <c r="K36" i="21"/>
  <c r="J36" i="21"/>
  <c r="I36" i="21"/>
  <c r="H36" i="21"/>
  <c r="J18" i="21"/>
  <c r="E18" i="21"/>
  <c r="J4" i="21"/>
  <c r="E4" i="21"/>
  <c r="C1" i="21"/>
  <c r="A7" i="21"/>
  <c r="F11" i="21" l="1"/>
  <c r="E6" i="21"/>
  <c r="F14" i="21"/>
  <c r="F6" i="21"/>
  <c r="F23" i="21" l="1"/>
  <c r="G6" i="21"/>
  <c r="H6" i="21" s="1"/>
  <c r="F25" i="21"/>
  <c r="B1" i="20" l="1"/>
  <c r="A96" i="12"/>
  <c r="P98" i="12"/>
  <c r="E98" i="12"/>
  <c r="A97" i="9"/>
  <c r="A98" i="9"/>
  <c r="A99" i="9"/>
  <c r="A96" i="9"/>
  <c r="Q248" i="9"/>
  <c r="P98" i="9"/>
  <c r="F248"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AL497" i="9" l="1"/>
  <c r="Q12" i="9" a="1"/>
  <c r="Q12" i="9" s="1"/>
  <c r="Q128" i="9" a="1"/>
  <c r="Q128" i="9" s="1"/>
  <c r="Q8" i="9" a="1"/>
  <c r="Q8" i="9" s="1"/>
  <c r="Q80" i="9" a="1"/>
  <c r="Q80" i="9" s="1"/>
  <c r="Q71" i="9" a="1"/>
  <c r="Q71" i="9" s="1"/>
  <c r="Q23" i="9" a="1"/>
  <c r="Q23" i="9" s="1"/>
  <c r="Q38" i="9" a="1"/>
  <c r="Q38" i="9" s="1"/>
  <c r="Q47" i="9" a="1"/>
  <c r="Q47" i="9" s="1"/>
  <c r="Q56" i="9" a="1"/>
  <c r="Q56" i="9" s="1"/>
  <c r="Q64" i="9" a="1"/>
  <c r="Q64" i="9" s="1"/>
  <c r="Q77" i="9" a="1"/>
  <c r="Q77" i="9" s="1"/>
  <c r="Q96" i="9"/>
  <c r="Q133" i="9" a="1"/>
  <c r="Q133" i="9" s="1"/>
  <c r="O9" i="9" a="1"/>
  <c r="O9" i="9" s="1"/>
  <c r="P9" i="9" s="1"/>
  <c r="O15" i="9" a="1"/>
  <c r="O15" i="9" s="1"/>
  <c r="Q31" i="9" a="1"/>
  <c r="Q31" i="9" s="1"/>
  <c r="Q39" i="9" a="1"/>
  <c r="Q39" i="9" s="1"/>
  <c r="Q48" i="9" a="1"/>
  <c r="Q48" i="9" s="1"/>
  <c r="Q57" i="9" a="1"/>
  <c r="Q57" i="9" s="1"/>
  <c r="Q65" i="9" a="1"/>
  <c r="Q65" i="9" s="1"/>
  <c r="Q79" i="9" a="1"/>
  <c r="Q79" i="9" s="1"/>
  <c r="Q103" i="9" a="1"/>
  <c r="Q103" i="9" s="1"/>
  <c r="Q139" i="9" a="1"/>
  <c r="Q139" i="9" s="1"/>
  <c r="Q58" i="9" a="1"/>
  <c r="Q58" i="9" s="1"/>
  <c r="O6" i="9"/>
  <c r="O10" i="9" a="1"/>
  <c r="O10" i="9" s="1"/>
  <c r="P10" i="9" s="1"/>
  <c r="O17" i="9" a="1"/>
  <c r="O17" i="9" s="1"/>
  <c r="Q33" i="9" a="1"/>
  <c r="Q33" i="9" s="1"/>
  <c r="Q42" i="9" a="1"/>
  <c r="Q42" i="9" s="1"/>
  <c r="Q50" i="9" a="1"/>
  <c r="Q50" i="9" s="1"/>
  <c r="Q59" i="9" a="1"/>
  <c r="Q59" i="9" s="1"/>
  <c r="Q67" i="9" a="1"/>
  <c r="Q67" i="9" s="1"/>
  <c r="Q81" i="9" a="1"/>
  <c r="Q81" i="9" s="1"/>
  <c r="Q116" i="9" a="1"/>
  <c r="Q116" i="9" s="1"/>
  <c r="Q144" i="9" a="1"/>
  <c r="Q144" i="9" s="1"/>
  <c r="Q15" i="9" a="1"/>
  <c r="Q15" i="9" s="1"/>
  <c r="Q140" i="9" a="1"/>
  <c r="Q140" i="9" s="1"/>
  <c r="Q6" i="9" a="1"/>
  <c r="Q6" i="9" s="1"/>
  <c r="Q10" i="9" a="1"/>
  <c r="Q10" i="9" s="1"/>
  <c r="Q17" i="9" a="1"/>
  <c r="Q17" i="9" s="1"/>
  <c r="Q34" i="9" a="1"/>
  <c r="Q34" i="9" s="1"/>
  <c r="Q43" i="9" a="1"/>
  <c r="Q43" i="9" s="1"/>
  <c r="Q51" i="9" a="1"/>
  <c r="Q51" i="9" s="1"/>
  <c r="Q60" i="9" a="1"/>
  <c r="Q60" i="9" s="1"/>
  <c r="Q68" i="9" a="1"/>
  <c r="Q68" i="9" s="1"/>
  <c r="Q82" i="9" a="1"/>
  <c r="Q82" i="9" s="1"/>
  <c r="Q121" i="9" a="1"/>
  <c r="Q121" i="9" s="1"/>
  <c r="Q145" i="9" a="1"/>
  <c r="Q145" i="9" s="1"/>
  <c r="Q9" i="9" a="1"/>
  <c r="Q9" i="9" s="1"/>
  <c r="Q40" i="9" a="1"/>
  <c r="Q40" i="9" s="1"/>
  <c r="Q104" i="9" a="1"/>
  <c r="Q104" i="9" s="1"/>
  <c r="O7" i="9" a="1"/>
  <c r="O7" i="9" s="1"/>
  <c r="O11" i="9" a="1"/>
  <c r="O11" i="9" s="1"/>
  <c r="P11" i="9" s="1"/>
  <c r="Q19" i="9" a="1"/>
  <c r="Q19" i="9" s="1"/>
  <c r="Q35" i="9" a="1"/>
  <c r="Q35" i="9" s="1"/>
  <c r="Q44" i="9" a="1"/>
  <c r="Q44" i="9" s="1"/>
  <c r="Q52" i="9" a="1"/>
  <c r="Q52" i="9" s="1"/>
  <c r="Q61" i="9" a="1"/>
  <c r="Q61" i="9" s="1"/>
  <c r="Q69" i="9" a="1"/>
  <c r="Q69" i="9" s="1"/>
  <c r="Q93" i="9" a="1"/>
  <c r="Q93" i="9" s="1"/>
  <c r="Q123" i="9" a="1"/>
  <c r="Q123" i="9" s="1"/>
  <c r="Q150" i="9" a="1"/>
  <c r="Q150" i="9" s="1"/>
  <c r="Q66" i="9" a="1"/>
  <c r="Q66" i="9" s="1"/>
  <c r="Q7" i="9" a="1"/>
  <c r="Q7" i="9" s="1"/>
  <c r="Q11" i="9" a="1"/>
  <c r="Q11" i="9" s="1"/>
  <c r="Q21" i="9" a="1"/>
  <c r="Q21" i="9" s="1"/>
  <c r="Q36" i="9" a="1"/>
  <c r="Q36" i="9" s="1"/>
  <c r="Q45" i="9" a="1"/>
  <c r="Q45" i="9" s="1"/>
  <c r="Q53" i="9" a="1"/>
  <c r="Q53" i="9" s="1"/>
  <c r="Q62" i="9" a="1"/>
  <c r="Q62" i="9" s="1"/>
  <c r="Q70" i="9" a="1"/>
  <c r="Q70" i="9" s="1"/>
  <c r="Q95" i="9" a="1"/>
  <c r="Q95" i="9" s="1"/>
  <c r="Q127" i="9" a="1"/>
  <c r="Q127" i="9" s="1"/>
  <c r="AL477" i="9"/>
  <c r="Q5" i="9" a="1"/>
  <c r="Q5" i="9" s="1"/>
  <c r="Q32" i="9" a="1"/>
  <c r="Q32" i="9" s="1"/>
  <c r="Q49" i="9" a="1"/>
  <c r="Q49" i="9" s="1"/>
  <c r="Q75" i="9"/>
  <c r="O8" i="9" a="1"/>
  <c r="O8" i="9" s="1"/>
  <c r="P8" i="9" s="1"/>
  <c r="O12" i="9" a="1"/>
  <c r="O12" i="9" s="1"/>
  <c r="P12" i="9" s="1"/>
  <c r="Q22" i="9" a="1"/>
  <c r="Q22" i="9" s="1"/>
  <c r="Q37" i="9" a="1"/>
  <c r="Q37" i="9" s="1"/>
  <c r="Q46" i="9" a="1"/>
  <c r="Q46" i="9" s="1"/>
  <c r="Q55" i="9" a="1"/>
  <c r="Q55" i="9" s="1"/>
  <c r="Q63" i="9" a="1"/>
  <c r="Q63" i="9" s="1"/>
  <c r="O96" i="9"/>
  <c r="P96" i="9" s="1"/>
  <c r="Q387" i="9" a="1"/>
  <c r="Q387" i="9" s="1"/>
  <c r="Q175" i="9" a="1"/>
  <c r="Q175" i="9" s="1"/>
  <c r="Q209" i="9" a="1"/>
  <c r="Q209" i="9" s="1"/>
  <c r="Q227" i="9" a="1"/>
  <c r="Q227" i="9" s="1"/>
  <c r="Q263" i="9" a="1"/>
  <c r="Q263" i="9" s="1"/>
  <c r="Q295" i="9" a="1"/>
  <c r="Q295" i="9" s="1"/>
  <c r="O308" i="9" a="1"/>
  <c r="O308" i="9" s="1"/>
  <c r="Q337" i="9"/>
  <c r="Q374" i="9" a="1"/>
  <c r="Q374" i="9" s="1"/>
  <c r="Q391" i="9" a="1"/>
  <c r="Q391" i="9" s="1"/>
  <c r="O172" i="9" a="1"/>
  <c r="O172" i="9" s="1"/>
  <c r="Q371" i="9" a="1"/>
  <c r="Q371" i="9" s="1"/>
  <c r="O178" i="9" a="1"/>
  <c r="O178" i="9" s="1"/>
  <c r="Q211" i="9" a="1"/>
  <c r="Q211" i="9" s="1"/>
  <c r="Q228" i="9" a="1"/>
  <c r="Q228" i="9" s="1"/>
  <c r="Q268" i="9" a="1"/>
  <c r="Q268" i="9" s="1"/>
  <c r="O298" i="9" a="1"/>
  <c r="O298" i="9" s="1"/>
  <c r="Q319" i="9" a="1"/>
  <c r="Q319" i="9" s="1"/>
  <c r="Q338" i="9" a="1"/>
  <c r="Q338" i="9" s="1"/>
  <c r="Q375" i="9" a="1"/>
  <c r="Q375" i="9" s="1"/>
  <c r="Q392" i="9" a="1"/>
  <c r="Q392" i="9" s="1"/>
  <c r="Q332" i="9" a="1"/>
  <c r="Q332" i="9" s="1"/>
  <c r="Q181" i="9" a="1"/>
  <c r="Q181" i="9" s="1"/>
  <c r="Q214" i="9" a="1"/>
  <c r="Q214" i="9" s="1"/>
  <c r="O244" i="9" a="1"/>
  <c r="O244" i="9" s="1"/>
  <c r="Q273" i="9" a="1"/>
  <c r="Q273" i="9" s="1"/>
  <c r="Q298" i="9" a="1"/>
  <c r="Q298" i="9" s="1"/>
  <c r="Q324" i="9" a="1"/>
  <c r="Q324" i="9" s="1"/>
  <c r="Q343" i="9" a="1"/>
  <c r="Q343" i="9" s="1"/>
  <c r="Q376" i="9" a="1"/>
  <c r="Q376" i="9" s="1"/>
  <c r="Q393" i="9" a="1"/>
  <c r="Q393" i="9" s="1"/>
  <c r="O295" i="9" a="1"/>
  <c r="O295" i="9" s="1"/>
  <c r="Q191" i="9" a="1"/>
  <c r="Q191" i="9" s="1"/>
  <c r="Q215" i="9" a="1"/>
  <c r="Q215" i="9" s="1"/>
  <c r="P244" i="9" a="1"/>
  <c r="P244" i="9" s="1"/>
  <c r="Q274" i="9" a="1"/>
  <c r="Q274" i="9" s="1"/>
  <c r="O301" i="9" a="1"/>
  <c r="O301" i="9" s="1"/>
  <c r="P301" i="9" s="1"/>
  <c r="Q325" i="9" a="1"/>
  <c r="Q325" i="9" s="1"/>
  <c r="O360" i="9" a="1"/>
  <c r="O360" i="9" s="1"/>
  <c r="O362" i="9" s="1"/>
  <c r="P362" i="9" s="1"/>
  <c r="Q381" i="9" a="1"/>
  <c r="Q381" i="9" s="1"/>
  <c r="Q226" i="9" a="1"/>
  <c r="Q226" i="9" s="1"/>
  <c r="Q307" i="9" a="1"/>
  <c r="Q307" i="9" s="1"/>
  <c r="Q198" i="9" a="1"/>
  <c r="Q198" i="9" s="1"/>
  <c r="Q216" i="9" a="1"/>
  <c r="Q216" i="9" s="1"/>
  <c r="Q256" i="9" a="1"/>
  <c r="Q256" i="9" s="1"/>
  <c r="Q275" i="9" a="1"/>
  <c r="Q275" i="9" s="1"/>
  <c r="Q301" i="9" a="1"/>
  <c r="Q301" i="9" s="1"/>
  <c r="Q326" i="9" a="1"/>
  <c r="Q326" i="9" s="1"/>
  <c r="Q360" i="9" a="1"/>
  <c r="Q360" i="9" s="1"/>
  <c r="Q362" i="9" s="1"/>
  <c r="Q382" i="9" a="1"/>
  <c r="Q382" i="9" s="1"/>
  <c r="Q262" i="9" a="1"/>
  <c r="Q262" i="9" s="1"/>
  <c r="Q388" i="9" a="1"/>
  <c r="Q388" i="9" s="1"/>
  <c r="Q158" i="9" a="1"/>
  <c r="Q158" i="9" s="1"/>
  <c r="Q199" i="9" a="1"/>
  <c r="Q199" i="9" s="1"/>
  <c r="Q221" i="9" a="1"/>
  <c r="Q221" i="9" s="1"/>
  <c r="Q257" i="9" a="1"/>
  <c r="Q257" i="9" s="1"/>
  <c r="Q279" i="9" a="1"/>
  <c r="Q279" i="9" s="1"/>
  <c r="O302" i="9" a="1"/>
  <c r="O302" i="9" s="1"/>
  <c r="P302" i="9" s="1"/>
  <c r="Q329" i="9" a="1"/>
  <c r="Q329" i="9" s="1"/>
  <c r="Q369" i="9" a="1"/>
  <c r="Q369" i="9" s="1"/>
  <c r="Q386" i="9" a="1"/>
  <c r="Q386" i="9" s="1"/>
  <c r="Q204" i="9" a="1"/>
  <c r="Q204" i="9" s="1"/>
  <c r="Q159" i="9" a="1"/>
  <c r="Q159" i="9" s="1"/>
  <c r="Q203" i="9" a="1"/>
  <c r="Q203" i="9" s="1"/>
  <c r="Q222" i="9" a="1"/>
  <c r="Q222" i="9" s="1"/>
  <c r="Q261" i="9" a="1"/>
  <c r="Q261" i="9" s="1"/>
  <c r="Q284" i="9" a="1"/>
  <c r="Q284" i="9" s="1"/>
  <c r="O307" i="9" a="1"/>
  <c r="O307" i="9" s="1"/>
  <c r="Q331" i="9" a="1"/>
  <c r="Q331" i="9" s="1"/>
  <c r="Q370" i="9" a="1"/>
  <c r="Q370" i="9" s="1"/>
  <c r="AL420" i="9"/>
  <c r="AL457" i="9"/>
  <c r="AL480" i="9"/>
  <c r="AL491" i="9"/>
  <c r="Q78" i="9" a="1"/>
  <c r="Q78" i="9" s="1"/>
  <c r="O94" i="9" a="1"/>
  <c r="O94" i="9" s="1"/>
  <c r="O100" i="9" a="1"/>
  <c r="O100" i="9" s="1"/>
  <c r="Q112" i="9" a="1"/>
  <c r="Q112" i="9" s="1"/>
  <c r="Q117" i="9" a="1"/>
  <c r="Q117" i="9" s="1"/>
  <c r="Q124" i="9" a="1"/>
  <c r="Q124" i="9" s="1"/>
  <c r="Q129" i="9" a="1"/>
  <c r="Q129" i="9" s="1"/>
  <c r="Q134" i="9" a="1"/>
  <c r="Q134" i="9" s="1"/>
  <c r="Q141" i="9" a="1"/>
  <c r="Q141" i="9" s="1"/>
  <c r="Q146" i="9" a="1"/>
  <c r="Q146" i="9" s="1"/>
  <c r="Q151" i="9" a="1"/>
  <c r="Q151" i="9" s="1"/>
  <c r="Q160" i="9" a="1"/>
  <c r="Q160" i="9" s="1"/>
  <c r="P172" i="9" a="1"/>
  <c r="P172" i="9" s="1"/>
  <c r="P178" i="9" a="1"/>
  <c r="P178" i="9" s="1"/>
  <c r="Q184" i="9" a="1"/>
  <c r="Q184" i="9" s="1"/>
  <c r="Q200" i="9" a="1"/>
  <c r="Q200" i="9" s="1"/>
  <c r="Q217" i="9" a="1"/>
  <c r="Q217" i="9" s="1"/>
  <c r="Q223" i="9" a="1"/>
  <c r="Q223" i="9" s="1"/>
  <c r="Q258" i="9" a="1"/>
  <c r="Q258" i="9" s="1"/>
  <c r="Q269" i="9" a="1"/>
  <c r="Q269" i="9" s="1"/>
  <c r="Q280" i="9" a="1"/>
  <c r="Q280" i="9" s="1"/>
  <c r="O299" i="9" a="1"/>
  <c r="O299" i="9" s="1"/>
  <c r="Q308" i="9" a="1"/>
  <c r="Q308" i="9" s="1"/>
  <c r="Q320" i="9" a="1"/>
  <c r="Q320" i="9" s="1"/>
  <c r="Q333" i="9" a="1"/>
  <c r="Q333" i="9" s="1"/>
  <c r="Q339" i="9" a="1"/>
  <c r="Q339" i="9" s="1"/>
  <c r="Q344" i="9" a="1"/>
  <c r="Q344" i="9" s="1"/>
  <c r="Q365" i="9" a="1"/>
  <c r="Q365" i="9" s="1"/>
  <c r="Q378" i="9" a="1"/>
  <c r="Q378" i="9" s="1"/>
  <c r="Q394" i="9" a="1"/>
  <c r="Q394" i="9" s="1"/>
  <c r="AL453" i="9"/>
  <c r="AL459" i="9"/>
  <c r="AL492" i="9"/>
  <c r="Q94" i="9" a="1"/>
  <c r="Q94" i="9" s="1"/>
  <c r="Q113" i="9" a="1"/>
  <c r="Q113" i="9" s="1"/>
  <c r="Q130" i="9" a="1"/>
  <c r="Q130" i="9" s="1"/>
  <c r="Q147" i="9" a="1"/>
  <c r="Q147" i="9" s="1"/>
  <c r="Q172" i="9" a="1"/>
  <c r="Q172" i="9" s="1"/>
  <c r="Q178" i="9" a="1"/>
  <c r="Q178" i="9" s="1"/>
  <c r="P188" i="9" a="1"/>
  <c r="P188" i="9" s="1"/>
  <c r="Q205" i="9" a="1"/>
  <c r="Q205" i="9" s="1"/>
  <c r="Q212" i="9" a="1"/>
  <c r="Q212" i="9" s="1"/>
  <c r="Q218" i="9" a="1"/>
  <c r="Q218" i="9" s="1"/>
  <c r="O241" i="9" a="1"/>
  <c r="O241" i="9" s="1"/>
  <c r="Q244" i="9" a="1"/>
  <c r="Q244" i="9" s="1"/>
  <c r="Q264" i="9" a="1"/>
  <c r="Q264" i="9" s="1"/>
  <c r="Q270" i="9" a="1"/>
  <c r="Q270" i="9" s="1"/>
  <c r="Q276" i="9" a="1"/>
  <c r="Q276" i="9" s="1"/>
  <c r="Q281" i="9" a="1"/>
  <c r="Q281" i="9" s="1"/>
  <c r="O296" i="9" a="1"/>
  <c r="O296" i="9" s="1"/>
  <c r="Q299" i="9" a="1"/>
  <c r="Q299" i="9" s="1"/>
  <c r="Q302" i="9" a="1"/>
  <c r="Q302" i="9" s="1"/>
  <c r="O312" i="9" a="1"/>
  <c r="O312" i="9" s="1"/>
  <c r="P312" i="9" s="1"/>
  <c r="Q327" i="9" a="1"/>
  <c r="Q327" i="9" s="1"/>
  <c r="Q334" i="9" a="1"/>
  <c r="Q334" i="9" s="1"/>
  <c r="Q340" i="9" a="1"/>
  <c r="Q340" i="9" s="1"/>
  <c r="Q345" i="9" a="1"/>
  <c r="Q345" i="9" s="1"/>
  <c r="Q372" i="9" a="1"/>
  <c r="Q372" i="9" s="1"/>
  <c r="Q379" i="9" a="1"/>
  <c r="Q379" i="9" s="1"/>
  <c r="Q383" i="9" a="1"/>
  <c r="Q383" i="9" s="1"/>
  <c r="Q389" i="9" a="1"/>
  <c r="Q389" i="9" s="1"/>
  <c r="AL454" i="9"/>
  <c r="AL460" i="9"/>
  <c r="AL493" i="9"/>
  <c r="AL458" i="9"/>
  <c r="Q100" i="9" a="1"/>
  <c r="Q100" i="9" s="1"/>
  <c r="Q118" i="9" a="1"/>
  <c r="Q118" i="9" s="1"/>
  <c r="Q125" i="9" a="1"/>
  <c r="Q125" i="9" s="1"/>
  <c r="Q136" i="9" a="1"/>
  <c r="Q136" i="9" s="1"/>
  <c r="Q142" i="9" a="1"/>
  <c r="Q142" i="9" s="1"/>
  <c r="Q152" i="9" a="1"/>
  <c r="Q152" i="9" s="1"/>
  <c r="Q161" i="9" a="1"/>
  <c r="Q161" i="9" s="1"/>
  <c r="O175" i="9" a="1"/>
  <c r="O175" i="9" s="1"/>
  <c r="O181" i="9" a="1"/>
  <c r="O181" i="9" s="1"/>
  <c r="Q188" i="9" a="1"/>
  <c r="Q188" i="9" s="1"/>
  <c r="Q201" i="9" a="1"/>
  <c r="Q201" i="9" s="1"/>
  <c r="Q206" i="9" a="1"/>
  <c r="Q206" i="9" s="1"/>
  <c r="Q219" i="9" a="1"/>
  <c r="Q219" i="9" s="1"/>
  <c r="Q224" i="9" a="1"/>
  <c r="Q224" i="9" s="1"/>
  <c r="P241" i="9" a="1"/>
  <c r="P241" i="9" s="1"/>
  <c r="Q254" i="9" a="1"/>
  <c r="Q254" i="9" s="1"/>
  <c r="Q259" i="9" a="1"/>
  <c r="Q259" i="9" s="1"/>
  <c r="Q265" i="9" a="1"/>
  <c r="Q265" i="9" s="1"/>
  <c r="Q271" i="9" a="1"/>
  <c r="Q271" i="9" s="1"/>
  <c r="Q277" i="9" a="1"/>
  <c r="Q277" i="9" s="1"/>
  <c r="Q282" i="9" a="1"/>
  <c r="Q282" i="9" s="1"/>
  <c r="Q296" i="9" a="1"/>
  <c r="Q296" i="9" s="1"/>
  <c r="O303" i="9" a="1"/>
  <c r="O303" i="9" s="1"/>
  <c r="P303" i="9" s="1"/>
  <c r="Q321" i="9" a="1"/>
  <c r="Q321" i="9" s="1"/>
  <c r="Q335" i="9" a="1"/>
  <c r="Q335" i="9" s="1"/>
  <c r="Q341" i="9" a="1"/>
  <c r="Q341" i="9" s="1"/>
  <c r="Q346" i="9" a="1"/>
  <c r="Q346" i="9" s="1"/>
  <c r="Q366" i="9" a="1"/>
  <c r="Q366" i="9" s="1"/>
  <c r="AL461" i="9"/>
  <c r="AL494" i="9"/>
  <c r="O95" i="9" a="1"/>
  <c r="O95" i="9" s="1"/>
  <c r="Q114" i="9" a="1"/>
  <c r="Q114" i="9" s="1"/>
  <c r="Q119" i="9" a="1"/>
  <c r="Q119" i="9" s="1"/>
  <c r="Q131" i="9" a="1"/>
  <c r="Q131" i="9" s="1"/>
  <c r="Q137" i="9" a="1"/>
  <c r="Q137" i="9" s="1"/>
  <c r="Q148" i="9" a="1"/>
  <c r="Q148" i="9" s="1"/>
  <c r="Q156" i="9" a="1"/>
  <c r="Q156" i="9" s="1"/>
  <c r="P175" i="9" a="1"/>
  <c r="P175" i="9" s="1"/>
  <c r="Q202" i="9" a="1"/>
  <c r="Q202" i="9" s="1"/>
  <c r="Q207" i="9" a="1"/>
  <c r="Q207" i="9" s="1"/>
  <c r="Q213" i="9" a="1"/>
  <c r="Q213" i="9" s="1"/>
  <c r="Q220" i="9" a="1"/>
  <c r="Q220" i="9" s="1"/>
  <c r="Q241" i="9" a="1"/>
  <c r="Q241" i="9" s="1"/>
  <c r="Q255" i="9" a="1"/>
  <c r="Q255" i="9" s="1"/>
  <c r="Q272" i="9" a="1"/>
  <c r="Q272" i="9" s="1"/>
  <c r="Q283" i="9" a="1"/>
  <c r="Q283" i="9" s="1"/>
  <c r="O297" i="9" a="1"/>
  <c r="O297" i="9" s="1"/>
  <c r="O300" i="9" a="1"/>
  <c r="O300" i="9" s="1"/>
  <c r="Q303" i="9" a="1"/>
  <c r="Q303" i="9" s="1"/>
  <c r="Q312" i="9" a="1"/>
  <c r="Q312" i="9" s="1"/>
  <c r="Q322" i="9" a="1"/>
  <c r="Q322" i="9" s="1"/>
  <c r="Q328" i="9" a="1"/>
  <c r="Q328" i="9" s="1"/>
  <c r="Q347" i="9" a="1"/>
  <c r="Q347" i="9" s="1"/>
  <c r="Q367" i="9" a="1"/>
  <c r="Q367" i="9" s="1"/>
  <c r="Q373" i="9" a="1"/>
  <c r="Q373" i="9" s="1"/>
  <c r="Q380" i="9" a="1"/>
  <c r="Q380" i="9" s="1"/>
  <c r="Q384" i="9" a="1"/>
  <c r="Q384" i="9" s="1"/>
  <c r="Q390" i="9" a="1"/>
  <c r="Q390" i="9" s="1"/>
  <c r="AL455" i="9"/>
  <c r="AL462" i="9"/>
  <c r="AL495" i="9"/>
  <c r="Q76" i="9" a="1"/>
  <c r="Q76" i="9" s="1"/>
  <c r="Q102" i="9" a="1"/>
  <c r="Q102" i="9" s="1"/>
  <c r="Q115" i="9" a="1"/>
  <c r="Q115" i="9" s="1"/>
  <c r="Q120" i="9" a="1"/>
  <c r="Q120" i="9" s="1"/>
  <c r="Q126" i="9" a="1"/>
  <c r="Q126" i="9" s="1"/>
  <c r="Q132" i="9" a="1"/>
  <c r="Q132" i="9" s="1"/>
  <c r="Q138" i="9" a="1"/>
  <c r="Q138" i="9" s="1"/>
  <c r="Q143" i="9" a="1"/>
  <c r="Q143" i="9" s="1"/>
  <c r="Q149" i="9" a="1"/>
  <c r="Q149" i="9" s="1"/>
  <c r="Q157" i="9" a="1"/>
  <c r="Q157" i="9" s="1"/>
  <c r="Q162" i="9" a="1"/>
  <c r="Q162" i="9" s="1"/>
  <c r="P181" i="9" a="1"/>
  <c r="P181" i="9" s="1"/>
  <c r="P191" i="9" a="1"/>
  <c r="P191" i="9" s="1"/>
  <c r="Q208" i="9" a="1"/>
  <c r="Q208" i="9" s="1"/>
  <c r="Q225" i="9" a="1"/>
  <c r="Q225" i="9" s="1"/>
  <c r="Q260" i="9" a="1"/>
  <c r="Q260" i="9" s="1"/>
  <c r="Q267" i="9" a="1"/>
  <c r="Q267" i="9" s="1"/>
  <c r="Q278" i="9" a="1"/>
  <c r="Q278" i="9" s="1"/>
  <c r="Q297" i="9" a="1"/>
  <c r="Q297" i="9" s="1"/>
  <c r="Q300" i="9" a="1"/>
  <c r="Q300" i="9" s="1"/>
  <c r="Q318" i="9" a="1"/>
  <c r="Q318" i="9" s="1"/>
  <c r="Q323" i="9" a="1"/>
  <c r="Q323" i="9" s="1"/>
  <c r="Q336" i="9" a="1"/>
  <c r="Q336" i="9" s="1"/>
  <c r="Q342" i="9" a="1"/>
  <c r="Q342" i="9" s="1"/>
  <c r="Q348" i="9" a="1"/>
  <c r="Q348" i="9" s="1"/>
  <c r="Q368" i="9" a="1"/>
  <c r="Q368" i="9" s="1"/>
  <c r="Q385" i="9" a="1"/>
  <c r="Q385" i="9" s="1"/>
  <c r="AL456" i="9"/>
  <c r="AL469" i="9"/>
  <c r="AL496" i="9"/>
  <c r="P183" i="9" l="1"/>
  <c r="P307" i="9"/>
  <c r="P6" i="9"/>
  <c r="Q179" i="9"/>
  <c r="Q192" i="9"/>
  <c r="P180" i="9"/>
  <c r="P7" i="9"/>
  <c r="P250" i="9"/>
  <c r="P15" i="9"/>
  <c r="P17" i="9"/>
  <c r="P295" i="9"/>
  <c r="Q72" i="9"/>
  <c r="P177" i="9"/>
  <c r="Q24" i="9"/>
  <c r="O32" i="9" s="1"/>
  <c r="P298" i="9"/>
  <c r="Q41" i="9"/>
  <c r="Q105" i="9"/>
  <c r="O113" i="9" s="1"/>
  <c r="P174" i="9"/>
  <c r="Q245" i="9"/>
  <c r="Q189" i="9"/>
  <c r="Q13" i="9"/>
  <c r="O31" i="9" s="1"/>
  <c r="P287" i="9"/>
  <c r="Q97" i="9"/>
  <c r="P285" i="9"/>
  <c r="P95" i="9"/>
  <c r="Q176" i="9"/>
  <c r="Q173" i="9"/>
  <c r="P296" i="9"/>
  <c r="Q54" i="9"/>
  <c r="P94" i="9"/>
  <c r="O13" i="9"/>
  <c r="O27" i="9" s="1"/>
  <c r="Q185" i="9"/>
  <c r="Q194" i="9" s="1"/>
  <c r="Q304" i="9"/>
  <c r="Q309" i="9" s="1"/>
  <c r="Q314" i="9" s="1"/>
  <c r="Q122" i="9"/>
  <c r="P308" i="9"/>
  <c r="P300" i="9"/>
  <c r="O304" i="9"/>
  <c r="O309" i="9" s="1"/>
  <c r="P360" i="9"/>
  <c r="Q229" i="9"/>
  <c r="P297" i="9"/>
  <c r="Q330" i="9"/>
  <c r="Q210" i="9"/>
  <c r="Q395" i="9"/>
  <c r="P395" i="9" s="1"/>
  <c r="P299" i="9"/>
  <c r="Q266" i="9"/>
  <c r="Q377" i="9"/>
  <c r="P377" i="9" s="1"/>
  <c r="Q250" i="9"/>
  <c r="Q349" i="9"/>
  <c r="O185" i="9"/>
  <c r="P266" i="9"/>
  <c r="Q83" i="9"/>
  <c r="Q285" i="9"/>
  <c r="P185" i="9"/>
  <c r="P194" i="9" s="1"/>
  <c r="Q153" i="9"/>
  <c r="O97" i="9"/>
  <c r="P115" i="9" s="1"/>
  <c r="P100" i="9"/>
  <c r="Q182" i="9"/>
  <c r="Q163" i="9"/>
  <c r="Q135" i="9"/>
  <c r="Q242" i="9"/>
  <c r="O2" i="7"/>
  <c r="Q251" i="9" l="1"/>
  <c r="Q108" i="9"/>
  <c r="P122" i="9" s="1"/>
  <c r="Q74" i="9"/>
  <c r="P112" i="9"/>
  <c r="P97" i="9"/>
  <c r="Q287" i="9"/>
  <c r="Q289" i="9" s="1"/>
  <c r="P289" i="9" s="1"/>
  <c r="Q27" i="9"/>
  <c r="P72" i="9" s="1"/>
  <c r="Q397" i="9"/>
  <c r="P397" i="9" s="1"/>
  <c r="P309" i="9"/>
  <c r="P349" i="9"/>
  <c r="P330" i="9"/>
  <c r="Q351" i="9"/>
  <c r="Q353" i="9" s="1"/>
  <c r="O24" i="9"/>
  <c r="P36" i="9" s="1"/>
  <c r="O112" i="9"/>
  <c r="P13" i="9"/>
  <c r="P304" i="9"/>
  <c r="P118" i="9"/>
  <c r="Q231" i="9"/>
  <c r="Q233" i="9" s="1"/>
  <c r="P233" i="9" s="1"/>
  <c r="Q155" i="9"/>
  <c r="P186" i="9"/>
  <c r="Q186" i="9"/>
  <c r="P113" i="9"/>
  <c r="P121" i="9"/>
  <c r="O314" i="9"/>
  <c r="P314" i="9" s="1"/>
  <c r="O108" i="9"/>
  <c r="P116" i="9"/>
  <c r="P114" i="9"/>
  <c r="O105" i="9"/>
  <c r="P105" i="9" s="1"/>
  <c r="P120" i="9"/>
  <c r="P117" i="9"/>
  <c r="P119" i="9"/>
  <c r="Q195" i="9"/>
  <c r="P229" i="9"/>
  <c r="P210" i="9"/>
  <c r="N2" i="7"/>
  <c r="M2" i="15"/>
  <c r="Q2" i="15"/>
  <c r="N2" i="15" s="1"/>
  <c r="R2" i="15"/>
  <c r="S2" i="15"/>
  <c r="M3" i="15"/>
  <c r="Q3" i="15"/>
  <c r="N3" i="15" s="1"/>
  <c r="R3" i="15"/>
  <c r="S3" i="15"/>
  <c r="M4" i="15"/>
  <c r="Q4" i="15"/>
  <c r="N4" i="15" s="1"/>
  <c r="R4" i="15"/>
  <c r="S4" i="15"/>
  <c r="M5" i="15"/>
  <c r="Q5" i="15"/>
  <c r="N5" i="15" s="1"/>
  <c r="R5" i="15"/>
  <c r="S5" i="15"/>
  <c r="M6" i="15"/>
  <c r="Q6" i="15"/>
  <c r="N6" i="15" s="1"/>
  <c r="R6" i="15"/>
  <c r="S6" i="15"/>
  <c r="M7" i="15"/>
  <c r="Q7" i="15"/>
  <c r="N7" i="15" s="1"/>
  <c r="R7" i="15"/>
  <c r="S7" i="15"/>
  <c r="M8" i="15"/>
  <c r="Q8" i="15"/>
  <c r="N8" i="15" s="1"/>
  <c r="R8" i="15"/>
  <c r="S8" i="15"/>
  <c r="M9" i="15"/>
  <c r="Q9" i="15"/>
  <c r="N9" i="15" s="1"/>
  <c r="R9" i="15"/>
  <c r="S9" i="15"/>
  <c r="M10" i="15"/>
  <c r="Q10" i="15"/>
  <c r="O10" i="15" s="1"/>
  <c r="R10" i="15"/>
  <c r="S10" i="15"/>
  <c r="M11" i="15"/>
  <c r="Q11" i="15"/>
  <c r="P11" i="15" s="1"/>
  <c r="R11" i="15"/>
  <c r="S11" i="15"/>
  <c r="M12" i="15"/>
  <c r="Q12" i="15"/>
  <c r="P12" i="15" s="1"/>
  <c r="R12" i="15"/>
  <c r="S12" i="15"/>
  <c r="M13" i="15"/>
  <c r="Q13" i="15"/>
  <c r="N13" i="15" s="1"/>
  <c r="R13" i="15"/>
  <c r="S13" i="15"/>
  <c r="M14" i="15"/>
  <c r="Q14" i="15"/>
  <c r="O14" i="15" s="1"/>
  <c r="R14" i="15"/>
  <c r="S14" i="15"/>
  <c r="M15" i="15"/>
  <c r="Q15" i="15"/>
  <c r="N15" i="15" s="1"/>
  <c r="R15" i="15"/>
  <c r="S15" i="15"/>
  <c r="M16" i="15"/>
  <c r="Q16" i="15"/>
  <c r="N16" i="15" s="1"/>
  <c r="R16" i="15"/>
  <c r="S16" i="15"/>
  <c r="M17" i="15"/>
  <c r="Q17" i="15"/>
  <c r="N17" i="15" s="1"/>
  <c r="R17" i="15"/>
  <c r="S17" i="15"/>
  <c r="M18" i="15"/>
  <c r="Q18" i="15"/>
  <c r="N18" i="15" s="1"/>
  <c r="R18" i="15"/>
  <c r="S18" i="15"/>
  <c r="M19" i="15"/>
  <c r="Q19" i="15"/>
  <c r="N19" i="15" s="1"/>
  <c r="R19" i="15"/>
  <c r="S19" i="15"/>
  <c r="M20" i="15"/>
  <c r="Q20" i="15"/>
  <c r="N20" i="15" s="1"/>
  <c r="R20" i="15"/>
  <c r="S20" i="15"/>
  <c r="M21" i="15"/>
  <c r="Q21" i="15"/>
  <c r="R21" i="15"/>
  <c r="S21" i="15"/>
  <c r="M22" i="15"/>
  <c r="Q22" i="15"/>
  <c r="N22" i="15" s="1"/>
  <c r="R22" i="15"/>
  <c r="S22" i="15"/>
  <c r="M23" i="15"/>
  <c r="Q23" i="15"/>
  <c r="N23" i="15" s="1"/>
  <c r="R23" i="15"/>
  <c r="S23" i="15"/>
  <c r="M24" i="15"/>
  <c r="Q24" i="15"/>
  <c r="P24" i="15" s="1"/>
  <c r="R24" i="15"/>
  <c r="S24" i="15"/>
  <c r="M25" i="15"/>
  <c r="Q25" i="15"/>
  <c r="N25" i="15" s="1"/>
  <c r="R25" i="15"/>
  <c r="S25" i="15"/>
  <c r="M26" i="15"/>
  <c r="Q26" i="15"/>
  <c r="O26" i="15" s="1"/>
  <c r="R26" i="15"/>
  <c r="S26" i="15"/>
  <c r="M27" i="15"/>
  <c r="Q27" i="15"/>
  <c r="P27" i="15" s="1"/>
  <c r="R27" i="15"/>
  <c r="S27" i="15"/>
  <c r="M28" i="15"/>
  <c r="Q28" i="15"/>
  <c r="P28" i="15" s="1"/>
  <c r="R28" i="15"/>
  <c r="S28" i="15"/>
  <c r="M29" i="15"/>
  <c r="Q29" i="15"/>
  <c r="N29" i="15" s="1"/>
  <c r="R29" i="15"/>
  <c r="S29" i="15"/>
  <c r="M30" i="15"/>
  <c r="Q30" i="15"/>
  <c r="O30" i="15" s="1"/>
  <c r="R30" i="15"/>
  <c r="S30" i="15"/>
  <c r="M31" i="15"/>
  <c r="Q31" i="15"/>
  <c r="N31" i="15" s="1"/>
  <c r="R31" i="15"/>
  <c r="S31" i="15"/>
  <c r="M32" i="15"/>
  <c r="Q32" i="15"/>
  <c r="N32" i="15" s="1"/>
  <c r="R32" i="15"/>
  <c r="S32" i="15"/>
  <c r="M33" i="15"/>
  <c r="Q33" i="15"/>
  <c r="N33" i="15" s="1"/>
  <c r="R33" i="15"/>
  <c r="S33" i="15"/>
  <c r="M34" i="15"/>
  <c r="Q34" i="15"/>
  <c r="N34" i="15" s="1"/>
  <c r="R34" i="15"/>
  <c r="S34" i="15"/>
  <c r="M35" i="15"/>
  <c r="Q35" i="15"/>
  <c r="N35" i="15" s="1"/>
  <c r="R35" i="15"/>
  <c r="S35" i="15"/>
  <c r="M36" i="15"/>
  <c r="Q36" i="15"/>
  <c r="N36" i="15" s="1"/>
  <c r="R36" i="15"/>
  <c r="S36" i="15"/>
  <c r="M37" i="15"/>
  <c r="Q37" i="15"/>
  <c r="N37" i="15" s="1"/>
  <c r="R37" i="15"/>
  <c r="S37" i="15"/>
  <c r="M38" i="15"/>
  <c r="Q38" i="15"/>
  <c r="P38" i="15" s="1"/>
  <c r="R38" i="15"/>
  <c r="S38" i="15"/>
  <c r="M39" i="15"/>
  <c r="Q39" i="15"/>
  <c r="N39" i="15" s="1"/>
  <c r="R39" i="15"/>
  <c r="S39" i="15"/>
  <c r="M40" i="15"/>
  <c r="Q40" i="15"/>
  <c r="O40" i="15" s="1"/>
  <c r="R40" i="15"/>
  <c r="S40" i="15"/>
  <c r="M41" i="15"/>
  <c r="Q41" i="15"/>
  <c r="P41" i="15" s="1"/>
  <c r="R41" i="15"/>
  <c r="S41" i="15"/>
  <c r="M42" i="15"/>
  <c r="Q42" i="15"/>
  <c r="O42" i="15" s="1"/>
  <c r="R42" i="15"/>
  <c r="S42" i="15"/>
  <c r="M43" i="15"/>
  <c r="Q43" i="15"/>
  <c r="N43" i="15" s="1"/>
  <c r="R43" i="15"/>
  <c r="S43" i="15"/>
  <c r="M44" i="15"/>
  <c r="Q44" i="15"/>
  <c r="O44" i="15" s="1"/>
  <c r="R44" i="15"/>
  <c r="S44" i="15"/>
  <c r="M45" i="15"/>
  <c r="Q45" i="15"/>
  <c r="N45" i="15" s="1"/>
  <c r="R45" i="15"/>
  <c r="S45" i="15"/>
  <c r="M46" i="15"/>
  <c r="Q46" i="15"/>
  <c r="P46" i="15" s="1"/>
  <c r="R46" i="15"/>
  <c r="S46" i="15"/>
  <c r="M47" i="15"/>
  <c r="Q47" i="15"/>
  <c r="N47" i="15" s="1"/>
  <c r="R47" i="15"/>
  <c r="S47" i="15"/>
  <c r="M48" i="15"/>
  <c r="Q48" i="15"/>
  <c r="N48" i="15" s="1"/>
  <c r="R48" i="15"/>
  <c r="S48" i="15"/>
  <c r="M49" i="15"/>
  <c r="Q49" i="15"/>
  <c r="N49" i="15" s="1"/>
  <c r="R49" i="15"/>
  <c r="S49" i="15"/>
  <c r="M50" i="15"/>
  <c r="Q50" i="15"/>
  <c r="N50" i="15" s="1"/>
  <c r="R50" i="15"/>
  <c r="S50" i="15"/>
  <c r="M51" i="15"/>
  <c r="Q51" i="15"/>
  <c r="N51" i="15" s="1"/>
  <c r="R51" i="15"/>
  <c r="S51" i="15"/>
  <c r="M52" i="15"/>
  <c r="Q52" i="15"/>
  <c r="N52" i="15" s="1"/>
  <c r="R52" i="15"/>
  <c r="S52" i="15"/>
  <c r="M53" i="15"/>
  <c r="Q53" i="15"/>
  <c r="N53" i="15" s="1"/>
  <c r="R53" i="15"/>
  <c r="S53" i="15"/>
  <c r="M54" i="15"/>
  <c r="Q54" i="15"/>
  <c r="N54" i="15" s="1"/>
  <c r="R54" i="15"/>
  <c r="S54" i="15"/>
  <c r="M55" i="15"/>
  <c r="Q55" i="15"/>
  <c r="N55" i="15" s="1"/>
  <c r="R55" i="15"/>
  <c r="S55" i="15"/>
  <c r="M56" i="15"/>
  <c r="Q56" i="15"/>
  <c r="N56" i="15" s="1"/>
  <c r="R56" i="15"/>
  <c r="S56" i="15"/>
  <c r="M57" i="15"/>
  <c r="Q57" i="15"/>
  <c r="P57" i="15" s="1"/>
  <c r="R57" i="15"/>
  <c r="S57" i="15"/>
  <c r="M58" i="15"/>
  <c r="Q58" i="15"/>
  <c r="O58" i="15" s="1"/>
  <c r="R58" i="15"/>
  <c r="S58" i="15"/>
  <c r="M59" i="15"/>
  <c r="Q59" i="15"/>
  <c r="N59" i="15" s="1"/>
  <c r="R59" i="15"/>
  <c r="S59" i="15"/>
  <c r="M60" i="15"/>
  <c r="Q60" i="15"/>
  <c r="O60" i="15" s="1"/>
  <c r="R60" i="15"/>
  <c r="S60" i="15"/>
  <c r="M61" i="15"/>
  <c r="Q61" i="15"/>
  <c r="N61" i="15" s="1"/>
  <c r="R61" i="15"/>
  <c r="S61" i="15"/>
  <c r="M62" i="15"/>
  <c r="Q62" i="15"/>
  <c r="P62" i="15" s="1"/>
  <c r="R62" i="15"/>
  <c r="S62" i="15"/>
  <c r="M63" i="15"/>
  <c r="Q63" i="15"/>
  <c r="N63" i="15" s="1"/>
  <c r="R63" i="15"/>
  <c r="S63" i="15"/>
  <c r="M64" i="15"/>
  <c r="Q64" i="15"/>
  <c r="N64" i="15" s="1"/>
  <c r="R64" i="15"/>
  <c r="S64" i="15"/>
  <c r="M65" i="15"/>
  <c r="Q65" i="15"/>
  <c r="N65" i="15" s="1"/>
  <c r="R65" i="15"/>
  <c r="S65" i="15"/>
  <c r="M66" i="15"/>
  <c r="Q66" i="15"/>
  <c r="N66" i="15" s="1"/>
  <c r="R66" i="15"/>
  <c r="S66" i="15"/>
  <c r="M67" i="15"/>
  <c r="Q67" i="15"/>
  <c r="N67" i="15" s="1"/>
  <c r="R67" i="15"/>
  <c r="S67" i="15"/>
  <c r="M68" i="15"/>
  <c r="Q68" i="15"/>
  <c r="N68" i="15" s="1"/>
  <c r="R68" i="15"/>
  <c r="S68" i="15"/>
  <c r="M69" i="15"/>
  <c r="Q69" i="15"/>
  <c r="N69" i="15" s="1"/>
  <c r="R69" i="15"/>
  <c r="S69" i="15"/>
  <c r="M70" i="15"/>
  <c r="Q70" i="15"/>
  <c r="O70" i="15" s="1"/>
  <c r="R70" i="15"/>
  <c r="S70" i="15"/>
  <c r="M71" i="15"/>
  <c r="Q71" i="15"/>
  <c r="N71" i="15" s="1"/>
  <c r="R71" i="15"/>
  <c r="S71" i="15"/>
  <c r="M72" i="15"/>
  <c r="Q72" i="15"/>
  <c r="O72" i="15" s="1"/>
  <c r="R72" i="15"/>
  <c r="S72" i="15"/>
  <c r="M73" i="15"/>
  <c r="Q73" i="15"/>
  <c r="P73" i="15" s="1"/>
  <c r="R73" i="15"/>
  <c r="S73" i="15"/>
  <c r="M74" i="15"/>
  <c r="Q74" i="15"/>
  <c r="P74" i="15" s="1"/>
  <c r="R74" i="15"/>
  <c r="S74" i="15"/>
  <c r="M75" i="15"/>
  <c r="Q75" i="15"/>
  <c r="N75" i="15" s="1"/>
  <c r="R75" i="15"/>
  <c r="S75" i="15"/>
  <c r="M76" i="15"/>
  <c r="Q76" i="15"/>
  <c r="O76" i="15" s="1"/>
  <c r="R76" i="15"/>
  <c r="S76" i="15"/>
  <c r="M77" i="15"/>
  <c r="Q77" i="15"/>
  <c r="N77" i="15" s="1"/>
  <c r="R77" i="15"/>
  <c r="S77" i="15"/>
  <c r="M78" i="15"/>
  <c r="Q78" i="15"/>
  <c r="P78" i="15" s="1"/>
  <c r="R78" i="15"/>
  <c r="S78" i="15"/>
  <c r="M79" i="15"/>
  <c r="Q79" i="15"/>
  <c r="N79" i="15" s="1"/>
  <c r="R79" i="15"/>
  <c r="S79" i="15"/>
  <c r="M80" i="15"/>
  <c r="Q80" i="15"/>
  <c r="N80" i="15" s="1"/>
  <c r="R80" i="15"/>
  <c r="S80" i="15"/>
  <c r="M81" i="15"/>
  <c r="Q81" i="15"/>
  <c r="N81" i="15" s="1"/>
  <c r="R81" i="15"/>
  <c r="S81" i="15"/>
  <c r="M82" i="15"/>
  <c r="Q82" i="15"/>
  <c r="N82" i="15" s="1"/>
  <c r="R82" i="15"/>
  <c r="S82" i="15"/>
  <c r="M83" i="15"/>
  <c r="Q83" i="15"/>
  <c r="N83" i="15" s="1"/>
  <c r="R83" i="15"/>
  <c r="S83" i="15"/>
  <c r="M84" i="15"/>
  <c r="Q84" i="15"/>
  <c r="N84" i="15" s="1"/>
  <c r="R84" i="15"/>
  <c r="S84" i="15"/>
  <c r="M85" i="15"/>
  <c r="Q85" i="15"/>
  <c r="N85" i="15" s="1"/>
  <c r="R85" i="15"/>
  <c r="S85" i="15"/>
  <c r="M86" i="15"/>
  <c r="Q86" i="15"/>
  <c r="R86" i="15"/>
  <c r="S86" i="15"/>
  <c r="M87" i="15"/>
  <c r="Q87" i="15"/>
  <c r="N87" i="15" s="1"/>
  <c r="R87" i="15"/>
  <c r="S87" i="15"/>
  <c r="M88" i="15"/>
  <c r="Q88" i="15"/>
  <c r="N88" i="15" s="1"/>
  <c r="R88" i="15"/>
  <c r="S88" i="15"/>
  <c r="M89" i="15"/>
  <c r="Q89" i="15"/>
  <c r="P89" i="15" s="1"/>
  <c r="R89" i="15"/>
  <c r="S89" i="15"/>
  <c r="M90" i="15"/>
  <c r="Q90" i="15"/>
  <c r="P90" i="15" s="1"/>
  <c r="R90" i="15"/>
  <c r="S90" i="15"/>
  <c r="M91" i="15"/>
  <c r="Q91" i="15"/>
  <c r="N91" i="15" s="1"/>
  <c r="R91" i="15"/>
  <c r="S91" i="15"/>
  <c r="M92" i="15"/>
  <c r="Q92" i="15"/>
  <c r="O92" i="15" s="1"/>
  <c r="R92" i="15"/>
  <c r="S92" i="15"/>
  <c r="M93" i="15"/>
  <c r="Q93" i="15"/>
  <c r="N93" i="15" s="1"/>
  <c r="R93" i="15"/>
  <c r="S93" i="15"/>
  <c r="M94" i="15"/>
  <c r="Q94" i="15"/>
  <c r="P94" i="15" s="1"/>
  <c r="R94" i="15"/>
  <c r="S94" i="15"/>
  <c r="M95" i="15"/>
  <c r="Q95" i="15"/>
  <c r="N95" i="15" s="1"/>
  <c r="R95" i="15"/>
  <c r="S95" i="15"/>
  <c r="M96" i="15"/>
  <c r="Q96" i="15"/>
  <c r="R96" i="15"/>
  <c r="S96" i="15"/>
  <c r="M97" i="15"/>
  <c r="Q97" i="15"/>
  <c r="N97" i="15" s="1"/>
  <c r="R97" i="15"/>
  <c r="S97" i="15"/>
  <c r="M98" i="15"/>
  <c r="Q98" i="15"/>
  <c r="N98" i="15" s="1"/>
  <c r="R98" i="15"/>
  <c r="S98" i="15"/>
  <c r="M99" i="15"/>
  <c r="Q99" i="15"/>
  <c r="N99" i="15" s="1"/>
  <c r="R99" i="15"/>
  <c r="S99" i="15"/>
  <c r="M100" i="15"/>
  <c r="Q100" i="15"/>
  <c r="N100" i="15" s="1"/>
  <c r="R100" i="15"/>
  <c r="S100" i="15"/>
  <c r="M101" i="15"/>
  <c r="Q101" i="15"/>
  <c r="N101" i="15" s="1"/>
  <c r="R101" i="15"/>
  <c r="S101" i="15"/>
  <c r="M102" i="15"/>
  <c r="Q102" i="15"/>
  <c r="N102" i="15" s="1"/>
  <c r="R102" i="15"/>
  <c r="S102" i="15"/>
  <c r="M103" i="15"/>
  <c r="Q103" i="15"/>
  <c r="N103" i="15" s="1"/>
  <c r="R103" i="15"/>
  <c r="S103" i="15"/>
  <c r="M104" i="15"/>
  <c r="Q104" i="15"/>
  <c r="N104" i="15" s="1"/>
  <c r="R104" i="15"/>
  <c r="S104" i="15"/>
  <c r="M105" i="15"/>
  <c r="Q105" i="15"/>
  <c r="P105" i="15" s="1"/>
  <c r="R105" i="15"/>
  <c r="S105" i="15"/>
  <c r="M106" i="15"/>
  <c r="Q106" i="15"/>
  <c r="R106" i="15"/>
  <c r="S106" i="15"/>
  <c r="M107" i="15"/>
  <c r="Q107" i="15"/>
  <c r="N107" i="15" s="1"/>
  <c r="R107" i="15"/>
  <c r="S107" i="15"/>
  <c r="M108" i="15"/>
  <c r="Q108" i="15"/>
  <c r="O108" i="15" s="1"/>
  <c r="R108" i="15"/>
  <c r="S108" i="15"/>
  <c r="M109" i="15"/>
  <c r="Q109" i="15"/>
  <c r="N109" i="15" s="1"/>
  <c r="R109" i="15"/>
  <c r="S109" i="15"/>
  <c r="M110" i="15"/>
  <c r="Q110" i="15"/>
  <c r="P110" i="15" s="1"/>
  <c r="R110" i="15"/>
  <c r="S110" i="15"/>
  <c r="M111" i="15"/>
  <c r="Q111" i="15"/>
  <c r="N111" i="15" s="1"/>
  <c r="R111" i="15"/>
  <c r="S111" i="15"/>
  <c r="M112" i="15"/>
  <c r="Q112" i="15"/>
  <c r="N112" i="15" s="1"/>
  <c r="R112" i="15"/>
  <c r="S112" i="15"/>
  <c r="M113" i="15"/>
  <c r="Q113" i="15"/>
  <c r="N113" i="15" s="1"/>
  <c r="R113" i="15"/>
  <c r="S113" i="15"/>
  <c r="M114" i="15"/>
  <c r="Q114" i="15"/>
  <c r="N114" i="15" s="1"/>
  <c r="R114" i="15"/>
  <c r="S114" i="15"/>
  <c r="M115" i="15"/>
  <c r="Q115" i="15"/>
  <c r="N115" i="15" s="1"/>
  <c r="R115" i="15"/>
  <c r="S115" i="15"/>
  <c r="M116" i="15"/>
  <c r="Q116" i="15"/>
  <c r="N116" i="15" s="1"/>
  <c r="R116" i="15"/>
  <c r="S116" i="15"/>
  <c r="M117" i="15"/>
  <c r="Q117" i="15"/>
  <c r="N117" i="15" s="1"/>
  <c r="R117" i="15"/>
  <c r="S117" i="15"/>
  <c r="M118" i="15"/>
  <c r="Q118" i="15"/>
  <c r="N118" i="15" s="1"/>
  <c r="R118" i="15"/>
  <c r="S118" i="15"/>
  <c r="M119" i="15"/>
  <c r="Q119" i="15"/>
  <c r="N119" i="15" s="1"/>
  <c r="R119" i="15"/>
  <c r="S119" i="15"/>
  <c r="M120" i="15"/>
  <c r="Q120" i="15"/>
  <c r="O120" i="15" s="1"/>
  <c r="R120" i="15"/>
  <c r="S120" i="15"/>
  <c r="M121" i="15"/>
  <c r="Q121" i="15"/>
  <c r="P121" i="15" s="1"/>
  <c r="R121" i="15"/>
  <c r="S121" i="15"/>
  <c r="M122" i="15"/>
  <c r="Q122" i="15"/>
  <c r="P122" i="15" s="1"/>
  <c r="R122" i="15"/>
  <c r="S122" i="15"/>
  <c r="M123" i="15"/>
  <c r="Q123" i="15"/>
  <c r="P123" i="15" s="1"/>
  <c r="R123" i="15"/>
  <c r="S123" i="15"/>
  <c r="M124" i="15"/>
  <c r="Q124" i="15"/>
  <c r="O124" i="15" s="1"/>
  <c r="R124" i="15"/>
  <c r="S124" i="15"/>
  <c r="M125" i="15"/>
  <c r="Q125" i="15"/>
  <c r="N125" i="15" s="1"/>
  <c r="R125" i="15"/>
  <c r="S125" i="15"/>
  <c r="M126" i="15"/>
  <c r="Q126" i="15"/>
  <c r="P126" i="15" s="1"/>
  <c r="R126" i="15"/>
  <c r="S126" i="15"/>
  <c r="M127" i="15"/>
  <c r="Q127" i="15"/>
  <c r="N127" i="15" s="1"/>
  <c r="R127" i="15"/>
  <c r="S127" i="15"/>
  <c r="M128" i="15"/>
  <c r="Q128" i="15"/>
  <c r="N128" i="15" s="1"/>
  <c r="R128" i="15"/>
  <c r="S128" i="15"/>
  <c r="M129" i="15"/>
  <c r="Q129" i="15"/>
  <c r="N129" i="15" s="1"/>
  <c r="R129" i="15"/>
  <c r="S129" i="15"/>
  <c r="M130" i="15"/>
  <c r="Q130" i="15"/>
  <c r="N130" i="15" s="1"/>
  <c r="R130" i="15"/>
  <c r="S130" i="15"/>
  <c r="M131" i="15"/>
  <c r="Q131" i="15"/>
  <c r="N131" i="15" s="1"/>
  <c r="R131" i="15"/>
  <c r="S131" i="15"/>
  <c r="M132" i="15"/>
  <c r="Q132" i="15"/>
  <c r="R132" i="15"/>
  <c r="S132" i="15"/>
  <c r="M133" i="15"/>
  <c r="Q133" i="15"/>
  <c r="N133" i="15" s="1"/>
  <c r="R133" i="15"/>
  <c r="S133" i="15"/>
  <c r="M134" i="15"/>
  <c r="Q134" i="15"/>
  <c r="N134" i="15" s="1"/>
  <c r="R134" i="15"/>
  <c r="S134" i="15"/>
  <c r="M135" i="15"/>
  <c r="Q135" i="15"/>
  <c r="N135" i="15" s="1"/>
  <c r="R135" i="15"/>
  <c r="S135" i="15"/>
  <c r="M148" i="15"/>
  <c r="Q148" i="15"/>
  <c r="N148" i="15" s="1"/>
  <c r="R148" i="15"/>
  <c r="S148" i="15"/>
  <c r="M140" i="15"/>
  <c r="Q140" i="15"/>
  <c r="P140" i="15" s="1"/>
  <c r="R140" i="15"/>
  <c r="S140" i="15"/>
  <c r="M144" i="15"/>
  <c r="Q144" i="15"/>
  <c r="P144" i="15" s="1"/>
  <c r="R144" i="15"/>
  <c r="S144" i="15"/>
  <c r="M150" i="15"/>
  <c r="Q150" i="15"/>
  <c r="P150" i="15" s="1"/>
  <c r="R150" i="15"/>
  <c r="S150" i="15"/>
  <c r="M151" i="15"/>
  <c r="Q151" i="15"/>
  <c r="O151" i="15" s="1"/>
  <c r="R151" i="15"/>
  <c r="S151" i="15"/>
  <c r="M136" i="15"/>
  <c r="Q136" i="15"/>
  <c r="N136" i="15" s="1"/>
  <c r="R136" i="15"/>
  <c r="S136" i="15"/>
  <c r="M145" i="15"/>
  <c r="Q145" i="15"/>
  <c r="P145" i="15" s="1"/>
  <c r="R145" i="15"/>
  <c r="S145" i="15"/>
  <c r="M141" i="15"/>
  <c r="Q141" i="15"/>
  <c r="N141" i="15" s="1"/>
  <c r="R141" i="15"/>
  <c r="S141" i="15"/>
  <c r="M149" i="15"/>
  <c r="Q149" i="15"/>
  <c r="N149" i="15" s="1"/>
  <c r="R149" i="15"/>
  <c r="S149" i="15"/>
  <c r="M137" i="15"/>
  <c r="Q137" i="15"/>
  <c r="N137" i="15" s="1"/>
  <c r="R137" i="15"/>
  <c r="S137" i="15"/>
  <c r="M143" i="15"/>
  <c r="Q143" i="15"/>
  <c r="N143" i="15" s="1"/>
  <c r="R143" i="15"/>
  <c r="S143" i="15"/>
  <c r="M142" i="15"/>
  <c r="Q142" i="15"/>
  <c r="N142" i="15" s="1"/>
  <c r="R142" i="15"/>
  <c r="S142" i="15"/>
  <c r="M147" i="15"/>
  <c r="Q147" i="15"/>
  <c r="N147" i="15" s="1"/>
  <c r="R147" i="15"/>
  <c r="S147" i="15"/>
  <c r="M138" i="15"/>
  <c r="Q138" i="15"/>
  <c r="N138" i="15" s="1"/>
  <c r="R138" i="15"/>
  <c r="S138" i="15"/>
  <c r="M146" i="15"/>
  <c r="Q146" i="15"/>
  <c r="N146" i="15" s="1"/>
  <c r="R146" i="15"/>
  <c r="S146" i="15"/>
  <c r="M139" i="15"/>
  <c r="Q139" i="15"/>
  <c r="N139" i="15" s="1"/>
  <c r="R139" i="15"/>
  <c r="S139" i="15"/>
  <c r="M152" i="15"/>
  <c r="Q152" i="15"/>
  <c r="O152" i="15" s="1"/>
  <c r="R152" i="15"/>
  <c r="S152" i="15"/>
  <c r="M153" i="15"/>
  <c r="Q153" i="15"/>
  <c r="P153" i="15" s="1"/>
  <c r="R153" i="15"/>
  <c r="S153" i="15"/>
  <c r="M154" i="15"/>
  <c r="Q154" i="15"/>
  <c r="P154" i="15" s="1"/>
  <c r="R154" i="15"/>
  <c r="S154" i="15"/>
  <c r="M155" i="15"/>
  <c r="Q155" i="15"/>
  <c r="R155" i="15"/>
  <c r="S155" i="15"/>
  <c r="M156" i="15"/>
  <c r="Q156" i="15"/>
  <c r="O156" i="15" s="1"/>
  <c r="R156" i="15"/>
  <c r="S156" i="15"/>
  <c r="M157" i="15"/>
  <c r="Q157" i="15"/>
  <c r="N157" i="15" s="1"/>
  <c r="R157" i="15"/>
  <c r="S157" i="15"/>
  <c r="M158" i="15"/>
  <c r="Q158" i="15"/>
  <c r="P158" i="15" s="1"/>
  <c r="R158" i="15"/>
  <c r="S158" i="15"/>
  <c r="M159" i="15"/>
  <c r="Q159" i="15"/>
  <c r="N159" i="15" s="1"/>
  <c r="R159" i="15"/>
  <c r="S159" i="15"/>
  <c r="M160" i="15"/>
  <c r="Q160" i="15"/>
  <c r="N160" i="15" s="1"/>
  <c r="R160" i="15"/>
  <c r="S160" i="15"/>
  <c r="M161" i="15"/>
  <c r="Q161" i="15"/>
  <c r="N161" i="15" s="1"/>
  <c r="R161" i="15"/>
  <c r="S161" i="15"/>
  <c r="M162" i="15"/>
  <c r="Q162" i="15"/>
  <c r="N162" i="15" s="1"/>
  <c r="R162" i="15"/>
  <c r="S162" i="15"/>
  <c r="M163" i="15"/>
  <c r="Q163" i="15"/>
  <c r="N163" i="15" s="1"/>
  <c r="R163" i="15"/>
  <c r="S163" i="15"/>
  <c r="M164" i="15"/>
  <c r="Q164" i="15"/>
  <c r="R164" i="15"/>
  <c r="S164" i="15"/>
  <c r="M165" i="15"/>
  <c r="Q165" i="15"/>
  <c r="N165" i="15" s="1"/>
  <c r="R165" i="15"/>
  <c r="S165" i="15"/>
  <c r="M166" i="15"/>
  <c r="Q166" i="15"/>
  <c r="O166" i="15" s="1"/>
  <c r="R166" i="15"/>
  <c r="S166" i="15"/>
  <c r="M167" i="15"/>
  <c r="Q167" i="15"/>
  <c r="N167" i="15" s="1"/>
  <c r="R167" i="15"/>
  <c r="S167" i="15"/>
  <c r="M168" i="15"/>
  <c r="Q168" i="15"/>
  <c r="N168" i="15" s="1"/>
  <c r="R168" i="15"/>
  <c r="S168" i="15"/>
  <c r="M169" i="15"/>
  <c r="Q169" i="15"/>
  <c r="P169" i="15" s="1"/>
  <c r="R169" i="15"/>
  <c r="S169" i="15"/>
  <c r="M170" i="15"/>
  <c r="Q170" i="15"/>
  <c r="P170" i="15" s="1"/>
  <c r="R170" i="15"/>
  <c r="S170" i="15"/>
  <c r="M171" i="15"/>
  <c r="Q171" i="15"/>
  <c r="N171" i="15" s="1"/>
  <c r="R171" i="15"/>
  <c r="S171" i="15"/>
  <c r="M172" i="15"/>
  <c r="Q172" i="15"/>
  <c r="R172" i="15"/>
  <c r="S172" i="15"/>
  <c r="M173" i="15"/>
  <c r="Q173" i="15"/>
  <c r="N173" i="15" s="1"/>
  <c r="R173" i="15"/>
  <c r="S173" i="15"/>
  <c r="M174" i="15"/>
  <c r="Q174" i="15"/>
  <c r="O174" i="15" s="1"/>
  <c r="R174" i="15"/>
  <c r="S174" i="15"/>
  <c r="M175" i="15"/>
  <c r="Q175" i="15"/>
  <c r="N175" i="15" s="1"/>
  <c r="R175" i="15"/>
  <c r="S175" i="15"/>
  <c r="M176" i="15"/>
  <c r="Q176" i="15"/>
  <c r="N176" i="15" s="1"/>
  <c r="R176" i="15"/>
  <c r="S176" i="15"/>
  <c r="M177" i="15"/>
  <c r="Q177" i="15"/>
  <c r="N177" i="15" s="1"/>
  <c r="R177" i="15"/>
  <c r="S177" i="15"/>
  <c r="M178" i="15"/>
  <c r="Q178" i="15"/>
  <c r="N178" i="15" s="1"/>
  <c r="R178" i="15"/>
  <c r="S178" i="15"/>
  <c r="M179" i="15"/>
  <c r="Q179" i="15"/>
  <c r="N179" i="15" s="1"/>
  <c r="R179" i="15"/>
  <c r="S179" i="15"/>
  <c r="M182" i="15"/>
  <c r="Q182" i="15"/>
  <c r="N182" i="15" s="1"/>
  <c r="R182" i="15"/>
  <c r="S182" i="15"/>
  <c r="M181" i="15"/>
  <c r="Q181" i="15"/>
  <c r="R181" i="15"/>
  <c r="S181" i="15"/>
  <c r="M180" i="15"/>
  <c r="Q180" i="15"/>
  <c r="P180" i="15" s="1"/>
  <c r="R180" i="15"/>
  <c r="S180" i="15"/>
  <c r="M183" i="15"/>
  <c r="Q183" i="15"/>
  <c r="N183" i="15" s="1"/>
  <c r="R183" i="15"/>
  <c r="S183" i="15"/>
  <c r="M184" i="15"/>
  <c r="Q184" i="15"/>
  <c r="R184" i="15"/>
  <c r="S184" i="15"/>
  <c r="M185" i="15"/>
  <c r="Q185" i="15"/>
  <c r="P185" i="15" s="1"/>
  <c r="R185" i="15"/>
  <c r="S185" i="15"/>
  <c r="M186" i="15"/>
  <c r="Q186" i="15"/>
  <c r="P186" i="15" s="1"/>
  <c r="R186" i="15"/>
  <c r="S186" i="15"/>
  <c r="M187" i="15"/>
  <c r="Q187" i="15"/>
  <c r="N187" i="15" s="1"/>
  <c r="R187" i="15"/>
  <c r="S187" i="15"/>
  <c r="M188" i="15"/>
  <c r="Q188" i="15"/>
  <c r="O188" i="15" s="1"/>
  <c r="R188" i="15"/>
  <c r="S188" i="15"/>
  <c r="M189" i="15"/>
  <c r="Q189" i="15"/>
  <c r="N189" i="15" s="1"/>
  <c r="R189" i="15"/>
  <c r="S189" i="15"/>
  <c r="M190" i="15"/>
  <c r="Q190" i="15"/>
  <c r="O190" i="15" s="1"/>
  <c r="R190" i="15"/>
  <c r="S190" i="15"/>
  <c r="M191" i="15"/>
  <c r="Q191" i="15"/>
  <c r="N191" i="15" s="1"/>
  <c r="R191" i="15"/>
  <c r="S191" i="15"/>
  <c r="M192" i="15"/>
  <c r="Q192" i="15"/>
  <c r="N192" i="15" s="1"/>
  <c r="R192" i="15"/>
  <c r="S192" i="15"/>
  <c r="M193" i="15"/>
  <c r="Q193" i="15"/>
  <c r="N193" i="15" s="1"/>
  <c r="R193" i="15"/>
  <c r="S193" i="15"/>
  <c r="M194" i="15"/>
  <c r="Q194" i="15"/>
  <c r="N194" i="15" s="1"/>
  <c r="R194" i="15"/>
  <c r="S194" i="15"/>
  <c r="M195" i="15"/>
  <c r="Q195" i="15"/>
  <c r="N195" i="15" s="1"/>
  <c r="R195" i="15"/>
  <c r="S195" i="15"/>
  <c r="M196" i="15"/>
  <c r="Q196" i="15"/>
  <c r="N196" i="15" s="1"/>
  <c r="R196" i="15"/>
  <c r="S196" i="15"/>
  <c r="M197" i="15"/>
  <c r="Q197" i="15"/>
  <c r="N197" i="15" s="1"/>
  <c r="R197" i="15"/>
  <c r="S197" i="15"/>
  <c r="M198" i="15"/>
  <c r="Q198" i="15"/>
  <c r="N198" i="15" s="1"/>
  <c r="R198" i="15"/>
  <c r="S198" i="15"/>
  <c r="M199" i="15"/>
  <c r="Q199" i="15"/>
  <c r="N199" i="15" s="1"/>
  <c r="R199" i="15"/>
  <c r="S199" i="15"/>
  <c r="M200" i="15"/>
  <c r="Q200" i="15"/>
  <c r="N200" i="15" s="1"/>
  <c r="R200" i="15"/>
  <c r="S200" i="15"/>
  <c r="M201" i="15"/>
  <c r="Q201" i="15"/>
  <c r="O201" i="15" s="1"/>
  <c r="R201" i="15"/>
  <c r="S201" i="15"/>
  <c r="M202" i="15"/>
  <c r="Q202" i="15"/>
  <c r="N202" i="15" s="1"/>
  <c r="R202" i="15"/>
  <c r="S202" i="15"/>
  <c r="M203" i="15"/>
  <c r="Q203" i="15"/>
  <c r="N203" i="15" s="1"/>
  <c r="R203" i="15"/>
  <c r="S203" i="15"/>
  <c r="M204" i="15"/>
  <c r="Q204" i="15"/>
  <c r="O204" i="15" s="1"/>
  <c r="R204" i="15"/>
  <c r="S204" i="15"/>
  <c r="M205" i="15"/>
  <c r="Q205" i="15"/>
  <c r="N205" i="15" s="1"/>
  <c r="R205" i="15"/>
  <c r="S205" i="15"/>
  <c r="M206" i="15"/>
  <c r="Q206" i="15"/>
  <c r="O206" i="15" s="1"/>
  <c r="R206" i="15"/>
  <c r="S206" i="15"/>
  <c r="M207" i="15"/>
  <c r="Q207" i="15"/>
  <c r="N207" i="15" s="1"/>
  <c r="R207" i="15"/>
  <c r="S207" i="15"/>
  <c r="M208" i="15"/>
  <c r="Q208" i="15"/>
  <c r="O208" i="15" s="1"/>
  <c r="R208" i="15"/>
  <c r="S208" i="15"/>
  <c r="M209" i="15"/>
  <c r="Q209" i="15"/>
  <c r="R209" i="15"/>
  <c r="S209" i="15"/>
  <c r="M210" i="15"/>
  <c r="Q210" i="15"/>
  <c r="N210" i="15" s="1"/>
  <c r="R210" i="15"/>
  <c r="S210" i="15"/>
  <c r="M211" i="15"/>
  <c r="Q211" i="15"/>
  <c r="R211" i="15"/>
  <c r="S211" i="15"/>
  <c r="M212" i="15"/>
  <c r="Q212" i="15"/>
  <c r="R212" i="15"/>
  <c r="S212" i="15"/>
  <c r="M213" i="15"/>
  <c r="Q213" i="15"/>
  <c r="N213" i="15" s="1"/>
  <c r="R213" i="15"/>
  <c r="S213" i="15"/>
  <c r="M214" i="15"/>
  <c r="Q214" i="15"/>
  <c r="N214" i="15" s="1"/>
  <c r="R214" i="15"/>
  <c r="S214" i="15"/>
  <c r="M215" i="15"/>
  <c r="Q215" i="15"/>
  <c r="N215" i="15" s="1"/>
  <c r="R215" i="15"/>
  <c r="S215" i="15"/>
  <c r="M216" i="15"/>
  <c r="Q216" i="15"/>
  <c r="N216" i="15" s="1"/>
  <c r="R216" i="15"/>
  <c r="S216" i="15"/>
  <c r="M217" i="15"/>
  <c r="Q217" i="15"/>
  <c r="P217" i="15" s="1"/>
  <c r="R217" i="15"/>
  <c r="S217" i="15"/>
  <c r="M218" i="15"/>
  <c r="Q218" i="15"/>
  <c r="N218" i="15" s="1"/>
  <c r="R218" i="15"/>
  <c r="S218" i="15"/>
  <c r="M219" i="15"/>
  <c r="Q219" i="15"/>
  <c r="N219" i="15" s="1"/>
  <c r="R219" i="15"/>
  <c r="S219" i="15"/>
  <c r="M220" i="15"/>
  <c r="Q220" i="15"/>
  <c r="O220" i="15" s="1"/>
  <c r="R220" i="15"/>
  <c r="S220" i="15"/>
  <c r="M221" i="15"/>
  <c r="Q221" i="15"/>
  <c r="R221" i="15"/>
  <c r="S221" i="15"/>
  <c r="M222" i="15"/>
  <c r="Q222" i="15"/>
  <c r="O222" i="15" s="1"/>
  <c r="R222" i="15"/>
  <c r="S222" i="15"/>
  <c r="M226" i="15"/>
  <c r="Q226" i="15"/>
  <c r="N226" i="15" s="1"/>
  <c r="R226" i="15"/>
  <c r="S226" i="15"/>
  <c r="M227" i="15"/>
  <c r="Q227" i="15"/>
  <c r="O227" i="15" s="1"/>
  <c r="R227" i="15"/>
  <c r="S227" i="15"/>
  <c r="M228" i="15"/>
  <c r="Q228" i="15"/>
  <c r="R228" i="15"/>
  <c r="S228" i="15"/>
  <c r="M229" i="15"/>
  <c r="Q229" i="15"/>
  <c r="N229" i="15" s="1"/>
  <c r="R229" i="15"/>
  <c r="S229" i="15"/>
  <c r="M230" i="15"/>
  <c r="Q230" i="15"/>
  <c r="N230" i="15" s="1"/>
  <c r="R230" i="15"/>
  <c r="S230" i="15"/>
  <c r="M231" i="15"/>
  <c r="Q231" i="15"/>
  <c r="N231" i="15" s="1"/>
  <c r="R231" i="15"/>
  <c r="S231" i="15"/>
  <c r="M232" i="15"/>
  <c r="Q232" i="15"/>
  <c r="P232" i="15" s="1"/>
  <c r="R232" i="15"/>
  <c r="S232" i="15"/>
  <c r="M233" i="15"/>
  <c r="Q233" i="15"/>
  <c r="R233" i="15"/>
  <c r="S233" i="15"/>
  <c r="M234" i="15"/>
  <c r="Q234" i="15"/>
  <c r="N234" i="15" s="1"/>
  <c r="R234" i="15"/>
  <c r="S234" i="15"/>
  <c r="M235" i="15"/>
  <c r="Q235" i="15"/>
  <c r="P235" i="15" s="1"/>
  <c r="R235" i="15"/>
  <c r="S235" i="15"/>
  <c r="M236" i="15"/>
  <c r="Q236" i="15"/>
  <c r="R236" i="15"/>
  <c r="S236" i="15"/>
  <c r="M237" i="15"/>
  <c r="Q237" i="15"/>
  <c r="P237" i="15" s="1"/>
  <c r="R237" i="15"/>
  <c r="S237" i="15"/>
  <c r="M238" i="15"/>
  <c r="Q238" i="15"/>
  <c r="O238" i="15" s="1"/>
  <c r="R238" i="15"/>
  <c r="S238" i="15"/>
  <c r="M239" i="15"/>
  <c r="Q239" i="15"/>
  <c r="N239" i="15" s="1"/>
  <c r="R239" i="15"/>
  <c r="S239" i="15"/>
  <c r="M240" i="15"/>
  <c r="Q240" i="15"/>
  <c r="P240" i="15" s="1"/>
  <c r="R240" i="15"/>
  <c r="S240" i="15"/>
  <c r="M241" i="15"/>
  <c r="Q241" i="15"/>
  <c r="R241" i="15"/>
  <c r="S241" i="15"/>
  <c r="M242" i="15"/>
  <c r="Q242" i="15"/>
  <c r="N242" i="15" s="1"/>
  <c r="R242" i="15"/>
  <c r="S242" i="15"/>
  <c r="M243" i="15"/>
  <c r="Q243" i="15"/>
  <c r="O243" i="15" s="1"/>
  <c r="R243" i="15"/>
  <c r="S243" i="15"/>
  <c r="M244" i="15"/>
  <c r="Q244" i="15"/>
  <c r="R244" i="15"/>
  <c r="S244" i="15"/>
  <c r="M245" i="15"/>
  <c r="Q245" i="15"/>
  <c r="N245" i="15" s="1"/>
  <c r="R245" i="15"/>
  <c r="S245" i="15"/>
  <c r="M246" i="15"/>
  <c r="Q246" i="15"/>
  <c r="N246" i="15" s="1"/>
  <c r="R246" i="15"/>
  <c r="S246" i="15"/>
  <c r="M247" i="15"/>
  <c r="Q247" i="15"/>
  <c r="N247" i="15" s="1"/>
  <c r="R247" i="15"/>
  <c r="S247" i="15"/>
  <c r="M248" i="15"/>
  <c r="Q248" i="15"/>
  <c r="R248" i="15"/>
  <c r="S248" i="15"/>
  <c r="M249" i="15"/>
  <c r="Q249" i="15"/>
  <c r="P249" i="15" s="1"/>
  <c r="R249" i="15"/>
  <c r="S249" i="15"/>
  <c r="M250" i="15"/>
  <c r="Q250" i="15"/>
  <c r="N250" i="15" s="1"/>
  <c r="R250" i="15"/>
  <c r="S250" i="15"/>
  <c r="M251" i="15"/>
  <c r="Q251" i="15"/>
  <c r="N251" i="15" s="1"/>
  <c r="R251" i="15"/>
  <c r="S251" i="15"/>
  <c r="M252" i="15"/>
  <c r="Q252" i="15"/>
  <c r="R252" i="15"/>
  <c r="S252" i="15"/>
  <c r="M253" i="15"/>
  <c r="Q253" i="15"/>
  <c r="R253" i="15"/>
  <c r="S253" i="15"/>
  <c r="M254" i="15"/>
  <c r="Q254" i="15"/>
  <c r="R254" i="15"/>
  <c r="S254" i="15"/>
  <c r="M255" i="15"/>
  <c r="Q255" i="15"/>
  <c r="R255" i="15"/>
  <c r="S255" i="15"/>
  <c r="M256" i="15"/>
  <c r="Q256" i="15"/>
  <c r="N256" i="15" s="1"/>
  <c r="R256" i="15"/>
  <c r="S256" i="15"/>
  <c r="M257" i="15"/>
  <c r="Q257" i="15"/>
  <c r="R257" i="15"/>
  <c r="S257" i="15"/>
  <c r="M258" i="15"/>
  <c r="Q258" i="15"/>
  <c r="N258" i="15" s="1"/>
  <c r="R258" i="15"/>
  <c r="S258" i="15"/>
  <c r="M259" i="15"/>
  <c r="Q259" i="15"/>
  <c r="O259" i="15" s="1"/>
  <c r="R259" i="15"/>
  <c r="S259" i="15"/>
  <c r="M260" i="15"/>
  <c r="Q260" i="15"/>
  <c r="R260" i="15"/>
  <c r="S260" i="15"/>
  <c r="M261" i="15"/>
  <c r="Q261" i="15"/>
  <c r="N261" i="15" s="1"/>
  <c r="R261" i="15"/>
  <c r="S261" i="15"/>
  <c r="M262" i="15"/>
  <c r="Q262" i="15"/>
  <c r="P262" i="15" s="1"/>
  <c r="R262" i="15"/>
  <c r="S262" i="15"/>
  <c r="M263" i="15"/>
  <c r="Q263" i="15"/>
  <c r="N263" i="15" s="1"/>
  <c r="R263" i="15"/>
  <c r="S263" i="15"/>
  <c r="M264" i="15"/>
  <c r="Q264" i="15"/>
  <c r="N264" i="15" s="1"/>
  <c r="R264" i="15"/>
  <c r="S264" i="15"/>
  <c r="M265" i="15"/>
  <c r="Q265" i="15"/>
  <c r="R265" i="15"/>
  <c r="S265" i="15"/>
  <c r="M266" i="15"/>
  <c r="Q266" i="15"/>
  <c r="N266" i="15" s="1"/>
  <c r="R266" i="15"/>
  <c r="S266" i="15"/>
  <c r="M267" i="15"/>
  <c r="Q267" i="15"/>
  <c r="P267" i="15" s="1"/>
  <c r="R267" i="15"/>
  <c r="S267" i="15"/>
  <c r="M268" i="15"/>
  <c r="Q268" i="15"/>
  <c r="R268" i="15"/>
  <c r="S268" i="15"/>
  <c r="M269" i="15"/>
  <c r="Q269" i="15"/>
  <c r="N269" i="15" s="1"/>
  <c r="R269" i="15"/>
  <c r="S269" i="15"/>
  <c r="M270" i="15"/>
  <c r="Q270" i="15"/>
  <c r="O270" i="15" s="1"/>
  <c r="R270" i="15"/>
  <c r="S270" i="15"/>
  <c r="M271" i="15"/>
  <c r="Q271" i="15"/>
  <c r="R271" i="15"/>
  <c r="S271" i="15"/>
  <c r="M272" i="15"/>
  <c r="Q272" i="15"/>
  <c r="N272" i="15" s="1"/>
  <c r="R272" i="15"/>
  <c r="S272" i="15"/>
  <c r="M273" i="15"/>
  <c r="Q273" i="15"/>
  <c r="R273" i="15"/>
  <c r="S273" i="15"/>
  <c r="M274" i="15"/>
  <c r="Q274" i="15"/>
  <c r="N274" i="15" s="1"/>
  <c r="R274" i="15"/>
  <c r="S274" i="15"/>
  <c r="M275" i="15"/>
  <c r="Q275" i="15"/>
  <c r="O275" i="15" s="1"/>
  <c r="R275" i="15"/>
  <c r="S275" i="15"/>
  <c r="M276" i="15"/>
  <c r="Q276" i="15"/>
  <c r="R276" i="15"/>
  <c r="S276" i="15"/>
  <c r="M277" i="15"/>
  <c r="Q277" i="15"/>
  <c r="O277" i="15" s="1"/>
  <c r="R277" i="15"/>
  <c r="S277" i="15"/>
  <c r="M278" i="15"/>
  <c r="Q278" i="15"/>
  <c r="O278" i="15" s="1"/>
  <c r="R278" i="15"/>
  <c r="S278" i="15"/>
  <c r="M279" i="15"/>
  <c r="Q279" i="15"/>
  <c r="N279" i="15" s="1"/>
  <c r="R279" i="15"/>
  <c r="S279" i="15"/>
  <c r="M280" i="15"/>
  <c r="Q280" i="15"/>
  <c r="N280" i="15" s="1"/>
  <c r="R280" i="15"/>
  <c r="S280" i="15"/>
  <c r="M281" i="15"/>
  <c r="Q281" i="15"/>
  <c r="P281" i="15" s="1"/>
  <c r="R281" i="15"/>
  <c r="S281" i="15"/>
  <c r="M282" i="15"/>
  <c r="Q282" i="15"/>
  <c r="N282" i="15" s="1"/>
  <c r="R282" i="15"/>
  <c r="S282" i="15"/>
  <c r="M283" i="15"/>
  <c r="Q283" i="15"/>
  <c r="O283" i="15" s="1"/>
  <c r="R283" i="15"/>
  <c r="S283" i="15"/>
  <c r="M284" i="15"/>
  <c r="Q284" i="15"/>
  <c r="R284" i="15"/>
  <c r="S284" i="15"/>
  <c r="M285" i="15"/>
  <c r="Q285" i="15"/>
  <c r="N285" i="15" s="1"/>
  <c r="R285" i="15"/>
  <c r="S285" i="15"/>
  <c r="M286" i="15"/>
  <c r="Q286" i="15"/>
  <c r="O286" i="15" s="1"/>
  <c r="R286" i="15"/>
  <c r="S286" i="15"/>
  <c r="M287" i="15"/>
  <c r="Q287" i="15"/>
  <c r="R287" i="15"/>
  <c r="S287" i="15"/>
  <c r="M288" i="15"/>
  <c r="Q288" i="15"/>
  <c r="O288" i="15" s="1"/>
  <c r="R288" i="15"/>
  <c r="S288" i="15"/>
  <c r="M289" i="15"/>
  <c r="Q289" i="15"/>
  <c r="R289" i="15"/>
  <c r="S289" i="15"/>
  <c r="M290" i="15"/>
  <c r="Q290" i="15"/>
  <c r="N290" i="15" s="1"/>
  <c r="R290" i="15"/>
  <c r="S290" i="15"/>
  <c r="M291" i="15"/>
  <c r="Q291" i="15"/>
  <c r="R291" i="15"/>
  <c r="S291" i="15"/>
  <c r="M292" i="15"/>
  <c r="Q292" i="15"/>
  <c r="P292" i="15" s="1"/>
  <c r="R292" i="15"/>
  <c r="S292" i="15"/>
  <c r="M293" i="15"/>
  <c r="Q293" i="15"/>
  <c r="N293" i="15" s="1"/>
  <c r="R293" i="15"/>
  <c r="S293" i="15"/>
  <c r="M294" i="15"/>
  <c r="Q294" i="15"/>
  <c r="O294" i="15" s="1"/>
  <c r="R294" i="15"/>
  <c r="S294" i="15"/>
  <c r="M295" i="15"/>
  <c r="Q295" i="15"/>
  <c r="N295" i="15" s="1"/>
  <c r="R295" i="15"/>
  <c r="S295" i="15"/>
  <c r="M296" i="15"/>
  <c r="Q296" i="15"/>
  <c r="R296" i="15"/>
  <c r="S296" i="15"/>
  <c r="M297" i="15"/>
  <c r="Q297" i="15"/>
  <c r="P297" i="15" s="1"/>
  <c r="R297" i="15"/>
  <c r="S297" i="15"/>
  <c r="M298" i="15"/>
  <c r="Q298" i="15"/>
  <c r="N298" i="15" s="1"/>
  <c r="R298" i="15"/>
  <c r="S298" i="15"/>
  <c r="M299" i="15"/>
  <c r="Q299" i="15"/>
  <c r="N299" i="15" s="1"/>
  <c r="R299" i="15"/>
  <c r="S299" i="15"/>
  <c r="M300" i="15"/>
  <c r="Q300" i="15"/>
  <c r="N300" i="15" s="1"/>
  <c r="R300" i="15"/>
  <c r="S300" i="15"/>
  <c r="M301" i="15"/>
  <c r="Q301" i="15"/>
  <c r="N301" i="15" s="1"/>
  <c r="R301" i="15"/>
  <c r="S301" i="15"/>
  <c r="M302" i="15"/>
  <c r="Q302" i="15"/>
  <c r="O302" i="15" s="1"/>
  <c r="R302" i="15"/>
  <c r="S302" i="15"/>
  <c r="M303" i="15"/>
  <c r="Q303" i="15"/>
  <c r="R303" i="15"/>
  <c r="S303" i="15"/>
  <c r="M304" i="15"/>
  <c r="Q304" i="15"/>
  <c r="N304" i="15" s="1"/>
  <c r="R304" i="15"/>
  <c r="S304" i="15"/>
  <c r="M305" i="15"/>
  <c r="Q305" i="15"/>
  <c r="R305" i="15"/>
  <c r="S305" i="15"/>
  <c r="M306" i="15"/>
  <c r="Q306" i="15"/>
  <c r="N306" i="15" s="1"/>
  <c r="R306" i="15"/>
  <c r="S306" i="15"/>
  <c r="M307" i="15"/>
  <c r="Q307" i="15"/>
  <c r="R307" i="15"/>
  <c r="S307" i="15"/>
  <c r="M308" i="15"/>
  <c r="Q308" i="15"/>
  <c r="P308" i="15" s="1"/>
  <c r="R308" i="15"/>
  <c r="S308" i="15"/>
  <c r="M309" i="15"/>
  <c r="Q309" i="15"/>
  <c r="N309" i="15" s="1"/>
  <c r="R309" i="15"/>
  <c r="S309" i="15"/>
  <c r="M310" i="15"/>
  <c r="Q310" i="15"/>
  <c r="N310" i="15" s="1"/>
  <c r="R310" i="15"/>
  <c r="S310" i="15"/>
  <c r="M311" i="15"/>
  <c r="Q311" i="15"/>
  <c r="N311" i="15" s="1"/>
  <c r="R311" i="15"/>
  <c r="S311" i="15"/>
  <c r="M312" i="15"/>
  <c r="Q312" i="15"/>
  <c r="N312" i="15" s="1"/>
  <c r="R312" i="15"/>
  <c r="S312" i="15"/>
  <c r="M313" i="15"/>
  <c r="Q313" i="15"/>
  <c r="R313" i="15"/>
  <c r="S313" i="15"/>
  <c r="M314" i="15"/>
  <c r="Q314" i="15"/>
  <c r="N314" i="15" s="1"/>
  <c r="R314" i="15"/>
  <c r="S314" i="15"/>
  <c r="M315" i="15"/>
  <c r="Q315" i="15"/>
  <c r="N315" i="15" s="1"/>
  <c r="R315" i="15"/>
  <c r="S315" i="15"/>
  <c r="M316" i="15"/>
  <c r="Q316" i="15"/>
  <c r="N316" i="15" s="1"/>
  <c r="R316" i="15"/>
  <c r="S316" i="15"/>
  <c r="M317" i="15"/>
  <c r="Q317" i="15"/>
  <c r="O317" i="15" s="1"/>
  <c r="R317" i="15"/>
  <c r="S317" i="15"/>
  <c r="M318" i="15"/>
  <c r="Q318" i="15"/>
  <c r="O318" i="15" s="1"/>
  <c r="R318" i="15"/>
  <c r="S318" i="15"/>
  <c r="M319" i="15"/>
  <c r="Q319" i="15"/>
  <c r="R319" i="15"/>
  <c r="S319" i="15"/>
  <c r="M320" i="15"/>
  <c r="Q320" i="15"/>
  <c r="N320" i="15" s="1"/>
  <c r="R320" i="15"/>
  <c r="S320" i="15"/>
  <c r="M321" i="15"/>
  <c r="Q321" i="15"/>
  <c r="R321" i="15"/>
  <c r="S321" i="15"/>
  <c r="M322" i="15"/>
  <c r="Q322" i="15"/>
  <c r="N322" i="15" s="1"/>
  <c r="R322" i="15"/>
  <c r="S322" i="15"/>
  <c r="M323" i="15"/>
  <c r="Q323" i="15"/>
  <c r="R323" i="15"/>
  <c r="S323" i="15"/>
  <c r="M324" i="15"/>
  <c r="Q324" i="15"/>
  <c r="P324" i="15" s="1"/>
  <c r="R324" i="15"/>
  <c r="S324" i="15"/>
  <c r="M325" i="15"/>
  <c r="Q325" i="15"/>
  <c r="N325" i="15" s="1"/>
  <c r="R325" i="15"/>
  <c r="S325" i="15"/>
  <c r="M326" i="15"/>
  <c r="Q326" i="15"/>
  <c r="O326" i="15" s="1"/>
  <c r="R326" i="15"/>
  <c r="S326" i="15"/>
  <c r="M327" i="15"/>
  <c r="Q327" i="15"/>
  <c r="N327" i="15" s="1"/>
  <c r="R327" i="15"/>
  <c r="S327" i="15"/>
  <c r="M328" i="15"/>
  <c r="Q328" i="15"/>
  <c r="N328" i="15" s="1"/>
  <c r="R328" i="15"/>
  <c r="S328" i="15"/>
  <c r="M329" i="15"/>
  <c r="Q329" i="15"/>
  <c r="P329" i="15" s="1"/>
  <c r="R329" i="15"/>
  <c r="S329" i="15"/>
  <c r="M330" i="15"/>
  <c r="Q330" i="15"/>
  <c r="N330" i="15" s="1"/>
  <c r="R330" i="15"/>
  <c r="S330" i="15"/>
  <c r="M331" i="15"/>
  <c r="Q331" i="15"/>
  <c r="O331" i="15" s="1"/>
  <c r="R331" i="15"/>
  <c r="S331" i="15"/>
  <c r="M332" i="15"/>
  <c r="Q332" i="15"/>
  <c r="R332" i="15"/>
  <c r="S332" i="15"/>
  <c r="M333" i="15"/>
  <c r="Q333" i="15"/>
  <c r="N333" i="15" s="1"/>
  <c r="R333" i="15"/>
  <c r="S333" i="15"/>
  <c r="M334" i="15"/>
  <c r="Q334" i="15"/>
  <c r="O334" i="15" s="1"/>
  <c r="R334" i="15"/>
  <c r="S334" i="15"/>
  <c r="M335" i="15"/>
  <c r="Q335" i="15"/>
  <c r="R335" i="15"/>
  <c r="S335" i="15"/>
  <c r="M336" i="15"/>
  <c r="Q336" i="15"/>
  <c r="N336" i="15" s="1"/>
  <c r="R336" i="15"/>
  <c r="S336" i="15"/>
  <c r="M337" i="15"/>
  <c r="Q337" i="15"/>
  <c r="R337" i="15"/>
  <c r="S337" i="15"/>
  <c r="M338" i="15"/>
  <c r="Q338" i="15"/>
  <c r="N338" i="15" s="1"/>
  <c r="R338" i="15"/>
  <c r="S338" i="15"/>
  <c r="M339" i="15"/>
  <c r="Q339" i="15"/>
  <c r="R339" i="15"/>
  <c r="S339" i="15"/>
  <c r="M340" i="15"/>
  <c r="Q340" i="15"/>
  <c r="P340" i="15" s="1"/>
  <c r="R340" i="15"/>
  <c r="S340" i="15"/>
  <c r="M341" i="15"/>
  <c r="Q341" i="15"/>
  <c r="N341" i="15" s="1"/>
  <c r="R341" i="15"/>
  <c r="S341" i="15"/>
  <c r="M342" i="15"/>
  <c r="Q342" i="15"/>
  <c r="N342" i="15" s="1"/>
  <c r="R342" i="15"/>
  <c r="S342" i="15"/>
  <c r="M343" i="15"/>
  <c r="Q343" i="15"/>
  <c r="N343" i="15" s="1"/>
  <c r="R343" i="15"/>
  <c r="S343" i="15"/>
  <c r="M344" i="15"/>
  <c r="Q344" i="15"/>
  <c r="O344" i="15" s="1"/>
  <c r="R344" i="15"/>
  <c r="S344" i="15"/>
  <c r="M345" i="15"/>
  <c r="Q345" i="15"/>
  <c r="P345" i="15" s="1"/>
  <c r="R345" i="15"/>
  <c r="S345" i="15"/>
  <c r="M346" i="15"/>
  <c r="Q346" i="15"/>
  <c r="N346" i="15" s="1"/>
  <c r="R346" i="15"/>
  <c r="S346" i="15"/>
  <c r="M347" i="15"/>
  <c r="Q347" i="15"/>
  <c r="O347" i="15" s="1"/>
  <c r="R347" i="15"/>
  <c r="S347" i="15"/>
  <c r="M348" i="15"/>
  <c r="Q348" i="15"/>
  <c r="R348" i="15"/>
  <c r="S348" i="15"/>
  <c r="M349" i="15"/>
  <c r="Q349" i="15"/>
  <c r="N349" i="15" s="1"/>
  <c r="R349" i="15"/>
  <c r="S349" i="15"/>
  <c r="M350" i="15"/>
  <c r="Q350" i="15"/>
  <c r="O350" i="15" s="1"/>
  <c r="R350" i="15"/>
  <c r="S350" i="15"/>
  <c r="M351" i="15"/>
  <c r="Q351" i="15"/>
  <c r="P351" i="15" s="1"/>
  <c r="R351" i="15"/>
  <c r="S351" i="15"/>
  <c r="M352" i="15"/>
  <c r="Q352" i="15"/>
  <c r="N352" i="15" s="1"/>
  <c r="R352" i="15"/>
  <c r="S352" i="15"/>
  <c r="M353" i="15"/>
  <c r="Q353" i="15"/>
  <c r="R353" i="15"/>
  <c r="S353" i="15"/>
  <c r="M354" i="15"/>
  <c r="Q354" i="15"/>
  <c r="N354" i="15" s="1"/>
  <c r="R354" i="15"/>
  <c r="S354" i="15"/>
  <c r="M355" i="15"/>
  <c r="Q355" i="15"/>
  <c r="R355" i="15"/>
  <c r="S355" i="15"/>
  <c r="M356" i="15"/>
  <c r="Q356" i="15"/>
  <c r="P356" i="15" s="1"/>
  <c r="R356" i="15"/>
  <c r="S356" i="15"/>
  <c r="M357" i="15"/>
  <c r="Q357" i="15"/>
  <c r="N357" i="15" s="1"/>
  <c r="R357" i="15"/>
  <c r="S357" i="15"/>
  <c r="M358" i="15"/>
  <c r="Q358" i="15"/>
  <c r="P358" i="15" s="1"/>
  <c r="R358" i="15"/>
  <c r="S358" i="15"/>
  <c r="M359" i="15"/>
  <c r="Q359" i="15"/>
  <c r="N359" i="15" s="1"/>
  <c r="R359" i="15"/>
  <c r="S359" i="15"/>
  <c r="M360" i="15"/>
  <c r="Q360" i="15"/>
  <c r="O360" i="15" s="1"/>
  <c r="R360" i="15"/>
  <c r="S360" i="15"/>
  <c r="M361" i="15"/>
  <c r="Q361" i="15"/>
  <c r="P361" i="15" s="1"/>
  <c r="R361" i="15"/>
  <c r="S361" i="15"/>
  <c r="M362" i="15"/>
  <c r="Q362" i="15"/>
  <c r="N362" i="15" s="1"/>
  <c r="R362" i="15"/>
  <c r="S362" i="15"/>
  <c r="M363" i="15"/>
  <c r="Q363" i="15"/>
  <c r="N363" i="15" s="1"/>
  <c r="R363" i="15"/>
  <c r="S363" i="15"/>
  <c r="M364" i="15"/>
  <c r="Q364" i="15"/>
  <c r="R364" i="15"/>
  <c r="S364" i="15"/>
  <c r="M365" i="15"/>
  <c r="Q365" i="15"/>
  <c r="O365" i="15" s="1"/>
  <c r="R365" i="15"/>
  <c r="S365" i="15"/>
  <c r="M366" i="15"/>
  <c r="Q366" i="15"/>
  <c r="O366" i="15" s="1"/>
  <c r="R366" i="15"/>
  <c r="S366" i="15"/>
  <c r="M367" i="15"/>
  <c r="Q367" i="15"/>
  <c r="P367" i="15" s="1"/>
  <c r="R367" i="15"/>
  <c r="S367" i="15"/>
  <c r="M368" i="15"/>
  <c r="Q368" i="15"/>
  <c r="N368" i="15" s="1"/>
  <c r="R368" i="15"/>
  <c r="S368" i="15"/>
  <c r="M369" i="15"/>
  <c r="Q369" i="15"/>
  <c r="R369" i="15"/>
  <c r="S369" i="15"/>
  <c r="M370" i="15"/>
  <c r="Q370" i="15"/>
  <c r="N370" i="15" s="1"/>
  <c r="R370" i="15"/>
  <c r="S370" i="15"/>
  <c r="M371" i="15"/>
  <c r="Q371" i="15"/>
  <c r="P371" i="15" s="1"/>
  <c r="R371" i="15"/>
  <c r="S371" i="15"/>
  <c r="M372" i="15"/>
  <c r="Q372" i="15"/>
  <c r="P372" i="15" s="1"/>
  <c r="R372" i="15"/>
  <c r="S372" i="15"/>
  <c r="M373" i="15"/>
  <c r="Q373" i="15"/>
  <c r="N373" i="15" s="1"/>
  <c r="R373" i="15"/>
  <c r="S373" i="15"/>
  <c r="M374" i="15"/>
  <c r="Q374" i="15"/>
  <c r="N374" i="15" s="1"/>
  <c r="R374" i="15"/>
  <c r="S374" i="15"/>
  <c r="M375" i="15"/>
  <c r="Q375" i="15"/>
  <c r="N375" i="15" s="1"/>
  <c r="R375" i="15"/>
  <c r="S375" i="15"/>
  <c r="M376" i="15"/>
  <c r="Q376" i="15"/>
  <c r="N376" i="15" s="1"/>
  <c r="R376" i="15"/>
  <c r="S376" i="15"/>
  <c r="M377" i="15"/>
  <c r="Q377" i="15"/>
  <c r="P377" i="15" s="1"/>
  <c r="R377" i="15"/>
  <c r="S377" i="15"/>
  <c r="M378" i="15"/>
  <c r="Q378" i="15"/>
  <c r="N378" i="15" s="1"/>
  <c r="R378" i="15"/>
  <c r="S378" i="15"/>
  <c r="M379" i="15"/>
  <c r="Q379" i="15"/>
  <c r="O379" i="15" s="1"/>
  <c r="R379" i="15"/>
  <c r="S379" i="15"/>
  <c r="M380" i="15"/>
  <c r="Q380" i="15"/>
  <c r="N380" i="15" s="1"/>
  <c r="R380" i="15"/>
  <c r="S380" i="15"/>
  <c r="M381" i="15"/>
  <c r="Q381" i="15"/>
  <c r="N381" i="15" s="1"/>
  <c r="R381" i="15"/>
  <c r="S381" i="15"/>
  <c r="M382" i="15"/>
  <c r="Q382" i="15"/>
  <c r="O382" i="15" s="1"/>
  <c r="R382" i="15"/>
  <c r="S382" i="15"/>
  <c r="M383" i="15"/>
  <c r="Q383" i="15"/>
  <c r="P383" i="15" s="1"/>
  <c r="R383" i="15"/>
  <c r="S383" i="15"/>
  <c r="M384" i="15"/>
  <c r="Q384" i="15"/>
  <c r="O384" i="15" s="1"/>
  <c r="R384" i="15"/>
  <c r="S384" i="15"/>
  <c r="M385" i="15"/>
  <c r="Q385" i="15"/>
  <c r="R385" i="15"/>
  <c r="S385" i="15"/>
  <c r="M386" i="15"/>
  <c r="Q386" i="15"/>
  <c r="N386" i="15" s="1"/>
  <c r="R386" i="15"/>
  <c r="S386" i="15"/>
  <c r="P155" i="9" l="1"/>
  <c r="P135" i="9"/>
  <c r="P153" i="9"/>
  <c r="P108" i="9"/>
  <c r="AL407" i="9"/>
  <c r="Q85" i="9"/>
  <c r="P85" i="9" s="1"/>
  <c r="P42" i="9"/>
  <c r="P54" i="9"/>
  <c r="P74" i="9"/>
  <c r="P41" i="9"/>
  <c r="P27" i="9"/>
  <c r="P351" i="9"/>
  <c r="P31" i="9"/>
  <c r="P40" i="9"/>
  <c r="P24" i="9"/>
  <c r="P32" i="9"/>
  <c r="Q399" i="9"/>
  <c r="P231" i="9"/>
  <c r="P38" i="9"/>
  <c r="P34" i="9"/>
  <c r="P33" i="9"/>
  <c r="P35" i="9"/>
  <c r="P39" i="9"/>
  <c r="P37" i="9"/>
  <c r="P353" i="9"/>
  <c r="Q165" i="9"/>
  <c r="P165" i="9" s="1"/>
  <c r="AL406" i="9"/>
  <c r="O62" i="15"/>
  <c r="P4" i="15"/>
  <c r="N208" i="15"/>
  <c r="N365" i="15"/>
  <c r="N294" i="15"/>
  <c r="P139" i="15"/>
  <c r="P192" i="15"/>
  <c r="O119" i="15"/>
  <c r="P71" i="15"/>
  <c r="N347" i="15"/>
  <c r="N331" i="15"/>
  <c r="N240" i="15"/>
  <c r="N94" i="15"/>
  <c r="N152" i="15"/>
  <c r="O246" i="15"/>
  <c r="P203" i="15"/>
  <c r="P135" i="15"/>
  <c r="O135" i="15"/>
  <c r="P72" i="15"/>
  <c r="O123" i="15"/>
  <c r="O301" i="15"/>
  <c r="P199" i="15"/>
  <c r="O73" i="15"/>
  <c r="N73" i="15"/>
  <c r="P66" i="15"/>
  <c r="P194" i="15"/>
  <c r="P264" i="15"/>
  <c r="N10" i="15"/>
  <c r="N72" i="15"/>
  <c r="O333" i="15"/>
  <c r="N78" i="15"/>
  <c r="P312" i="15"/>
  <c r="O297" i="15"/>
  <c r="P278" i="15"/>
  <c r="P160" i="15"/>
  <c r="P50" i="15"/>
  <c r="O122" i="15"/>
  <c r="N30" i="15"/>
  <c r="N384" i="15"/>
  <c r="O361" i="15"/>
  <c r="P171" i="15"/>
  <c r="P349" i="15"/>
  <c r="O281" i="15"/>
  <c r="N227" i="15"/>
  <c r="N186" i="15"/>
  <c r="O171" i="15"/>
  <c r="P208" i="15"/>
  <c r="N151" i="15"/>
  <c r="O110" i="15"/>
  <c r="N14" i="15"/>
  <c r="N329" i="15"/>
  <c r="N318" i="15"/>
  <c r="O78" i="15"/>
  <c r="P226" i="15"/>
  <c r="O185" i="15"/>
  <c r="O310" i="15"/>
  <c r="N185" i="15"/>
  <c r="N283" i="15"/>
  <c r="O264" i="15"/>
  <c r="O214" i="15"/>
  <c r="N120" i="15"/>
  <c r="P210" i="15"/>
  <c r="P143" i="15"/>
  <c r="P20" i="15"/>
  <c r="O377" i="15"/>
  <c r="P328" i="15"/>
  <c r="N123" i="15"/>
  <c r="O328" i="15"/>
  <c r="O240" i="15"/>
  <c r="P100" i="15"/>
  <c r="N12" i="15"/>
  <c r="O23" i="15"/>
  <c r="P347" i="15"/>
  <c r="P344" i="15"/>
  <c r="P317" i="15"/>
  <c r="N278" i="15"/>
  <c r="P219" i="15"/>
  <c r="P152" i="15"/>
  <c r="P138" i="15"/>
  <c r="O11" i="15"/>
  <c r="N344" i="15"/>
  <c r="P330" i="15"/>
  <c r="N317" i="15"/>
  <c r="P310" i="15"/>
  <c r="P246" i="15"/>
  <c r="O219" i="15"/>
  <c r="O138" i="15"/>
  <c r="O39" i="15"/>
  <c r="N11" i="15"/>
  <c r="P295" i="15"/>
  <c r="O261" i="15"/>
  <c r="O235" i="15"/>
  <c r="O232" i="15"/>
  <c r="P182" i="15"/>
  <c r="P102" i="15"/>
  <c r="N42" i="15"/>
  <c r="O28" i="15"/>
  <c r="P379" i="15"/>
  <c r="N379" i="15"/>
  <c r="P376" i="15"/>
  <c r="O373" i="15"/>
  <c r="N366" i="15"/>
  <c r="O363" i="15"/>
  <c r="N270" i="15"/>
  <c r="O267" i="15"/>
  <c r="N235" i="15"/>
  <c r="N232" i="15"/>
  <c r="N190" i="15"/>
  <c r="P176" i="15"/>
  <c r="N169" i="15"/>
  <c r="N166" i="15"/>
  <c r="O105" i="15"/>
  <c r="O102" i="15"/>
  <c r="N76" i="15"/>
  <c r="N70" i="15"/>
  <c r="P56" i="15"/>
  <c r="N28" i="15"/>
  <c r="N360" i="15"/>
  <c r="N382" i="15"/>
  <c r="O376" i="15"/>
  <c r="N277" i="15"/>
  <c r="N267" i="15"/>
  <c r="N238" i="15"/>
  <c r="P130" i="15"/>
  <c r="O56" i="15"/>
  <c r="O24" i="15"/>
  <c r="P343" i="15"/>
  <c r="O329" i="15"/>
  <c r="P214" i="15"/>
  <c r="P147" i="15"/>
  <c r="P112" i="15"/>
  <c r="P59" i="15"/>
  <c r="O38" i="15"/>
  <c r="N24" i="15"/>
  <c r="P373" i="15"/>
  <c r="P327" i="15"/>
  <c r="P352" i="15"/>
  <c r="O349" i="15"/>
  <c r="O312" i="15"/>
  <c r="P119" i="15"/>
  <c r="P98" i="15"/>
  <c r="N38" i="15"/>
  <c r="P6" i="15"/>
  <c r="P363" i="15"/>
  <c r="N288" i="15"/>
  <c r="O229" i="15"/>
  <c r="P359" i="15"/>
  <c r="O352" i="15"/>
  <c r="P326" i="15"/>
  <c r="P301" i="15"/>
  <c r="P294" i="15"/>
  <c r="P283" i="15"/>
  <c r="O256" i="15"/>
  <c r="P378" i="15"/>
  <c r="P368" i="15"/>
  <c r="P365" i="15"/>
  <c r="P362" i="15"/>
  <c r="N326" i="15"/>
  <c r="P269" i="15"/>
  <c r="P234" i="15"/>
  <c r="P231" i="15"/>
  <c r="O203" i="15"/>
  <c r="O180" i="15"/>
  <c r="P168" i="15"/>
  <c r="P165" i="15"/>
  <c r="N122" i="15"/>
  <c r="P101" i="15"/>
  <c r="P69" i="15"/>
  <c r="N62" i="15"/>
  <c r="P16" i="15"/>
  <c r="P384" i="15"/>
  <c r="O378" i="15"/>
  <c r="O368" i="15"/>
  <c r="P272" i="15"/>
  <c r="O269" i="15"/>
  <c r="O234" i="15"/>
  <c r="O231" i="15"/>
  <c r="N180" i="15"/>
  <c r="O168" i="15"/>
  <c r="O165" i="15"/>
  <c r="O69" i="15"/>
  <c r="N345" i="15"/>
  <c r="O342" i="15"/>
  <c r="P331" i="15"/>
  <c r="O272" i="15"/>
  <c r="P43" i="15"/>
  <c r="N40" i="15"/>
  <c r="P37" i="15"/>
  <c r="O358" i="15"/>
  <c r="N334" i="15"/>
  <c r="O262" i="15"/>
  <c r="O199" i="15"/>
  <c r="N188" i="15"/>
  <c r="N174" i="15"/>
  <c r="O150" i="15"/>
  <c r="P114" i="15"/>
  <c r="P103" i="15"/>
  <c r="N89" i="15"/>
  <c r="N74" i="15"/>
  <c r="O43" i="15"/>
  <c r="O37" i="15"/>
  <c r="O374" i="15"/>
  <c r="N358" i="15"/>
  <c r="N262" i="15"/>
  <c r="N150" i="15"/>
  <c r="O103" i="15"/>
  <c r="N57" i="15"/>
  <c r="P265" i="15"/>
  <c r="O265" i="15"/>
  <c r="N265" i="15"/>
  <c r="N184" i="15"/>
  <c r="O184" i="15"/>
  <c r="P184" i="15"/>
  <c r="O291" i="15"/>
  <c r="N291" i="15"/>
  <c r="P313" i="15"/>
  <c r="O313" i="15"/>
  <c r="N313" i="15"/>
  <c r="P296" i="15"/>
  <c r="N296" i="15"/>
  <c r="O296" i="15"/>
  <c r="P233" i="15"/>
  <c r="N233" i="15"/>
  <c r="O233" i="15"/>
  <c r="O371" i="15"/>
  <c r="P304" i="15"/>
  <c r="P299" i="15"/>
  <c r="P258" i="15"/>
  <c r="O248" i="15"/>
  <c r="P248" i="15"/>
  <c r="N155" i="15"/>
  <c r="P155" i="15"/>
  <c r="P374" i="15"/>
  <c r="P342" i="15"/>
  <c r="P333" i="15"/>
  <c r="O304" i="15"/>
  <c r="O299" i="15"/>
  <c r="P277" i="15"/>
  <c r="O258" i="15"/>
  <c r="P256" i="15"/>
  <c r="O254" i="15"/>
  <c r="N254" i="15"/>
  <c r="N248" i="15"/>
  <c r="P201" i="15"/>
  <c r="N201" i="15"/>
  <c r="O155" i="15"/>
  <c r="N21" i="15"/>
  <c r="O21" i="15"/>
  <c r="P21" i="15"/>
  <c r="N132" i="15"/>
  <c r="P132" i="15"/>
  <c r="N377" i="15"/>
  <c r="N350" i="15"/>
  <c r="O345" i="15"/>
  <c r="P311" i="15"/>
  <c r="N302" i="15"/>
  <c r="P285" i="15"/>
  <c r="P280" i="15"/>
  <c r="N275" i="15"/>
  <c r="N243" i="15"/>
  <c r="O285" i="15"/>
  <c r="O280" i="15"/>
  <c r="N221" i="15"/>
  <c r="O221" i="15"/>
  <c r="P221" i="15"/>
  <c r="P198" i="15"/>
  <c r="P336" i="15"/>
  <c r="P314" i="15"/>
  <c r="N297" i="15"/>
  <c r="P230" i="15"/>
  <c r="N206" i="15"/>
  <c r="O198" i="15"/>
  <c r="O336" i="15"/>
  <c r="O236" i="15"/>
  <c r="N236" i="15"/>
  <c r="O230" i="15"/>
  <c r="O211" i="15"/>
  <c r="N211" i="15"/>
  <c r="N164" i="15"/>
  <c r="P164" i="15"/>
  <c r="P375" i="15"/>
  <c r="P360" i="15"/>
  <c r="P288" i="15"/>
  <c r="N259" i="15"/>
  <c r="O375" i="15"/>
  <c r="N86" i="15"/>
  <c r="O86" i="15"/>
  <c r="P86" i="15"/>
  <c r="O253" i="15"/>
  <c r="P253" i="15"/>
  <c r="O172" i="15"/>
  <c r="N172" i="15"/>
  <c r="P346" i="15"/>
  <c r="P320" i="15"/>
  <c r="P315" i="15"/>
  <c r="N286" i="15"/>
  <c r="N281" i="15"/>
  <c r="N253" i="15"/>
  <c r="P251" i="15"/>
  <c r="P106" i="15"/>
  <c r="N106" i="15"/>
  <c r="O106" i="15"/>
  <c r="P381" i="15"/>
  <c r="O320" i="15"/>
  <c r="O315" i="15"/>
  <c r="P298" i="15"/>
  <c r="O251" i="15"/>
  <c r="N220" i="15"/>
  <c r="O213" i="15"/>
  <c r="N181" i="15"/>
  <c r="O181" i="15"/>
  <c r="P181" i="15"/>
  <c r="N96" i="15"/>
  <c r="P96" i="15"/>
  <c r="N361" i="15"/>
  <c r="N237" i="15"/>
  <c r="O237" i="15"/>
  <c r="O94" i="15"/>
  <c r="O89" i="15"/>
  <c r="N60" i="15"/>
  <c r="P52" i="15"/>
  <c r="O7" i="15"/>
  <c r="O144" i="15"/>
  <c r="P128" i="15"/>
  <c r="P118" i="15"/>
  <c r="P187" i="15"/>
  <c r="P167" i="15"/>
  <c r="P162" i="15"/>
  <c r="N144" i="15"/>
  <c r="O126" i="15"/>
  <c r="O121" i="15"/>
  <c r="O118" i="15"/>
  <c r="N92" i="15"/>
  <c r="P75" i="15"/>
  <c r="O55" i="15"/>
  <c r="P48" i="15"/>
  <c r="O41" i="15"/>
  <c r="O27" i="15"/>
  <c r="O187" i="15"/>
  <c r="O170" i="15"/>
  <c r="O167" i="15"/>
  <c r="P146" i="15"/>
  <c r="N126" i="15"/>
  <c r="N121" i="15"/>
  <c r="P104" i="15"/>
  <c r="O75" i="15"/>
  <c r="O46" i="15"/>
  <c r="N41" i="15"/>
  <c r="N27" i="15"/>
  <c r="N170" i="15"/>
  <c r="O158" i="15"/>
  <c r="O153" i="15"/>
  <c r="O146" i="15"/>
  <c r="N124" i="15"/>
  <c r="P107" i="15"/>
  <c r="O104" i="15"/>
  <c r="O101" i="15"/>
  <c r="P84" i="15"/>
  <c r="N58" i="15"/>
  <c r="N46" i="15"/>
  <c r="P22" i="15"/>
  <c r="P216" i="15"/>
  <c r="N204" i="15"/>
  <c r="P196" i="15"/>
  <c r="N158" i="15"/>
  <c r="N153" i="15"/>
  <c r="P148" i="15"/>
  <c r="P133" i="15"/>
  <c r="O107" i="15"/>
  <c r="P87" i="15"/>
  <c r="P82" i="15"/>
  <c r="N44" i="15"/>
  <c r="P36" i="15"/>
  <c r="P25" i="15"/>
  <c r="O22" i="15"/>
  <c r="P8" i="15"/>
  <c r="O216" i="15"/>
  <c r="N156" i="15"/>
  <c r="O148" i="15"/>
  <c r="O133" i="15"/>
  <c r="P116" i="15"/>
  <c r="O90" i="15"/>
  <c r="O87" i="15"/>
  <c r="P80" i="15"/>
  <c r="P70" i="15"/>
  <c r="P53" i="15"/>
  <c r="P32" i="15"/>
  <c r="O25" i="15"/>
  <c r="O8" i="15"/>
  <c r="N90" i="15"/>
  <c r="O53" i="15"/>
  <c r="P205" i="15"/>
  <c r="O154" i="15"/>
  <c r="O139" i="15"/>
  <c r="P149" i="15"/>
  <c r="P134" i="15"/>
  <c r="N110" i="15"/>
  <c r="N105" i="15"/>
  <c r="P88" i="15"/>
  <c r="P85" i="15"/>
  <c r="O59" i="15"/>
  <c r="P18" i="15"/>
  <c r="P9" i="15"/>
  <c r="O6" i="15"/>
  <c r="O249" i="15"/>
  <c r="N222" i="15"/>
  <c r="O217" i="15"/>
  <c r="O205" i="15"/>
  <c r="P200" i="15"/>
  <c r="P197" i="15"/>
  <c r="N154" i="15"/>
  <c r="O145" i="15"/>
  <c r="O140" i="15"/>
  <c r="O134" i="15"/>
  <c r="N108" i="15"/>
  <c r="P91" i="15"/>
  <c r="O88" i="15"/>
  <c r="O85" i="15"/>
  <c r="P68" i="15"/>
  <c r="P54" i="15"/>
  <c r="O9" i="15"/>
  <c r="N249" i="15"/>
  <c r="P242" i="15"/>
  <c r="N217" i="15"/>
  <c r="O200" i="15"/>
  <c r="O197" i="15"/>
  <c r="P183" i="15"/>
  <c r="P178" i="15"/>
  <c r="P166" i="15"/>
  <c r="N145" i="15"/>
  <c r="N140" i="15"/>
  <c r="P120" i="15"/>
  <c r="P117" i="15"/>
  <c r="O91" i="15"/>
  <c r="O54" i="15"/>
  <c r="P40" i="15"/>
  <c r="N26" i="15"/>
  <c r="O186" i="15"/>
  <c r="O183" i="15"/>
  <c r="O169" i="15"/>
  <c r="O117" i="15"/>
  <c r="O74" i="15"/>
  <c r="O71" i="15"/>
  <c r="P64" i="15"/>
  <c r="O57" i="15"/>
  <c r="O12" i="15"/>
  <c r="O348" i="15"/>
  <c r="P348" i="15"/>
  <c r="N321" i="15"/>
  <c r="O321" i="15"/>
  <c r="P321" i="15"/>
  <c r="O316" i="15"/>
  <c r="P316" i="15"/>
  <c r="N305" i="15"/>
  <c r="O305" i="15"/>
  <c r="P305" i="15"/>
  <c r="O300" i="15"/>
  <c r="P300" i="15"/>
  <c r="N289" i="15"/>
  <c r="O289" i="15"/>
  <c r="P289" i="15"/>
  <c r="O284" i="15"/>
  <c r="P284" i="15"/>
  <c r="N284" i="15"/>
  <c r="N255" i="15"/>
  <c r="O255" i="15"/>
  <c r="N244" i="15"/>
  <c r="O244" i="15"/>
  <c r="N271" i="15"/>
  <c r="O271" i="15"/>
  <c r="N260" i="15"/>
  <c r="O260" i="15"/>
  <c r="P255" i="15"/>
  <c r="P250" i="15"/>
  <c r="P247" i="15"/>
  <c r="P244" i="15"/>
  <c r="N369" i="15"/>
  <c r="O369" i="15"/>
  <c r="P369" i="15"/>
  <c r="N337" i="15"/>
  <c r="O337" i="15"/>
  <c r="P337" i="15"/>
  <c r="N372" i="15"/>
  <c r="O372" i="15"/>
  <c r="N367" i="15"/>
  <c r="O367" i="15"/>
  <c r="N351" i="15"/>
  <c r="O351" i="15"/>
  <c r="N335" i="15"/>
  <c r="O335" i="15"/>
  <c r="N319" i="15"/>
  <c r="O319" i="15"/>
  <c r="N303" i="15"/>
  <c r="O303" i="15"/>
  <c r="N287" i="15"/>
  <c r="O287" i="15"/>
  <c r="N276" i="15"/>
  <c r="O276" i="15"/>
  <c r="P271" i="15"/>
  <c r="P266" i="15"/>
  <c r="P263" i="15"/>
  <c r="P260" i="15"/>
  <c r="O250" i="15"/>
  <c r="O247" i="15"/>
  <c r="N383" i="15"/>
  <c r="O383" i="15"/>
  <c r="N356" i="15"/>
  <c r="O356" i="15"/>
  <c r="N340" i="15"/>
  <c r="O340" i="15"/>
  <c r="P335" i="15"/>
  <c r="N324" i="15"/>
  <c r="O324" i="15"/>
  <c r="P319" i="15"/>
  <c r="N308" i="15"/>
  <c r="O308" i="15"/>
  <c r="P303" i="15"/>
  <c r="N292" i="15"/>
  <c r="O292" i="15"/>
  <c r="P287" i="15"/>
  <c r="P282" i="15"/>
  <c r="P279" i="15"/>
  <c r="P276" i="15"/>
  <c r="O266" i="15"/>
  <c r="O263" i="15"/>
  <c r="N209" i="15"/>
  <c r="O209" i="15"/>
  <c r="P209" i="15"/>
  <c r="O282" i="15"/>
  <c r="O279" i="15"/>
  <c r="P386" i="15"/>
  <c r="O381" i="15"/>
  <c r="O362" i="15"/>
  <c r="O359" i="15"/>
  <c r="O346" i="15"/>
  <c r="O343" i="15"/>
  <c r="O330" i="15"/>
  <c r="O327" i="15"/>
  <c r="O314" i="15"/>
  <c r="O311" i="15"/>
  <c r="O298" i="15"/>
  <c r="O295" i="15"/>
  <c r="P274" i="15"/>
  <c r="N353" i="15"/>
  <c r="O353" i="15"/>
  <c r="P353" i="15"/>
  <c r="O332" i="15"/>
  <c r="P332" i="15"/>
  <c r="O386" i="15"/>
  <c r="P370" i="15"/>
  <c r="P354" i="15"/>
  <c r="P338" i="15"/>
  <c r="P322" i="15"/>
  <c r="P306" i="15"/>
  <c r="P290" i="15"/>
  <c r="O274" i="15"/>
  <c r="P245" i="15"/>
  <c r="O370" i="15"/>
  <c r="O354" i="15"/>
  <c r="O338" i="15"/>
  <c r="O322" i="15"/>
  <c r="O306" i="15"/>
  <c r="O290" i="15"/>
  <c r="P261" i="15"/>
  <c r="O245" i="15"/>
  <c r="P202" i="15"/>
  <c r="N212" i="15"/>
  <c r="O212" i="15"/>
  <c r="O202" i="15"/>
  <c r="N332" i="15"/>
  <c r="P357" i="15"/>
  <c r="P341" i="15"/>
  <c r="P325" i="15"/>
  <c r="P309" i="15"/>
  <c r="P293" i="15"/>
  <c r="P212" i="15"/>
  <c r="O357" i="15"/>
  <c r="O341" i="15"/>
  <c r="O325" i="15"/>
  <c r="O309" i="15"/>
  <c r="O293" i="15"/>
  <c r="N241" i="15"/>
  <c r="O241" i="15"/>
  <c r="P241" i="15"/>
  <c r="P218" i="15"/>
  <c r="P215" i="15"/>
  <c r="O364" i="15"/>
  <c r="P364" i="15"/>
  <c r="O355" i="15"/>
  <c r="P355" i="15"/>
  <c r="O339" i="15"/>
  <c r="P339" i="15"/>
  <c r="O323" i="15"/>
  <c r="P323" i="15"/>
  <c r="O307" i="15"/>
  <c r="P307" i="15"/>
  <c r="N228" i="15"/>
  <c r="O228" i="15"/>
  <c r="O218" i="15"/>
  <c r="O215" i="15"/>
  <c r="N371" i="15"/>
  <c r="N355" i="15"/>
  <c r="N339" i="15"/>
  <c r="N323" i="15"/>
  <c r="N307" i="15"/>
  <c r="N257" i="15"/>
  <c r="O257" i="15"/>
  <c r="P257" i="15"/>
  <c r="O252" i="15"/>
  <c r="P252" i="15"/>
  <c r="N252" i="15"/>
  <c r="P228" i="15"/>
  <c r="N364" i="15"/>
  <c r="N348" i="15"/>
  <c r="N385" i="15"/>
  <c r="O385" i="15"/>
  <c r="P385" i="15"/>
  <c r="O380" i="15"/>
  <c r="P380" i="15"/>
  <c r="N273" i="15"/>
  <c r="O273" i="15"/>
  <c r="P273" i="15"/>
  <c r="O268" i="15"/>
  <c r="P268" i="15"/>
  <c r="N268" i="15"/>
  <c r="P291" i="15"/>
  <c r="P275" i="15"/>
  <c r="P259" i="15"/>
  <c r="P243" i="15"/>
  <c r="P227" i="15"/>
  <c r="P211" i="15"/>
  <c r="P195" i="15"/>
  <c r="P179" i="15"/>
  <c r="P163" i="15"/>
  <c r="P142" i="15"/>
  <c r="P131" i="15"/>
  <c r="P115" i="15"/>
  <c r="P99" i="15"/>
  <c r="P83" i="15"/>
  <c r="P67" i="15"/>
  <c r="P51" i="15"/>
  <c r="P35" i="15"/>
  <c r="P19" i="15"/>
  <c r="P3" i="15"/>
  <c r="O195" i="15"/>
  <c r="O179" i="15"/>
  <c r="O163" i="15"/>
  <c r="O142" i="15"/>
  <c r="O131" i="15"/>
  <c r="O115" i="15"/>
  <c r="O99" i="15"/>
  <c r="O83" i="15"/>
  <c r="O67" i="15"/>
  <c r="O51" i="15"/>
  <c r="O35" i="15"/>
  <c r="O19" i="15"/>
  <c r="O3" i="15"/>
  <c r="O192" i="15"/>
  <c r="P189" i="15"/>
  <c r="O176" i="15"/>
  <c r="P173" i="15"/>
  <c r="O160" i="15"/>
  <c r="P157" i="15"/>
  <c r="O149" i="15"/>
  <c r="P136" i="15"/>
  <c r="O128" i="15"/>
  <c r="P125" i="15"/>
  <c r="O112" i="15"/>
  <c r="P109" i="15"/>
  <c r="O96" i="15"/>
  <c r="P93" i="15"/>
  <c r="O80" i="15"/>
  <c r="P77" i="15"/>
  <c r="O64" i="15"/>
  <c r="P61" i="15"/>
  <c r="O48" i="15"/>
  <c r="P45" i="15"/>
  <c r="O32" i="15"/>
  <c r="P29" i="15"/>
  <c r="O16" i="15"/>
  <c r="P13" i="15"/>
  <c r="O189" i="15"/>
  <c r="O173" i="15"/>
  <c r="O157" i="15"/>
  <c r="O136" i="15"/>
  <c r="O125" i="15"/>
  <c r="O109" i="15"/>
  <c r="O93" i="15"/>
  <c r="O77" i="15"/>
  <c r="O61" i="15"/>
  <c r="P58" i="15"/>
  <c r="O45" i="15"/>
  <c r="P42" i="15"/>
  <c r="O29" i="15"/>
  <c r="P26" i="15"/>
  <c r="O13" i="15"/>
  <c r="P10" i="15"/>
  <c r="P55" i="15"/>
  <c r="P39" i="15"/>
  <c r="P23" i="15"/>
  <c r="P7" i="15"/>
  <c r="O196" i="15"/>
  <c r="P193" i="15"/>
  <c r="O182" i="15"/>
  <c r="P177" i="15"/>
  <c r="O164" i="15"/>
  <c r="P161" i="15"/>
  <c r="O147" i="15"/>
  <c r="P137" i="15"/>
  <c r="O132" i="15"/>
  <c r="P129" i="15"/>
  <c r="O116" i="15"/>
  <c r="P113" i="15"/>
  <c r="O100" i="15"/>
  <c r="P97" i="15"/>
  <c r="O84" i="15"/>
  <c r="P81" i="15"/>
  <c r="O68" i="15"/>
  <c r="P65" i="15"/>
  <c r="O52" i="15"/>
  <c r="P49" i="15"/>
  <c r="O36" i="15"/>
  <c r="P33" i="15"/>
  <c r="O20" i="15"/>
  <c r="P17" i="15"/>
  <c r="O4" i="15"/>
  <c r="P382" i="15"/>
  <c r="P366" i="15"/>
  <c r="P350" i="15"/>
  <c r="P334" i="15"/>
  <c r="P318" i="15"/>
  <c r="P302" i="15"/>
  <c r="P286" i="15"/>
  <c r="P270" i="15"/>
  <c r="P254" i="15"/>
  <c r="P238" i="15"/>
  <c r="P222" i="15"/>
  <c r="P206" i="15"/>
  <c r="O193" i="15"/>
  <c r="P190" i="15"/>
  <c r="O177" i="15"/>
  <c r="P174" i="15"/>
  <c r="O161" i="15"/>
  <c r="O137" i="15"/>
  <c r="O129" i="15"/>
  <c r="O113" i="15"/>
  <c r="O97" i="15"/>
  <c r="O81" i="15"/>
  <c r="O65" i="15"/>
  <c r="O49" i="15"/>
  <c r="O33" i="15"/>
  <c r="P30" i="15"/>
  <c r="O17" i="15"/>
  <c r="P14" i="15"/>
  <c r="P229" i="15"/>
  <c r="P213" i="15"/>
  <c r="P5" i="15"/>
  <c r="P34" i="15"/>
  <c r="O5" i="15"/>
  <c r="P2" i="15"/>
  <c r="O242" i="15"/>
  <c r="P239" i="15"/>
  <c r="O226" i="15"/>
  <c r="O210" i="15"/>
  <c r="P207" i="15"/>
  <c r="O194" i="15"/>
  <c r="P191" i="15"/>
  <c r="O178" i="15"/>
  <c r="P175" i="15"/>
  <c r="O162" i="15"/>
  <c r="P159" i="15"/>
  <c r="O143" i="15"/>
  <c r="P141" i="15"/>
  <c r="O130" i="15"/>
  <c r="P127" i="15"/>
  <c r="O114" i="15"/>
  <c r="P111" i="15"/>
  <c r="O98" i="15"/>
  <c r="P95" i="15"/>
  <c r="O82" i="15"/>
  <c r="P79" i="15"/>
  <c r="O66" i="15"/>
  <c r="P63" i="15"/>
  <c r="O50" i="15"/>
  <c r="P47" i="15"/>
  <c r="O34" i="15"/>
  <c r="P31" i="15"/>
  <c r="O18" i="15"/>
  <c r="P15" i="15"/>
  <c r="O2" i="15"/>
  <c r="O239" i="15"/>
  <c r="P236" i="15"/>
  <c r="P220" i="15"/>
  <c r="O207" i="15"/>
  <c r="P204" i="15"/>
  <c r="O191" i="15"/>
  <c r="P188" i="15"/>
  <c r="O175" i="15"/>
  <c r="P172" i="15"/>
  <c r="O159" i="15"/>
  <c r="P156" i="15"/>
  <c r="O141" i="15"/>
  <c r="P151" i="15"/>
  <c r="O127" i="15"/>
  <c r="P124" i="15"/>
  <c r="O111" i="15"/>
  <c r="P108" i="15"/>
  <c r="O95" i="15"/>
  <c r="P92" i="15"/>
  <c r="O79" i="15"/>
  <c r="P76" i="15"/>
  <c r="O63" i="15"/>
  <c r="P60" i="15"/>
  <c r="O47" i="15"/>
  <c r="P44" i="15"/>
  <c r="O31" i="15"/>
  <c r="O15" i="15"/>
  <c r="AJ407" i="9" l="1"/>
  <c r="L3" i="17"/>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L1002" i="17"/>
  <c r="L1003" i="17"/>
  <c r="L1004" i="17"/>
  <c r="L1005" i="17"/>
  <c r="L1006" i="17"/>
  <c r="L1007" i="17"/>
  <c r="L1008" i="17"/>
  <c r="L1009" i="17"/>
  <c r="L1010" i="17"/>
  <c r="L1011" i="17"/>
  <c r="L1012" i="17"/>
  <c r="L1013" i="17"/>
  <c r="L1014" i="17"/>
  <c r="L1015" i="17"/>
  <c r="L1016" i="17"/>
  <c r="L1017" i="17"/>
  <c r="L1018" i="17"/>
  <c r="L1019" i="17"/>
  <c r="L1020" i="17"/>
  <c r="L1021" i="17"/>
  <c r="L1022" i="17"/>
  <c r="L1023" i="17"/>
  <c r="L1024" i="17"/>
  <c r="L1025" i="17"/>
  <c r="L1026" i="17"/>
  <c r="L1027" i="17"/>
  <c r="L1028" i="17"/>
  <c r="L1029" i="17"/>
  <c r="L1030" i="17"/>
  <c r="L1031" i="17"/>
  <c r="L1032" i="17"/>
  <c r="L1033" i="17"/>
  <c r="L1034" i="17"/>
  <c r="L1035" i="17"/>
  <c r="L1036" i="17"/>
  <c r="L1037" i="17"/>
  <c r="L1038" i="17"/>
  <c r="L1039" i="17"/>
  <c r="L1040" i="17"/>
  <c r="L1041" i="17"/>
  <c r="L1042" i="17"/>
  <c r="L1043" i="17"/>
  <c r="L1044" i="17"/>
  <c r="L1045" i="17"/>
  <c r="L1046" i="17"/>
  <c r="L1047" i="17"/>
  <c r="L1048" i="17"/>
  <c r="L1049" i="17"/>
  <c r="L1050" i="17"/>
  <c r="L1051" i="17"/>
  <c r="L1052" i="17"/>
  <c r="L1053" i="17"/>
  <c r="L1054" i="17"/>
  <c r="L1055" i="17"/>
  <c r="L2" i="17"/>
  <c r="L3" i="15"/>
  <c r="L4" i="15"/>
  <c r="L5" i="15"/>
  <c r="L6" i="15"/>
  <c r="L7" i="15"/>
  <c r="L8" i="15"/>
  <c r="L9" i="15"/>
  <c r="L10" i="15"/>
  <c r="L11" i="15"/>
  <c r="L12" i="15"/>
  <c r="L13" i="15"/>
  <c r="L14" i="15"/>
  <c r="L15" i="15"/>
  <c r="L16" i="15"/>
  <c r="L17" i="15"/>
  <c r="U17" i="15" s="1"/>
  <c r="L18" i="15"/>
  <c r="L19" i="15"/>
  <c r="L20" i="15"/>
  <c r="L21" i="15"/>
  <c r="L22" i="15"/>
  <c r="L23" i="15"/>
  <c r="L24" i="15"/>
  <c r="L25" i="15"/>
  <c r="L26" i="15"/>
  <c r="L27"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148" i="15"/>
  <c r="L140" i="15"/>
  <c r="L144" i="15"/>
  <c r="L150" i="15"/>
  <c r="L151" i="15"/>
  <c r="L136" i="15"/>
  <c r="L145" i="15"/>
  <c r="L141" i="15"/>
  <c r="L149" i="15"/>
  <c r="L137" i="15"/>
  <c r="L143" i="15"/>
  <c r="L142" i="15"/>
  <c r="L147" i="15"/>
  <c r="L138" i="15"/>
  <c r="L146" i="15"/>
  <c r="L139" i="15"/>
  <c r="L152" i="15"/>
  <c r="L153" i="15"/>
  <c r="L154" i="15"/>
  <c r="L155" i="15"/>
  <c r="L156" i="15"/>
  <c r="L157" i="15"/>
  <c r="L158" i="15"/>
  <c r="L159" i="15"/>
  <c r="L160" i="15"/>
  <c r="L161" i="15"/>
  <c r="L162" i="15"/>
  <c r="L163" i="15"/>
  <c r="L164" i="15"/>
  <c r="L165" i="15"/>
  <c r="L166" i="15"/>
  <c r="L167" i="15"/>
  <c r="L168" i="15"/>
  <c r="L169" i="15"/>
  <c r="L170" i="15"/>
  <c r="L171" i="15"/>
  <c r="L172" i="15"/>
  <c r="L173" i="15"/>
  <c r="L174" i="15"/>
  <c r="L175" i="15"/>
  <c r="L176" i="15"/>
  <c r="L177" i="15"/>
  <c r="L178" i="15"/>
  <c r="L179" i="15"/>
  <c r="L182" i="15"/>
  <c r="L181" i="15"/>
  <c r="L180" i="15"/>
  <c r="L183" i="15"/>
  <c r="L184" i="15"/>
  <c r="L185" i="15"/>
  <c r="L186" i="15"/>
  <c r="L187" i="15"/>
  <c r="L188" i="15"/>
  <c r="L189" i="15"/>
  <c r="L190" i="15"/>
  <c r="L191" i="15"/>
  <c r="L192" i="15"/>
  <c r="L193" i="15"/>
  <c r="L194" i="15"/>
  <c r="L195" i="15"/>
  <c r="L196" i="15"/>
  <c r="L197" i="15"/>
  <c r="L198" i="15"/>
  <c r="L199" i="15"/>
  <c r="L200" i="15"/>
  <c r="L201" i="15"/>
  <c r="L202" i="15"/>
  <c r="L203" i="15"/>
  <c r="L204" i="15"/>
  <c r="L205" i="15"/>
  <c r="L206" i="15"/>
  <c r="L207" i="15"/>
  <c r="L208" i="15"/>
  <c r="L209" i="15"/>
  <c r="L210" i="15"/>
  <c r="L211" i="15"/>
  <c r="L212" i="15"/>
  <c r="L213" i="15"/>
  <c r="L214" i="15"/>
  <c r="L215" i="15"/>
  <c r="L216" i="15"/>
  <c r="L217" i="15"/>
  <c r="L218" i="15"/>
  <c r="L219" i="15"/>
  <c r="L220" i="15"/>
  <c r="L221" i="15"/>
  <c r="L222" i="15"/>
  <c r="L226" i="15"/>
  <c r="L227" i="15"/>
  <c r="L228" i="15"/>
  <c r="L229" i="15"/>
  <c r="L230" i="15"/>
  <c r="L231" i="15"/>
  <c r="L232" i="15"/>
  <c r="L233" i="15"/>
  <c r="L234" i="15"/>
  <c r="L235" i="15"/>
  <c r="L236" i="15"/>
  <c r="L237" i="15"/>
  <c r="L238" i="15"/>
  <c r="L239" i="15"/>
  <c r="L240" i="15"/>
  <c r="L241" i="15"/>
  <c r="L242" i="15"/>
  <c r="L243" i="15"/>
  <c r="L244" i="15"/>
  <c r="L245" i="15"/>
  <c r="L246" i="15"/>
  <c r="L247" i="15"/>
  <c r="L248" i="15"/>
  <c r="L249" i="15"/>
  <c r="L250" i="15"/>
  <c r="L251" i="15"/>
  <c r="L252" i="15"/>
  <c r="L253" i="15"/>
  <c r="L254" i="15"/>
  <c r="L255" i="15"/>
  <c r="L256" i="15"/>
  <c r="L257" i="15"/>
  <c r="L258" i="15"/>
  <c r="L259" i="15"/>
  <c r="L260" i="15"/>
  <c r="L261" i="15"/>
  <c r="L262" i="15"/>
  <c r="L263" i="15"/>
  <c r="L264" i="15"/>
  <c r="L265" i="15"/>
  <c r="L266" i="15"/>
  <c r="L267" i="15"/>
  <c r="L268" i="15"/>
  <c r="L269" i="15"/>
  <c r="L270" i="15"/>
  <c r="L271" i="15"/>
  <c r="L272" i="15"/>
  <c r="L273" i="15"/>
  <c r="L274" i="15"/>
  <c r="L275" i="15"/>
  <c r="L276" i="15"/>
  <c r="L277" i="15"/>
  <c r="L278" i="15"/>
  <c r="L279" i="15"/>
  <c r="L280" i="15"/>
  <c r="L281" i="15"/>
  <c r="L282" i="15"/>
  <c r="L283" i="15"/>
  <c r="L284" i="15"/>
  <c r="L285" i="15"/>
  <c r="L286" i="15"/>
  <c r="L287" i="15"/>
  <c r="L288" i="15"/>
  <c r="L289" i="15"/>
  <c r="L290" i="15"/>
  <c r="L291" i="15"/>
  <c r="L292" i="15"/>
  <c r="L293" i="15"/>
  <c r="L294" i="15"/>
  <c r="L295" i="15"/>
  <c r="L296" i="15"/>
  <c r="L297" i="15"/>
  <c r="L298" i="15"/>
  <c r="L299" i="15"/>
  <c r="L300" i="15"/>
  <c r="L301" i="15"/>
  <c r="L302" i="15"/>
  <c r="L303" i="15"/>
  <c r="L304" i="15"/>
  <c r="L305" i="15"/>
  <c r="L306" i="15"/>
  <c r="L307" i="15"/>
  <c r="L308" i="15"/>
  <c r="L309" i="15"/>
  <c r="L310" i="15"/>
  <c r="L311" i="15"/>
  <c r="L312" i="15"/>
  <c r="L313" i="15"/>
  <c r="L314" i="15"/>
  <c r="L315" i="15"/>
  <c r="L316" i="15"/>
  <c r="L317" i="15"/>
  <c r="L318" i="15"/>
  <c r="L319" i="15"/>
  <c r="L320" i="15"/>
  <c r="L321" i="15"/>
  <c r="L322" i="15"/>
  <c r="L323" i="15"/>
  <c r="L324" i="15"/>
  <c r="L325" i="15"/>
  <c r="L326" i="15"/>
  <c r="L327" i="15"/>
  <c r="L328" i="15"/>
  <c r="L329" i="15"/>
  <c r="L330" i="15"/>
  <c r="L331" i="15"/>
  <c r="L332" i="15"/>
  <c r="L333" i="15"/>
  <c r="L334" i="15"/>
  <c r="L335" i="15"/>
  <c r="L336" i="15"/>
  <c r="L337" i="15"/>
  <c r="L338" i="15"/>
  <c r="L339" i="15"/>
  <c r="L340" i="15"/>
  <c r="L341" i="15"/>
  <c r="L342" i="15"/>
  <c r="L343" i="15"/>
  <c r="L344" i="15"/>
  <c r="L345" i="15"/>
  <c r="L346" i="15"/>
  <c r="L347" i="15"/>
  <c r="L348" i="15"/>
  <c r="L349" i="15"/>
  <c r="L350" i="15"/>
  <c r="L351" i="15"/>
  <c r="L352" i="15"/>
  <c r="L353" i="15"/>
  <c r="L354" i="15"/>
  <c r="L355" i="15"/>
  <c r="L356" i="15"/>
  <c r="L357" i="15"/>
  <c r="L358" i="15"/>
  <c r="L359" i="15"/>
  <c r="L360" i="15"/>
  <c r="L361" i="15"/>
  <c r="L362" i="15"/>
  <c r="L363" i="15"/>
  <c r="L364" i="15"/>
  <c r="L365" i="15"/>
  <c r="L366" i="15"/>
  <c r="L367" i="15"/>
  <c r="L368" i="15"/>
  <c r="L369" i="15"/>
  <c r="L370" i="15"/>
  <c r="L371" i="15"/>
  <c r="L372" i="15"/>
  <c r="L373" i="15"/>
  <c r="L374" i="15"/>
  <c r="L375" i="15"/>
  <c r="L376" i="15"/>
  <c r="L377" i="15"/>
  <c r="L378" i="15"/>
  <c r="L379" i="15"/>
  <c r="L380" i="15"/>
  <c r="L381" i="15"/>
  <c r="L382" i="15"/>
  <c r="L383" i="15"/>
  <c r="L384" i="15"/>
  <c r="L385" i="15"/>
  <c r="L386" i="15"/>
  <c r="L2" i="15"/>
  <c r="T287" i="15" l="1"/>
  <c r="V287" i="15"/>
  <c r="W287" i="15"/>
  <c r="U287" i="15"/>
  <c r="W15" i="15"/>
  <c r="T15" i="15"/>
  <c r="U15" i="15"/>
  <c r="V15" i="15"/>
  <c r="T238" i="15"/>
  <c r="U238" i="15"/>
  <c r="V238" i="15"/>
  <c r="W238" i="15"/>
  <c r="T14" i="15"/>
  <c r="U14" i="15"/>
  <c r="V14" i="15"/>
  <c r="W14" i="15"/>
  <c r="T381" i="15"/>
  <c r="U381" i="15"/>
  <c r="V381" i="15"/>
  <c r="W381" i="15"/>
  <c r="T365" i="15"/>
  <c r="U365" i="15"/>
  <c r="V365" i="15"/>
  <c r="W365" i="15"/>
  <c r="T349" i="15"/>
  <c r="U349" i="15"/>
  <c r="V349" i="15"/>
  <c r="W349" i="15"/>
  <c r="U333" i="15"/>
  <c r="V333" i="15"/>
  <c r="W333" i="15"/>
  <c r="T333" i="15"/>
  <c r="T317" i="15"/>
  <c r="U317" i="15"/>
  <c r="V317" i="15"/>
  <c r="W317" i="15"/>
  <c r="T301" i="15"/>
  <c r="U301" i="15"/>
  <c r="V301" i="15"/>
  <c r="W301" i="15"/>
  <c r="U285" i="15"/>
  <c r="W285" i="15"/>
  <c r="T285" i="15"/>
  <c r="V285" i="15"/>
  <c r="T269" i="15"/>
  <c r="U269" i="15"/>
  <c r="V269" i="15"/>
  <c r="W269" i="15"/>
  <c r="T253" i="15"/>
  <c r="U253" i="15"/>
  <c r="V253" i="15"/>
  <c r="W253" i="15"/>
  <c r="T237" i="15"/>
  <c r="U237" i="15"/>
  <c r="V237" i="15"/>
  <c r="W237" i="15"/>
  <c r="W221" i="15"/>
  <c r="T221" i="15"/>
  <c r="U221" i="15"/>
  <c r="V221" i="15"/>
  <c r="T205" i="15"/>
  <c r="U205" i="15"/>
  <c r="V205" i="15"/>
  <c r="W205" i="15"/>
  <c r="T189" i="15"/>
  <c r="U189" i="15"/>
  <c r="V189" i="15"/>
  <c r="W189" i="15"/>
  <c r="T173" i="15"/>
  <c r="U173" i="15"/>
  <c r="V173" i="15"/>
  <c r="W173" i="15"/>
  <c r="T157" i="15"/>
  <c r="U157" i="15"/>
  <c r="V157" i="15"/>
  <c r="W157" i="15"/>
  <c r="T136" i="15"/>
  <c r="U136" i="15"/>
  <c r="V136" i="15"/>
  <c r="W136" i="15"/>
  <c r="T125" i="15"/>
  <c r="U125" i="15"/>
  <c r="V125" i="15"/>
  <c r="W125" i="15"/>
  <c r="V109" i="15"/>
  <c r="W109" i="15"/>
  <c r="T109" i="15"/>
  <c r="U109" i="15"/>
  <c r="T93" i="15"/>
  <c r="U93" i="15"/>
  <c r="V93" i="15"/>
  <c r="W93" i="15"/>
  <c r="T77" i="15"/>
  <c r="U77" i="15"/>
  <c r="V77" i="15"/>
  <c r="W77" i="15"/>
  <c r="T61" i="15"/>
  <c r="U61" i="15"/>
  <c r="V61" i="15"/>
  <c r="W61" i="15"/>
  <c r="T45" i="15"/>
  <c r="U45" i="15"/>
  <c r="V45" i="15"/>
  <c r="W45" i="15"/>
  <c r="T29" i="15"/>
  <c r="U29" i="15"/>
  <c r="V29" i="15"/>
  <c r="W29" i="15"/>
  <c r="T13" i="15"/>
  <c r="U13" i="15"/>
  <c r="V13" i="15"/>
  <c r="W13" i="15"/>
  <c r="T207" i="15"/>
  <c r="U207" i="15"/>
  <c r="W207" i="15"/>
  <c r="V207" i="15"/>
  <c r="U126" i="15"/>
  <c r="V126" i="15"/>
  <c r="W126" i="15"/>
  <c r="T126" i="15"/>
  <c r="V380" i="15"/>
  <c r="T380" i="15"/>
  <c r="U380" i="15"/>
  <c r="W380" i="15"/>
  <c r="U364" i="15"/>
  <c r="V364" i="15"/>
  <c r="W364" i="15"/>
  <c r="T364" i="15"/>
  <c r="T348" i="15"/>
  <c r="U348" i="15"/>
  <c r="V348" i="15"/>
  <c r="W348" i="15"/>
  <c r="T332" i="15"/>
  <c r="U332" i="15"/>
  <c r="V332" i="15"/>
  <c r="W332" i="15"/>
  <c r="U316" i="15"/>
  <c r="V316" i="15"/>
  <c r="W316" i="15"/>
  <c r="T316" i="15"/>
  <c r="T300" i="15"/>
  <c r="U300" i="15"/>
  <c r="V300" i="15"/>
  <c r="W300" i="15"/>
  <c r="T284" i="15"/>
  <c r="U284" i="15"/>
  <c r="V284" i="15"/>
  <c r="W284" i="15"/>
  <c r="U268" i="15"/>
  <c r="W268" i="15"/>
  <c r="T268" i="15"/>
  <c r="V268" i="15"/>
  <c r="T252" i="15"/>
  <c r="U252" i="15"/>
  <c r="W252" i="15"/>
  <c r="V252" i="15"/>
  <c r="W236" i="15"/>
  <c r="T236" i="15"/>
  <c r="U236" i="15"/>
  <c r="V236" i="15"/>
  <c r="T220" i="15"/>
  <c r="U220" i="15"/>
  <c r="V220" i="15"/>
  <c r="W220" i="15"/>
  <c r="U204" i="15"/>
  <c r="W204" i="15"/>
  <c r="T204" i="15"/>
  <c r="V204" i="15"/>
  <c r="T188" i="15"/>
  <c r="U188" i="15"/>
  <c r="V188" i="15"/>
  <c r="W188" i="15"/>
  <c r="T172" i="15"/>
  <c r="U172" i="15"/>
  <c r="V172" i="15"/>
  <c r="W172" i="15"/>
  <c r="T156" i="15"/>
  <c r="U156" i="15"/>
  <c r="W156" i="15"/>
  <c r="V156" i="15"/>
  <c r="T151" i="15"/>
  <c r="U151" i="15"/>
  <c r="V151" i="15"/>
  <c r="W151" i="15"/>
  <c r="W124" i="15"/>
  <c r="T124" i="15"/>
  <c r="U124" i="15"/>
  <c r="V124" i="15"/>
  <c r="T108" i="15"/>
  <c r="U108" i="15"/>
  <c r="V108" i="15"/>
  <c r="W108" i="15"/>
  <c r="U92" i="15"/>
  <c r="V92" i="15"/>
  <c r="W92" i="15"/>
  <c r="T92" i="15"/>
  <c r="T76" i="15"/>
  <c r="U76" i="15"/>
  <c r="V76" i="15"/>
  <c r="W76" i="15"/>
  <c r="T60" i="15"/>
  <c r="U60" i="15"/>
  <c r="V60" i="15"/>
  <c r="W60" i="15"/>
  <c r="T44" i="15"/>
  <c r="U44" i="15"/>
  <c r="V44" i="15"/>
  <c r="W44" i="15"/>
  <c r="T28" i="15"/>
  <c r="U28" i="15"/>
  <c r="V28" i="15"/>
  <c r="W28" i="15"/>
  <c r="T12" i="15"/>
  <c r="U12" i="15"/>
  <c r="V12" i="15"/>
  <c r="W12" i="15"/>
  <c r="W319" i="15"/>
  <c r="T319" i="15"/>
  <c r="U319" i="15"/>
  <c r="V319" i="15"/>
  <c r="V141" i="15"/>
  <c r="W141" i="15"/>
  <c r="T141" i="15"/>
  <c r="U141" i="15"/>
  <c r="V254" i="15"/>
  <c r="W254" i="15"/>
  <c r="T254" i="15"/>
  <c r="U254" i="15"/>
  <c r="T110" i="15"/>
  <c r="U110" i="15"/>
  <c r="V110" i="15"/>
  <c r="W110" i="15"/>
  <c r="T379" i="15"/>
  <c r="U379" i="15"/>
  <c r="V379" i="15"/>
  <c r="W379" i="15"/>
  <c r="T363" i="15"/>
  <c r="U363" i="15"/>
  <c r="V363" i="15"/>
  <c r="W363" i="15"/>
  <c r="T347" i="15"/>
  <c r="U347" i="15"/>
  <c r="V347" i="15"/>
  <c r="W347" i="15"/>
  <c r="V331" i="15"/>
  <c r="T331" i="15"/>
  <c r="U331" i="15"/>
  <c r="W331" i="15"/>
  <c r="T315" i="15"/>
  <c r="U315" i="15"/>
  <c r="V315" i="15"/>
  <c r="W315" i="15"/>
  <c r="T299" i="15"/>
  <c r="U299" i="15"/>
  <c r="V299" i="15"/>
  <c r="W299" i="15"/>
  <c r="T283" i="15"/>
  <c r="U283" i="15"/>
  <c r="V283" i="15"/>
  <c r="W283" i="15"/>
  <c r="T267" i="15"/>
  <c r="U267" i="15"/>
  <c r="V267" i="15"/>
  <c r="W267" i="15"/>
  <c r="T251" i="15"/>
  <c r="U251" i="15"/>
  <c r="V251" i="15"/>
  <c r="W251" i="15"/>
  <c r="V235" i="15"/>
  <c r="W235" i="15"/>
  <c r="T235" i="15"/>
  <c r="U235" i="15"/>
  <c r="T219" i="15"/>
  <c r="V219" i="15"/>
  <c r="U219" i="15"/>
  <c r="W219" i="15"/>
  <c r="T203" i="15"/>
  <c r="U203" i="15"/>
  <c r="V203" i="15"/>
  <c r="W203" i="15"/>
  <c r="U187" i="15"/>
  <c r="V187" i="15"/>
  <c r="W187" i="15"/>
  <c r="T187" i="15"/>
  <c r="T171" i="15"/>
  <c r="U171" i="15"/>
  <c r="V171" i="15"/>
  <c r="W171" i="15"/>
  <c r="T155" i="15"/>
  <c r="U155" i="15"/>
  <c r="V155" i="15"/>
  <c r="W155" i="15"/>
  <c r="T150" i="15"/>
  <c r="U150" i="15"/>
  <c r="V150" i="15"/>
  <c r="W150" i="15"/>
  <c r="T123" i="15"/>
  <c r="U123" i="15"/>
  <c r="V123" i="15"/>
  <c r="W123" i="15"/>
  <c r="W107" i="15"/>
  <c r="T107" i="15"/>
  <c r="U107" i="15"/>
  <c r="V107" i="15"/>
  <c r="T91" i="15"/>
  <c r="U91" i="15"/>
  <c r="V91" i="15"/>
  <c r="W91" i="15"/>
  <c r="U75" i="15"/>
  <c r="V75" i="15"/>
  <c r="W75" i="15"/>
  <c r="T75" i="15"/>
  <c r="T59" i="15"/>
  <c r="U59" i="15"/>
  <c r="V59" i="15"/>
  <c r="W59" i="15"/>
  <c r="T43" i="15"/>
  <c r="U43" i="15"/>
  <c r="V43" i="15"/>
  <c r="W43" i="15"/>
  <c r="U27" i="15"/>
  <c r="V27" i="15"/>
  <c r="W27" i="15"/>
  <c r="T27" i="15"/>
  <c r="T11" i="15"/>
  <c r="U11" i="15"/>
  <c r="V11" i="15"/>
  <c r="W11" i="15"/>
  <c r="T335" i="15"/>
  <c r="U335" i="15"/>
  <c r="V335" i="15"/>
  <c r="W335" i="15"/>
  <c r="T159" i="15"/>
  <c r="U159" i="15"/>
  <c r="V159" i="15"/>
  <c r="W159" i="15"/>
  <c r="T382" i="15"/>
  <c r="V382" i="15"/>
  <c r="W382" i="15"/>
  <c r="U382" i="15"/>
  <c r="T222" i="15"/>
  <c r="U222" i="15"/>
  <c r="V222" i="15"/>
  <c r="W222" i="15"/>
  <c r="T378" i="15"/>
  <c r="U378" i="15"/>
  <c r="V378" i="15"/>
  <c r="W378" i="15"/>
  <c r="V362" i="15"/>
  <c r="T362" i="15"/>
  <c r="U362" i="15"/>
  <c r="W362" i="15"/>
  <c r="T346" i="15"/>
  <c r="U346" i="15"/>
  <c r="V346" i="15"/>
  <c r="W346" i="15"/>
  <c r="T330" i="15"/>
  <c r="U330" i="15"/>
  <c r="V330" i="15"/>
  <c r="W330" i="15"/>
  <c r="W314" i="15"/>
  <c r="T314" i="15"/>
  <c r="U314" i="15"/>
  <c r="V314" i="15"/>
  <c r="T298" i="15"/>
  <c r="U298" i="15"/>
  <c r="V298" i="15"/>
  <c r="W298" i="15"/>
  <c r="U282" i="15"/>
  <c r="V282" i="15"/>
  <c r="W282" i="15"/>
  <c r="T282" i="15"/>
  <c r="T266" i="15"/>
  <c r="U266" i="15"/>
  <c r="V266" i="15"/>
  <c r="W266" i="15"/>
  <c r="V250" i="15"/>
  <c r="W250" i="15"/>
  <c r="U250" i="15"/>
  <c r="T250" i="15"/>
  <c r="T234" i="15"/>
  <c r="U234" i="15"/>
  <c r="V234" i="15"/>
  <c r="W234" i="15"/>
  <c r="V218" i="15"/>
  <c r="W218" i="15"/>
  <c r="T218" i="15"/>
  <c r="U218" i="15"/>
  <c r="T202" i="15"/>
  <c r="U202" i="15"/>
  <c r="V202" i="15"/>
  <c r="W202" i="15"/>
  <c r="T186" i="15"/>
  <c r="U186" i="15"/>
  <c r="V186" i="15"/>
  <c r="W186" i="15"/>
  <c r="V170" i="15"/>
  <c r="W170" i="15"/>
  <c r="T170" i="15"/>
  <c r="U170" i="15"/>
  <c r="T154" i="15"/>
  <c r="U154" i="15"/>
  <c r="V154" i="15"/>
  <c r="W154" i="15"/>
  <c r="T144" i="15"/>
  <c r="U144" i="15"/>
  <c r="V144" i="15"/>
  <c r="W144" i="15"/>
  <c r="T122" i="15"/>
  <c r="U122" i="15"/>
  <c r="V122" i="15"/>
  <c r="W122" i="15"/>
  <c r="T106" i="15"/>
  <c r="U106" i="15"/>
  <c r="V106" i="15"/>
  <c r="W106" i="15"/>
  <c r="T90" i="15"/>
  <c r="U90" i="15"/>
  <c r="V90" i="15"/>
  <c r="W90" i="15"/>
  <c r="T74" i="15"/>
  <c r="U74" i="15"/>
  <c r="V74" i="15"/>
  <c r="W74" i="15"/>
  <c r="W58" i="15"/>
  <c r="T58" i="15"/>
  <c r="U58" i="15"/>
  <c r="V58" i="15"/>
  <c r="T42" i="15"/>
  <c r="U42" i="15"/>
  <c r="V42" i="15"/>
  <c r="W42" i="15"/>
  <c r="T26" i="15"/>
  <c r="U26" i="15"/>
  <c r="V26" i="15"/>
  <c r="W26" i="15"/>
  <c r="T10" i="15"/>
  <c r="U10" i="15"/>
  <c r="V10" i="15"/>
  <c r="W10" i="15"/>
  <c r="T351" i="15"/>
  <c r="U351" i="15"/>
  <c r="V351" i="15"/>
  <c r="W351" i="15"/>
  <c r="T111" i="15"/>
  <c r="U111" i="15"/>
  <c r="V111" i="15"/>
  <c r="W111" i="15"/>
  <c r="U350" i="15"/>
  <c r="W350" i="15"/>
  <c r="T350" i="15"/>
  <c r="V350" i="15"/>
  <c r="T206" i="15"/>
  <c r="U206" i="15"/>
  <c r="V206" i="15"/>
  <c r="W206" i="15"/>
  <c r="T377" i="15"/>
  <c r="V377" i="15"/>
  <c r="W377" i="15"/>
  <c r="U377" i="15"/>
  <c r="T361" i="15"/>
  <c r="U361" i="15"/>
  <c r="V361" i="15"/>
  <c r="W361" i="15"/>
  <c r="U345" i="15"/>
  <c r="W345" i="15"/>
  <c r="T345" i="15"/>
  <c r="V345" i="15"/>
  <c r="T329" i="15"/>
  <c r="U329" i="15"/>
  <c r="V329" i="15"/>
  <c r="W329" i="15"/>
  <c r="T313" i="15"/>
  <c r="U313" i="15"/>
  <c r="V313" i="15"/>
  <c r="W313" i="15"/>
  <c r="V297" i="15"/>
  <c r="T297" i="15"/>
  <c r="U297" i="15"/>
  <c r="W297" i="15"/>
  <c r="T281" i="15"/>
  <c r="U281" i="15"/>
  <c r="V281" i="15"/>
  <c r="W281" i="15"/>
  <c r="T265" i="15"/>
  <c r="U265" i="15"/>
  <c r="V265" i="15"/>
  <c r="W265" i="15"/>
  <c r="U249" i="15"/>
  <c r="V249" i="15"/>
  <c r="T249" i="15"/>
  <c r="W249" i="15"/>
  <c r="V233" i="15"/>
  <c r="W233" i="15"/>
  <c r="T233" i="15"/>
  <c r="U233" i="15"/>
  <c r="T217" i="15"/>
  <c r="U217" i="15"/>
  <c r="V217" i="15"/>
  <c r="W217" i="15"/>
  <c r="T201" i="15"/>
  <c r="U201" i="15"/>
  <c r="V201" i="15"/>
  <c r="W201" i="15"/>
  <c r="T185" i="15"/>
  <c r="U185" i="15"/>
  <c r="V185" i="15"/>
  <c r="W185" i="15"/>
  <c r="T169" i="15"/>
  <c r="U169" i="15"/>
  <c r="V169" i="15"/>
  <c r="W169" i="15"/>
  <c r="W153" i="15"/>
  <c r="U153" i="15"/>
  <c r="T153" i="15"/>
  <c r="V153" i="15"/>
  <c r="T140" i="15"/>
  <c r="U140" i="15"/>
  <c r="V140" i="15"/>
  <c r="W140" i="15"/>
  <c r="U121" i="15"/>
  <c r="V121" i="15"/>
  <c r="W121" i="15"/>
  <c r="T121" i="15"/>
  <c r="T105" i="15"/>
  <c r="U105" i="15"/>
  <c r="V105" i="15"/>
  <c r="W105" i="15"/>
  <c r="T89" i="15"/>
  <c r="U89" i="15"/>
  <c r="V89" i="15"/>
  <c r="W89" i="15"/>
  <c r="T73" i="15"/>
  <c r="U73" i="15"/>
  <c r="V73" i="15"/>
  <c r="W73" i="15"/>
  <c r="T57" i="15"/>
  <c r="U57" i="15"/>
  <c r="V57" i="15"/>
  <c r="W57" i="15"/>
  <c r="U41" i="15"/>
  <c r="V41" i="15"/>
  <c r="W41" i="15"/>
  <c r="T41" i="15"/>
  <c r="T25" i="15"/>
  <c r="U25" i="15"/>
  <c r="V25" i="15"/>
  <c r="W25" i="15"/>
  <c r="T9" i="15"/>
  <c r="U9" i="15"/>
  <c r="V9" i="15"/>
  <c r="W9" i="15"/>
  <c r="T63" i="15"/>
  <c r="U63" i="15"/>
  <c r="V63" i="15"/>
  <c r="W63" i="15"/>
  <c r="T62" i="15"/>
  <c r="U62" i="15"/>
  <c r="V62" i="15"/>
  <c r="W62" i="15"/>
  <c r="T2" i="15"/>
  <c r="U2" i="15"/>
  <c r="V2" i="15"/>
  <c r="W2" i="15"/>
  <c r="T376" i="15"/>
  <c r="U376" i="15"/>
  <c r="V376" i="15"/>
  <c r="W376" i="15"/>
  <c r="T360" i="15"/>
  <c r="U360" i="15"/>
  <c r="V360" i="15"/>
  <c r="W360" i="15"/>
  <c r="T344" i="15"/>
  <c r="U344" i="15"/>
  <c r="V344" i="15"/>
  <c r="W344" i="15"/>
  <c r="T328" i="15"/>
  <c r="V328" i="15"/>
  <c r="W328" i="15"/>
  <c r="U328" i="15"/>
  <c r="T312" i="15"/>
  <c r="U312" i="15"/>
  <c r="V312" i="15"/>
  <c r="W312" i="15"/>
  <c r="T296" i="15"/>
  <c r="U296" i="15"/>
  <c r="V296" i="15"/>
  <c r="W296" i="15"/>
  <c r="U280" i="15"/>
  <c r="W280" i="15"/>
  <c r="T280" i="15"/>
  <c r="V280" i="15"/>
  <c r="T264" i="15"/>
  <c r="U264" i="15"/>
  <c r="V264" i="15"/>
  <c r="W264" i="15"/>
  <c r="U248" i="15"/>
  <c r="V248" i="15"/>
  <c r="W248" i="15"/>
  <c r="T248" i="15"/>
  <c r="V232" i="15"/>
  <c r="W232" i="15"/>
  <c r="T232" i="15"/>
  <c r="U232" i="15"/>
  <c r="T216" i="15"/>
  <c r="U216" i="15"/>
  <c r="V216" i="15"/>
  <c r="W216" i="15"/>
  <c r="T200" i="15"/>
  <c r="U200" i="15"/>
  <c r="V200" i="15"/>
  <c r="W200" i="15"/>
  <c r="T184" i="15"/>
  <c r="U184" i="15"/>
  <c r="V184" i="15"/>
  <c r="W184" i="15"/>
  <c r="T168" i="15"/>
  <c r="U168" i="15"/>
  <c r="V168" i="15"/>
  <c r="W168" i="15"/>
  <c r="T152" i="15"/>
  <c r="U152" i="15"/>
  <c r="V152" i="15"/>
  <c r="W152" i="15"/>
  <c r="T148" i="15"/>
  <c r="U148" i="15"/>
  <c r="V148" i="15"/>
  <c r="W148" i="15"/>
  <c r="T120" i="15"/>
  <c r="U120" i="15"/>
  <c r="V120" i="15"/>
  <c r="W120" i="15"/>
  <c r="V104" i="15"/>
  <c r="W104" i="15"/>
  <c r="T104" i="15"/>
  <c r="U104" i="15"/>
  <c r="T88" i="15"/>
  <c r="U88" i="15"/>
  <c r="V88" i="15"/>
  <c r="W88" i="15"/>
  <c r="T72" i="15"/>
  <c r="U72" i="15"/>
  <c r="V72" i="15"/>
  <c r="W72" i="15"/>
  <c r="T56" i="15"/>
  <c r="U56" i="15"/>
  <c r="V56" i="15"/>
  <c r="W56" i="15"/>
  <c r="T40" i="15"/>
  <c r="U40" i="15"/>
  <c r="V40" i="15"/>
  <c r="W40" i="15"/>
  <c r="T24" i="15"/>
  <c r="U24" i="15"/>
  <c r="V24" i="15"/>
  <c r="W24" i="15"/>
  <c r="T8" i="15"/>
  <c r="U8" i="15"/>
  <c r="V8" i="15"/>
  <c r="W8" i="15"/>
  <c r="T255" i="15"/>
  <c r="U255" i="15"/>
  <c r="V255" i="15"/>
  <c r="W255" i="15"/>
  <c r="T79" i="15"/>
  <c r="U79" i="15"/>
  <c r="V79" i="15"/>
  <c r="W79" i="15"/>
  <c r="T334" i="15"/>
  <c r="U334" i="15"/>
  <c r="V334" i="15"/>
  <c r="W334" i="15"/>
  <c r="T190" i="15"/>
  <c r="U190" i="15"/>
  <c r="V190" i="15"/>
  <c r="W190" i="15"/>
  <c r="T375" i="15"/>
  <c r="U375" i="15"/>
  <c r="V375" i="15"/>
  <c r="W375" i="15"/>
  <c r="T359" i="15"/>
  <c r="V359" i="15"/>
  <c r="W359" i="15"/>
  <c r="U359" i="15"/>
  <c r="T343" i="15"/>
  <c r="U343" i="15"/>
  <c r="V343" i="15"/>
  <c r="W343" i="15"/>
  <c r="T327" i="15"/>
  <c r="U327" i="15"/>
  <c r="V327" i="15"/>
  <c r="W327" i="15"/>
  <c r="U311" i="15"/>
  <c r="W311" i="15"/>
  <c r="T311" i="15"/>
  <c r="V311" i="15"/>
  <c r="T295" i="15"/>
  <c r="U295" i="15"/>
  <c r="V295" i="15"/>
  <c r="W295" i="15"/>
  <c r="T279" i="15"/>
  <c r="U279" i="15"/>
  <c r="V279" i="15"/>
  <c r="W279" i="15"/>
  <c r="U263" i="15"/>
  <c r="W263" i="15"/>
  <c r="T263" i="15"/>
  <c r="V263" i="15"/>
  <c r="T247" i="15"/>
  <c r="U247" i="15"/>
  <c r="V247" i="15"/>
  <c r="W247" i="15"/>
  <c r="T231" i="15"/>
  <c r="U231" i="15"/>
  <c r="V231" i="15"/>
  <c r="W231" i="15"/>
  <c r="T215" i="15"/>
  <c r="U215" i="15"/>
  <c r="V215" i="15"/>
  <c r="W215" i="15"/>
  <c r="T199" i="15"/>
  <c r="U199" i="15"/>
  <c r="V199" i="15"/>
  <c r="W199" i="15"/>
  <c r="T183" i="15"/>
  <c r="U183" i="15"/>
  <c r="V183" i="15"/>
  <c r="W183" i="15"/>
  <c r="U167" i="15"/>
  <c r="V167" i="15"/>
  <c r="W167" i="15"/>
  <c r="T167" i="15"/>
  <c r="T139" i="15"/>
  <c r="U139" i="15"/>
  <c r="V139" i="15"/>
  <c r="W139" i="15"/>
  <c r="T135" i="15"/>
  <c r="U135" i="15"/>
  <c r="V135" i="15"/>
  <c r="W135" i="15"/>
  <c r="T119" i="15"/>
  <c r="U119" i="15"/>
  <c r="V119" i="15"/>
  <c r="W119" i="15"/>
  <c r="T103" i="15"/>
  <c r="U103" i="15"/>
  <c r="V103" i="15"/>
  <c r="W103" i="15"/>
  <c r="T87" i="15"/>
  <c r="U87" i="15"/>
  <c r="V87" i="15"/>
  <c r="W87" i="15"/>
  <c r="T71" i="15"/>
  <c r="U71" i="15"/>
  <c r="V71" i="15"/>
  <c r="W71" i="15"/>
  <c r="U55" i="15"/>
  <c r="V55" i="15"/>
  <c r="W55" i="15"/>
  <c r="T55" i="15"/>
  <c r="T39" i="15"/>
  <c r="U39" i="15"/>
  <c r="V39" i="15"/>
  <c r="W39" i="15"/>
  <c r="T23" i="15"/>
  <c r="U23" i="15"/>
  <c r="V23" i="15"/>
  <c r="W23" i="15"/>
  <c r="T7" i="15"/>
  <c r="U7" i="15"/>
  <c r="V7" i="15"/>
  <c r="W7" i="15"/>
  <c r="T271" i="15"/>
  <c r="U271" i="15"/>
  <c r="V271" i="15"/>
  <c r="W271" i="15"/>
  <c r="T31" i="15"/>
  <c r="U31" i="15"/>
  <c r="V31" i="15"/>
  <c r="W31" i="15"/>
  <c r="T286" i="15"/>
  <c r="U286" i="15"/>
  <c r="V286" i="15"/>
  <c r="W286" i="15"/>
  <c r="T174" i="15"/>
  <c r="U174" i="15"/>
  <c r="V174" i="15"/>
  <c r="W174" i="15"/>
  <c r="U374" i="15"/>
  <c r="V374" i="15"/>
  <c r="W374" i="15"/>
  <c r="T374" i="15"/>
  <c r="T358" i="15"/>
  <c r="U358" i="15"/>
  <c r="V358" i="15"/>
  <c r="W358" i="15"/>
  <c r="U342" i="15"/>
  <c r="V342" i="15"/>
  <c r="W342" i="15"/>
  <c r="T342" i="15"/>
  <c r="T326" i="15"/>
  <c r="U326" i="15"/>
  <c r="V326" i="15"/>
  <c r="W326" i="15"/>
  <c r="T310" i="15"/>
  <c r="U310" i="15"/>
  <c r="V310" i="15"/>
  <c r="W310" i="15"/>
  <c r="T294" i="15"/>
  <c r="V294" i="15"/>
  <c r="W294" i="15"/>
  <c r="U294" i="15"/>
  <c r="T278" i="15"/>
  <c r="U278" i="15"/>
  <c r="V278" i="15"/>
  <c r="W278" i="15"/>
  <c r="T262" i="15"/>
  <c r="U262" i="15"/>
  <c r="V262" i="15"/>
  <c r="W262" i="15"/>
  <c r="T246" i="15"/>
  <c r="U246" i="15"/>
  <c r="V246" i="15"/>
  <c r="W246" i="15"/>
  <c r="U230" i="15"/>
  <c r="V230" i="15"/>
  <c r="W230" i="15"/>
  <c r="T230" i="15"/>
  <c r="T214" i="15"/>
  <c r="V214" i="15"/>
  <c r="U214" i="15"/>
  <c r="W214" i="15"/>
  <c r="T198" i="15"/>
  <c r="U198" i="15"/>
  <c r="V198" i="15"/>
  <c r="W198" i="15"/>
  <c r="T180" i="15"/>
  <c r="U180" i="15"/>
  <c r="W180" i="15"/>
  <c r="V180" i="15"/>
  <c r="T166" i="15"/>
  <c r="U166" i="15"/>
  <c r="V166" i="15"/>
  <c r="W166" i="15"/>
  <c r="V146" i="15"/>
  <c r="W146" i="15"/>
  <c r="T146" i="15"/>
  <c r="U146" i="15"/>
  <c r="T134" i="15"/>
  <c r="U134" i="15"/>
  <c r="V134" i="15"/>
  <c r="W134" i="15"/>
  <c r="T118" i="15"/>
  <c r="U118" i="15"/>
  <c r="V118" i="15"/>
  <c r="W118" i="15"/>
  <c r="T102" i="15"/>
  <c r="U102" i="15"/>
  <c r="V102" i="15"/>
  <c r="W102" i="15"/>
  <c r="T86" i="15"/>
  <c r="U86" i="15"/>
  <c r="V86" i="15"/>
  <c r="W86" i="15"/>
  <c r="T70" i="15"/>
  <c r="U70" i="15"/>
  <c r="V70" i="15"/>
  <c r="W70" i="15"/>
  <c r="T54" i="15"/>
  <c r="U54" i="15"/>
  <c r="V54" i="15"/>
  <c r="W54" i="15"/>
  <c r="T38" i="15"/>
  <c r="U38" i="15"/>
  <c r="V38" i="15"/>
  <c r="W38" i="15"/>
  <c r="W22" i="15"/>
  <c r="T22" i="15"/>
  <c r="U22" i="15"/>
  <c r="V22" i="15"/>
  <c r="T6" i="15"/>
  <c r="U6" i="15"/>
  <c r="V6" i="15"/>
  <c r="W6" i="15"/>
  <c r="U239" i="15"/>
  <c r="W239" i="15"/>
  <c r="T239" i="15"/>
  <c r="V239" i="15"/>
  <c r="T95" i="15"/>
  <c r="U95" i="15"/>
  <c r="V95" i="15"/>
  <c r="W95" i="15"/>
  <c r="U302" i="15"/>
  <c r="W302" i="15"/>
  <c r="T302" i="15"/>
  <c r="V302" i="15"/>
  <c r="T30" i="15"/>
  <c r="U30" i="15"/>
  <c r="V30" i="15"/>
  <c r="W30" i="15"/>
  <c r="T373" i="15"/>
  <c r="U373" i="15"/>
  <c r="V373" i="15"/>
  <c r="W373" i="15"/>
  <c r="T357" i="15"/>
  <c r="U357" i="15"/>
  <c r="V357" i="15"/>
  <c r="W357" i="15"/>
  <c r="T341" i="15"/>
  <c r="U341" i="15"/>
  <c r="V341" i="15"/>
  <c r="W341" i="15"/>
  <c r="U325" i="15"/>
  <c r="V325" i="15"/>
  <c r="W325" i="15"/>
  <c r="T325" i="15"/>
  <c r="T309" i="15"/>
  <c r="U309" i="15"/>
  <c r="V309" i="15"/>
  <c r="W309" i="15"/>
  <c r="T293" i="15"/>
  <c r="U293" i="15"/>
  <c r="V293" i="15"/>
  <c r="W293" i="15"/>
  <c r="U277" i="15"/>
  <c r="V277" i="15"/>
  <c r="W277" i="15"/>
  <c r="T277" i="15"/>
  <c r="T261" i="15"/>
  <c r="U261" i="15"/>
  <c r="V261" i="15"/>
  <c r="W261" i="15"/>
  <c r="V245" i="15"/>
  <c r="W245" i="15"/>
  <c r="T245" i="15"/>
  <c r="U245" i="15"/>
  <c r="V229" i="15"/>
  <c r="W229" i="15"/>
  <c r="T229" i="15"/>
  <c r="U229" i="15"/>
  <c r="V213" i="15"/>
  <c r="W213" i="15"/>
  <c r="T213" i="15"/>
  <c r="U213" i="15"/>
  <c r="T197" i="15"/>
  <c r="U197" i="15"/>
  <c r="V197" i="15"/>
  <c r="W197" i="15"/>
  <c r="T181" i="15"/>
  <c r="U181" i="15"/>
  <c r="V181" i="15"/>
  <c r="W181" i="15"/>
  <c r="T165" i="15"/>
  <c r="U165" i="15"/>
  <c r="V165" i="15"/>
  <c r="W165" i="15"/>
  <c r="T138" i="15"/>
  <c r="U138" i="15"/>
  <c r="V138" i="15"/>
  <c r="W138" i="15"/>
  <c r="T133" i="15"/>
  <c r="U133" i="15"/>
  <c r="V133" i="15"/>
  <c r="W133" i="15"/>
  <c r="T117" i="15"/>
  <c r="U117" i="15"/>
  <c r="V117" i="15"/>
  <c r="W117" i="15"/>
  <c r="V101" i="15"/>
  <c r="W101" i="15"/>
  <c r="T101" i="15"/>
  <c r="U101" i="15"/>
  <c r="T85" i="15"/>
  <c r="U85" i="15"/>
  <c r="V85" i="15"/>
  <c r="W85" i="15"/>
  <c r="T69" i="15"/>
  <c r="U69" i="15"/>
  <c r="V69" i="15"/>
  <c r="W69" i="15"/>
  <c r="T53" i="15"/>
  <c r="U53" i="15"/>
  <c r="V53" i="15"/>
  <c r="W53" i="15"/>
  <c r="T37" i="15"/>
  <c r="U37" i="15"/>
  <c r="V37" i="15"/>
  <c r="W37" i="15"/>
  <c r="T21" i="15"/>
  <c r="U21" i="15"/>
  <c r="V21" i="15"/>
  <c r="W21" i="15"/>
  <c r="W5" i="15"/>
  <c r="T5" i="15"/>
  <c r="U5" i="15"/>
  <c r="V5" i="15"/>
  <c r="T127" i="15"/>
  <c r="U127" i="15"/>
  <c r="V127" i="15"/>
  <c r="W127" i="15"/>
  <c r="T94" i="15"/>
  <c r="U94" i="15"/>
  <c r="V94" i="15"/>
  <c r="W94" i="15"/>
  <c r="T372" i="15"/>
  <c r="U372" i="15"/>
  <c r="V372" i="15"/>
  <c r="W372" i="15"/>
  <c r="T356" i="15"/>
  <c r="U356" i="15"/>
  <c r="V356" i="15"/>
  <c r="W356" i="15"/>
  <c r="V340" i="15"/>
  <c r="T340" i="15"/>
  <c r="U340" i="15"/>
  <c r="W340" i="15"/>
  <c r="T324" i="15"/>
  <c r="U324" i="15"/>
  <c r="V324" i="15"/>
  <c r="W324" i="15"/>
  <c r="T308" i="15"/>
  <c r="U308" i="15"/>
  <c r="V308" i="15"/>
  <c r="W308" i="15"/>
  <c r="W292" i="15"/>
  <c r="T292" i="15"/>
  <c r="U292" i="15"/>
  <c r="V292" i="15"/>
  <c r="T276" i="15"/>
  <c r="U276" i="15"/>
  <c r="V276" i="15"/>
  <c r="W276" i="15"/>
  <c r="T260" i="15"/>
  <c r="U260" i="15"/>
  <c r="V260" i="15"/>
  <c r="W260" i="15"/>
  <c r="U244" i="15"/>
  <c r="V244" i="15"/>
  <c r="T244" i="15"/>
  <c r="W244" i="15"/>
  <c r="T228" i="15"/>
  <c r="U228" i="15"/>
  <c r="V228" i="15"/>
  <c r="W228" i="15"/>
  <c r="T212" i="15"/>
  <c r="U212" i="15"/>
  <c r="V212" i="15"/>
  <c r="W212" i="15"/>
  <c r="T196" i="15"/>
  <c r="V196" i="15"/>
  <c r="W196" i="15"/>
  <c r="U196" i="15"/>
  <c r="T182" i="15"/>
  <c r="U182" i="15"/>
  <c r="V182" i="15"/>
  <c r="W182" i="15"/>
  <c r="T164" i="15"/>
  <c r="U164" i="15"/>
  <c r="V164" i="15"/>
  <c r="W164" i="15"/>
  <c r="T147" i="15"/>
  <c r="U147" i="15"/>
  <c r="V147" i="15"/>
  <c r="W147" i="15"/>
  <c r="T132" i="15"/>
  <c r="U132" i="15"/>
  <c r="V132" i="15"/>
  <c r="W132" i="15"/>
  <c r="T116" i="15"/>
  <c r="U116" i="15"/>
  <c r="V116" i="15"/>
  <c r="W116" i="15"/>
  <c r="T100" i="15"/>
  <c r="U100" i="15"/>
  <c r="V100" i="15"/>
  <c r="W100" i="15"/>
  <c r="W84" i="15"/>
  <c r="T84" i="15"/>
  <c r="U84" i="15"/>
  <c r="V84" i="15"/>
  <c r="T68" i="15"/>
  <c r="U68" i="15"/>
  <c r="V68" i="15"/>
  <c r="W68" i="15"/>
  <c r="T52" i="15"/>
  <c r="U52" i="15"/>
  <c r="V52" i="15"/>
  <c r="W52" i="15"/>
  <c r="T36" i="15"/>
  <c r="U36" i="15"/>
  <c r="V36" i="15"/>
  <c r="W36" i="15"/>
  <c r="T20" i="15"/>
  <c r="U20" i="15"/>
  <c r="V20" i="15"/>
  <c r="W20" i="15"/>
  <c r="T4" i="15"/>
  <c r="U4" i="15"/>
  <c r="V4" i="15"/>
  <c r="W4" i="15"/>
  <c r="T383" i="15"/>
  <c r="U383" i="15"/>
  <c r="V383" i="15"/>
  <c r="W383" i="15"/>
  <c r="T191" i="15"/>
  <c r="U191" i="15"/>
  <c r="V191" i="15"/>
  <c r="W191" i="15"/>
  <c r="T270" i="15"/>
  <c r="U270" i="15"/>
  <c r="V270" i="15"/>
  <c r="W270" i="15"/>
  <c r="T78" i="15"/>
  <c r="U78" i="15"/>
  <c r="V78" i="15"/>
  <c r="W78" i="15"/>
  <c r="T371" i="15"/>
  <c r="U371" i="15"/>
  <c r="V371" i="15"/>
  <c r="W371" i="15"/>
  <c r="T355" i="15"/>
  <c r="U355" i="15"/>
  <c r="V355" i="15"/>
  <c r="W355" i="15"/>
  <c r="T339" i="15"/>
  <c r="U339" i="15"/>
  <c r="V339" i="15"/>
  <c r="W339" i="15"/>
  <c r="T323" i="15"/>
  <c r="V323" i="15"/>
  <c r="W323" i="15"/>
  <c r="U323" i="15"/>
  <c r="T307" i="15"/>
  <c r="U307" i="15"/>
  <c r="V307" i="15"/>
  <c r="W307" i="15"/>
  <c r="T291" i="15"/>
  <c r="U291" i="15"/>
  <c r="V291" i="15"/>
  <c r="W291" i="15"/>
  <c r="U275" i="15"/>
  <c r="W275" i="15"/>
  <c r="T275" i="15"/>
  <c r="V275" i="15"/>
  <c r="T259" i="15"/>
  <c r="U259" i="15"/>
  <c r="V259" i="15"/>
  <c r="W259" i="15"/>
  <c r="V243" i="15"/>
  <c r="W243" i="15"/>
  <c r="U243" i="15"/>
  <c r="T243" i="15"/>
  <c r="T227" i="15"/>
  <c r="W227" i="15"/>
  <c r="U227" i="15"/>
  <c r="V227" i="15"/>
  <c r="W211" i="15"/>
  <c r="T211" i="15"/>
  <c r="U211" i="15"/>
  <c r="V211" i="15"/>
  <c r="T195" i="15"/>
  <c r="U195" i="15"/>
  <c r="V195" i="15"/>
  <c r="W195" i="15"/>
  <c r="W179" i="15"/>
  <c r="U179" i="15"/>
  <c r="T179" i="15"/>
  <c r="V179" i="15"/>
  <c r="T163" i="15"/>
  <c r="U163" i="15"/>
  <c r="V163" i="15"/>
  <c r="W163" i="15"/>
  <c r="T142" i="15"/>
  <c r="U142" i="15"/>
  <c r="V142" i="15"/>
  <c r="W142" i="15"/>
  <c r="T131" i="15"/>
  <c r="U131" i="15"/>
  <c r="V131" i="15"/>
  <c r="W131" i="15"/>
  <c r="T115" i="15"/>
  <c r="U115" i="15"/>
  <c r="V115" i="15"/>
  <c r="W115" i="15"/>
  <c r="T99" i="15"/>
  <c r="U99" i="15"/>
  <c r="V99" i="15"/>
  <c r="W99" i="15"/>
  <c r="T83" i="15"/>
  <c r="U83" i="15"/>
  <c r="V83" i="15"/>
  <c r="W83" i="15"/>
  <c r="W67" i="15"/>
  <c r="T67" i="15"/>
  <c r="U67" i="15"/>
  <c r="V67" i="15"/>
  <c r="T51" i="15"/>
  <c r="U51" i="15"/>
  <c r="V51" i="15"/>
  <c r="W51" i="15"/>
  <c r="T35" i="15"/>
  <c r="U35" i="15"/>
  <c r="V35" i="15"/>
  <c r="W35" i="15"/>
  <c r="U19" i="15"/>
  <c r="V19" i="15"/>
  <c r="W19" i="15"/>
  <c r="T19" i="15"/>
  <c r="T3" i="15"/>
  <c r="U3" i="15"/>
  <c r="V3" i="15"/>
  <c r="W3" i="15"/>
  <c r="V367" i="15"/>
  <c r="T367" i="15"/>
  <c r="U367" i="15"/>
  <c r="W367" i="15"/>
  <c r="T175" i="15"/>
  <c r="U175" i="15"/>
  <c r="W175" i="15"/>
  <c r="V175" i="15"/>
  <c r="T366" i="15"/>
  <c r="U366" i="15"/>
  <c r="V366" i="15"/>
  <c r="W366" i="15"/>
  <c r="W158" i="15"/>
  <c r="U158" i="15"/>
  <c r="T158" i="15"/>
  <c r="V158" i="15"/>
  <c r="T386" i="15"/>
  <c r="U386" i="15"/>
  <c r="V386" i="15"/>
  <c r="W386" i="15"/>
  <c r="T370" i="15"/>
  <c r="U370" i="15"/>
  <c r="V370" i="15"/>
  <c r="W370" i="15"/>
  <c r="T354" i="15"/>
  <c r="U354" i="15"/>
  <c r="V354" i="15"/>
  <c r="W354" i="15"/>
  <c r="W338" i="15"/>
  <c r="T338" i="15"/>
  <c r="U338" i="15"/>
  <c r="V338" i="15"/>
  <c r="T322" i="15"/>
  <c r="U322" i="15"/>
  <c r="V322" i="15"/>
  <c r="W322" i="15"/>
  <c r="T306" i="15"/>
  <c r="U306" i="15"/>
  <c r="V306" i="15"/>
  <c r="W306" i="15"/>
  <c r="T290" i="15"/>
  <c r="U290" i="15"/>
  <c r="V290" i="15"/>
  <c r="W290" i="15"/>
  <c r="T274" i="15"/>
  <c r="U274" i="15"/>
  <c r="V274" i="15"/>
  <c r="W274" i="15"/>
  <c r="T258" i="15"/>
  <c r="U258" i="15"/>
  <c r="V258" i="15"/>
  <c r="W258" i="15"/>
  <c r="V242" i="15"/>
  <c r="W242" i="15"/>
  <c r="T242" i="15"/>
  <c r="U242" i="15"/>
  <c r="W226" i="15"/>
  <c r="T226" i="15"/>
  <c r="U226" i="15"/>
  <c r="V226" i="15"/>
  <c r="U210" i="15"/>
  <c r="V210" i="15"/>
  <c r="W210" i="15"/>
  <c r="T210" i="15"/>
  <c r="T194" i="15"/>
  <c r="U194" i="15"/>
  <c r="V194" i="15"/>
  <c r="W194" i="15"/>
  <c r="T178" i="15"/>
  <c r="U178" i="15"/>
  <c r="V178" i="15"/>
  <c r="W178" i="15"/>
  <c r="U162" i="15"/>
  <c r="V162" i="15"/>
  <c r="W162" i="15"/>
  <c r="T162" i="15"/>
  <c r="T143" i="15"/>
  <c r="U143" i="15"/>
  <c r="V143" i="15"/>
  <c r="W143" i="15"/>
  <c r="T130" i="15"/>
  <c r="U130" i="15"/>
  <c r="V130" i="15"/>
  <c r="W130" i="15"/>
  <c r="T114" i="15"/>
  <c r="U114" i="15"/>
  <c r="V114" i="15"/>
  <c r="W114" i="15"/>
  <c r="T98" i="15"/>
  <c r="U98" i="15"/>
  <c r="V98" i="15"/>
  <c r="W98" i="15"/>
  <c r="T82" i="15"/>
  <c r="U82" i="15"/>
  <c r="V82" i="15"/>
  <c r="W82" i="15"/>
  <c r="T66" i="15"/>
  <c r="U66" i="15"/>
  <c r="V66" i="15"/>
  <c r="W66" i="15"/>
  <c r="T50" i="15"/>
  <c r="U50" i="15"/>
  <c r="V50" i="15"/>
  <c r="W50" i="15"/>
  <c r="T34" i="15"/>
  <c r="U34" i="15"/>
  <c r="V34" i="15"/>
  <c r="W34" i="15"/>
  <c r="T18" i="15"/>
  <c r="U18" i="15"/>
  <c r="V18" i="15"/>
  <c r="W18" i="15"/>
  <c r="T303" i="15"/>
  <c r="U303" i="15"/>
  <c r="V303" i="15"/>
  <c r="W303" i="15"/>
  <c r="T47" i="15"/>
  <c r="U47" i="15"/>
  <c r="V47" i="15"/>
  <c r="W47" i="15"/>
  <c r="T318" i="15"/>
  <c r="U318" i="15"/>
  <c r="V318" i="15"/>
  <c r="W318" i="15"/>
  <c r="T145" i="15"/>
  <c r="U145" i="15"/>
  <c r="V145" i="15"/>
  <c r="W145" i="15"/>
  <c r="T385" i="15"/>
  <c r="U385" i="15"/>
  <c r="V385" i="15"/>
  <c r="W385" i="15"/>
  <c r="U369" i="15"/>
  <c r="V369" i="15"/>
  <c r="W369" i="15"/>
  <c r="T369" i="15"/>
  <c r="T353" i="15"/>
  <c r="U353" i="15"/>
  <c r="V353" i="15"/>
  <c r="W353" i="15"/>
  <c r="T337" i="15"/>
  <c r="U337" i="15"/>
  <c r="V337" i="15"/>
  <c r="W337" i="15"/>
  <c r="T321" i="15"/>
  <c r="V321" i="15"/>
  <c r="W321" i="15"/>
  <c r="U321" i="15"/>
  <c r="T305" i="15"/>
  <c r="U305" i="15"/>
  <c r="V305" i="15"/>
  <c r="W305" i="15"/>
  <c r="T289" i="15"/>
  <c r="U289" i="15"/>
  <c r="V289" i="15"/>
  <c r="W289" i="15"/>
  <c r="V273" i="15"/>
  <c r="T273" i="15"/>
  <c r="U273" i="15"/>
  <c r="W273" i="15"/>
  <c r="T257" i="15"/>
  <c r="U257" i="15"/>
  <c r="V257" i="15"/>
  <c r="W257" i="15"/>
  <c r="T241" i="15"/>
  <c r="V241" i="15"/>
  <c r="W241" i="15"/>
  <c r="U241" i="15"/>
  <c r="T209" i="15"/>
  <c r="W209" i="15"/>
  <c r="U209" i="15"/>
  <c r="V209" i="15"/>
  <c r="T193" i="15"/>
  <c r="U193" i="15"/>
  <c r="V193" i="15"/>
  <c r="W193" i="15"/>
  <c r="T177" i="15"/>
  <c r="V177" i="15"/>
  <c r="U177" i="15"/>
  <c r="W177" i="15"/>
  <c r="T161" i="15"/>
  <c r="U161" i="15"/>
  <c r="V161" i="15"/>
  <c r="W161" i="15"/>
  <c r="U137" i="15"/>
  <c r="V137" i="15"/>
  <c r="W137" i="15"/>
  <c r="T137" i="15"/>
  <c r="T129" i="15"/>
  <c r="U129" i="15"/>
  <c r="V129" i="15"/>
  <c r="W129" i="15"/>
  <c r="T113" i="15"/>
  <c r="U113" i="15"/>
  <c r="V113" i="15"/>
  <c r="W113" i="15"/>
  <c r="T97" i="15"/>
  <c r="U97" i="15"/>
  <c r="V97" i="15"/>
  <c r="W97" i="15"/>
  <c r="T81" i="15"/>
  <c r="U81" i="15"/>
  <c r="V81" i="15"/>
  <c r="W81" i="15"/>
  <c r="T65" i="15"/>
  <c r="U65" i="15"/>
  <c r="V65" i="15"/>
  <c r="W65" i="15"/>
  <c r="T49" i="15"/>
  <c r="U49" i="15"/>
  <c r="V49" i="15"/>
  <c r="W49" i="15"/>
  <c r="T33" i="15"/>
  <c r="U33" i="15"/>
  <c r="V33" i="15"/>
  <c r="W33" i="15"/>
  <c r="V17" i="15"/>
  <c r="W17" i="15"/>
  <c r="T17" i="15"/>
  <c r="V46" i="15"/>
  <c r="W46" i="15"/>
  <c r="T46" i="15"/>
  <c r="U46" i="15"/>
  <c r="T384" i="15"/>
  <c r="U384" i="15"/>
  <c r="V384" i="15"/>
  <c r="W384" i="15"/>
  <c r="T368" i="15"/>
  <c r="U368" i="15"/>
  <c r="V368" i="15"/>
  <c r="W368" i="15"/>
  <c r="T352" i="15"/>
  <c r="U352" i="15"/>
  <c r="V352" i="15"/>
  <c r="W352" i="15"/>
  <c r="W336" i="15"/>
  <c r="T336" i="15"/>
  <c r="U336" i="15"/>
  <c r="V336" i="15"/>
  <c r="T320" i="15"/>
  <c r="U320" i="15"/>
  <c r="V320" i="15"/>
  <c r="W320" i="15"/>
  <c r="T304" i="15"/>
  <c r="U304" i="15"/>
  <c r="V304" i="15"/>
  <c r="W304" i="15"/>
  <c r="T288" i="15"/>
  <c r="U288" i="15"/>
  <c r="V288" i="15"/>
  <c r="W288" i="15"/>
  <c r="T272" i="15"/>
  <c r="U272" i="15"/>
  <c r="V272" i="15"/>
  <c r="W272" i="15"/>
  <c r="T256" i="15"/>
  <c r="V256" i="15"/>
  <c r="W256" i="15"/>
  <c r="U256" i="15"/>
  <c r="W240" i="15"/>
  <c r="T240" i="15"/>
  <c r="U240" i="15"/>
  <c r="V240" i="15"/>
  <c r="T208" i="15"/>
  <c r="V208" i="15"/>
  <c r="W208" i="15"/>
  <c r="U208" i="15"/>
  <c r="T192" i="15"/>
  <c r="U192" i="15"/>
  <c r="V192" i="15"/>
  <c r="W192" i="15"/>
  <c r="T176" i="15"/>
  <c r="U176" i="15"/>
  <c r="V176" i="15"/>
  <c r="W176" i="15"/>
  <c r="V160" i="15"/>
  <c r="W160" i="15"/>
  <c r="T160" i="15"/>
  <c r="U160" i="15"/>
  <c r="T149" i="15"/>
  <c r="U149" i="15"/>
  <c r="V149" i="15"/>
  <c r="W149" i="15"/>
  <c r="T128" i="15"/>
  <c r="U128" i="15"/>
  <c r="V128" i="15"/>
  <c r="W128" i="15"/>
  <c r="T112" i="15"/>
  <c r="U112" i="15"/>
  <c r="V112" i="15"/>
  <c r="W112" i="15"/>
  <c r="T96" i="15"/>
  <c r="U96" i="15"/>
  <c r="V96" i="15"/>
  <c r="W96" i="15"/>
  <c r="T80" i="15"/>
  <c r="U80" i="15"/>
  <c r="V80" i="15"/>
  <c r="W80" i="15"/>
  <c r="T64" i="15"/>
  <c r="U64" i="15"/>
  <c r="V64" i="15"/>
  <c r="W64" i="15"/>
  <c r="U48" i="15"/>
  <c r="V48" i="15"/>
  <c r="W48" i="15"/>
  <c r="T48" i="15"/>
  <c r="T32" i="15"/>
  <c r="U32" i="15"/>
  <c r="V32" i="15"/>
  <c r="W32" i="15"/>
  <c r="T16" i="15"/>
  <c r="U16" i="15"/>
  <c r="V16" i="15"/>
  <c r="W16" i="15"/>
  <c r="L113" i="9" l="1"/>
  <c r="L112" i="9"/>
  <c r="AF496" i="9"/>
  <c r="J15" i="9"/>
  <c r="L31" i="9"/>
  <c r="L241" i="9"/>
  <c r="J14" i="21"/>
  <c r="J11" i="21"/>
  <c r="E14" i="21"/>
  <c r="E11" i="21"/>
  <c r="L96" i="9"/>
  <c r="S96" i="9" s="1"/>
  <c r="L96" i="12"/>
  <c r="E12" i="21"/>
  <c r="J12" i="21"/>
  <c r="J96" i="12"/>
  <c r="J96" i="9"/>
  <c r="J95" i="9"/>
  <c r="J94" i="9"/>
  <c r="L95" i="9"/>
  <c r="L94" i="9"/>
  <c r="L103" i="9"/>
  <c r="L100" i="9"/>
  <c r="J100" i="9"/>
  <c r="L102" i="9"/>
  <c r="L104" i="9"/>
  <c r="L191" i="9"/>
  <c r="L191" i="12"/>
  <c r="J191" i="9"/>
  <c r="L97" i="9" l="1"/>
  <c r="K96" i="12"/>
  <c r="J97" i="9"/>
  <c r="K112" i="9" s="1"/>
  <c r="K96" i="9"/>
  <c r="R96" i="9"/>
  <c r="J9" i="21"/>
  <c r="J15" i="21"/>
  <c r="E9" i="21"/>
  <c r="E15" i="21"/>
  <c r="E24" i="21"/>
  <c r="G11" i="21"/>
  <c r="H11" i="21" s="1"/>
  <c r="E23" i="21"/>
  <c r="G23" i="21" s="1"/>
  <c r="H23" i="21" s="1"/>
  <c r="G30" i="21"/>
  <c r="E25" i="21"/>
  <c r="G25" i="21" s="1"/>
  <c r="H25" i="21" s="1"/>
  <c r="G14" i="21"/>
  <c r="H14" i="21" s="1"/>
  <c r="K100" i="9"/>
  <c r="L105" i="9"/>
  <c r="K94" i="9"/>
  <c r="K95" i="9"/>
  <c r="E22" i="21" l="1"/>
  <c r="E26" i="21"/>
  <c r="K97" i="9"/>
  <c r="L108" i="9"/>
  <c r="K104" i="9"/>
  <c r="R104" i="9" s="1"/>
  <c r="J108" i="9"/>
  <c r="J105" i="9"/>
  <c r="K102" i="9"/>
  <c r="R102" i="9" s="1"/>
  <c r="K103" i="9"/>
  <c r="R103" i="9" s="1"/>
  <c r="K108" i="9" l="1"/>
  <c r="K105" i="9"/>
  <c r="AH467" i="12" l="1"/>
  <c r="AI465" i="12"/>
  <c r="AH465" i="12"/>
  <c r="AI464" i="12"/>
  <c r="AH464" i="12"/>
  <c r="AI463" i="12"/>
  <c r="AH463" i="12"/>
  <c r="N352" i="12"/>
  <c r="N288" i="12"/>
  <c r="N232" i="12"/>
  <c r="M182" i="12"/>
  <c r="AH467" i="9"/>
  <c r="N352" i="9"/>
  <c r="N288" i="9"/>
  <c r="N232" i="9"/>
  <c r="M182" i="9"/>
  <c r="S1" i="12" l="1"/>
  <c r="S1" i="9"/>
  <c r="S89" i="9" s="1"/>
  <c r="K182" i="9"/>
  <c r="I69" i="8"/>
  <c r="I61" i="8"/>
  <c r="I49" i="8"/>
  <c r="I37" i="8"/>
  <c r="G69" i="8"/>
  <c r="G61" i="8"/>
  <c r="G49" i="8"/>
  <c r="G37" i="8"/>
  <c r="E69" i="8"/>
  <c r="E61" i="8"/>
  <c r="E49" i="8"/>
  <c r="E37" i="8"/>
  <c r="I20" i="8"/>
  <c r="G20" i="8"/>
  <c r="E20" i="8"/>
  <c r="S1055" i="17" l="1"/>
  <c r="R1055" i="17"/>
  <c r="Q1055" i="17"/>
  <c r="P1055" i="17" s="1"/>
  <c r="M1055" i="17"/>
  <c r="W1055" i="17"/>
  <c r="S1054" i="17"/>
  <c r="R1054" i="17"/>
  <c r="Q1054" i="17"/>
  <c r="M1054" i="17"/>
  <c r="U1054" i="17"/>
  <c r="S1053" i="17"/>
  <c r="R1053" i="17"/>
  <c r="Q1053" i="17"/>
  <c r="P1053" i="17" s="1"/>
  <c r="M1053" i="17"/>
  <c r="W1053" i="17"/>
  <c r="S1052" i="17"/>
  <c r="R1052" i="17"/>
  <c r="Q1052" i="17"/>
  <c r="M1052" i="17"/>
  <c r="T1052" i="17"/>
  <c r="U1051" i="17"/>
  <c r="S1051" i="17"/>
  <c r="R1051" i="17"/>
  <c r="Q1051" i="17"/>
  <c r="M1051" i="17"/>
  <c r="W1051" i="17"/>
  <c r="S1050" i="17"/>
  <c r="R1050" i="17"/>
  <c r="Q1050" i="17"/>
  <c r="M1050" i="17"/>
  <c r="T1050" i="17"/>
  <c r="S1049" i="17"/>
  <c r="R1049" i="17"/>
  <c r="Q1049" i="17"/>
  <c r="P1049" i="17" s="1"/>
  <c r="M1049" i="17"/>
  <c r="W1049" i="17"/>
  <c r="S1048" i="17"/>
  <c r="R1048" i="17"/>
  <c r="Q1048" i="17"/>
  <c r="M1048" i="17"/>
  <c r="S1047" i="17"/>
  <c r="R1047" i="17"/>
  <c r="Q1047" i="17"/>
  <c r="O1047" i="17" s="1"/>
  <c r="M1047" i="17"/>
  <c r="W1047" i="17"/>
  <c r="S1046" i="17"/>
  <c r="R1046" i="17"/>
  <c r="Q1046" i="17"/>
  <c r="M1046" i="17"/>
  <c r="V1045" i="17"/>
  <c r="S1045" i="17"/>
  <c r="R1045" i="17"/>
  <c r="Q1045" i="17"/>
  <c r="N1045" i="17" s="1"/>
  <c r="M1045" i="17"/>
  <c r="T1045" i="17"/>
  <c r="S1044" i="17"/>
  <c r="R1044" i="17"/>
  <c r="Q1044" i="17"/>
  <c r="M1044" i="17"/>
  <c r="U1044" i="17"/>
  <c r="S1043" i="17"/>
  <c r="R1043" i="17"/>
  <c r="Q1043" i="17"/>
  <c r="M1043" i="17"/>
  <c r="T1043" i="17"/>
  <c r="S1042" i="17"/>
  <c r="R1042" i="17"/>
  <c r="Q1042" i="17"/>
  <c r="M1042" i="17"/>
  <c r="U1042" i="17"/>
  <c r="S1041" i="17"/>
  <c r="R1041" i="17"/>
  <c r="Q1041" i="17"/>
  <c r="P1041" i="17" s="1"/>
  <c r="M1041" i="17"/>
  <c r="T1041" i="17"/>
  <c r="S1040" i="17"/>
  <c r="R1040" i="17"/>
  <c r="Q1040" i="17"/>
  <c r="M1040" i="17"/>
  <c r="U1040" i="17"/>
  <c r="S1039" i="17"/>
  <c r="R1039" i="17"/>
  <c r="Q1039" i="17"/>
  <c r="P1039" i="17" s="1"/>
  <c r="M1039" i="17"/>
  <c r="T1039" i="17"/>
  <c r="S1038" i="17"/>
  <c r="R1038" i="17"/>
  <c r="Q1038" i="17"/>
  <c r="M1038" i="17"/>
  <c r="S1037" i="17"/>
  <c r="R1037" i="17"/>
  <c r="Q1037" i="17"/>
  <c r="N1037" i="17" s="1"/>
  <c r="M1037" i="17"/>
  <c r="T1037" i="17"/>
  <c r="S1036" i="17"/>
  <c r="R1036" i="17"/>
  <c r="Q1036" i="17"/>
  <c r="M1036" i="17"/>
  <c r="U1036" i="17"/>
  <c r="S1035" i="17"/>
  <c r="R1035" i="17"/>
  <c r="Q1035" i="17"/>
  <c r="M1035" i="17"/>
  <c r="T1035" i="17"/>
  <c r="S1034" i="17"/>
  <c r="R1034" i="17"/>
  <c r="Q1034" i="17"/>
  <c r="M1034" i="17"/>
  <c r="U1034" i="17"/>
  <c r="S1033" i="17"/>
  <c r="R1033" i="17"/>
  <c r="Q1033" i="17"/>
  <c r="O1033" i="17" s="1"/>
  <c r="M1033" i="17"/>
  <c r="T1033" i="17"/>
  <c r="S1032" i="17"/>
  <c r="R1032" i="17"/>
  <c r="Q1032" i="17"/>
  <c r="M1032" i="17"/>
  <c r="U1032" i="17"/>
  <c r="V1031" i="17"/>
  <c r="S1031" i="17"/>
  <c r="R1031" i="17"/>
  <c r="Q1031" i="17"/>
  <c r="O1031" i="17" s="1"/>
  <c r="M1031" i="17"/>
  <c r="T1031" i="17"/>
  <c r="S1030" i="17"/>
  <c r="R1030" i="17"/>
  <c r="Q1030" i="17"/>
  <c r="M1030" i="17"/>
  <c r="S1029" i="17"/>
  <c r="R1029" i="17"/>
  <c r="Q1029" i="17"/>
  <c r="N1029" i="17" s="1"/>
  <c r="M1029" i="17"/>
  <c r="T1029" i="17"/>
  <c r="S1028" i="17"/>
  <c r="R1028" i="17"/>
  <c r="Q1028" i="17"/>
  <c r="M1028" i="17"/>
  <c r="U1028" i="17"/>
  <c r="S1027" i="17"/>
  <c r="R1027" i="17"/>
  <c r="Q1027" i="17"/>
  <c r="M1027" i="17"/>
  <c r="T1027" i="17"/>
  <c r="S1026" i="17"/>
  <c r="R1026" i="17"/>
  <c r="Q1026" i="17"/>
  <c r="M1026" i="17"/>
  <c r="T1026" i="17"/>
  <c r="V1025" i="17"/>
  <c r="S1025" i="17"/>
  <c r="R1025" i="17"/>
  <c r="Q1025" i="17"/>
  <c r="O1025" i="17" s="1"/>
  <c r="M1025" i="17"/>
  <c r="T1025" i="17"/>
  <c r="S1024" i="17"/>
  <c r="R1024" i="17"/>
  <c r="Q1024" i="17"/>
  <c r="M1024" i="17"/>
  <c r="S1023" i="17"/>
  <c r="R1023" i="17"/>
  <c r="Q1023" i="17"/>
  <c r="O1023" i="17" s="1"/>
  <c r="M1023" i="17"/>
  <c r="T1023" i="17"/>
  <c r="S1022" i="17"/>
  <c r="R1022" i="17"/>
  <c r="Q1022" i="17"/>
  <c r="M1022" i="17"/>
  <c r="S1021" i="17"/>
  <c r="R1021" i="17"/>
  <c r="Q1021" i="17"/>
  <c r="N1021" i="17" s="1"/>
  <c r="M1021" i="17"/>
  <c r="T1021" i="17"/>
  <c r="S1020" i="17"/>
  <c r="R1020" i="17"/>
  <c r="Q1020" i="17"/>
  <c r="M1020" i="17"/>
  <c r="U1020" i="17"/>
  <c r="S1019" i="17"/>
  <c r="R1019" i="17"/>
  <c r="Q1019" i="17"/>
  <c r="N1019" i="17" s="1"/>
  <c r="M1019" i="17"/>
  <c r="T1019" i="17"/>
  <c r="S1018" i="17"/>
  <c r="R1018" i="17"/>
  <c r="Q1018" i="17"/>
  <c r="M1018" i="17"/>
  <c r="U1018" i="17"/>
  <c r="S1017" i="17"/>
  <c r="R1017" i="17"/>
  <c r="Q1017" i="17"/>
  <c r="N1017" i="17" s="1"/>
  <c r="M1017" i="17"/>
  <c r="T1017" i="17"/>
  <c r="S1016" i="17"/>
  <c r="R1016" i="17"/>
  <c r="Q1016" i="17"/>
  <c r="M1016" i="17"/>
  <c r="U1016" i="17"/>
  <c r="S1015" i="17"/>
  <c r="R1015" i="17"/>
  <c r="Q1015" i="17"/>
  <c r="N1015" i="17" s="1"/>
  <c r="M1015" i="17"/>
  <c r="T1015" i="17"/>
  <c r="S1014" i="17"/>
  <c r="R1014" i="17"/>
  <c r="Q1014" i="17"/>
  <c r="M1014" i="17"/>
  <c r="T1014" i="17"/>
  <c r="S1013" i="17"/>
  <c r="R1013" i="17"/>
  <c r="Q1013" i="17"/>
  <c r="M1013" i="17"/>
  <c r="T1013" i="17"/>
  <c r="S1012" i="17"/>
  <c r="R1012" i="17"/>
  <c r="Q1012" i="17"/>
  <c r="M1012" i="17"/>
  <c r="U1012" i="17"/>
  <c r="S1011" i="17"/>
  <c r="R1011" i="17"/>
  <c r="Q1011" i="17"/>
  <c r="O1011" i="17" s="1"/>
  <c r="M1011" i="17"/>
  <c r="T1011" i="17"/>
  <c r="S1010" i="17"/>
  <c r="R1010" i="17"/>
  <c r="Q1010" i="17"/>
  <c r="M1010" i="17"/>
  <c r="T1010" i="17"/>
  <c r="S1009" i="17"/>
  <c r="R1009" i="17"/>
  <c r="Q1009" i="17"/>
  <c r="P1009" i="17" s="1"/>
  <c r="M1009" i="17"/>
  <c r="T1009" i="17"/>
  <c r="S1008" i="17"/>
  <c r="R1008" i="17"/>
  <c r="Q1008" i="17"/>
  <c r="M1008" i="17"/>
  <c r="T1008" i="17"/>
  <c r="S1007" i="17"/>
  <c r="R1007" i="17"/>
  <c r="Q1007" i="17"/>
  <c r="N1007" i="17" s="1"/>
  <c r="M1007" i="17"/>
  <c r="T1007" i="17"/>
  <c r="S1006" i="17"/>
  <c r="R1006" i="17"/>
  <c r="Q1006" i="17"/>
  <c r="M1006" i="17"/>
  <c r="S1005" i="17"/>
  <c r="R1005" i="17"/>
  <c r="Q1005" i="17"/>
  <c r="P1005" i="17" s="1"/>
  <c r="M1005" i="17"/>
  <c r="T1005" i="17"/>
  <c r="T1004" i="17"/>
  <c r="S1004" i="17"/>
  <c r="R1004" i="17"/>
  <c r="Q1004" i="17"/>
  <c r="M1004" i="17"/>
  <c r="U1004" i="17"/>
  <c r="S1003" i="17"/>
  <c r="R1003" i="17"/>
  <c r="Q1003" i="17"/>
  <c r="N1003" i="17" s="1"/>
  <c r="M1003" i="17"/>
  <c r="T1003" i="17"/>
  <c r="S1002" i="17"/>
  <c r="R1002" i="17"/>
  <c r="Q1002" i="17"/>
  <c r="M1002" i="17"/>
  <c r="U1002" i="17"/>
  <c r="S1001" i="17"/>
  <c r="R1001" i="17"/>
  <c r="Q1001" i="17"/>
  <c r="O1001" i="17" s="1"/>
  <c r="M1001" i="17"/>
  <c r="T1001" i="17"/>
  <c r="S1000" i="17"/>
  <c r="R1000" i="17"/>
  <c r="Q1000" i="17"/>
  <c r="M1000" i="17"/>
  <c r="T1000" i="17"/>
  <c r="V999" i="17"/>
  <c r="S999" i="17"/>
  <c r="R999" i="17"/>
  <c r="Q999" i="17"/>
  <c r="O999" i="17" s="1"/>
  <c r="M999" i="17"/>
  <c r="T999" i="17"/>
  <c r="S998" i="17"/>
  <c r="R998" i="17"/>
  <c r="Q998" i="17"/>
  <c r="M998" i="17"/>
  <c r="T998" i="17"/>
  <c r="S997" i="17"/>
  <c r="R997" i="17"/>
  <c r="Q997" i="17"/>
  <c r="M997" i="17"/>
  <c r="T997" i="17"/>
  <c r="S996" i="17"/>
  <c r="R996" i="17"/>
  <c r="Q996" i="17"/>
  <c r="M996" i="17"/>
  <c r="U996" i="17"/>
  <c r="S995" i="17"/>
  <c r="R995" i="17"/>
  <c r="Q995" i="17"/>
  <c r="O995" i="17" s="1"/>
  <c r="M995" i="17"/>
  <c r="T995" i="17"/>
  <c r="S994" i="17"/>
  <c r="R994" i="17"/>
  <c r="Q994" i="17"/>
  <c r="M994" i="17"/>
  <c r="U994" i="17"/>
  <c r="W993" i="17"/>
  <c r="S993" i="17"/>
  <c r="R993" i="17"/>
  <c r="Q993" i="17"/>
  <c r="O993" i="17" s="1"/>
  <c r="M993" i="17"/>
  <c r="T993" i="17"/>
  <c r="S992" i="17"/>
  <c r="R992" i="17"/>
  <c r="Q992" i="17"/>
  <c r="M992" i="17"/>
  <c r="U992" i="17"/>
  <c r="S991" i="17"/>
  <c r="R991" i="17"/>
  <c r="Q991" i="17"/>
  <c r="P991" i="17" s="1"/>
  <c r="M991" i="17"/>
  <c r="T991" i="17"/>
  <c r="S990" i="17"/>
  <c r="R990" i="17"/>
  <c r="Q990" i="17"/>
  <c r="M990" i="17"/>
  <c r="S989" i="17"/>
  <c r="R989" i="17"/>
  <c r="Q989" i="17"/>
  <c r="P989" i="17" s="1"/>
  <c r="M989" i="17"/>
  <c r="T989" i="17"/>
  <c r="S988" i="17"/>
  <c r="R988" i="17"/>
  <c r="Q988" i="17"/>
  <c r="M988" i="17"/>
  <c r="T988" i="17"/>
  <c r="V987" i="17"/>
  <c r="S987" i="17"/>
  <c r="R987" i="17"/>
  <c r="Q987" i="17"/>
  <c r="P987" i="17" s="1"/>
  <c r="M987" i="17"/>
  <c r="T987" i="17"/>
  <c r="S986" i="17"/>
  <c r="R986" i="17"/>
  <c r="Q986" i="17"/>
  <c r="M986" i="17"/>
  <c r="U986" i="17"/>
  <c r="S985" i="17"/>
  <c r="R985" i="17"/>
  <c r="Q985" i="17"/>
  <c r="N985" i="17" s="1"/>
  <c r="M985" i="17"/>
  <c r="S984" i="17"/>
  <c r="R984" i="17"/>
  <c r="Q984" i="17"/>
  <c r="M984" i="17"/>
  <c r="S983" i="17"/>
  <c r="R983" i="17"/>
  <c r="Q983" i="17"/>
  <c r="P983" i="17" s="1"/>
  <c r="M983" i="17"/>
  <c r="W983" i="17"/>
  <c r="S982" i="17"/>
  <c r="R982" i="17"/>
  <c r="Q982" i="17"/>
  <c r="P982" i="17" s="1"/>
  <c r="M982" i="17"/>
  <c r="U982" i="17"/>
  <c r="S981" i="17"/>
  <c r="R981" i="17"/>
  <c r="Q981" i="17"/>
  <c r="M981" i="17"/>
  <c r="S980" i="17"/>
  <c r="R980" i="17"/>
  <c r="Q980" i="17"/>
  <c r="M980" i="17"/>
  <c r="S979" i="17"/>
  <c r="R979" i="17"/>
  <c r="Q979" i="17"/>
  <c r="P979" i="17" s="1"/>
  <c r="M979" i="17"/>
  <c r="T979" i="17"/>
  <c r="S978" i="17"/>
  <c r="R978" i="17"/>
  <c r="Q978" i="17"/>
  <c r="O978" i="17" s="1"/>
  <c r="M978" i="17"/>
  <c r="U978" i="17"/>
  <c r="S977" i="17"/>
  <c r="R977" i="17"/>
  <c r="Q977" i="17"/>
  <c r="P977" i="17" s="1"/>
  <c r="M977" i="17"/>
  <c r="S976" i="17"/>
  <c r="R976" i="17"/>
  <c r="Q976" i="17"/>
  <c r="M976" i="17"/>
  <c r="W976" i="17"/>
  <c r="S975" i="17"/>
  <c r="R975" i="17"/>
  <c r="Q975" i="17"/>
  <c r="M975" i="17"/>
  <c r="T975" i="17"/>
  <c r="S974" i="17"/>
  <c r="R974" i="17"/>
  <c r="Q974" i="17"/>
  <c r="O974" i="17" s="1"/>
  <c r="M974" i="17"/>
  <c r="U974" i="17"/>
  <c r="S973" i="17"/>
  <c r="R973" i="17"/>
  <c r="Q973" i="17"/>
  <c r="P973" i="17" s="1"/>
  <c r="M973" i="17"/>
  <c r="T973" i="17"/>
  <c r="S972" i="17"/>
  <c r="R972" i="17"/>
  <c r="Q972" i="17"/>
  <c r="N972" i="17" s="1"/>
  <c r="M972" i="17"/>
  <c r="T972" i="17"/>
  <c r="S971" i="17"/>
  <c r="R971" i="17"/>
  <c r="Q971" i="17"/>
  <c r="N971" i="17" s="1"/>
  <c r="M971" i="17"/>
  <c r="V971" i="17"/>
  <c r="S970" i="17"/>
  <c r="R970" i="17"/>
  <c r="Q970" i="17"/>
  <c r="M970" i="17"/>
  <c r="T970" i="17"/>
  <c r="S969" i="17"/>
  <c r="R969" i="17"/>
  <c r="Q969" i="17"/>
  <c r="N969" i="17" s="1"/>
  <c r="M969" i="17"/>
  <c r="V969" i="17"/>
  <c r="S968" i="17"/>
  <c r="R968" i="17"/>
  <c r="Q968" i="17"/>
  <c r="M968" i="17"/>
  <c r="W968" i="17"/>
  <c r="S967" i="17"/>
  <c r="R967" i="17"/>
  <c r="Q967" i="17"/>
  <c r="M967" i="17"/>
  <c r="S966" i="17"/>
  <c r="R966" i="17"/>
  <c r="Q966" i="17"/>
  <c r="P966" i="17" s="1"/>
  <c r="M966" i="17"/>
  <c r="U966" i="17"/>
  <c r="S965" i="17"/>
  <c r="R965" i="17"/>
  <c r="Q965" i="17"/>
  <c r="P965" i="17" s="1"/>
  <c r="M965" i="17"/>
  <c r="W965" i="17"/>
  <c r="S964" i="17"/>
  <c r="R964" i="17"/>
  <c r="Q964" i="17"/>
  <c r="P964" i="17" s="1"/>
  <c r="M964" i="17"/>
  <c r="S963" i="17"/>
  <c r="R963" i="17"/>
  <c r="Q963" i="17"/>
  <c r="N963" i="17" s="1"/>
  <c r="M963" i="17"/>
  <c r="W963" i="17"/>
  <c r="S962" i="17"/>
  <c r="R962" i="17"/>
  <c r="Q962" i="17"/>
  <c r="P962" i="17" s="1"/>
  <c r="M962" i="17"/>
  <c r="S961" i="17"/>
  <c r="R961" i="17"/>
  <c r="Q961" i="17"/>
  <c r="N961" i="17" s="1"/>
  <c r="M961" i="17"/>
  <c r="S960" i="17"/>
  <c r="R960" i="17"/>
  <c r="Q960" i="17"/>
  <c r="M960" i="17"/>
  <c r="W960" i="17"/>
  <c r="S959" i="17"/>
  <c r="R959" i="17"/>
  <c r="Q959" i="17"/>
  <c r="M959" i="17"/>
  <c r="V959" i="17"/>
  <c r="S958" i="17"/>
  <c r="R958" i="17"/>
  <c r="Q958" i="17"/>
  <c r="M958" i="17"/>
  <c r="W958" i="17"/>
  <c r="S957" i="17"/>
  <c r="R957" i="17"/>
  <c r="Q957" i="17"/>
  <c r="N957" i="17" s="1"/>
  <c r="M957" i="17"/>
  <c r="S956" i="17"/>
  <c r="R956" i="17"/>
  <c r="Q956" i="17"/>
  <c r="O956" i="17" s="1"/>
  <c r="M956" i="17"/>
  <c r="V956" i="17"/>
  <c r="S955" i="17"/>
  <c r="R955" i="17"/>
  <c r="Q955" i="17"/>
  <c r="P955" i="17" s="1"/>
  <c r="M955" i="17"/>
  <c r="U955" i="17"/>
  <c r="S954" i="17"/>
  <c r="R954" i="17"/>
  <c r="Q954" i="17"/>
  <c r="O954" i="17" s="1"/>
  <c r="M954" i="17"/>
  <c r="T954" i="17"/>
  <c r="S953" i="17"/>
  <c r="R953" i="17"/>
  <c r="Q953" i="17"/>
  <c r="O953" i="17" s="1"/>
  <c r="M953" i="17"/>
  <c r="V953" i="17"/>
  <c r="S952" i="17"/>
  <c r="R952" i="17"/>
  <c r="Q952" i="17"/>
  <c r="P952" i="17" s="1"/>
  <c r="M952" i="17"/>
  <c r="T952" i="17"/>
  <c r="T951" i="17"/>
  <c r="S951" i="17"/>
  <c r="R951" i="17"/>
  <c r="Q951" i="17"/>
  <c r="P951" i="17" s="1"/>
  <c r="M951" i="17"/>
  <c r="V951" i="17"/>
  <c r="S950" i="17"/>
  <c r="R950" i="17"/>
  <c r="Q950" i="17"/>
  <c r="P950" i="17" s="1"/>
  <c r="M950" i="17"/>
  <c r="U950" i="17"/>
  <c r="S949" i="17"/>
  <c r="R949" i="17"/>
  <c r="Q949" i="17"/>
  <c r="N949" i="17" s="1"/>
  <c r="M949" i="17"/>
  <c r="V949" i="17"/>
  <c r="S948" i="17"/>
  <c r="R948" i="17"/>
  <c r="Q948" i="17"/>
  <c r="M948" i="17"/>
  <c r="S947" i="17"/>
  <c r="R947" i="17"/>
  <c r="Q947" i="17"/>
  <c r="P947" i="17" s="1"/>
  <c r="M947" i="17"/>
  <c r="S946" i="17"/>
  <c r="R946" i="17"/>
  <c r="Q946" i="17"/>
  <c r="O946" i="17" s="1"/>
  <c r="M946" i="17"/>
  <c r="T946" i="17"/>
  <c r="S945" i="17"/>
  <c r="R945" i="17"/>
  <c r="Q945" i="17"/>
  <c r="O945" i="17" s="1"/>
  <c r="M945" i="17"/>
  <c r="U945" i="17"/>
  <c r="S944" i="17"/>
  <c r="R944" i="17"/>
  <c r="Q944" i="17"/>
  <c r="M944" i="17"/>
  <c r="S943" i="17"/>
  <c r="R943" i="17"/>
  <c r="Q943" i="17"/>
  <c r="M943" i="17"/>
  <c r="S942" i="17"/>
  <c r="R942" i="17"/>
  <c r="Q942" i="17"/>
  <c r="N942" i="17" s="1"/>
  <c r="M942" i="17"/>
  <c r="U942" i="17"/>
  <c r="S941" i="17"/>
  <c r="R941" i="17"/>
  <c r="Q941" i="17"/>
  <c r="M941" i="17"/>
  <c r="V941" i="17"/>
  <c r="S940" i="17"/>
  <c r="R940" i="17"/>
  <c r="Q940" i="17"/>
  <c r="N940" i="17" s="1"/>
  <c r="M940" i="17"/>
  <c r="S939" i="17"/>
  <c r="R939" i="17"/>
  <c r="Q939" i="17"/>
  <c r="N939" i="17" s="1"/>
  <c r="M939" i="17"/>
  <c r="S938" i="17"/>
  <c r="R938" i="17"/>
  <c r="Q938" i="17"/>
  <c r="M938" i="17"/>
  <c r="T938" i="17"/>
  <c r="S937" i="17"/>
  <c r="R937" i="17"/>
  <c r="Q937" i="17"/>
  <c r="P937" i="17" s="1"/>
  <c r="M937" i="17"/>
  <c r="W937" i="17"/>
  <c r="S936" i="17"/>
  <c r="R936" i="17"/>
  <c r="Q936" i="17"/>
  <c r="O936" i="17" s="1"/>
  <c r="M936" i="17"/>
  <c r="S935" i="17"/>
  <c r="R935" i="17"/>
  <c r="Q935" i="17"/>
  <c r="M935" i="17"/>
  <c r="S934" i="17"/>
  <c r="R934" i="17"/>
  <c r="Q934" i="17"/>
  <c r="N934" i="17" s="1"/>
  <c r="M934" i="17"/>
  <c r="S933" i="17"/>
  <c r="R933" i="17"/>
  <c r="Q933" i="17"/>
  <c r="O933" i="17" s="1"/>
  <c r="M933" i="17"/>
  <c r="V933" i="17"/>
  <c r="S932" i="17"/>
  <c r="R932" i="17"/>
  <c r="Q932" i="17"/>
  <c r="M932" i="17"/>
  <c r="S931" i="17"/>
  <c r="R931" i="17"/>
  <c r="Q931" i="17"/>
  <c r="M931" i="17"/>
  <c r="S930" i="17"/>
  <c r="R930" i="17"/>
  <c r="Q930" i="17"/>
  <c r="P930" i="17" s="1"/>
  <c r="M930" i="17"/>
  <c r="T930" i="17"/>
  <c r="S929" i="17"/>
  <c r="R929" i="17"/>
  <c r="Q929" i="17"/>
  <c r="P929" i="17" s="1"/>
  <c r="M929" i="17"/>
  <c r="S928" i="17"/>
  <c r="R928" i="17"/>
  <c r="Q928" i="17"/>
  <c r="M928" i="17"/>
  <c r="W928" i="17"/>
  <c r="S927" i="17"/>
  <c r="R927" i="17"/>
  <c r="Q927" i="17"/>
  <c r="O927" i="17" s="1"/>
  <c r="M927" i="17"/>
  <c r="W927" i="17"/>
  <c r="W926" i="17"/>
  <c r="S926" i="17"/>
  <c r="R926" i="17"/>
  <c r="Q926" i="17"/>
  <c r="O926" i="17" s="1"/>
  <c r="M926" i="17"/>
  <c r="S925" i="17"/>
  <c r="R925" i="17"/>
  <c r="Q925" i="17"/>
  <c r="P925" i="17" s="1"/>
  <c r="M925" i="17"/>
  <c r="S924" i="17"/>
  <c r="R924" i="17"/>
  <c r="Q924" i="17"/>
  <c r="N924" i="17" s="1"/>
  <c r="M924" i="17"/>
  <c r="V924" i="17"/>
  <c r="S923" i="17"/>
  <c r="R923" i="17"/>
  <c r="Q923" i="17"/>
  <c r="O923" i="17" s="1"/>
  <c r="M923" i="17"/>
  <c r="S922" i="17"/>
  <c r="R922" i="17"/>
  <c r="Q922" i="17"/>
  <c r="P922" i="17" s="1"/>
  <c r="M922" i="17"/>
  <c r="S921" i="17"/>
  <c r="R921" i="17"/>
  <c r="Q921" i="17"/>
  <c r="M921" i="17"/>
  <c r="S920" i="17"/>
  <c r="R920" i="17"/>
  <c r="Q920" i="17"/>
  <c r="M920" i="17"/>
  <c r="S919" i="17"/>
  <c r="R919" i="17"/>
  <c r="Q919" i="17"/>
  <c r="N919" i="17" s="1"/>
  <c r="M919" i="17"/>
  <c r="V919" i="17"/>
  <c r="S918" i="17"/>
  <c r="R918" i="17"/>
  <c r="Q918" i="17"/>
  <c r="O918" i="17" s="1"/>
  <c r="M918" i="17"/>
  <c r="S917" i="17"/>
  <c r="R917" i="17"/>
  <c r="Q917" i="17"/>
  <c r="N917" i="17" s="1"/>
  <c r="M917" i="17"/>
  <c r="T917" i="17"/>
  <c r="S916" i="17"/>
  <c r="R916" i="17"/>
  <c r="Q916" i="17"/>
  <c r="P916" i="17" s="1"/>
  <c r="M916" i="17"/>
  <c r="S915" i="17"/>
  <c r="R915" i="17"/>
  <c r="Q915" i="17"/>
  <c r="P915" i="17" s="1"/>
  <c r="M915" i="17"/>
  <c r="S914" i="17"/>
  <c r="R914" i="17"/>
  <c r="Q914" i="17"/>
  <c r="M914" i="17"/>
  <c r="S913" i="17"/>
  <c r="R913" i="17"/>
  <c r="Q913" i="17"/>
  <c r="N913" i="17" s="1"/>
  <c r="M913" i="17"/>
  <c r="S912" i="17"/>
  <c r="R912" i="17"/>
  <c r="Q912" i="17"/>
  <c r="M912" i="17"/>
  <c r="W912" i="17"/>
  <c r="S911" i="17"/>
  <c r="R911" i="17"/>
  <c r="Q911" i="17"/>
  <c r="M911" i="17"/>
  <c r="V911" i="17"/>
  <c r="S910" i="17"/>
  <c r="R910" i="17"/>
  <c r="Q910" i="17"/>
  <c r="O910" i="17" s="1"/>
  <c r="M910" i="17"/>
  <c r="S909" i="17"/>
  <c r="R909" i="17"/>
  <c r="Q909" i="17"/>
  <c r="O909" i="17" s="1"/>
  <c r="M909" i="17"/>
  <c r="S908" i="17"/>
  <c r="R908" i="17"/>
  <c r="Q908" i="17"/>
  <c r="N908" i="17" s="1"/>
  <c r="M908" i="17"/>
  <c r="W908" i="17"/>
  <c r="S907" i="17"/>
  <c r="R907" i="17"/>
  <c r="Q907" i="17"/>
  <c r="M907" i="17"/>
  <c r="V907" i="17"/>
  <c r="S906" i="17"/>
  <c r="R906" i="17"/>
  <c r="Q906" i="17"/>
  <c r="O906" i="17" s="1"/>
  <c r="M906" i="17"/>
  <c r="W906" i="17"/>
  <c r="S905" i="17"/>
  <c r="R905" i="17"/>
  <c r="Q905" i="17"/>
  <c r="P905" i="17" s="1"/>
  <c r="M905" i="17"/>
  <c r="U905" i="17"/>
  <c r="S904" i="17"/>
  <c r="R904" i="17"/>
  <c r="Q904" i="17"/>
  <c r="O904" i="17" s="1"/>
  <c r="M904" i="17"/>
  <c r="W904" i="17"/>
  <c r="W903" i="17"/>
  <c r="S903" i="17"/>
  <c r="R903" i="17"/>
  <c r="Q903" i="17"/>
  <c r="M903" i="17"/>
  <c r="T903" i="17"/>
  <c r="S902" i="17"/>
  <c r="R902" i="17"/>
  <c r="Q902" i="17"/>
  <c r="O902" i="17" s="1"/>
  <c r="M902" i="17"/>
  <c r="S901" i="17"/>
  <c r="R901" i="17"/>
  <c r="Q901" i="17"/>
  <c r="O901" i="17" s="1"/>
  <c r="M901" i="17"/>
  <c r="T901" i="17"/>
  <c r="S900" i="17"/>
  <c r="R900" i="17"/>
  <c r="Q900" i="17"/>
  <c r="N900" i="17" s="1"/>
  <c r="M900" i="17"/>
  <c r="V900" i="17"/>
  <c r="S899" i="17"/>
  <c r="R899" i="17"/>
  <c r="Q899" i="17"/>
  <c r="P899" i="17" s="1"/>
  <c r="M899" i="17"/>
  <c r="S898" i="17"/>
  <c r="R898" i="17"/>
  <c r="Q898" i="17"/>
  <c r="M898" i="17"/>
  <c r="W898" i="17"/>
  <c r="S897" i="17"/>
  <c r="R897" i="17"/>
  <c r="Q897" i="17"/>
  <c r="M897" i="17"/>
  <c r="V897" i="17"/>
  <c r="S896" i="17"/>
  <c r="R896" i="17"/>
  <c r="Q896" i="17"/>
  <c r="M896" i="17"/>
  <c r="W896" i="17"/>
  <c r="S895" i="17"/>
  <c r="R895" i="17"/>
  <c r="Q895" i="17"/>
  <c r="M895" i="17"/>
  <c r="T895" i="17"/>
  <c r="S894" i="17"/>
  <c r="R894" i="17"/>
  <c r="Q894" i="17"/>
  <c r="M894" i="17"/>
  <c r="V894" i="17"/>
  <c r="S893" i="17"/>
  <c r="R893" i="17"/>
  <c r="Q893" i="17"/>
  <c r="N893" i="17" s="1"/>
  <c r="M893" i="17"/>
  <c r="S892" i="17"/>
  <c r="R892" i="17"/>
  <c r="Q892" i="17"/>
  <c r="P892" i="17" s="1"/>
  <c r="M892" i="17"/>
  <c r="U892" i="17"/>
  <c r="S891" i="17"/>
  <c r="R891" i="17"/>
  <c r="Q891" i="17"/>
  <c r="P891" i="17" s="1"/>
  <c r="M891" i="17"/>
  <c r="V891" i="17"/>
  <c r="S890" i="17"/>
  <c r="R890" i="17"/>
  <c r="Q890" i="17"/>
  <c r="M890" i="17"/>
  <c r="W890" i="17"/>
  <c r="S889" i="17"/>
  <c r="R889" i="17"/>
  <c r="Q889" i="17"/>
  <c r="M889" i="17"/>
  <c r="T889" i="17"/>
  <c r="S888" i="17"/>
  <c r="R888" i="17"/>
  <c r="Q888" i="17"/>
  <c r="P888" i="17" s="1"/>
  <c r="M888" i="17"/>
  <c r="V888" i="17"/>
  <c r="S887" i="17"/>
  <c r="R887" i="17"/>
  <c r="Q887" i="17"/>
  <c r="N887" i="17" s="1"/>
  <c r="M887" i="17"/>
  <c r="S886" i="17"/>
  <c r="R886" i="17"/>
  <c r="Q886" i="17"/>
  <c r="O886" i="17" s="1"/>
  <c r="M886" i="17"/>
  <c r="W886" i="17"/>
  <c r="W885" i="17"/>
  <c r="S885" i="17"/>
  <c r="R885" i="17"/>
  <c r="Q885" i="17"/>
  <c r="M885" i="17"/>
  <c r="T885" i="17"/>
  <c r="S884" i="17"/>
  <c r="R884" i="17"/>
  <c r="Q884" i="17"/>
  <c r="P884" i="17" s="1"/>
  <c r="M884" i="17"/>
  <c r="U884" i="17"/>
  <c r="S883" i="17"/>
  <c r="R883" i="17"/>
  <c r="Q883" i="17"/>
  <c r="P883" i="17" s="1"/>
  <c r="M883" i="17"/>
  <c r="W883" i="17"/>
  <c r="S882" i="17"/>
  <c r="R882" i="17"/>
  <c r="Q882" i="17"/>
  <c r="P882" i="17" s="1"/>
  <c r="M882" i="17"/>
  <c r="S881" i="17"/>
  <c r="R881" i="17"/>
  <c r="Q881" i="17"/>
  <c r="N881" i="17" s="1"/>
  <c r="M881" i="17"/>
  <c r="U881" i="17"/>
  <c r="S880" i="17"/>
  <c r="R880" i="17"/>
  <c r="Q880" i="17"/>
  <c r="M880" i="17"/>
  <c r="W880" i="17"/>
  <c r="S879" i="17"/>
  <c r="R879" i="17"/>
  <c r="Q879" i="17"/>
  <c r="N879" i="17" s="1"/>
  <c r="M879" i="17"/>
  <c r="S878" i="17"/>
  <c r="R878" i="17"/>
  <c r="Q878" i="17"/>
  <c r="O878" i="17" s="1"/>
  <c r="M878" i="17"/>
  <c r="V878" i="17"/>
  <c r="S877" i="17"/>
  <c r="R877" i="17"/>
  <c r="Q877" i="17"/>
  <c r="M877" i="17"/>
  <c r="S876" i="17"/>
  <c r="R876" i="17"/>
  <c r="Q876" i="17"/>
  <c r="N876" i="17" s="1"/>
  <c r="M876" i="17"/>
  <c r="S875" i="17"/>
  <c r="R875" i="17"/>
  <c r="Q875" i="17"/>
  <c r="P875" i="17" s="1"/>
  <c r="M875" i="17"/>
  <c r="S874" i="17"/>
  <c r="R874" i="17"/>
  <c r="Q874" i="17"/>
  <c r="N874" i="17" s="1"/>
  <c r="M874" i="17"/>
  <c r="W874" i="17"/>
  <c r="S873" i="17"/>
  <c r="R873" i="17"/>
  <c r="Q873" i="17"/>
  <c r="N873" i="17" s="1"/>
  <c r="M873" i="17"/>
  <c r="U873" i="17"/>
  <c r="S872" i="17"/>
  <c r="R872" i="17"/>
  <c r="Q872" i="17"/>
  <c r="M872" i="17"/>
  <c r="S871" i="17"/>
  <c r="R871" i="17"/>
  <c r="Q871" i="17"/>
  <c r="N871" i="17" s="1"/>
  <c r="M871" i="17"/>
  <c r="U871" i="17"/>
  <c r="S870" i="17"/>
  <c r="R870" i="17"/>
  <c r="Q870" i="17"/>
  <c r="O870" i="17" s="1"/>
  <c r="M870" i="17"/>
  <c r="S869" i="17"/>
  <c r="R869" i="17"/>
  <c r="Q869" i="17"/>
  <c r="O869" i="17" s="1"/>
  <c r="M869" i="17"/>
  <c r="T869" i="17"/>
  <c r="S868" i="17"/>
  <c r="R868" i="17"/>
  <c r="Q868" i="17"/>
  <c r="M868" i="17"/>
  <c r="V868" i="17"/>
  <c r="S867" i="17"/>
  <c r="R867" i="17"/>
  <c r="Q867" i="17"/>
  <c r="P867" i="17" s="1"/>
  <c r="M867" i="17"/>
  <c r="U866" i="17"/>
  <c r="S866" i="17"/>
  <c r="R866" i="17"/>
  <c r="Q866" i="17"/>
  <c r="M866" i="17"/>
  <c r="S865" i="17"/>
  <c r="R865" i="17"/>
  <c r="Q865" i="17"/>
  <c r="P865" i="17" s="1"/>
  <c r="M865" i="17"/>
  <c r="S864" i="17"/>
  <c r="R864" i="17"/>
  <c r="Q864" i="17"/>
  <c r="O864" i="17" s="1"/>
  <c r="M864" i="17"/>
  <c r="W864" i="17"/>
  <c r="V863" i="17"/>
  <c r="S863" i="17"/>
  <c r="R863" i="17"/>
  <c r="Q863" i="17"/>
  <c r="M863" i="17"/>
  <c r="T863" i="17"/>
  <c r="S862" i="17"/>
  <c r="R862" i="17"/>
  <c r="Q862" i="17"/>
  <c r="O862" i="17" s="1"/>
  <c r="M862" i="17"/>
  <c r="S861" i="17"/>
  <c r="R861" i="17"/>
  <c r="Q861" i="17"/>
  <c r="O861" i="17" s="1"/>
  <c r="M861" i="17"/>
  <c r="W861" i="17"/>
  <c r="T860" i="17"/>
  <c r="S860" i="17"/>
  <c r="R860" i="17"/>
  <c r="Q860" i="17"/>
  <c r="M860" i="17"/>
  <c r="U860" i="17"/>
  <c r="S859" i="17"/>
  <c r="R859" i="17"/>
  <c r="Q859" i="17"/>
  <c r="O859" i="17" s="1"/>
  <c r="M859" i="17"/>
  <c r="S858" i="17"/>
  <c r="R858" i="17"/>
  <c r="Q858" i="17"/>
  <c r="N858" i="17" s="1"/>
  <c r="M858" i="17"/>
  <c r="U858" i="17"/>
  <c r="S857" i="17"/>
  <c r="R857" i="17"/>
  <c r="Q857" i="17"/>
  <c r="M857" i="17"/>
  <c r="T857" i="17"/>
  <c r="S856" i="17"/>
  <c r="R856" i="17"/>
  <c r="Q856" i="17"/>
  <c r="P856" i="17" s="1"/>
  <c r="M856" i="17"/>
  <c r="V856" i="17"/>
  <c r="S855" i="17"/>
  <c r="R855" i="17"/>
  <c r="Q855" i="17"/>
  <c r="P855" i="17" s="1"/>
  <c r="M855" i="17"/>
  <c r="S854" i="17"/>
  <c r="R854" i="17"/>
  <c r="Q854" i="17"/>
  <c r="O854" i="17" s="1"/>
  <c r="M854" i="17"/>
  <c r="S853" i="17"/>
  <c r="R853" i="17"/>
  <c r="Q853" i="17"/>
  <c r="O853" i="17" s="1"/>
  <c r="M853" i="17"/>
  <c r="W852" i="17"/>
  <c r="S852" i="17"/>
  <c r="R852" i="17"/>
  <c r="Q852" i="17"/>
  <c r="P852" i="17" s="1"/>
  <c r="M852" i="17"/>
  <c r="V852" i="17"/>
  <c r="S851" i="17"/>
  <c r="R851" i="17"/>
  <c r="Q851" i="17"/>
  <c r="M851" i="17"/>
  <c r="W851" i="17"/>
  <c r="S850" i="17"/>
  <c r="R850" i="17"/>
  <c r="Q850" i="17"/>
  <c r="N850" i="17" s="1"/>
  <c r="M850" i="17"/>
  <c r="U850" i="17"/>
  <c r="W849" i="17"/>
  <c r="S849" i="17"/>
  <c r="R849" i="17"/>
  <c r="Q849" i="17"/>
  <c r="M849" i="17"/>
  <c r="T849" i="17"/>
  <c r="S848" i="17"/>
  <c r="R848" i="17"/>
  <c r="Q848" i="17"/>
  <c r="P848" i="17" s="1"/>
  <c r="M848" i="17"/>
  <c r="U848" i="17"/>
  <c r="S847" i="17"/>
  <c r="R847" i="17"/>
  <c r="Q847" i="17"/>
  <c r="N847" i="17" s="1"/>
  <c r="M847" i="17"/>
  <c r="V847" i="17"/>
  <c r="S846" i="17"/>
  <c r="R846" i="17"/>
  <c r="Q846" i="17"/>
  <c r="M846" i="17"/>
  <c r="S845" i="17"/>
  <c r="R845" i="17"/>
  <c r="Q845" i="17"/>
  <c r="P845" i="17" s="1"/>
  <c r="M845" i="17"/>
  <c r="S844" i="17"/>
  <c r="R844" i="17"/>
  <c r="Q844" i="17"/>
  <c r="O844" i="17" s="1"/>
  <c r="M844" i="17"/>
  <c r="U844" i="17"/>
  <c r="W843" i="17"/>
  <c r="S843" i="17"/>
  <c r="R843" i="17"/>
  <c r="Q843" i="17"/>
  <c r="M843" i="17"/>
  <c r="T843" i="17"/>
  <c r="S842" i="17"/>
  <c r="R842" i="17"/>
  <c r="Q842" i="17"/>
  <c r="O842" i="17" s="1"/>
  <c r="M842" i="17"/>
  <c r="W842" i="17"/>
  <c r="S841" i="17"/>
  <c r="R841" i="17"/>
  <c r="Q841" i="17"/>
  <c r="M841" i="17"/>
  <c r="U841" i="17"/>
  <c r="S840" i="17"/>
  <c r="R840" i="17"/>
  <c r="Q840" i="17"/>
  <c r="M840" i="17"/>
  <c r="W840" i="17"/>
  <c r="S839" i="17"/>
  <c r="R839" i="17"/>
  <c r="Q839" i="17"/>
  <c r="P839" i="17" s="1"/>
  <c r="M839" i="17"/>
  <c r="T839" i="17"/>
  <c r="S838" i="17"/>
  <c r="R838" i="17"/>
  <c r="Q838" i="17"/>
  <c r="O838" i="17" s="1"/>
  <c r="M838" i="17"/>
  <c r="W838" i="17"/>
  <c r="S837" i="17"/>
  <c r="R837" i="17"/>
  <c r="Q837" i="17"/>
  <c r="M837" i="17"/>
  <c r="S836" i="17"/>
  <c r="R836" i="17"/>
  <c r="Q836" i="17"/>
  <c r="P836" i="17" s="1"/>
  <c r="M836" i="17"/>
  <c r="U836" i="17"/>
  <c r="S835" i="17"/>
  <c r="R835" i="17"/>
  <c r="Q835" i="17"/>
  <c r="M835" i="17"/>
  <c r="S834" i="17"/>
  <c r="R834" i="17"/>
  <c r="Q834" i="17"/>
  <c r="O834" i="17" s="1"/>
  <c r="M834" i="17"/>
  <c r="T834" i="17"/>
  <c r="S833" i="17"/>
  <c r="R833" i="17"/>
  <c r="Q833" i="17"/>
  <c r="P833" i="17" s="1"/>
  <c r="M833" i="17"/>
  <c r="U833" i="17"/>
  <c r="S832" i="17"/>
  <c r="R832" i="17"/>
  <c r="Q832" i="17"/>
  <c r="M832" i="17"/>
  <c r="W832" i="17"/>
  <c r="S831" i="17"/>
  <c r="R831" i="17"/>
  <c r="Q831" i="17"/>
  <c r="P831" i="17" s="1"/>
  <c r="M831" i="17"/>
  <c r="T831" i="17"/>
  <c r="V830" i="17"/>
  <c r="T830" i="17"/>
  <c r="S830" i="17"/>
  <c r="R830" i="17"/>
  <c r="Q830" i="17"/>
  <c r="O830" i="17" s="1"/>
  <c r="M830" i="17"/>
  <c r="W830" i="17"/>
  <c r="S829" i="17"/>
  <c r="R829" i="17"/>
  <c r="Q829" i="17"/>
  <c r="M829" i="17"/>
  <c r="S828" i="17"/>
  <c r="R828" i="17"/>
  <c r="Q828" i="17"/>
  <c r="O828" i="17" s="1"/>
  <c r="M828" i="17"/>
  <c r="U828" i="17"/>
  <c r="S827" i="17"/>
  <c r="R827" i="17"/>
  <c r="Q827" i="17"/>
  <c r="O827" i="17" s="1"/>
  <c r="M827" i="17"/>
  <c r="T827" i="17"/>
  <c r="S826" i="17"/>
  <c r="R826" i="17"/>
  <c r="Q826" i="17"/>
  <c r="N826" i="17" s="1"/>
  <c r="M826" i="17"/>
  <c r="V826" i="17"/>
  <c r="S825" i="17"/>
  <c r="R825" i="17"/>
  <c r="Q825" i="17"/>
  <c r="P825" i="17" s="1"/>
  <c r="M825" i="17"/>
  <c r="V825" i="17"/>
  <c r="S824" i="17"/>
  <c r="R824" i="17"/>
  <c r="Q824" i="17"/>
  <c r="N824" i="17" s="1"/>
  <c r="M824" i="17"/>
  <c r="S823" i="17"/>
  <c r="R823" i="17"/>
  <c r="Q823" i="17"/>
  <c r="O823" i="17" s="1"/>
  <c r="M823" i="17"/>
  <c r="S822" i="17"/>
  <c r="R822" i="17"/>
  <c r="Q822" i="17"/>
  <c r="O822" i="17" s="1"/>
  <c r="M822" i="17"/>
  <c r="V822" i="17"/>
  <c r="S821" i="17"/>
  <c r="R821" i="17"/>
  <c r="Q821" i="17"/>
  <c r="P821" i="17" s="1"/>
  <c r="M821" i="17"/>
  <c r="S820" i="17"/>
  <c r="R820" i="17"/>
  <c r="Q820" i="17"/>
  <c r="P820" i="17" s="1"/>
  <c r="M820" i="17"/>
  <c r="T820" i="17"/>
  <c r="S819" i="17"/>
  <c r="R819" i="17"/>
  <c r="Q819" i="17"/>
  <c r="N819" i="17" s="1"/>
  <c r="M819" i="17"/>
  <c r="V819" i="17"/>
  <c r="S818" i="17"/>
  <c r="R818" i="17"/>
  <c r="Q818" i="17"/>
  <c r="P818" i="17" s="1"/>
  <c r="M818" i="17"/>
  <c r="U818" i="17"/>
  <c r="S817" i="17"/>
  <c r="R817" i="17"/>
  <c r="Q817" i="17"/>
  <c r="M817" i="17"/>
  <c r="T817" i="17"/>
  <c r="S816" i="17"/>
  <c r="R816" i="17"/>
  <c r="Q816" i="17"/>
  <c r="P816" i="17" s="1"/>
  <c r="M816" i="17"/>
  <c r="T816" i="17"/>
  <c r="S815" i="17"/>
  <c r="R815" i="17"/>
  <c r="Q815" i="17"/>
  <c r="N815" i="17" s="1"/>
  <c r="M815" i="17"/>
  <c r="S814" i="17"/>
  <c r="R814" i="17"/>
  <c r="Q814" i="17"/>
  <c r="O814" i="17" s="1"/>
  <c r="M814" i="17"/>
  <c r="W814" i="17"/>
  <c r="W813" i="17"/>
  <c r="S813" i="17"/>
  <c r="R813" i="17"/>
  <c r="Q813" i="17"/>
  <c r="N813" i="17" s="1"/>
  <c r="M813" i="17"/>
  <c r="T813" i="17"/>
  <c r="S812" i="17"/>
  <c r="R812" i="17"/>
  <c r="Q812" i="17"/>
  <c r="M812" i="17"/>
  <c r="S811" i="17"/>
  <c r="R811" i="17"/>
  <c r="Q811" i="17"/>
  <c r="P811" i="17" s="1"/>
  <c r="M811" i="17"/>
  <c r="S810" i="17"/>
  <c r="R810" i="17"/>
  <c r="Q810" i="17"/>
  <c r="P810" i="17" s="1"/>
  <c r="M810" i="17"/>
  <c r="T810" i="17"/>
  <c r="S809" i="17"/>
  <c r="R809" i="17"/>
  <c r="Q809" i="17"/>
  <c r="M809" i="17"/>
  <c r="T809" i="17"/>
  <c r="S808" i="17"/>
  <c r="R808" i="17"/>
  <c r="Q808" i="17"/>
  <c r="P808" i="17" s="1"/>
  <c r="M808" i="17"/>
  <c r="W808" i="17"/>
  <c r="S807" i="17"/>
  <c r="R807" i="17"/>
  <c r="Q807" i="17"/>
  <c r="M807" i="17"/>
  <c r="T807" i="17"/>
  <c r="S806" i="17"/>
  <c r="R806" i="17"/>
  <c r="Q806" i="17"/>
  <c r="O806" i="17" s="1"/>
  <c r="M806" i="17"/>
  <c r="V806" i="17"/>
  <c r="S805" i="17"/>
  <c r="R805" i="17"/>
  <c r="Q805" i="17"/>
  <c r="M805" i="17"/>
  <c r="T805" i="17"/>
  <c r="S804" i="17"/>
  <c r="R804" i="17"/>
  <c r="Q804" i="17"/>
  <c r="N804" i="17" s="1"/>
  <c r="M804" i="17"/>
  <c r="S803" i="17"/>
  <c r="R803" i="17"/>
  <c r="Q803" i="17"/>
  <c r="P803" i="17" s="1"/>
  <c r="M803" i="17"/>
  <c r="S802" i="17"/>
  <c r="R802" i="17"/>
  <c r="Q802" i="17"/>
  <c r="M802" i="17"/>
  <c r="W802" i="17"/>
  <c r="S801" i="17"/>
  <c r="R801" i="17"/>
  <c r="Q801" i="17"/>
  <c r="M801" i="17"/>
  <c r="T801" i="17"/>
  <c r="S800" i="17"/>
  <c r="R800" i="17"/>
  <c r="Q800" i="17"/>
  <c r="P800" i="17" s="1"/>
  <c r="M800" i="17"/>
  <c r="S799" i="17"/>
  <c r="R799" i="17"/>
  <c r="Q799" i="17"/>
  <c r="M799" i="17"/>
  <c r="S798" i="17"/>
  <c r="R798" i="17"/>
  <c r="Q798" i="17"/>
  <c r="P798" i="17" s="1"/>
  <c r="M798" i="17"/>
  <c r="S797" i="17"/>
  <c r="R797" i="17"/>
  <c r="Q797" i="17"/>
  <c r="N797" i="17" s="1"/>
  <c r="M797" i="17"/>
  <c r="W797" i="17"/>
  <c r="S796" i="17"/>
  <c r="R796" i="17"/>
  <c r="Q796" i="17"/>
  <c r="N796" i="17" s="1"/>
  <c r="M796" i="17"/>
  <c r="T796" i="17"/>
  <c r="S795" i="17"/>
  <c r="R795" i="17"/>
  <c r="Q795" i="17"/>
  <c r="P795" i="17" s="1"/>
  <c r="M795" i="17"/>
  <c r="V795" i="17"/>
  <c r="S794" i="17"/>
  <c r="R794" i="17"/>
  <c r="Q794" i="17"/>
  <c r="M794" i="17"/>
  <c r="W794" i="17"/>
  <c r="S793" i="17"/>
  <c r="R793" i="17"/>
  <c r="Q793" i="17"/>
  <c r="N793" i="17" s="1"/>
  <c r="M793" i="17"/>
  <c r="S792" i="17"/>
  <c r="R792" i="17"/>
  <c r="Q792" i="17"/>
  <c r="P792" i="17" s="1"/>
  <c r="M792" i="17"/>
  <c r="S791" i="17"/>
  <c r="R791" i="17"/>
  <c r="Q791" i="17"/>
  <c r="M791" i="17"/>
  <c r="V791" i="17"/>
  <c r="S790" i="17"/>
  <c r="R790" i="17"/>
  <c r="Q790" i="17"/>
  <c r="P790" i="17" s="1"/>
  <c r="M790" i="17"/>
  <c r="T790" i="17"/>
  <c r="S789" i="17"/>
  <c r="R789" i="17"/>
  <c r="Q789" i="17"/>
  <c r="P789" i="17" s="1"/>
  <c r="M789" i="17"/>
  <c r="W789" i="17"/>
  <c r="S788" i="17"/>
  <c r="R788" i="17"/>
  <c r="Q788" i="17"/>
  <c r="N788" i="17" s="1"/>
  <c r="M788" i="17"/>
  <c r="W788" i="17"/>
  <c r="S787" i="17"/>
  <c r="R787" i="17"/>
  <c r="Q787" i="17"/>
  <c r="P787" i="17" s="1"/>
  <c r="M787" i="17"/>
  <c r="W787" i="17"/>
  <c r="S786" i="17"/>
  <c r="R786" i="17"/>
  <c r="Q786" i="17"/>
  <c r="N786" i="17" s="1"/>
  <c r="M786" i="17"/>
  <c r="S785" i="17"/>
  <c r="R785" i="17"/>
  <c r="Q785" i="17"/>
  <c r="P785" i="17" s="1"/>
  <c r="M785" i="17"/>
  <c r="W785" i="17"/>
  <c r="S784" i="17"/>
  <c r="R784" i="17"/>
  <c r="Q784" i="17"/>
  <c r="N784" i="17" s="1"/>
  <c r="M784" i="17"/>
  <c r="W784" i="17"/>
  <c r="S783" i="17"/>
  <c r="R783" i="17"/>
  <c r="Q783" i="17"/>
  <c r="P783" i="17" s="1"/>
  <c r="M783" i="17"/>
  <c r="W783" i="17"/>
  <c r="S782" i="17"/>
  <c r="R782" i="17"/>
  <c r="Q782" i="17"/>
  <c r="P782" i="17" s="1"/>
  <c r="M782" i="17"/>
  <c r="S781" i="17"/>
  <c r="R781" i="17"/>
  <c r="Q781" i="17"/>
  <c r="P781" i="17" s="1"/>
  <c r="M781" i="17"/>
  <c r="W781" i="17"/>
  <c r="S780" i="17"/>
  <c r="R780" i="17"/>
  <c r="Q780" i="17"/>
  <c r="P780" i="17" s="1"/>
  <c r="M780" i="17"/>
  <c r="W780" i="17"/>
  <c r="S779" i="17"/>
  <c r="R779" i="17"/>
  <c r="Q779" i="17"/>
  <c r="P779" i="17" s="1"/>
  <c r="M779" i="17"/>
  <c r="W779" i="17"/>
  <c r="S778" i="17"/>
  <c r="R778" i="17"/>
  <c r="Q778" i="17"/>
  <c r="N778" i="17" s="1"/>
  <c r="M778" i="17"/>
  <c r="W778" i="17"/>
  <c r="S777" i="17"/>
  <c r="R777" i="17"/>
  <c r="Q777" i="17"/>
  <c r="P777" i="17" s="1"/>
  <c r="M777" i="17"/>
  <c r="W777" i="17"/>
  <c r="S776" i="17"/>
  <c r="R776" i="17"/>
  <c r="Q776" i="17"/>
  <c r="M776" i="17"/>
  <c r="W776" i="17"/>
  <c r="S775" i="17"/>
  <c r="R775" i="17"/>
  <c r="Q775" i="17"/>
  <c r="M775" i="17"/>
  <c r="W775" i="17"/>
  <c r="S774" i="17"/>
  <c r="R774" i="17"/>
  <c r="Q774" i="17"/>
  <c r="M774" i="17"/>
  <c r="W774" i="17"/>
  <c r="S773" i="17"/>
  <c r="R773" i="17"/>
  <c r="Q773" i="17"/>
  <c r="P773" i="17" s="1"/>
  <c r="M773" i="17"/>
  <c r="W773" i="17"/>
  <c r="S772" i="17"/>
  <c r="R772" i="17"/>
  <c r="Q772" i="17"/>
  <c r="O772" i="17" s="1"/>
  <c r="M772" i="17"/>
  <c r="W772" i="17"/>
  <c r="S771" i="17"/>
  <c r="R771" i="17"/>
  <c r="Q771" i="17"/>
  <c r="P771" i="17" s="1"/>
  <c r="M771" i="17"/>
  <c r="W771" i="17"/>
  <c r="S770" i="17"/>
  <c r="R770" i="17"/>
  <c r="Q770" i="17"/>
  <c r="N770" i="17" s="1"/>
  <c r="M770" i="17"/>
  <c r="W770" i="17"/>
  <c r="S769" i="17"/>
  <c r="R769" i="17"/>
  <c r="Q769" i="17"/>
  <c r="P769" i="17" s="1"/>
  <c r="M769" i="17"/>
  <c r="W769" i="17"/>
  <c r="S768" i="17"/>
  <c r="R768" i="17"/>
  <c r="Q768" i="17"/>
  <c r="O768" i="17" s="1"/>
  <c r="M768" i="17"/>
  <c r="V768" i="17"/>
  <c r="S767" i="17"/>
  <c r="R767" i="17"/>
  <c r="Q767" i="17"/>
  <c r="P767" i="17" s="1"/>
  <c r="M767" i="17"/>
  <c r="W767" i="17"/>
  <c r="S766" i="17"/>
  <c r="R766" i="17"/>
  <c r="Q766" i="17"/>
  <c r="M766" i="17"/>
  <c r="S765" i="17"/>
  <c r="R765" i="17"/>
  <c r="Q765" i="17"/>
  <c r="P765" i="17" s="1"/>
  <c r="M765" i="17"/>
  <c r="T765" i="17"/>
  <c r="S764" i="17"/>
  <c r="R764" i="17"/>
  <c r="Q764" i="17"/>
  <c r="O764" i="17" s="1"/>
  <c r="M764" i="17"/>
  <c r="S763" i="17"/>
  <c r="R763" i="17"/>
  <c r="Q763" i="17"/>
  <c r="P763" i="17" s="1"/>
  <c r="M763" i="17"/>
  <c r="T763" i="17"/>
  <c r="S762" i="17"/>
  <c r="R762" i="17"/>
  <c r="Q762" i="17"/>
  <c r="O762" i="17" s="1"/>
  <c r="M762" i="17"/>
  <c r="S761" i="17"/>
  <c r="R761" i="17"/>
  <c r="Q761" i="17"/>
  <c r="P761" i="17" s="1"/>
  <c r="M761" i="17"/>
  <c r="S760" i="17"/>
  <c r="R760" i="17"/>
  <c r="Q760" i="17"/>
  <c r="M760" i="17"/>
  <c r="S759" i="17"/>
  <c r="R759" i="17"/>
  <c r="Q759" i="17"/>
  <c r="P759" i="17" s="1"/>
  <c r="M759" i="17"/>
  <c r="S758" i="17"/>
  <c r="R758" i="17"/>
  <c r="Q758" i="17"/>
  <c r="M758" i="17"/>
  <c r="W758" i="17"/>
  <c r="S757" i="17"/>
  <c r="R757" i="17"/>
  <c r="Q757" i="17"/>
  <c r="P757" i="17" s="1"/>
  <c r="M757" i="17"/>
  <c r="T757" i="17"/>
  <c r="S756" i="17"/>
  <c r="R756" i="17"/>
  <c r="Q756" i="17"/>
  <c r="N756" i="17" s="1"/>
  <c r="M756" i="17"/>
  <c r="W756" i="17"/>
  <c r="S755" i="17"/>
  <c r="R755" i="17"/>
  <c r="Q755" i="17"/>
  <c r="M755" i="17"/>
  <c r="T755" i="17"/>
  <c r="S754" i="17"/>
  <c r="R754" i="17"/>
  <c r="Q754" i="17"/>
  <c r="O754" i="17" s="1"/>
  <c r="M754" i="17"/>
  <c r="V754" i="17"/>
  <c r="S753" i="17"/>
  <c r="R753" i="17"/>
  <c r="Q753" i="17"/>
  <c r="P753" i="17" s="1"/>
  <c r="M753" i="17"/>
  <c r="U753" i="17"/>
  <c r="S752" i="17"/>
  <c r="R752" i="17"/>
  <c r="Q752" i="17"/>
  <c r="O752" i="17" s="1"/>
  <c r="M752" i="17"/>
  <c r="T752" i="17"/>
  <c r="S751" i="17"/>
  <c r="R751" i="17"/>
  <c r="Q751" i="17"/>
  <c r="P751" i="17" s="1"/>
  <c r="M751" i="17"/>
  <c r="U751" i="17"/>
  <c r="S750" i="17"/>
  <c r="R750" i="17"/>
  <c r="Q750" i="17"/>
  <c r="O750" i="17" s="1"/>
  <c r="M750" i="17"/>
  <c r="S749" i="17"/>
  <c r="R749" i="17"/>
  <c r="Q749" i="17"/>
  <c r="P749" i="17" s="1"/>
  <c r="M749" i="17"/>
  <c r="U749" i="17"/>
  <c r="S748" i="17"/>
  <c r="R748" i="17"/>
  <c r="Q748" i="17"/>
  <c r="N748" i="17" s="1"/>
  <c r="M748" i="17"/>
  <c r="W748" i="17"/>
  <c r="S747" i="17"/>
  <c r="R747" i="17"/>
  <c r="Q747" i="17"/>
  <c r="M747" i="17"/>
  <c r="S746" i="17"/>
  <c r="R746" i="17"/>
  <c r="Q746" i="17"/>
  <c r="O746" i="17" s="1"/>
  <c r="M746" i="17"/>
  <c r="T746" i="17"/>
  <c r="S745" i="17"/>
  <c r="R745" i="17"/>
  <c r="Q745" i="17"/>
  <c r="P745" i="17" s="1"/>
  <c r="M745" i="17"/>
  <c r="S744" i="17"/>
  <c r="R744" i="17"/>
  <c r="Q744" i="17"/>
  <c r="O744" i="17" s="1"/>
  <c r="M744" i="17"/>
  <c r="V744" i="17"/>
  <c r="S743" i="17"/>
  <c r="R743" i="17"/>
  <c r="Q743" i="17"/>
  <c r="P743" i="17" s="1"/>
  <c r="M743" i="17"/>
  <c r="T743" i="17"/>
  <c r="S742" i="17"/>
  <c r="R742" i="17"/>
  <c r="Q742" i="17"/>
  <c r="M742" i="17"/>
  <c r="S741" i="17"/>
  <c r="R741" i="17"/>
  <c r="Q741" i="17"/>
  <c r="P741" i="17" s="1"/>
  <c r="M741" i="17"/>
  <c r="U741" i="17"/>
  <c r="S740" i="17"/>
  <c r="R740" i="17"/>
  <c r="Q740" i="17"/>
  <c r="M740" i="17"/>
  <c r="W740" i="17"/>
  <c r="S739" i="17"/>
  <c r="R739" i="17"/>
  <c r="Q739" i="17"/>
  <c r="M739" i="17"/>
  <c r="T739" i="17"/>
  <c r="S738" i="17"/>
  <c r="R738" i="17"/>
  <c r="Q738" i="17"/>
  <c r="O738" i="17" s="1"/>
  <c r="M738" i="17"/>
  <c r="S737" i="17"/>
  <c r="R737" i="17"/>
  <c r="Q737" i="17"/>
  <c r="P737" i="17" s="1"/>
  <c r="M737" i="17"/>
  <c r="T737" i="17"/>
  <c r="S736" i="17"/>
  <c r="R736" i="17"/>
  <c r="Q736" i="17"/>
  <c r="O736" i="17" s="1"/>
  <c r="M736" i="17"/>
  <c r="V736" i="17"/>
  <c r="S735" i="17"/>
  <c r="R735" i="17"/>
  <c r="Q735" i="17"/>
  <c r="P735" i="17" s="1"/>
  <c r="M735" i="17"/>
  <c r="S734" i="17"/>
  <c r="R734" i="17"/>
  <c r="Q734" i="17"/>
  <c r="P734" i="17" s="1"/>
  <c r="M734" i="17"/>
  <c r="W734" i="17"/>
  <c r="S733" i="17"/>
  <c r="R733" i="17"/>
  <c r="Q733" i="17"/>
  <c r="P733" i="17" s="1"/>
  <c r="M733" i="17"/>
  <c r="U733" i="17"/>
  <c r="S732" i="17"/>
  <c r="R732" i="17"/>
  <c r="Q732" i="17"/>
  <c r="P732" i="17" s="1"/>
  <c r="M732" i="17"/>
  <c r="S731" i="17"/>
  <c r="R731" i="17"/>
  <c r="Q731" i="17"/>
  <c r="M731" i="17"/>
  <c r="S730" i="17"/>
  <c r="R730" i="17"/>
  <c r="Q730" i="17"/>
  <c r="O730" i="17" s="1"/>
  <c r="M730" i="17"/>
  <c r="T730" i="17"/>
  <c r="S729" i="17"/>
  <c r="R729" i="17"/>
  <c r="Q729" i="17"/>
  <c r="P729" i="17" s="1"/>
  <c r="M729" i="17"/>
  <c r="S728" i="17"/>
  <c r="R728" i="17"/>
  <c r="Q728" i="17"/>
  <c r="M728" i="17"/>
  <c r="S727" i="17"/>
  <c r="R727" i="17"/>
  <c r="Q727" i="17"/>
  <c r="P727" i="17" s="1"/>
  <c r="M727" i="17"/>
  <c r="S726" i="17"/>
  <c r="R726" i="17"/>
  <c r="Q726" i="17"/>
  <c r="O726" i="17" s="1"/>
  <c r="M726" i="17"/>
  <c r="U726" i="17"/>
  <c r="S725" i="17"/>
  <c r="R725" i="17"/>
  <c r="Q725" i="17"/>
  <c r="P725" i="17" s="1"/>
  <c r="M725" i="17"/>
  <c r="S724" i="17"/>
  <c r="R724" i="17"/>
  <c r="Q724" i="17"/>
  <c r="M724" i="17"/>
  <c r="W724" i="17"/>
  <c r="S723" i="17"/>
  <c r="R723" i="17"/>
  <c r="Q723" i="17"/>
  <c r="M723" i="17"/>
  <c r="T723" i="17"/>
  <c r="S722" i="17"/>
  <c r="R722" i="17"/>
  <c r="Q722" i="17"/>
  <c r="M722" i="17"/>
  <c r="S721" i="17"/>
  <c r="R721" i="17"/>
  <c r="Q721" i="17"/>
  <c r="P721" i="17" s="1"/>
  <c r="M721" i="17"/>
  <c r="T721" i="17"/>
  <c r="S720" i="17"/>
  <c r="R720" i="17"/>
  <c r="Q720" i="17"/>
  <c r="M720" i="17"/>
  <c r="U720" i="17"/>
  <c r="S719" i="17"/>
  <c r="R719" i="17"/>
  <c r="Q719" i="17"/>
  <c r="P719" i="17" s="1"/>
  <c r="M719" i="17"/>
  <c r="S718" i="17"/>
  <c r="R718" i="17"/>
  <c r="Q718" i="17"/>
  <c r="M718" i="17"/>
  <c r="S717" i="17"/>
  <c r="R717" i="17"/>
  <c r="Q717" i="17"/>
  <c r="P717" i="17" s="1"/>
  <c r="M717" i="17"/>
  <c r="T717" i="17"/>
  <c r="S716" i="17"/>
  <c r="R716" i="17"/>
  <c r="Q716" i="17"/>
  <c r="M716" i="17"/>
  <c r="S715" i="17"/>
  <c r="R715" i="17"/>
  <c r="Q715" i="17"/>
  <c r="P715" i="17" s="1"/>
  <c r="M715" i="17"/>
  <c r="T715" i="17"/>
  <c r="S714" i="17"/>
  <c r="R714" i="17"/>
  <c r="Q714" i="17"/>
  <c r="M714" i="17"/>
  <c r="S713" i="17"/>
  <c r="R713" i="17"/>
  <c r="Q713" i="17"/>
  <c r="P713" i="17" s="1"/>
  <c r="M713" i="17"/>
  <c r="S712" i="17"/>
  <c r="R712" i="17"/>
  <c r="Q712" i="17"/>
  <c r="P712" i="17" s="1"/>
  <c r="M712" i="17"/>
  <c r="U712" i="17"/>
  <c r="S711" i="17"/>
  <c r="R711" i="17"/>
  <c r="Q711" i="17"/>
  <c r="M711" i="17"/>
  <c r="T711" i="17"/>
  <c r="S710" i="17"/>
  <c r="R710" i="17"/>
  <c r="Q710" i="17"/>
  <c r="M710" i="17"/>
  <c r="S709" i="17"/>
  <c r="R709" i="17"/>
  <c r="Q709" i="17"/>
  <c r="P709" i="17" s="1"/>
  <c r="M709" i="17"/>
  <c r="U709" i="17"/>
  <c r="W708" i="17"/>
  <c r="V708" i="17"/>
  <c r="S708" i="17"/>
  <c r="R708" i="17"/>
  <c r="Q708" i="17"/>
  <c r="O708" i="17" s="1"/>
  <c r="M708" i="17"/>
  <c r="T708" i="17"/>
  <c r="S707" i="17"/>
  <c r="R707" i="17"/>
  <c r="Q707" i="17"/>
  <c r="P707" i="17" s="1"/>
  <c r="M707" i="17"/>
  <c r="S706" i="17"/>
  <c r="R706" i="17"/>
  <c r="Q706" i="17"/>
  <c r="M706" i="17"/>
  <c r="S705" i="17"/>
  <c r="R705" i="17"/>
  <c r="Q705" i="17"/>
  <c r="P705" i="17" s="1"/>
  <c r="M705" i="17"/>
  <c r="T705" i="17"/>
  <c r="S704" i="17"/>
  <c r="R704" i="17"/>
  <c r="Q704" i="17"/>
  <c r="O704" i="17" s="1"/>
  <c r="M704" i="17"/>
  <c r="W704" i="17"/>
  <c r="S703" i="17"/>
  <c r="R703" i="17"/>
  <c r="Q703" i="17"/>
  <c r="M703" i="17"/>
  <c r="T703" i="17"/>
  <c r="S702" i="17"/>
  <c r="R702" i="17"/>
  <c r="Q702" i="17"/>
  <c r="M702" i="17"/>
  <c r="T702" i="17"/>
  <c r="S701" i="17"/>
  <c r="R701" i="17"/>
  <c r="Q701" i="17"/>
  <c r="P701" i="17" s="1"/>
  <c r="M701" i="17"/>
  <c r="T701" i="17"/>
  <c r="S700" i="17"/>
  <c r="R700" i="17"/>
  <c r="Q700" i="17"/>
  <c r="N700" i="17" s="1"/>
  <c r="M700" i="17"/>
  <c r="T700" i="17"/>
  <c r="S699" i="17"/>
  <c r="R699" i="17"/>
  <c r="Q699" i="17"/>
  <c r="P699" i="17" s="1"/>
  <c r="M699" i="17"/>
  <c r="U699" i="17"/>
  <c r="S698" i="17"/>
  <c r="R698" i="17"/>
  <c r="Q698" i="17"/>
  <c r="M698" i="17"/>
  <c r="T698" i="17"/>
  <c r="S697" i="17"/>
  <c r="R697" i="17"/>
  <c r="Q697" i="17"/>
  <c r="P697" i="17" s="1"/>
  <c r="M697" i="17"/>
  <c r="U697" i="17"/>
  <c r="S696" i="17"/>
  <c r="R696" i="17"/>
  <c r="Q696" i="17"/>
  <c r="P696" i="17" s="1"/>
  <c r="M696" i="17"/>
  <c r="V696" i="17"/>
  <c r="S695" i="17"/>
  <c r="R695" i="17"/>
  <c r="Q695" i="17"/>
  <c r="M695" i="17"/>
  <c r="S694" i="17"/>
  <c r="R694" i="17"/>
  <c r="Q694" i="17"/>
  <c r="N694" i="17" s="1"/>
  <c r="M694" i="17"/>
  <c r="T694" i="17"/>
  <c r="S693" i="17"/>
  <c r="R693" i="17"/>
  <c r="Q693" i="17"/>
  <c r="M693" i="17"/>
  <c r="W693" i="17"/>
  <c r="S692" i="17"/>
  <c r="R692" i="17"/>
  <c r="Q692" i="17"/>
  <c r="N692" i="17" s="1"/>
  <c r="M692" i="17"/>
  <c r="S691" i="17"/>
  <c r="R691" i="17"/>
  <c r="Q691" i="17"/>
  <c r="P691" i="17" s="1"/>
  <c r="M691" i="17"/>
  <c r="U691" i="17"/>
  <c r="S690" i="17"/>
  <c r="R690" i="17"/>
  <c r="Q690" i="17"/>
  <c r="O690" i="17" s="1"/>
  <c r="M690" i="17"/>
  <c r="S689" i="17"/>
  <c r="R689" i="17"/>
  <c r="Q689" i="17"/>
  <c r="M689" i="17"/>
  <c r="S688" i="17"/>
  <c r="R688" i="17"/>
  <c r="Q688" i="17"/>
  <c r="O688" i="17" s="1"/>
  <c r="M688" i="17"/>
  <c r="S687" i="17"/>
  <c r="R687" i="17"/>
  <c r="Q687" i="17"/>
  <c r="P687" i="17" s="1"/>
  <c r="M687" i="17"/>
  <c r="W687" i="17"/>
  <c r="W686" i="17"/>
  <c r="S686" i="17"/>
  <c r="R686" i="17"/>
  <c r="Q686" i="17"/>
  <c r="O686" i="17" s="1"/>
  <c r="M686" i="17"/>
  <c r="T686" i="17"/>
  <c r="S685" i="17"/>
  <c r="R685" i="17"/>
  <c r="Q685" i="17"/>
  <c r="O685" i="17" s="1"/>
  <c r="M685" i="17"/>
  <c r="V685" i="17"/>
  <c r="S684" i="17"/>
  <c r="R684" i="17"/>
  <c r="Q684" i="17"/>
  <c r="M684" i="17"/>
  <c r="S683" i="17"/>
  <c r="R683" i="17"/>
  <c r="Q683" i="17"/>
  <c r="O683" i="17" s="1"/>
  <c r="M683" i="17"/>
  <c r="T683" i="17"/>
  <c r="S682" i="17"/>
  <c r="R682" i="17"/>
  <c r="Q682" i="17"/>
  <c r="P682" i="17" s="1"/>
  <c r="M682" i="17"/>
  <c r="V682" i="17"/>
  <c r="S681" i="17"/>
  <c r="R681" i="17"/>
  <c r="Q681" i="17"/>
  <c r="P681" i="17" s="1"/>
  <c r="M681" i="17"/>
  <c r="U681" i="17"/>
  <c r="U680" i="17"/>
  <c r="S680" i="17"/>
  <c r="R680" i="17"/>
  <c r="Q680" i="17"/>
  <c r="N680" i="17" s="1"/>
  <c r="M680" i="17"/>
  <c r="T680" i="17"/>
  <c r="S679" i="17"/>
  <c r="R679" i="17"/>
  <c r="Q679" i="17"/>
  <c r="N679" i="17" s="1"/>
  <c r="M679" i="17"/>
  <c r="S678" i="17"/>
  <c r="R678" i="17"/>
  <c r="Q678" i="17"/>
  <c r="N678" i="17" s="1"/>
  <c r="M678" i="17"/>
  <c r="W678" i="17"/>
  <c r="S677" i="17"/>
  <c r="R677" i="17"/>
  <c r="Q677" i="17"/>
  <c r="P677" i="17" s="1"/>
  <c r="M677" i="17"/>
  <c r="W677" i="17"/>
  <c r="S676" i="17"/>
  <c r="R676" i="17"/>
  <c r="Q676" i="17"/>
  <c r="M676" i="17"/>
  <c r="U676" i="17"/>
  <c r="S675" i="17"/>
  <c r="R675" i="17"/>
  <c r="Q675" i="17"/>
  <c r="P675" i="17" s="1"/>
  <c r="M675" i="17"/>
  <c r="U675" i="17"/>
  <c r="S674" i="17"/>
  <c r="R674" i="17"/>
  <c r="Q674" i="17"/>
  <c r="O674" i="17" s="1"/>
  <c r="M674" i="17"/>
  <c r="V674" i="17"/>
  <c r="S673" i="17"/>
  <c r="R673" i="17"/>
  <c r="Q673" i="17"/>
  <c r="P673" i="17" s="1"/>
  <c r="M673" i="17"/>
  <c r="X673" i="17"/>
  <c r="S672" i="17"/>
  <c r="R672" i="17"/>
  <c r="Q672" i="17"/>
  <c r="N672" i="17" s="1"/>
  <c r="M672" i="17"/>
  <c r="X672" i="17"/>
  <c r="S671" i="17"/>
  <c r="R671" i="17"/>
  <c r="Q671" i="17"/>
  <c r="M671" i="17"/>
  <c r="S670" i="17"/>
  <c r="R670" i="17"/>
  <c r="Q670" i="17"/>
  <c r="M670" i="17"/>
  <c r="T670" i="17"/>
  <c r="S669" i="17"/>
  <c r="R669" i="17"/>
  <c r="Q669" i="17"/>
  <c r="N669" i="17" s="1"/>
  <c r="M669" i="17"/>
  <c r="V669" i="17"/>
  <c r="S668" i="17"/>
  <c r="R668" i="17"/>
  <c r="Q668" i="17"/>
  <c r="N668" i="17" s="1"/>
  <c r="M668" i="17"/>
  <c r="V668" i="17"/>
  <c r="S667" i="17"/>
  <c r="R667" i="17"/>
  <c r="Q667" i="17"/>
  <c r="N667" i="17" s="1"/>
  <c r="M667" i="17"/>
  <c r="X667" i="17"/>
  <c r="S666" i="17"/>
  <c r="R666" i="17"/>
  <c r="Q666" i="17"/>
  <c r="P666" i="17" s="1"/>
  <c r="M666" i="17"/>
  <c r="X666" i="17"/>
  <c r="S665" i="17"/>
  <c r="R665" i="17"/>
  <c r="Q665" i="17"/>
  <c r="P665" i="17" s="1"/>
  <c r="M665" i="17"/>
  <c r="V665" i="17"/>
  <c r="S664" i="17"/>
  <c r="R664" i="17"/>
  <c r="Q664" i="17"/>
  <c r="M664" i="17"/>
  <c r="T664" i="17"/>
  <c r="S663" i="17"/>
  <c r="R663" i="17"/>
  <c r="Q663" i="17"/>
  <c r="P663" i="17" s="1"/>
  <c r="M663" i="17"/>
  <c r="T663" i="17"/>
  <c r="S662" i="17"/>
  <c r="R662" i="17"/>
  <c r="Q662" i="17"/>
  <c r="O662" i="17" s="1"/>
  <c r="M662" i="17"/>
  <c r="S661" i="17"/>
  <c r="R661" i="17"/>
  <c r="Q661" i="17"/>
  <c r="M661" i="17"/>
  <c r="T661" i="17"/>
  <c r="S660" i="17"/>
  <c r="R660" i="17"/>
  <c r="Q660" i="17"/>
  <c r="N660" i="17" s="1"/>
  <c r="M660" i="17"/>
  <c r="S659" i="17"/>
  <c r="R659" i="17"/>
  <c r="Q659" i="17"/>
  <c r="N659" i="17" s="1"/>
  <c r="M659" i="17"/>
  <c r="S658" i="17"/>
  <c r="R658" i="17"/>
  <c r="Q658" i="17"/>
  <c r="M658" i="17"/>
  <c r="S657" i="17"/>
  <c r="R657" i="17"/>
  <c r="Q657" i="17"/>
  <c r="M657" i="17"/>
  <c r="U657" i="17"/>
  <c r="S656" i="17"/>
  <c r="R656" i="17"/>
  <c r="Q656" i="17"/>
  <c r="P656" i="17" s="1"/>
  <c r="M656" i="17"/>
  <c r="S655" i="17"/>
  <c r="R655" i="17"/>
  <c r="Q655" i="17"/>
  <c r="P655" i="17" s="1"/>
  <c r="M655" i="17"/>
  <c r="W655" i="17"/>
  <c r="S654" i="17"/>
  <c r="R654" i="17"/>
  <c r="Q654" i="17"/>
  <c r="P654" i="17" s="1"/>
  <c r="M654" i="17"/>
  <c r="S653" i="17"/>
  <c r="R653" i="17"/>
  <c r="Q653" i="17"/>
  <c r="P653" i="17" s="1"/>
  <c r="M653" i="17"/>
  <c r="T653" i="17"/>
  <c r="S652" i="17"/>
  <c r="R652" i="17"/>
  <c r="Q652" i="17"/>
  <c r="O652" i="17" s="1"/>
  <c r="M652" i="17"/>
  <c r="U652" i="17"/>
  <c r="S651" i="17"/>
  <c r="R651" i="17"/>
  <c r="Q651" i="17"/>
  <c r="O651" i="17" s="1"/>
  <c r="M651" i="17"/>
  <c r="W651" i="17"/>
  <c r="S650" i="17"/>
  <c r="R650" i="17"/>
  <c r="Q650" i="17"/>
  <c r="O650" i="17" s="1"/>
  <c r="M650" i="17"/>
  <c r="V650" i="17"/>
  <c r="S649" i="17"/>
  <c r="R649" i="17"/>
  <c r="Q649" i="17"/>
  <c r="P649" i="17" s="1"/>
  <c r="M649" i="17"/>
  <c r="T649" i="17"/>
  <c r="S648" i="17"/>
  <c r="R648" i="17"/>
  <c r="Q648" i="17"/>
  <c r="M648" i="17"/>
  <c r="U648" i="17"/>
  <c r="S647" i="17"/>
  <c r="R647" i="17"/>
  <c r="Q647" i="17"/>
  <c r="N647" i="17" s="1"/>
  <c r="M647" i="17"/>
  <c r="S646" i="17"/>
  <c r="R646" i="17"/>
  <c r="Q646" i="17"/>
  <c r="P646" i="17" s="1"/>
  <c r="M646" i="17"/>
  <c r="X646" i="17"/>
  <c r="S645" i="17"/>
  <c r="R645" i="17"/>
  <c r="Q645" i="17"/>
  <c r="M645" i="17"/>
  <c r="S644" i="17"/>
  <c r="R644" i="17"/>
  <c r="Q644" i="17"/>
  <c r="P644" i="17" s="1"/>
  <c r="M644" i="17"/>
  <c r="X644" i="17"/>
  <c r="S643" i="17"/>
  <c r="R643" i="17"/>
  <c r="Q643" i="17"/>
  <c r="O643" i="17" s="1"/>
  <c r="M643" i="17"/>
  <c r="W643" i="17"/>
  <c r="S642" i="17"/>
  <c r="R642" i="17"/>
  <c r="Q642" i="17"/>
  <c r="P642" i="17" s="1"/>
  <c r="M642" i="17"/>
  <c r="T642" i="17"/>
  <c r="S641" i="17"/>
  <c r="R641" i="17"/>
  <c r="Q641" i="17"/>
  <c r="M641" i="17"/>
  <c r="T641" i="17"/>
  <c r="S640" i="17"/>
  <c r="R640" i="17"/>
  <c r="Q640" i="17"/>
  <c r="N640" i="17" s="1"/>
  <c r="M640" i="17"/>
  <c r="V640" i="17"/>
  <c r="S639" i="17"/>
  <c r="R639" i="17"/>
  <c r="Q639" i="17"/>
  <c r="O639" i="17" s="1"/>
  <c r="M639" i="17"/>
  <c r="X639" i="17"/>
  <c r="S638" i="17"/>
  <c r="R638" i="17"/>
  <c r="Q638" i="17"/>
  <c r="M638" i="17"/>
  <c r="W638" i="17"/>
  <c r="S637" i="17"/>
  <c r="R637" i="17"/>
  <c r="Q637" i="17"/>
  <c r="P637" i="17" s="1"/>
  <c r="M637" i="17"/>
  <c r="T637" i="17"/>
  <c r="S636" i="17"/>
  <c r="R636" i="17"/>
  <c r="Q636" i="17"/>
  <c r="O636" i="17" s="1"/>
  <c r="M636" i="17"/>
  <c r="S635" i="17"/>
  <c r="R635" i="17"/>
  <c r="Q635" i="17"/>
  <c r="M635" i="17"/>
  <c r="U635" i="17"/>
  <c r="S634" i="17"/>
  <c r="R634" i="17"/>
  <c r="Q634" i="17"/>
  <c r="M634" i="17"/>
  <c r="T634" i="17"/>
  <c r="S633" i="17"/>
  <c r="R633" i="17"/>
  <c r="Q633" i="17"/>
  <c r="O633" i="17" s="1"/>
  <c r="M633" i="17"/>
  <c r="S632" i="17"/>
  <c r="R632" i="17"/>
  <c r="Q632" i="17"/>
  <c r="O632" i="17" s="1"/>
  <c r="M632" i="17"/>
  <c r="X632" i="17"/>
  <c r="S631" i="17"/>
  <c r="R631" i="17"/>
  <c r="Q631" i="17"/>
  <c r="M631" i="17"/>
  <c r="U631" i="17"/>
  <c r="S630" i="17"/>
  <c r="R630" i="17"/>
  <c r="Q630" i="17"/>
  <c r="N630" i="17" s="1"/>
  <c r="M630" i="17"/>
  <c r="W630" i="17"/>
  <c r="S629" i="17"/>
  <c r="R629" i="17"/>
  <c r="Q629" i="17"/>
  <c r="P629" i="17" s="1"/>
  <c r="M629" i="17"/>
  <c r="T629" i="17"/>
  <c r="S628" i="17"/>
  <c r="R628" i="17"/>
  <c r="Q628" i="17"/>
  <c r="M628" i="17"/>
  <c r="X628" i="17"/>
  <c r="S627" i="17"/>
  <c r="R627" i="17"/>
  <c r="Q627" i="17"/>
  <c r="M627" i="17"/>
  <c r="U627" i="17"/>
  <c r="S626" i="17"/>
  <c r="R626" i="17"/>
  <c r="Q626" i="17"/>
  <c r="M626" i="17"/>
  <c r="U626" i="17"/>
  <c r="S625" i="17"/>
  <c r="R625" i="17"/>
  <c r="Q625" i="17"/>
  <c r="P625" i="17" s="1"/>
  <c r="M625" i="17"/>
  <c r="X625" i="17"/>
  <c r="S624" i="17"/>
  <c r="R624" i="17"/>
  <c r="Q624" i="17"/>
  <c r="O624" i="17" s="1"/>
  <c r="M624" i="17"/>
  <c r="S623" i="17"/>
  <c r="R623" i="17"/>
  <c r="Q623" i="17"/>
  <c r="P623" i="17" s="1"/>
  <c r="M623" i="17"/>
  <c r="U623" i="17"/>
  <c r="S622" i="17"/>
  <c r="R622" i="17"/>
  <c r="Q622" i="17"/>
  <c r="N622" i="17" s="1"/>
  <c r="M622" i="17"/>
  <c r="S621" i="17"/>
  <c r="R621" i="17"/>
  <c r="Q621" i="17"/>
  <c r="M621" i="17"/>
  <c r="W621" i="17"/>
  <c r="S620" i="17"/>
  <c r="R620" i="17"/>
  <c r="Q620" i="17"/>
  <c r="N620" i="17" s="1"/>
  <c r="M620" i="17"/>
  <c r="S619" i="17"/>
  <c r="R619" i="17"/>
  <c r="Q619" i="17"/>
  <c r="N619" i="17" s="1"/>
  <c r="M619" i="17"/>
  <c r="S618" i="17"/>
  <c r="R618" i="17"/>
  <c r="Q618" i="17"/>
  <c r="N618" i="17" s="1"/>
  <c r="M618" i="17"/>
  <c r="T618" i="17"/>
  <c r="S617" i="17"/>
  <c r="R617" i="17"/>
  <c r="Q617" i="17"/>
  <c r="P617" i="17" s="1"/>
  <c r="M617" i="17"/>
  <c r="X617" i="17"/>
  <c r="S616" i="17"/>
  <c r="R616" i="17"/>
  <c r="Q616" i="17"/>
  <c r="O616" i="17" s="1"/>
  <c r="M616" i="17"/>
  <c r="U616" i="17"/>
  <c r="S615" i="17"/>
  <c r="R615" i="17"/>
  <c r="Q615" i="17"/>
  <c r="M615" i="17"/>
  <c r="U615" i="17"/>
  <c r="S614" i="17"/>
  <c r="R614" i="17"/>
  <c r="Q614" i="17"/>
  <c r="O614" i="17" s="1"/>
  <c r="M614" i="17"/>
  <c r="W614" i="17"/>
  <c r="S613" i="17"/>
  <c r="R613" i="17"/>
  <c r="Q613" i="17"/>
  <c r="P613" i="17" s="1"/>
  <c r="M613" i="17"/>
  <c r="T613" i="17"/>
  <c r="S612" i="17"/>
  <c r="R612" i="17"/>
  <c r="Q612" i="17"/>
  <c r="P612" i="17" s="1"/>
  <c r="M612" i="17"/>
  <c r="X612" i="17"/>
  <c r="S611" i="17"/>
  <c r="R611" i="17"/>
  <c r="Q611" i="17"/>
  <c r="N611" i="17" s="1"/>
  <c r="M611" i="17"/>
  <c r="S610" i="17"/>
  <c r="R610" i="17"/>
  <c r="Q610" i="17"/>
  <c r="O610" i="17" s="1"/>
  <c r="M610" i="17"/>
  <c r="W610" i="17"/>
  <c r="S609" i="17"/>
  <c r="R609" i="17"/>
  <c r="Q609" i="17"/>
  <c r="P609" i="17" s="1"/>
  <c r="M609" i="17"/>
  <c r="V609" i="17"/>
  <c r="S608" i="17"/>
  <c r="R608" i="17"/>
  <c r="Q608" i="17"/>
  <c r="M608" i="17"/>
  <c r="U608" i="17"/>
  <c r="S607" i="17"/>
  <c r="R607" i="17"/>
  <c r="Q607" i="17"/>
  <c r="M607" i="17"/>
  <c r="V607" i="17"/>
  <c r="S606" i="17"/>
  <c r="R606" i="17"/>
  <c r="Q606" i="17"/>
  <c r="O606" i="17" s="1"/>
  <c r="M606" i="17"/>
  <c r="W606" i="17"/>
  <c r="S605" i="17"/>
  <c r="R605" i="17"/>
  <c r="Q605" i="17"/>
  <c r="M605" i="17"/>
  <c r="S604" i="17"/>
  <c r="R604" i="17"/>
  <c r="Q604" i="17"/>
  <c r="M604" i="17"/>
  <c r="S603" i="17"/>
  <c r="R603" i="17"/>
  <c r="Q603" i="17"/>
  <c r="N603" i="17" s="1"/>
  <c r="M603" i="17"/>
  <c r="T603" i="17"/>
  <c r="S602" i="17"/>
  <c r="R602" i="17"/>
  <c r="Q602" i="17"/>
  <c r="O602" i="17" s="1"/>
  <c r="M602" i="17"/>
  <c r="V602" i="17"/>
  <c r="S601" i="17"/>
  <c r="R601" i="17"/>
  <c r="Q601" i="17"/>
  <c r="M601" i="17"/>
  <c r="V601" i="17"/>
  <c r="S600" i="17"/>
  <c r="R600" i="17"/>
  <c r="Q600" i="17"/>
  <c r="N600" i="17" s="1"/>
  <c r="M600" i="17"/>
  <c r="S599" i="17"/>
  <c r="R599" i="17"/>
  <c r="Q599" i="17"/>
  <c r="P599" i="17" s="1"/>
  <c r="M599" i="17"/>
  <c r="S598" i="17"/>
  <c r="R598" i="17"/>
  <c r="Q598" i="17"/>
  <c r="O598" i="17" s="1"/>
  <c r="M598" i="17"/>
  <c r="W598" i="17"/>
  <c r="W597" i="17"/>
  <c r="S597" i="17"/>
  <c r="R597" i="17"/>
  <c r="Q597" i="17"/>
  <c r="P597" i="17" s="1"/>
  <c r="M597" i="17"/>
  <c r="T597" i="17"/>
  <c r="S596" i="17"/>
  <c r="R596" i="17"/>
  <c r="Q596" i="17"/>
  <c r="O596" i="17" s="1"/>
  <c r="M596" i="17"/>
  <c r="U596" i="17"/>
  <c r="S595" i="17"/>
  <c r="R595" i="17"/>
  <c r="Q595" i="17"/>
  <c r="O595" i="17" s="1"/>
  <c r="M595" i="17"/>
  <c r="U595" i="17"/>
  <c r="S594" i="17"/>
  <c r="R594" i="17"/>
  <c r="Q594" i="17"/>
  <c r="P594" i="17" s="1"/>
  <c r="M594" i="17"/>
  <c r="W594" i="17"/>
  <c r="S593" i="17"/>
  <c r="R593" i="17"/>
  <c r="Q593" i="17"/>
  <c r="P593" i="17" s="1"/>
  <c r="M593" i="17"/>
  <c r="W593" i="17"/>
  <c r="S592" i="17"/>
  <c r="R592" i="17"/>
  <c r="Q592" i="17"/>
  <c r="P592" i="17" s="1"/>
  <c r="M592" i="17"/>
  <c r="U592" i="17"/>
  <c r="S591" i="17"/>
  <c r="R591" i="17"/>
  <c r="Q591" i="17"/>
  <c r="M591" i="17"/>
  <c r="T591" i="17"/>
  <c r="S590" i="17"/>
  <c r="R590" i="17"/>
  <c r="Q590" i="17"/>
  <c r="O590" i="17" s="1"/>
  <c r="M590" i="17"/>
  <c r="S589" i="17"/>
  <c r="R589" i="17"/>
  <c r="Q589" i="17"/>
  <c r="M589" i="17"/>
  <c r="W589" i="17"/>
  <c r="S588" i="17"/>
  <c r="R588" i="17"/>
  <c r="Q588" i="17"/>
  <c r="N588" i="17" s="1"/>
  <c r="M588" i="17"/>
  <c r="U588" i="17"/>
  <c r="S587" i="17"/>
  <c r="R587" i="17"/>
  <c r="Q587" i="17"/>
  <c r="N587" i="17" s="1"/>
  <c r="M587" i="17"/>
  <c r="S586" i="17"/>
  <c r="R586" i="17"/>
  <c r="Q586" i="17"/>
  <c r="M586" i="17"/>
  <c r="X586" i="17"/>
  <c r="S585" i="17"/>
  <c r="R585" i="17"/>
  <c r="Q585" i="17"/>
  <c r="P585" i="17" s="1"/>
  <c r="M585" i="17"/>
  <c r="W585" i="17"/>
  <c r="S584" i="17"/>
  <c r="R584" i="17"/>
  <c r="Q584" i="17"/>
  <c r="N584" i="17" s="1"/>
  <c r="M584" i="17"/>
  <c r="U584" i="17"/>
  <c r="S583" i="17"/>
  <c r="R583" i="17"/>
  <c r="Q583" i="17"/>
  <c r="N583" i="17" s="1"/>
  <c r="M583" i="17"/>
  <c r="V583" i="17"/>
  <c r="S582" i="17"/>
  <c r="R582" i="17"/>
  <c r="Q582" i="17"/>
  <c r="O582" i="17" s="1"/>
  <c r="M582" i="17"/>
  <c r="U582" i="17"/>
  <c r="S581" i="17"/>
  <c r="R581" i="17"/>
  <c r="Q581" i="17"/>
  <c r="M581" i="17"/>
  <c r="V581" i="17"/>
  <c r="S580" i="17"/>
  <c r="R580" i="17"/>
  <c r="Q580" i="17"/>
  <c r="M580" i="17"/>
  <c r="U580" i="17"/>
  <c r="S579" i="17"/>
  <c r="R579" i="17"/>
  <c r="Q579" i="17"/>
  <c r="N579" i="17" s="1"/>
  <c r="M579" i="17"/>
  <c r="S578" i="17"/>
  <c r="R578" i="17"/>
  <c r="Q578" i="17"/>
  <c r="M578" i="17"/>
  <c r="W578" i="17"/>
  <c r="S577" i="17"/>
  <c r="R577" i="17"/>
  <c r="Q577" i="17"/>
  <c r="M577" i="17"/>
  <c r="W577" i="17"/>
  <c r="S576" i="17"/>
  <c r="R576" i="17"/>
  <c r="Q576" i="17"/>
  <c r="P576" i="17" s="1"/>
  <c r="M576" i="17"/>
  <c r="S575" i="17"/>
  <c r="R575" i="17"/>
  <c r="Q575" i="17"/>
  <c r="P575" i="17" s="1"/>
  <c r="M575" i="17"/>
  <c r="U575" i="17"/>
  <c r="S574" i="17"/>
  <c r="R574" i="17"/>
  <c r="Q574" i="17"/>
  <c r="M574" i="17"/>
  <c r="U574" i="17"/>
  <c r="S573" i="17"/>
  <c r="R573" i="17"/>
  <c r="Q573" i="17"/>
  <c r="M573" i="17"/>
  <c r="V573" i="17"/>
  <c r="S572" i="17"/>
  <c r="R572" i="17"/>
  <c r="Q572" i="17"/>
  <c r="M572" i="17"/>
  <c r="U572" i="17"/>
  <c r="S571" i="17"/>
  <c r="R571" i="17"/>
  <c r="Q571" i="17"/>
  <c r="O571" i="17" s="1"/>
  <c r="M571" i="17"/>
  <c r="V571" i="17"/>
  <c r="S570" i="17"/>
  <c r="R570" i="17"/>
  <c r="Q570" i="17"/>
  <c r="N570" i="17" s="1"/>
  <c r="M570" i="17"/>
  <c r="S569" i="17"/>
  <c r="R569" i="17"/>
  <c r="Q569" i="17"/>
  <c r="M569" i="17"/>
  <c r="W569" i="17"/>
  <c r="S568" i="17"/>
  <c r="R568" i="17"/>
  <c r="Q568" i="17"/>
  <c r="P568" i="17" s="1"/>
  <c r="M568" i="17"/>
  <c r="X568" i="17"/>
  <c r="S567" i="17"/>
  <c r="R567" i="17"/>
  <c r="Q567" i="17"/>
  <c r="P567" i="17" s="1"/>
  <c r="M567" i="17"/>
  <c r="W567" i="17"/>
  <c r="S566" i="17"/>
  <c r="R566" i="17"/>
  <c r="Q566" i="17"/>
  <c r="P566" i="17" s="1"/>
  <c r="M566" i="17"/>
  <c r="T566" i="17"/>
  <c r="S565" i="17"/>
  <c r="R565" i="17"/>
  <c r="Q565" i="17"/>
  <c r="P565" i="17" s="1"/>
  <c r="M565" i="17"/>
  <c r="W565" i="17"/>
  <c r="S564" i="17"/>
  <c r="R564" i="17"/>
  <c r="Q564" i="17"/>
  <c r="O564" i="17" s="1"/>
  <c r="M564" i="17"/>
  <c r="S563" i="17"/>
  <c r="R563" i="17"/>
  <c r="Q563" i="17"/>
  <c r="O563" i="17" s="1"/>
  <c r="M563" i="17"/>
  <c r="T563" i="17"/>
  <c r="S562" i="17"/>
  <c r="R562" i="17"/>
  <c r="Q562" i="17"/>
  <c r="M562" i="17"/>
  <c r="T562" i="17"/>
  <c r="S561" i="17"/>
  <c r="R561" i="17"/>
  <c r="Q561" i="17"/>
  <c r="M561" i="17"/>
  <c r="T561" i="17"/>
  <c r="S560" i="17"/>
  <c r="R560" i="17"/>
  <c r="Q560" i="17"/>
  <c r="N560" i="17" s="1"/>
  <c r="M560" i="17"/>
  <c r="X560" i="17"/>
  <c r="S559" i="17"/>
  <c r="R559" i="17"/>
  <c r="Q559" i="17"/>
  <c r="P559" i="17" s="1"/>
  <c r="M559" i="17"/>
  <c r="V559" i="17"/>
  <c r="S558" i="17"/>
  <c r="R558" i="17"/>
  <c r="Q558" i="17"/>
  <c r="N558" i="17" s="1"/>
  <c r="M558" i="17"/>
  <c r="U558" i="17"/>
  <c r="U557" i="17"/>
  <c r="S557" i="17"/>
  <c r="R557" i="17"/>
  <c r="Q557" i="17"/>
  <c r="P557" i="17" s="1"/>
  <c r="M557" i="17"/>
  <c r="W557" i="17"/>
  <c r="S556" i="17"/>
  <c r="R556" i="17"/>
  <c r="Q556" i="17"/>
  <c r="N556" i="17" s="1"/>
  <c r="M556" i="17"/>
  <c r="U556" i="17"/>
  <c r="S555" i="17"/>
  <c r="R555" i="17"/>
  <c r="Q555" i="17"/>
  <c r="O555" i="17" s="1"/>
  <c r="M555" i="17"/>
  <c r="W555" i="17"/>
  <c r="S554" i="17"/>
  <c r="R554" i="17"/>
  <c r="Q554" i="17"/>
  <c r="M554" i="17"/>
  <c r="W554" i="17"/>
  <c r="S553" i="17"/>
  <c r="R553" i="17"/>
  <c r="Q553" i="17"/>
  <c r="M553" i="17"/>
  <c r="T553" i="17"/>
  <c r="S552" i="17"/>
  <c r="R552" i="17"/>
  <c r="Q552" i="17"/>
  <c r="N552" i="17" s="1"/>
  <c r="M552" i="17"/>
  <c r="X552" i="17"/>
  <c r="S551" i="17"/>
  <c r="R551" i="17"/>
  <c r="Q551" i="17"/>
  <c r="M551" i="17"/>
  <c r="W551" i="17"/>
  <c r="S550" i="17"/>
  <c r="R550" i="17"/>
  <c r="Q550" i="17"/>
  <c r="P550" i="17" s="1"/>
  <c r="M550" i="17"/>
  <c r="X550" i="17"/>
  <c r="S549" i="17"/>
  <c r="R549" i="17"/>
  <c r="Q549" i="17"/>
  <c r="O549" i="17" s="1"/>
  <c r="M549" i="17"/>
  <c r="S548" i="17"/>
  <c r="R548" i="17"/>
  <c r="Q548" i="17"/>
  <c r="M548" i="17"/>
  <c r="V548" i="17"/>
  <c r="S547" i="17"/>
  <c r="R547" i="17"/>
  <c r="Q547" i="17"/>
  <c r="M547" i="17"/>
  <c r="T547" i="17"/>
  <c r="S546" i="17"/>
  <c r="R546" i="17"/>
  <c r="Q546" i="17"/>
  <c r="P546" i="17" s="1"/>
  <c r="M546" i="17"/>
  <c r="W546" i="17"/>
  <c r="S545" i="17"/>
  <c r="R545" i="17"/>
  <c r="Q545" i="17"/>
  <c r="M545" i="17"/>
  <c r="S544" i="17"/>
  <c r="R544" i="17"/>
  <c r="Q544" i="17"/>
  <c r="N544" i="17" s="1"/>
  <c r="M544" i="17"/>
  <c r="S543" i="17"/>
  <c r="R543" i="17"/>
  <c r="Q543" i="17"/>
  <c r="M543" i="17"/>
  <c r="X543" i="17"/>
  <c r="S542" i="17"/>
  <c r="R542" i="17"/>
  <c r="Q542" i="17"/>
  <c r="O542" i="17" s="1"/>
  <c r="M542" i="17"/>
  <c r="U542" i="17"/>
  <c r="S541" i="17"/>
  <c r="R541" i="17"/>
  <c r="Q541" i="17"/>
  <c r="N541" i="17" s="1"/>
  <c r="M541" i="17"/>
  <c r="S540" i="17"/>
  <c r="R540" i="17"/>
  <c r="Q540" i="17"/>
  <c r="O540" i="17" s="1"/>
  <c r="M540" i="17"/>
  <c r="U540" i="17"/>
  <c r="S539" i="17"/>
  <c r="R539" i="17"/>
  <c r="Q539" i="17"/>
  <c r="O539" i="17" s="1"/>
  <c r="M539" i="17"/>
  <c r="W539" i="17"/>
  <c r="S538" i="17"/>
  <c r="R538" i="17"/>
  <c r="Q538" i="17"/>
  <c r="P538" i="17" s="1"/>
  <c r="M538" i="17"/>
  <c r="W538" i="17"/>
  <c r="S537" i="17"/>
  <c r="R537" i="17"/>
  <c r="Q537" i="17"/>
  <c r="M537" i="17"/>
  <c r="T537" i="17"/>
  <c r="S536" i="17"/>
  <c r="R536" i="17"/>
  <c r="Q536" i="17"/>
  <c r="N536" i="17" s="1"/>
  <c r="M536" i="17"/>
  <c r="X536" i="17"/>
  <c r="S535" i="17"/>
  <c r="R535" i="17"/>
  <c r="Q535" i="17"/>
  <c r="M535" i="17"/>
  <c r="W535" i="17"/>
  <c r="S534" i="17"/>
  <c r="R534" i="17"/>
  <c r="Q534" i="17"/>
  <c r="P534" i="17" s="1"/>
  <c r="M534" i="17"/>
  <c r="X534" i="17"/>
  <c r="S533" i="17"/>
  <c r="R533" i="17"/>
  <c r="Q533" i="17"/>
  <c r="P533" i="17" s="1"/>
  <c r="M533" i="17"/>
  <c r="X533" i="17"/>
  <c r="S532" i="17"/>
  <c r="R532" i="17"/>
  <c r="Q532" i="17"/>
  <c r="N532" i="17" s="1"/>
  <c r="M532" i="17"/>
  <c r="U532" i="17"/>
  <c r="S531" i="17"/>
  <c r="R531" i="17"/>
  <c r="Q531" i="17"/>
  <c r="O531" i="17" s="1"/>
  <c r="M531" i="17"/>
  <c r="U531" i="17"/>
  <c r="S530" i="17"/>
  <c r="R530" i="17"/>
  <c r="Q530" i="17"/>
  <c r="M530" i="17"/>
  <c r="W530" i="17"/>
  <c r="S529" i="17"/>
  <c r="R529" i="17"/>
  <c r="Q529" i="17"/>
  <c r="M529" i="17"/>
  <c r="T529" i="17"/>
  <c r="S528" i="17"/>
  <c r="R528" i="17"/>
  <c r="Q528" i="17"/>
  <c r="N528" i="17" s="1"/>
  <c r="M528" i="17"/>
  <c r="X528" i="17"/>
  <c r="S527" i="17"/>
  <c r="R527" i="17"/>
  <c r="Q527" i="17"/>
  <c r="P527" i="17" s="1"/>
  <c r="M527" i="17"/>
  <c r="U527" i="17"/>
  <c r="S526" i="17"/>
  <c r="R526" i="17"/>
  <c r="Q526" i="17"/>
  <c r="O526" i="17" s="1"/>
  <c r="M526" i="17"/>
  <c r="U526" i="17"/>
  <c r="S525" i="17"/>
  <c r="R525" i="17"/>
  <c r="Q525" i="17"/>
  <c r="O525" i="17" s="1"/>
  <c r="M525" i="17"/>
  <c r="S524" i="17"/>
  <c r="R524" i="17"/>
  <c r="Q524" i="17"/>
  <c r="N524" i="17" s="1"/>
  <c r="M524" i="17"/>
  <c r="V524" i="17"/>
  <c r="S523" i="17"/>
  <c r="R523" i="17"/>
  <c r="Q523" i="17"/>
  <c r="P523" i="17" s="1"/>
  <c r="M523" i="17"/>
  <c r="T523" i="17"/>
  <c r="S522" i="17"/>
  <c r="R522" i="17"/>
  <c r="Q522" i="17"/>
  <c r="P522" i="17" s="1"/>
  <c r="M522" i="17"/>
  <c r="W522" i="17"/>
  <c r="S521" i="17"/>
  <c r="R521" i="17"/>
  <c r="Q521" i="17"/>
  <c r="M521" i="17"/>
  <c r="T521" i="17"/>
  <c r="S520" i="17"/>
  <c r="R520" i="17"/>
  <c r="Q520" i="17"/>
  <c r="M520" i="17"/>
  <c r="X520" i="17"/>
  <c r="S519" i="17"/>
  <c r="R519" i="17"/>
  <c r="Q519" i="17"/>
  <c r="P519" i="17" s="1"/>
  <c r="M519" i="17"/>
  <c r="W519" i="17"/>
  <c r="S518" i="17"/>
  <c r="R518" i="17"/>
  <c r="Q518" i="17"/>
  <c r="M518" i="17"/>
  <c r="T518" i="17"/>
  <c r="S517" i="17"/>
  <c r="R517" i="17"/>
  <c r="Q517" i="17"/>
  <c r="O517" i="17" s="1"/>
  <c r="M517" i="17"/>
  <c r="W517" i="17"/>
  <c r="S516" i="17"/>
  <c r="R516" i="17"/>
  <c r="Q516" i="17"/>
  <c r="N516" i="17" s="1"/>
  <c r="M516" i="17"/>
  <c r="V516" i="17"/>
  <c r="S515" i="17"/>
  <c r="R515" i="17"/>
  <c r="Q515" i="17"/>
  <c r="P515" i="17" s="1"/>
  <c r="M515" i="17"/>
  <c r="S514" i="17"/>
  <c r="R514" i="17"/>
  <c r="Q514" i="17"/>
  <c r="P514" i="17" s="1"/>
  <c r="M514" i="17"/>
  <c r="T514" i="17"/>
  <c r="S513" i="17"/>
  <c r="R513" i="17"/>
  <c r="Q513" i="17"/>
  <c r="O513" i="17" s="1"/>
  <c r="M513" i="17"/>
  <c r="T513" i="17"/>
  <c r="S512" i="17"/>
  <c r="R512" i="17"/>
  <c r="Q512" i="17"/>
  <c r="N512" i="17" s="1"/>
  <c r="M512" i="17"/>
  <c r="S511" i="17"/>
  <c r="R511" i="17"/>
  <c r="Q511" i="17"/>
  <c r="O511" i="17" s="1"/>
  <c r="M511" i="17"/>
  <c r="W511" i="17"/>
  <c r="S510" i="17"/>
  <c r="R510" i="17"/>
  <c r="Q510" i="17"/>
  <c r="O510" i="17" s="1"/>
  <c r="M510" i="17"/>
  <c r="X510" i="17"/>
  <c r="S509" i="17"/>
  <c r="R509" i="17"/>
  <c r="Q509" i="17"/>
  <c r="N509" i="17" s="1"/>
  <c r="M509" i="17"/>
  <c r="W509" i="17"/>
  <c r="S508" i="17"/>
  <c r="R508" i="17"/>
  <c r="Q508" i="17"/>
  <c r="N508" i="17" s="1"/>
  <c r="M508" i="17"/>
  <c r="V508" i="17"/>
  <c r="S507" i="17"/>
  <c r="R507" i="17"/>
  <c r="Q507" i="17"/>
  <c r="P507" i="17" s="1"/>
  <c r="M507" i="17"/>
  <c r="T507" i="17"/>
  <c r="S506" i="17"/>
  <c r="R506" i="17"/>
  <c r="Q506" i="17"/>
  <c r="O506" i="17" s="1"/>
  <c r="M506" i="17"/>
  <c r="W506" i="17"/>
  <c r="S505" i="17"/>
  <c r="R505" i="17"/>
  <c r="Q505" i="17"/>
  <c r="O505" i="17" s="1"/>
  <c r="M505" i="17"/>
  <c r="T505" i="17"/>
  <c r="S504" i="17"/>
  <c r="R504" i="17"/>
  <c r="Q504" i="17"/>
  <c r="M504" i="17"/>
  <c r="V504" i="17"/>
  <c r="S503" i="17"/>
  <c r="R503" i="17"/>
  <c r="Q503" i="17"/>
  <c r="O503" i="17" s="1"/>
  <c r="M503" i="17"/>
  <c r="W503" i="17"/>
  <c r="S502" i="17"/>
  <c r="R502" i="17"/>
  <c r="Q502" i="17"/>
  <c r="O502" i="17" s="1"/>
  <c r="M502" i="17"/>
  <c r="T502" i="17"/>
  <c r="S501" i="17"/>
  <c r="R501" i="17"/>
  <c r="Q501" i="17"/>
  <c r="P501" i="17" s="1"/>
  <c r="M501" i="17"/>
  <c r="W501" i="17"/>
  <c r="S500" i="17"/>
  <c r="R500" i="17"/>
  <c r="Q500" i="17"/>
  <c r="N500" i="17" s="1"/>
  <c r="M500" i="17"/>
  <c r="V500" i="17"/>
  <c r="S499" i="17"/>
  <c r="R499" i="17"/>
  <c r="Q499" i="17"/>
  <c r="P499" i="17" s="1"/>
  <c r="M499" i="17"/>
  <c r="T499" i="17"/>
  <c r="S498" i="17"/>
  <c r="R498" i="17"/>
  <c r="Q498" i="17"/>
  <c r="O498" i="17" s="1"/>
  <c r="M498" i="17"/>
  <c r="S497" i="17"/>
  <c r="R497" i="17"/>
  <c r="Q497" i="17"/>
  <c r="O497" i="17" s="1"/>
  <c r="M497" i="17"/>
  <c r="U497" i="17"/>
  <c r="S496" i="17"/>
  <c r="R496" i="17"/>
  <c r="Q496" i="17"/>
  <c r="M496" i="17"/>
  <c r="U496" i="17"/>
  <c r="S495" i="17"/>
  <c r="R495" i="17"/>
  <c r="Q495" i="17"/>
  <c r="O495" i="17" s="1"/>
  <c r="M495" i="17"/>
  <c r="W495" i="17"/>
  <c r="S494" i="17"/>
  <c r="R494" i="17"/>
  <c r="Q494" i="17"/>
  <c r="N494" i="17" s="1"/>
  <c r="M494" i="17"/>
  <c r="T494" i="17"/>
  <c r="S493" i="17"/>
  <c r="R493" i="17"/>
  <c r="Q493" i="17"/>
  <c r="N493" i="17" s="1"/>
  <c r="M493" i="17"/>
  <c r="T493" i="17"/>
  <c r="S492" i="17"/>
  <c r="R492" i="17"/>
  <c r="Q492" i="17"/>
  <c r="N492" i="17" s="1"/>
  <c r="M492" i="17"/>
  <c r="V492" i="17"/>
  <c r="S491" i="17"/>
  <c r="R491" i="17"/>
  <c r="Q491" i="17"/>
  <c r="P491" i="17" s="1"/>
  <c r="M491" i="17"/>
  <c r="U491" i="17"/>
  <c r="S490" i="17"/>
  <c r="R490" i="17"/>
  <c r="Q490" i="17"/>
  <c r="O490" i="17" s="1"/>
  <c r="M490" i="17"/>
  <c r="S489" i="17"/>
  <c r="R489" i="17"/>
  <c r="Q489" i="17"/>
  <c r="N489" i="17" s="1"/>
  <c r="M489" i="17"/>
  <c r="U489" i="17"/>
  <c r="S488" i="17"/>
  <c r="R488" i="17"/>
  <c r="Q488" i="17"/>
  <c r="N488" i="17" s="1"/>
  <c r="M488" i="17"/>
  <c r="T488" i="17"/>
  <c r="S487" i="17"/>
  <c r="R487" i="17"/>
  <c r="Q487" i="17"/>
  <c r="M487" i="17"/>
  <c r="T487" i="17"/>
  <c r="S486" i="17"/>
  <c r="R486" i="17"/>
  <c r="Q486" i="17"/>
  <c r="P486" i="17" s="1"/>
  <c r="M486" i="17"/>
  <c r="T486" i="17"/>
  <c r="S485" i="17"/>
  <c r="R485" i="17"/>
  <c r="Q485" i="17"/>
  <c r="N485" i="17" s="1"/>
  <c r="M485" i="17"/>
  <c r="T485" i="17"/>
  <c r="S484" i="17"/>
  <c r="R484" i="17"/>
  <c r="Q484" i="17"/>
  <c r="N484" i="17" s="1"/>
  <c r="M484" i="17"/>
  <c r="V484" i="17"/>
  <c r="S483" i="17"/>
  <c r="R483" i="17"/>
  <c r="Q483" i="17"/>
  <c r="P483" i="17" s="1"/>
  <c r="M483" i="17"/>
  <c r="X483" i="17"/>
  <c r="S482" i="17"/>
  <c r="R482" i="17"/>
  <c r="Q482" i="17"/>
  <c r="M482" i="17"/>
  <c r="T482" i="17"/>
  <c r="S481" i="17"/>
  <c r="R481" i="17"/>
  <c r="Q481" i="17"/>
  <c r="P481" i="17" s="1"/>
  <c r="M481" i="17"/>
  <c r="V481" i="17"/>
  <c r="S480" i="17"/>
  <c r="R480" i="17"/>
  <c r="Q480" i="17"/>
  <c r="M480" i="17"/>
  <c r="W480" i="17"/>
  <c r="S479" i="17"/>
  <c r="R479" i="17"/>
  <c r="Q479" i="17"/>
  <c r="O479" i="17" s="1"/>
  <c r="M479" i="17"/>
  <c r="T479" i="17"/>
  <c r="S478" i="17"/>
  <c r="R478" i="17"/>
  <c r="Q478" i="17"/>
  <c r="O478" i="17" s="1"/>
  <c r="M478" i="17"/>
  <c r="T478" i="17"/>
  <c r="S477" i="17"/>
  <c r="R477" i="17"/>
  <c r="Q477" i="17"/>
  <c r="N477" i="17" s="1"/>
  <c r="M477" i="17"/>
  <c r="V477" i="17"/>
  <c r="S476" i="17"/>
  <c r="R476" i="17"/>
  <c r="Q476" i="17"/>
  <c r="N476" i="17" s="1"/>
  <c r="M476" i="17"/>
  <c r="S475" i="17"/>
  <c r="R475" i="17"/>
  <c r="Q475" i="17"/>
  <c r="O475" i="17" s="1"/>
  <c r="M475" i="17"/>
  <c r="X475" i="17"/>
  <c r="S474" i="17"/>
  <c r="R474" i="17"/>
  <c r="Q474" i="17"/>
  <c r="P474" i="17" s="1"/>
  <c r="M474" i="17"/>
  <c r="T474" i="17"/>
  <c r="S473" i="17"/>
  <c r="R473" i="17"/>
  <c r="Q473" i="17"/>
  <c r="O473" i="17" s="1"/>
  <c r="M473" i="17"/>
  <c r="U473" i="17"/>
  <c r="S472" i="17"/>
  <c r="R472" i="17"/>
  <c r="Q472" i="17"/>
  <c r="M472" i="17"/>
  <c r="W472" i="17"/>
  <c r="S471" i="17"/>
  <c r="R471" i="17"/>
  <c r="Q471" i="17"/>
  <c r="O471" i="17" s="1"/>
  <c r="M471" i="17"/>
  <c r="S470" i="17"/>
  <c r="R470" i="17"/>
  <c r="Q470" i="17"/>
  <c r="M470" i="17"/>
  <c r="V470" i="17"/>
  <c r="S469" i="17"/>
  <c r="R469" i="17"/>
  <c r="Q469" i="17"/>
  <c r="N469" i="17" s="1"/>
  <c r="M469" i="17"/>
  <c r="V469" i="17"/>
  <c r="S468" i="17"/>
  <c r="R468" i="17"/>
  <c r="Q468" i="17"/>
  <c r="N468" i="17" s="1"/>
  <c r="M468" i="17"/>
  <c r="S467" i="17"/>
  <c r="R467" i="17"/>
  <c r="Q467" i="17"/>
  <c r="O467" i="17" s="1"/>
  <c r="M467" i="17"/>
  <c r="T467" i="17"/>
  <c r="S466" i="17"/>
  <c r="R466" i="17"/>
  <c r="Q466" i="17"/>
  <c r="P466" i="17" s="1"/>
  <c r="M466" i="17"/>
  <c r="T466" i="17"/>
  <c r="S465" i="17"/>
  <c r="R465" i="17"/>
  <c r="Q465" i="17"/>
  <c r="P465" i="17" s="1"/>
  <c r="M465" i="17"/>
  <c r="U465" i="17"/>
  <c r="S464" i="17"/>
  <c r="R464" i="17"/>
  <c r="Q464" i="17"/>
  <c r="P464" i="17" s="1"/>
  <c r="M464" i="17"/>
  <c r="S463" i="17"/>
  <c r="R463" i="17"/>
  <c r="Q463" i="17"/>
  <c r="O463" i="17" s="1"/>
  <c r="M463" i="17"/>
  <c r="S462" i="17"/>
  <c r="R462" i="17"/>
  <c r="Q462" i="17"/>
  <c r="N462" i="17" s="1"/>
  <c r="M462" i="17"/>
  <c r="T462" i="17"/>
  <c r="S461" i="17"/>
  <c r="R461" i="17"/>
  <c r="Q461" i="17"/>
  <c r="N461" i="17" s="1"/>
  <c r="M461" i="17"/>
  <c r="U461" i="17"/>
  <c r="S460" i="17"/>
  <c r="R460" i="17"/>
  <c r="Q460" i="17"/>
  <c r="N460" i="17" s="1"/>
  <c r="M460" i="17"/>
  <c r="X460" i="17"/>
  <c r="S459" i="17"/>
  <c r="R459" i="17"/>
  <c r="Q459" i="17"/>
  <c r="O459" i="17" s="1"/>
  <c r="M459" i="17"/>
  <c r="V459" i="17"/>
  <c r="S458" i="17"/>
  <c r="R458" i="17"/>
  <c r="Q458" i="17"/>
  <c r="P458" i="17" s="1"/>
  <c r="M458" i="17"/>
  <c r="T458" i="17"/>
  <c r="S457" i="17"/>
  <c r="R457" i="17"/>
  <c r="Q457" i="17"/>
  <c r="M457" i="17"/>
  <c r="U457" i="17"/>
  <c r="S456" i="17"/>
  <c r="R456" i="17"/>
  <c r="Q456" i="17"/>
  <c r="N456" i="17" s="1"/>
  <c r="M456" i="17"/>
  <c r="W456" i="17"/>
  <c r="S455" i="17"/>
  <c r="R455" i="17"/>
  <c r="Q455" i="17"/>
  <c r="N455" i="17" s="1"/>
  <c r="M455" i="17"/>
  <c r="W455" i="17"/>
  <c r="S454" i="17"/>
  <c r="R454" i="17"/>
  <c r="Q454" i="17"/>
  <c r="O454" i="17" s="1"/>
  <c r="M454" i="17"/>
  <c r="T454" i="17"/>
  <c r="S453" i="17"/>
  <c r="R453" i="17"/>
  <c r="Q453" i="17"/>
  <c r="M453" i="17"/>
  <c r="T453" i="17"/>
  <c r="T452" i="17"/>
  <c r="S452" i="17"/>
  <c r="R452" i="17"/>
  <c r="Q452" i="17"/>
  <c r="N452" i="17" s="1"/>
  <c r="M452" i="17"/>
  <c r="V452" i="17"/>
  <c r="S451" i="17"/>
  <c r="R451" i="17"/>
  <c r="Q451" i="17"/>
  <c r="N451" i="17" s="1"/>
  <c r="M451" i="17"/>
  <c r="X451" i="17"/>
  <c r="S450" i="17"/>
  <c r="R450" i="17"/>
  <c r="Q450" i="17"/>
  <c r="M450" i="17"/>
  <c r="V450" i="17"/>
  <c r="S449" i="17"/>
  <c r="R449" i="17"/>
  <c r="Q449" i="17"/>
  <c r="O449" i="17" s="1"/>
  <c r="M449" i="17"/>
  <c r="S448" i="17"/>
  <c r="R448" i="17"/>
  <c r="Q448" i="17"/>
  <c r="O448" i="17" s="1"/>
  <c r="M448" i="17"/>
  <c r="U448" i="17"/>
  <c r="S447" i="17"/>
  <c r="R447" i="17"/>
  <c r="Q447" i="17"/>
  <c r="O447" i="17" s="1"/>
  <c r="M447" i="17"/>
  <c r="T447" i="17"/>
  <c r="S446" i="17"/>
  <c r="R446" i="17"/>
  <c r="Q446" i="17"/>
  <c r="P446" i="17" s="1"/>
  <c r="M446" i="17"/>
  <c r="T446" i="17"/>
  <c r="S445" i="17"/>
  <c r="R445" i="17"/>
  <c r="Q445" i="17"/>
  <c r="O445" i="17" s="1"/>
  <c r="M445" i="17"/>
  <c r="V445" i="17"/>
  <c r="S444" i="17"/>
  <c r="R444" i="17"/>
  <c r="Q444" i="17"/>
  <c r="M444" i="17"/>
  <c r="S443" i="17"/>
  <c r="R443" i="17"/>
  <c r="Q443" i="17"/>
  <c r="P443" i="17" s="1"/>
  <c r="M443" i="17"/>
  <c r="T443" i="17"/>
  <c r="S442" i="17"/>
  <c r="R442" i="17"/>
  <c r="Q442" i="17"/>
  <c r="N442" i="17" s="1"/>
  <c r="M442" i="17"/>
  <c r="S441" i="17"/>
  <c r="R441" i="17"/>
  <c r="Q441" i="17"/>
  <c r="N441" i="17" s="1"/>
  <c r="M441" i="17"/>
  <c r="S440" i="17"/>
  <c r="R440" i="17"/>
  <c r="Q440" i="17"/>
  <c r="P440" i="17" s="1"/>
  <c r="M440" i="17"/>
  <c r="U440" i="17"/>
  <c r="S439" i="17"/>
  <c r="R439" i="17"/>
  <c r="Q439" i="17"/>
  <c r="O439" i="17" s="1"/>
  <c r="M439" i="17"/>
  <c r="X439" i="17"/>
  <c r="S438" i="17"/>
  <c r="R438" i="17"/>
  <c r="Q438" i="17"/>
  <c r="N438" i="17" s="1"/>
  <c r="M438" i="17"/>
  <c r="W438" i="17"/>
  <c r="S437" i="17"/>
  <c r="R437" i="17"/>
  <c r="Q437" i="17"/>
  <c r="M437" i="17"/>
  <c r="T437" i="17"/>
  <c r="S436" i="17"/>
  <c r="R436" i="17"/>
  <c r="Q436" i="17"/>
  <c r="O436" i="17" s="1"/>
  <c r="M436" i="17"/>
  <c r="S435" i="17"/>
  <c r="R435" i="17"/>
  <c r="Q435" i="17"/>
  <c r="P435" i="17" s="1"/>
  <c r="M435" i="17"/>
  <c r="S434" i="17"/>
  <c r="R434" i="17"/>
  <c r="Q434" i="17"/>
  <c r="N434" i="17" s="1"/>
  <c r="M434" i="17"/>
  <c r="T434" i="17"/>
  <c r="S433" i="17"/>
  <c r="R433" i="17"/>
  <c r="Q433" i="17"/>
  <c r="N433" i="17" s="1"/>
  <c r="M433" i="17"/>
  <c r="V433" i="17"/>
  <c r="S432" i="17"/>
  <c r="R432" i="17"/>
  <c r="Q432" i="17"/>
  <c r="P432" i="17" s="1"/>
  <c r="M432" i="17"/>
  <c r="T432" i="17"/>
  <c r="S431" i="17"/>
  <c r="R431" i="17"/>
  <c r="Q431" i="17"/>
  <c r="P431" i="17" s="1"/>
  <c r="M431" i="17"/>
  <c r="T431" i="17"/>
  <c r="S430" i="17"/>
  <c r="R430" i="17"/>
  <c r="Q430" i="17"/>
  <c r="P430" i="17" s="1"/>
  <c r="M430" i="17"/>
  <c r="W430" i="17"/>
  <c r="S429" i="17"/>
  <c r="R429" i="17"/>
  <c r="Q429" i="17"/>
  <c r="P429" i="17" s="1"/>
  <c r="M429" i="17"/>
  <c r="T429" i="17"/>
  <c r="V428" i="17"/>
  <c r="S428" i="17"/>
  <c r="R428" i="17"/>
  <c r="Q428" i="17"/>
  <c r="M428" i="17"/>
  <c r="W428" i="17"/>
  <c r="S427" i="17"/>
  <c r="R427" i="17"/>
  <c r="Q427" i="17"/>
  <c r="P427" i="17" s="1"/>
  <c r="M427" i="17"/>
  <c r="T427" i="17"/>
  <c r="S426" i="17"/>
  <c r="R426" i="17"/>
  <c r="Q426" i="17"/>
  <c r="N426" i="17" s="1"/>
  <c r="M426" i="17"/>
  <c r="V426" i="17"/>
  <c r="S425" i="17"/>
  <c r="R425" i="17"/>
  <c r="Q425" i="17"/>
  <c r="M425" i="17"/>
  <c r="V425" i="17"/>
  <c r="S424" i="17"/>
  <c r="R424" i="17"/>
  <c r="Q424" i="17"/>
  <c r="P424" i="17" s="1"/>
  <c r="M424" i="17"/>
  <c r="T424" i="17"/>
  <c r="S423" i="17"/>
  <c r="R423" i="17"/>
  <c r="Q423" i="17"/>
  <c r="N423" i="17" s="1"/>
  <c r="M423" i="17"/>
  <c r="T422" i="17"/>
  <c r="S422" i="17"/>
  <c r="R422" i="17"/>
  <c r="Q422" i="17"/>
  <c r="M422" i="17"/>
  <c r="X422" i="17"/>
  <c r="S421" i="17"/>
  <c r="R421" i="17"/>
  <c r="Q421" i="17"/>
  <c r="M421" i="17"/>
  <c r="W421" i="17"/>
  <c r="S420" i="17"/>
  <c r="R420" i="17"/>
  <c r="Q420" i="17"/>
  <c r="P420" i="17" s="1"/>
  <c r="M420" i="17"/>
  <c r="T420" i="17"/>
  <c r="S419" i="17"/>
  <c r="R419" i="17"/>
  <c r="Q419" i="17"/>
  <c r="O419" i="17" s="1"/>
  <c r="M419" i="17"/>
  <c r="W419" i="17"/>
  <c r="X418" i="17"/>
  <c r="S418" i="17"/>
  <c r="R418" i="17"/>
  <c r="Q418" i="17"/>
  <c r="O418" i="17" s="1"/>
  <c r="M418" i="17"/>
  <c r="T418" i="17"/>
  <c r="S417" i="17"/>
  <c r="R417" i="17"/>
  <c r="Q417" i="17"/>
  <c r="M417" i="17"/>
  <c r="S416" i="17"/>
  <c r="R416" i="17"/>
  <c r="Q416" i="17"/>
  <c r="N416" i="17" s="1"/>
  <c r="M416" i="17"/>
  <c r="V416" i="17"/>
  <c r="S415" i="17"/>
  <c r="R415" i="17"/>
  <c r="Q415" i="17"/>
  <c r="N415" i="17" s="1"/>
  <c r="M415" i="17"/>
  <c r="U415" i="17"/>
  <c r="S414" i="17"/>
  <c r="R414" i="17"/>
  <c r="Q414" i="17"/>
  <c r="P414" i="17" s="1"/>
  <c r="M414" i="17"/>
  <c r="X414" i="17"/>
  <c r="S413" i="17"/>
  <c r="R413" i="17"/>
  <c r="Q413" i="17"/>
  <c r="P413" i="17" s="1"/>
  <c r="M413" i="17"/>
  <c r="T413" i="17"/>
  <c r="S412" i="17"/>
  <c r="R412" i="17"/>
  <c r="Q412" i="17"/>
  <c r="M412" i="17"/>
  <c r="S411" i="17"/>
  <c r="R411" i="17"/>
  <c r="Q411" i="17"/>
  <c r="M411" i="17"/>
  <c r="T411" i="17"/>
  <c r="V410" i="17"/>
  <c r="S410" i="17"/>
  <c r="R410" i="17"/>
  <c r="Q410" i="17"/>
  <c r="P410" i="17" s="1"/>
  <c r="M410" i="17"/>
  <c r="U410" i="17"/>
  <c r="S409" i="17"/>
  <c r="R409" i="17"/>
  <c r="Q409" i="17"/>
  <c r="P409" i="17" s="1"/>
  <c r="M409" i="17"/>
  <c r="W409" i="17"/>
  <c r="S408" i="17"/>
  <c r="R408" i="17"/>
  <c r="Q408" i="17"/>
  <c r="P408" i="17" s="1"/>
  <c r="M408" i="17"/>
  <c r="X407" i="17"/>
  <c r="S407" i="17"/>
  <c r="R407" i="17"/>
  <c r="Q407" i="17"/>
  <c r="M407" i="17"/>
  <c r="S406" i="17"/>
  <c r="R406" i="17"/>
  <c r="Q406" i="17"/>
  <c r="P406" i="17" s="1"/>
  <c r="M406" i="17"/>
  <c r="S405" i="17"/>
  <c r="R405" i="17"/>
  <c r="Q405" i="17"/>
  <c r="M405" i="17"/>
  <c r="W405" i="17"/>
  <c r="S404" i="17"/>
  <c r="R404" i="17"/>
  <c r="Q404" i="17"/>
  <c r="N404" i="17" s="1"/>
  <c r="M404" i="17"/>
  <c r="X404" i="17"/>
  <c r="X403" i="17"/>
  <c r="T403" i="17"/>
  <c r="S403" i="17"/>
  <c r="R403" i="17"/>
  <c r="Q403" i="17"/>
  <c r="M403" i="17"/>
  <c r="W403" i="17"/>
  <c r="S402" i="17"/>
  <c r="R402" i="17"/>
  <c r="Q402" i="17"/>
  <c r="P402" i="17" s="1"/>
  <c r="M402" i="17"/>
  <c r="T402" i="17"/>
  <c r="S401" i="17"/>
  <c r="R401" i="17"/>
  <c r="Q401" i="17"/>
  <c r="N401" i="17" s="1"/>
  <c r="M401" i="17"/>
  <c r="S400" i="17"/>
  <c r="R400" i="17"/>
  <c r="Q400" i="17"/>
  <c r="O400" i="17" s="1"/>
  <c r="M400" i="17"/>
  <c r="U400" i="17"/>
  <c r="S399" i="17"/>
  <c r="R399" i="17"/>
  <c r="Q399" i="17"/>
  <c r="M399" i="17"/>
  <c r="V399" i="17"/>
  <c r="S398" i="17"/>
  <c r="R398" i="17"/>
  <c r="Q398" i="17"/>
  <c r="P398" i="17" s="1"/>
  <c r="M398" i="17"/>
  <c r="U398" i="17"/>
  <c r="S397" i="17"/>
  <c r="R397" i="17"/>
  <c r="Q397" i="17"/>
  <c r="P397" i="17" s="1"/>
  <c r="M397" i="17"/>
  <c r="W397" i="17"/>
  <c r="S396" i="17"/>
  <c r="R396" i="17"/>
  <c r="Q396" i="17"/>
  <c r="O396" i="17" s="1"/>
  <c r="M396" i="17"/>
  <c r="X396" i="17"/>
  <c r="X395" i="17"/>
  <c r="S395" i="17"/>
  <c r="R395" i="17"/>
  <c r="Q395" i="17"/>
  <c r="M395" i="17"/>
  <c r="S394" i="17"/>
  <c r="R394" i="17"/>
  <c r="Q394" i="17"/>
  <c r="P394" i="17" s="1"/>
  <c r="M394" i="17"/>
  <c r="S393" i="17"/>
  <c r="R393" i="17"/>
  <c r="Q393" i="17"/>
  <c r="M393" i="17"/>
  <c r="S392" i="17"/>
  <c r="R392" i="17"/>
  <c r="Q392" i="17"/>
  <c r="O392" i="17" s="1"/>
  <c r="M392" i="17"/>
  <c r="W392" i="17"/>
  <c r="S391" i="17"/>
  <c r="R391" i="17"/>
  <c r="Q391" i="17"/>
  <c r="O391" i="17" s="1"/>
  <c r="M391" i="17"/>
  <c r="S390" i="17"/>
  <c r="R390" i="17"/>
  <c r="Q390" i="17"/>
  <c r="P390" i="17" s="1"/>
  <c r="M390" i="17"/>
  <c r="U390" i="17"/>
  <c r="S389" i="17"/>
  <c r="R389" i="17"/>
  <c r="Q389" i="17"/>
  <c r="O389" i="17" s="1"/>
  <c r="M389" i="17"/>
  <c r="X389" i="17"/>
  <c r="S388" i="17"/>
  <c r="R388" i="17"/>
  <c r="Q388" i="17"/>
  <c r="M388" i="17"/>
  <c r="S387" i="17"/>
  <c r="R387" i="17"/>
  <c r="Q387" i="17"/>
  <c r="P387" i="17" s="1"/>
  <c r="M387" i="17"/>
  <c r="S386" i="17"/>
  <c r="R386" i="17"/>
  <c r="Q386" i="17"/>
  <c r="P386" i="17" s="1"/>
  <c r="M386" i="17"/>
  <c r="T386" i="17"/>
  <c r="V385" i="17"/>
  <c r="S385" i="17"/>
  <c r="R385" i="17"/>
  <c r="Q385" i="17"/>
  <c r="M385" i="17"/>
  <c r="U385" i="17"/>
  <c r="S384" i="17"/>
  <c r="R384" i="17"/>
  <c r="Q384" i="17"/>
  <c r="N384" i="17" s="1"/>
  <c r="M384" i="17"/>
  <c r="W384" i="17"/>
  <c r="S383" i="17"/>
  <c r="R383" i="17"/>
  <c r="Q383" i="17"/>
  <c r="O383" i="17" s="1"/>
  <c r="M383" i="17"/>
  <c r="U383" i="17"/>
  <c r="S382" i="17"/>
  <c r="R382" i="17"/>
  <c r="Q382" i="17"/>
  <c r="O382" i="17" s="1"/>
  <c r="M382" i="17"/>
  <c r="S381" i="17"/>
  <c r="R381" i="17"/>
  <c r="Q381" i="17"/>
  <c r="O381" i="17" s="1"/>
  <c r="M381" i="17"/>
  <c r="S380" i="17"/>
  <c r="R380" i="17"/>
  <c r="Q380" i="17"/>
  <c r="N380" i="17" s="1"/>
  <c r="M380" i="17"/>
  <c r="S379" i="17"/>
  <c r="R379" i="17"/>
  <c r="Q379" i="17"/>
  <c r="P379" i="17" s="1"/>
  <c r="M379" i="17"/>
  <c r="T379" i="17"/>
  <c r="S378" i="17"/>
  <c r="R378" i="17"/>
  <c r="Q378" i="17"/>
  <c r="P378" i="17" s="1"/>
  <c r="M378" i="17"/>
  <c r="S377" i="17"/>
  <c r="R377" i="17"/>
  <c r="Q377" i="17"/>
  <c r="N377" i="17" s="1"/>
  <c r="M377" i="17"/>
  <c r="T377" i="17"/>
  <c r="S376" i="17"/>
  <c r="R376" i="17"/>
  <c r="Q376" i="17"/>
  <c r="N376" i="17" s="1"/>
  <c r="M376" i="17"/>
  <c r="T376" i="17"/>
  <c r="S375" i="17"/>
  <c r="R375" i="17"/>
  <c r="Q375" i="17"/>
  <c r="O375" i="17" s="1"/>
  <c r="M375" i="17"/>
  <c r="W375" i="17"/>
  <c r="S374" i="17"/>
  <c r="R374" i="17"/>
  <c r="Q374" i="17"/>
  <c r="N374" i="17" s="1"/>
  <c r="M374" i="17"/>
  <c r="T374" i="17"/>
  <c r="S373" i="17"/>
  <c r="R373" i="17"/>
  <c r="Q373" i="17"/>
  <c r="M373" i="17"/>
  <c r="X373" i="17"/>
  <c r="S372" i="17"/>
  <c r="R372" i="17"/>
  <c r="Q372" i="17"/>
  <c r="N372" i="17" s="1"/>
  <c r="M372" i="17"/>
  <c r="V372" i="17"/>
  <c r="S371" i="17"/>
  <c r="R371" i="17"/>
  <c r="Q371" i="17"/>
  <c r="M371" i="17"/>
  <c r="T371" i="17"/>
  <c r="S370" i="17"/>
  <c r="R370" i="17"/>
  <c r="Q370" i="17"/>
  <c r="M370" i="17"/>
  <c r="T370" i="17"/>
  <c r="S369" i="17"/>
  <c r="R369" i="17"/>
  <c r="Q369" i="17"/>
  <c r="N369" i="17" s="1"/>
  <c r="M369" i="17"/>
  <c r="S368" i="17"/>
  <c r="R368" i="17"/>
  <c r="Q368" i="17"/>
  <c r="P368" i="17" s="1"/>
  <c r="M368" i="17"/>
  <c r="S367" i="17"/>
  <c r="R367" i="17"/>
  <c r="Q367" i="17"/>
  <c r="O367" i="17" s="1"/>
  <c r="M367" i="17"/>
  <c r="W367" i="17"/>
  <c r="S366" i="17"/>
  <c r="R366" i="17"/>
  <c r="Q366" i="17"/>
  <c r="N366" i="17" s="1"/>
  <c r="M366" i="17"/>
  <c r="T366" i="17"/>
  <c r="S365" i="17"/>
  <c r="R365" i="17"/>
  <c r="Q365" i="17"/>
  <c r="P365" i="17" s="1"/>
  <c r="M365" i="17"/>
  <c r="X365" i="17"/>
  <c r="S364" i="17"/>
  <c r="R364" i="17"/>
  <c r="Q364" i="17"/>
  <c r="N364" i="17" s="1"/>
  <c r="M364" i="17"/>
  <c r="V364" i="17"/>
  <c r="S363" i="17"/>
  <c r="R363" i="17"/>
  <c r="Q363" i="17"/>
  <c r="P363" i="17" s="1"/>
  <c r="M363" i="17"/>
  <c r="S362" i="17"/>
  <c r="R362" i="17"/>
  <c r="Q362" i="17"/>
  <c r="M362" i="17"/>
  <c r="S361" i="17"/>
  <c r="R361" i="17"/>
  <c r="Q361" i="17"/>
  <c r="N361" i="17" s="1"/>
  <c r="M361" i="17"/>
  <c r="T361" i="17"/>
  <c r="S360" i="17"/>
  <c r="R360" i="17"/>
  <c r="Q360" i="17"/>
  <c r="P360" i="17" s="1"/>
  <c r="M360" i="17"/>
  <c r="S359" i="17"/>
  <c r="R359" i="17"/>
  <c r="Q359" i="17"/>
  <c r="O359" i="17" s="1"/>
  <c r="M359" i="17"/>
  <c r="W359" i="17"/>
  <c r="S358" i="17"/>
  <c r="R358" i="17"/>
  <c r="Q358" i="17"/>
  <c r="N358" i="17" s="1"/>
  <c r="M358" i="17"/>
  <c r="T358" i="17"/>
  <c r="S357" i="17"/>
  <c r="R357" i="17"/>
  <c r="Q357" i="17"/>
  <c r="P357" i="17" s="1"/>
  <c r="M357" i="17"/>
  <c r="X357" i="17"/>
  <c r="S356" i="17"/>
  <c r="R356" i="17"/>
  <c r="Q356" i="17"/>
  <c r="N356" i="17" s="1"/>
  <c r="M356" i="17"/>
  <c r="V356" i="17"/>
  <c r="T355" i="17"/>
  <c r="S355" i="17"/>
  <c r="R355" i="17"/>
  <c r="Q355" i="17"/>
  <c r="N355" i="17" s="1"/>
  <c r="M355" i="17"/>
  <c r="S354" i="17"/>
  <c r="R354" i="17"/>
  <c r="Q354" i="17"/>
  <c r="M354" i="17"/>
  <c r="T354" i="17"/>
  <c r="X353" i="17"/>
  <c r="S353" i="17"/>
  <c r="R353" i="17"/>
  <c r="Q353" i="17"/>
  <c r="N353" i="17" s="1"/>
  <c r="M353" i="17"/>
  <c r="T353" i="17"/>
  <c r="S352" i="17"/>
  <c r="R352" i="17"/>
  <c r="Q352" i="17"/>
  <c r="P352" i="17" s="1"/>
  <c r="M352" i="17"/>
  <c r="X352" i="17"/>
  <c r="S351" i="17"/>
  <c r="R351" i="17"/>
  <c r="Q351" i="17"/>
  <c r="O351" i="17" s="1"/>
  <c r="M351" i="17"/>
  <c r="X351" i="17"/>
  <c r="S350" i="17"/>
  <c r="R350" i="17"/>
  <c r="Q350" i="17"/>
  <c r="O350" i="17" s="1"/>
  <c r="M350" i="17"/>
  <c r="T350" i="17"/>
  <c r="S349" i="17"/>
  <c r="R349" i="17"/>
  <c r="Q349" i="17"/>
  <c r="P349" i="17" s="1"/>
  <c r="M349" i="17"/>
  <c r="T349" i="17"/>
  <c r="S348" i="17"/>
  <c r="R348" i="17"/>
  <c r="Q348" i="17"/>
  <c r="O348" i="17" s="1"/>
  <c r="M348" i="17"/>
  <c r="V348" i="17"/>
  <c r="S347" i="17"/>
  <c r="R347" i="17"/>
  <c r="Q347" i="17"/>
  <c r="P347" i="17" s="1"/>
  <c r="M347" i="17"/>
  <c r="V347" i="17"/>
  <c r="S346" i="17"/>
  <c r="R346" i="17"/>
  <c r="Q346" i="17"/>
  <c r="M346" i="17"/>
  <c r="S345" i="17"/>
  <c r="R345" i="17"/>
  <c r="Q345" i="17"/>
  <c r="O345" i="17" s="1"/>
  <c r="M345" i="17"/>
  <c r="T345" i="17"/>
  <c r="S344" i="17"/>
  <c r="R344" i="17"/>
  <c r="Q344" i="17"/>
  <c r="P344" i="17" s="1"/>
  <c r="M344" i="17"/>
  <c r="T344" i="17"/>
  <c r="S343" i="17"/>
  <c r="R343" i="17"/>
  <c r="Q343" i="17"/>
  <c r="O343" i="17" s="1"/>
  <c r="M343" i="17"/>
  <c r="W343" i="17"/>
  <c r="S342" i="17"/>
  <c r="R342" i="17"/>
  <c r="Q342" i="17"/>
  <c r="M342" i="17"/>
  <c r="W342" i="17"/>
  <c r="S341" i="17"/>
  <c r="R341" i="17"/>
  <c r="Q341" i="17"/>
  <c r="P341" i="17" s="1"/>
  <c r="M341" i="17"/>
  <c r="T341" i="17"/>
  <c r="S340" i="17"/>
  <c r="R340" i="17"/>
  <c r="Q340" i="17"/>
  <c r="O340" i="17" s="1"/>
  <c r="M340" i="17"/>
  <c r="W340" i="17"/>
  <c r="W339" i="17"/>
  <c r="S339" i="17"/>
  <c r="R339" i="17"/>
  <c r="Q339" i="17"/>
  <c r="M339" i="17"/>
  <c r="T339" i="17"/>
  <c r="V338" i="17"/>
  <c r="S338" i="17"/>
  <c r="R338" i="17"/>
  <c r="Q338" i="17"/>
  <c r="N338" i="17" s="1"/>
  <c r="M338" i="17"/>
  <c r="T338" i="17"/>
  <c r="S337" i="17"/>
  <c r="R337" i="17"/>
  <c r="Q337" i="17"/>
  <c r="O337" i="17" s="1"/>
  <c r="M337" i="17"/>
  <c r="T337" i="17"/>
  <c r="S336" i="17"/>
  <c r="R336" i="17"/>
  <c r="Q336" i="17"/>
  <c r="P336" i="17" s="1"/>
  <c r="M336" i="17"/>
  <c r="S335" i="17"/>
  <c r="R335" i="17"/>
  <c r="Q335" i="17"/>
  <c r="O335" i="17" s="1"/>
  <c r="M335" i="17"/>
  <c r="W335" i="17"/>
  <c r="S334" i="17"/>
  <c r="R334" i="17"/>
  <c r="Q334" i="17"/>
  <c r="N334" i="17" s="1"/>
  <c r="M334" i="17"/>
  <c r="T334" i="17"/>
  <c r="S333" i="17"/>
  <c r="R333" i="17"/>
  <c r="Q333" i="17"/>
  <c r="P333" i="17" s="1"/>
  <c r="M333" i="17"/>
  <c r="U333" i="17"/>
  <c r="S332" i="17"/>
  <c r="R332" i="17"/>
  <c r="Q332" i="17"/>
  <c r="O332" i="17" s="1"/>
  <c r="M332" i="17"/>
  <c r="S331" i="17"/>
  <c r="R331" i="17"/>
  <c r="Q331" i="17"/>
  <c r="P331" i="17" s="1"/>
  <c r="M331" i="17"/>
  <c r="T331" i="17"/>
  <c r="S330" i="17"/>
  <c r="R330" i="17"/>
  <c r="Q330" i="17"/>
  <c r="N330" i="17" s="1"/>
  <c r="M330" i="17"/>
  <c r="V330" i="17"/>
  <c r="S329" i="17"/>
  <c r="R329" i="17"/>
  <c r="Q329" i="17"/>
  <c r="O329" i="17" s="1"/>
  <c r="M329" i="17"/>
  <c r="T329" i="17"/>
  <c r="S328" i="17"/>
  <c r="R328" i="17"/>
  <c r="Q328" i="17"/>
  <c r="P328" i="17" s="1"/>
  <c r="M328" i="17"/>
  <c r="T328" i="17"/>
  <c r="S327" i="17"/>
  <c r="R327" i="17"/>
  <c r="Q327" i="17"/>
  <c r="O327" i="17" s="1"/>
  <c r="M327" i="17"/>
  <c r="W327" i="17"/>
  <c r="S326" i="17"/>
  <c r="R326" i="17"/>
  <c r="Q326" i="17"/>
  <c r="N326" i="17" s="1"/>
  <c r="M326" i="17"/>
  <c r="T326" i="17"/>
  <c r="S325" i="17"/>
  <c r="R325" i="17"/>
  <c r="Q325" i="17"/>
  <c r="P325" i="17" s="1"/>
  <c r="M325" i="17"/>
  <c r="T325" i="17"/>
  <c r="T324" i="17"/>
  <c r="S324" i="17"/>
  <c r="R324" i="17"/>
  <c r="Q324" i="17"/>
  <c r="O324" i="17" s="1"/>
  <c r="M324" i="17"/>
  <c r="W324" i="17"/>
  <c r="S323" i="17"/>
  <c r="R323" i="17"/>
  <c r="Q323" i="17"/>
  <c r="P323" i="17" s="1"/>
  <c r="M323" i="17"/>
  <c r="V323" i="17"/>
  <c r="S322" i="17"/>
  <c r="R322" i="17"/>
  <c r="Q322" i="17"/>
  <c r="N322" i="17" s="1"/>
  <c r="M322" i="17"/>
  <c r="S321" i="17"/>
  <c r="R321" i="17"/>
  <c r="Q321" i="17"/>
  <c r="O321" i="17" s="1"/>
  <c r="M321" i="17"/>
  <c r="T321" i="17"/>
  <c r="S320" i="17"/>
  <c r="R320" i="17"/>
  <c r="Q320" i="17"/>
  <c r="P320" i="17" s="1"/>
  <c r="M320" i="17"/>
  <c r="S319" i="17"/>
  <c r="R319" i="17"/>
  <c r="Q319" i="17"/>
  <c r="O319" i="17" s="1"/>
  <c r="M319" i="17"/>
  <c r="W319" i="17"/>
  <c r="S318" i="17"/>
  <c r="R318" i="17"/>
  <c r="Q318" i="17"/>
  <c r="N318" i="17" s="1"/>
  <c r="M318" i="17"/>
  <c r="T318" i="17"/>
  <c r="S317" i="17"/>
  <c r="R317" i="17"/>
  <c r="Q317" i="17"/>
  <c r="P317" i="17" s="1"/>
  <c r="M317" i="17"/>
  <c r="W317" i="17"/>
  <c r="S316" i="17"/>
  <c r="R316" i="17"/>
  <c r="Q316" i="17"/>
  <c r="O316" i="17" s="1"/>
  <c r="M316" i="17"/>
  <c r="W316" i="17"/>
  <c r="S315" i="17"/>
  <c r="R315" i="17"/>
  <c r="Q315" i="17"/>
  <c r="M315" i="17"/>
  <c r="T315" i="17"/>
  <c r="S314" i="17"/>
  <c r="R314" i="17"/>
  <c r="Q314" i="17"/>
  <c r="N314" i="17" s="1"/>
  <c r="M314" i="17"/>
  <c r="V314" i="17"/>
  <c r="S313" i="17"/>
  <c r="R313" i="17"/>
  <c r="Q313" i="17"/>
  <c r="O313" i="17" s="1"/>
  <c r="M313" i="17"/>
  <c r="T313" i="17"/>
  <c r="S312" i="17"/>
  <c r="R312" i="17"/>
  <c r="Q312" i="17"/>
  <c r="O312" i="17" s="1"/>
  <c r="M312" i="17"/>
  <c r="T312" i="17"/>
  <c r="S311" i="17"/>
  <c r="R311" i="17"/>
  <c r="Q311" i="17"/>
  <c r="O311" i="17" s="1"/>
  <c r="M311" i="17"/>
  <c r="U311" i="17"/>
  <c r="S310" i="17"/>
  <c r="R310" i="17"/>
  <c r="Q310" i="17"/>
  <c r="N310" i="17" s="1"/>
  <c r="M310" i="17"/>
  <c r="T310" i="17"/>
  <c r="S309" i="17"/>
  <c r="R309" i="17"/>
  <c r="Q309" i="17"/>
  <c r="P309" i="17" s="1"/>
  <c r="M309" i="17"/>
  <c r="X309" i="17"/>
  <c r="S308" i="17"/>
  <c r="R308" i="17"/>
  <c r="Q308" i="17"/>
  <c r="O308" i="17" s="1"/>
  <c r="M308" i="17"/>
  <c r="T308" i="17"/>
  <c r="S307" i="17"/>
  <c r="R307" i="17"/>
  <c r="Q307" i="17"/>
  <c r="P307" i="17" s="1"/>
  <c r="M307" i="17"/>
  <c r="T307" i="17"/>
  <c r="S306" i="17"/>
  <c r="R306" i="17"/>
  <c r="Q306" i="17"/>
  <c r="N306" i="17" s="1"/>
  <c r="M306" i="17"/>
  <c r="T306" i="17"/>
  <c r="S305" i="17"/>
  <c r="R305" i="17"/>
  <c r="Q305" i="17"/>
  <c r="M305" i="17"/>
  <c r="T305" i="17"/>
  <c r="W304" i="17"/>
  <c r="S304" i="17"/>
  <c r="R304" i="17"/>
  <c r="Q304" i="17"/>
  <c r="M304" i="17"/>
  <c r="T304" i="17"/>
  <c r="S303" i="17"/>
  <c r="R303" i="17"/>
  <c r="Q303" i="17"/>
  <c r="O303" i="17" s="1"/>
  <c r="M303" i="17"/>
  <c r="U303" i="17"/>
  <c r="S302" i="17"/>
  <c r="R302" i="17"/>
  <c r="Q302" i="17"/>
  <c r="M302" i="17"/>
  <c r="T302" i="17"/>
  <c r="S301" i="17"/>
  <c r="R301" i="17"/>
  <c r="Q301" i="17"/>
  <c r="P301" i="17" s="1"/>
  <c r="M301" i="17"/>
  <c r="X301" i="17"/>
  <c r="S300" i="17"/>
  <c r="R300" i="17"/>
  <c r="Q300" i="17"/>
  <c r="N300" i="17" s="1"/>
  <c r="M300" i="17"/>
  <c r="X300" i="17"/>
  <c r="S299" i="17"/>
  <c r="R299" i="17"/>
  <c r="Q299" i="17"/>
  <c r="P299" i="17" s="1"/>
  <c r="M299" i="17"/>
  <c r="X299" i="17"/>
  <c r="S298" i="17"/>
  <c r="R298" i="17"/>
  <c r="Q298" i="17"/>
  <c r="N298" i="17" s="1"/>
  <c r="M298" i="17"/>
  <c r="U298" i="17"/>
  <c r="S297" i="17"/>
  <c r="R297" i="17"/>
  <c r="Q297" i="17"/>
  <c r="N297" i="17" s="1"/>
  <c r="M297" i="17"/>
  <c r="T297" i="17"/>
  <c r="S296" i="17"/>
  <c r="R296" i="17"/>
  <c r="Q296" i="17"/>
  <c r="P296" i="17" s="1"/>
  <c r="M296" i="17"/>
  <c r="S295" i="17"/>
  <c r="R295" i="17"/>
  <c r="Q295" i="17"/>
  <c r="P295" i="17" s="1"/>
  <c r="M295" i="17"/>
  <c r="T295" i="17"/>
  <c r="S294" i="17"/>
  <c r="R294" i="17"/>
  <c r="Q294" i="17"/>
  <c r="M294" i="17"/>
  <c r="T294" i="17"/>
  <c r="S293" i="17"/>
  <c r="R293" i="17"/>
  <c r="Q293" i="17"/>
  <c r="P293" i="17" s="1"/>
  <c r="M293" i="17"/>
  <c r="U293" i="17"/>
  <c r="S292" i="17"/>
  <c r="R292" i="17"/>
  <c r="Q292" i="17"/>
  <c r="N292" i="17" s="1"/>
  <c r="M292" i="17"/>
  <c r="T292" i="17"/>
  <c r="S291" i="17"/>
  <c r="R291" i="17"/>
  <c r="Q291" i="17"/>
  <c r="P291" i="17" s="1"/>
  <c r="M291" i="17"/>
  <c r="T291" i="17"/>
  <c r="S290" i="17"/>
  <c r="R290" i="17"/>
  <c r="Q290" i="17"/>
  <c r="N290" i="17" s="1"/>
  <c r="M290" i="17"/>
  <c r="V290" i="17"/>
  <c r="S289" i="17"/>
  <c r="R289" i="17"/>
  <c r="Q289" i="17"/>
  <c r="O289" i="17" s="1"/>
  <c r="M289" i="17"/>
  <c r="T289" i="17"/>
  <c r="S288" i="17"/>
  <c r="R288" i="17"/>
  <c r="Q288" i="17"/>
  <c r="P288" i="17" s="1"/>
  <c r="M288" i="17"/>
  <c r="T288" i="17"/>
  <c r="S287" i="17"/>
  <c r="R287" i="17"/>
  <c r="Q287" i="17"/>
  <c r="P287" i="17" s="1"/>
  <c r="M287" i="17"/>
  <c r="U287" i="17"/>
  <c r="S286" i="17"/>
  <c r="R286" i="17"/>
  <c r="Q286" i="17"/>
  <c r="P286" i="17" s="1"/>
  <c r="M286" i="17"/>
  <c r="T286" i="17"/>
  <c r="S285" i="17"/>
  <c r="R285" i="17"/>
  <c r="Q285" i="17"/>
  <c r="P285" i="17" s="1"/>
  <c r="M285" i="17"/>
  <c r="X285" i="17"/>
  <c r="S284" i="17"/>
  <c r="R284" i="17"/>
  <c r="Q284" i="17"/>
  <c r="N284" i="17" s="1"/>
  <c r="M284" i="17"/>
  <c r="T284" i="17"/>
  <c r="S283" i="17"/>
  <c r="R283" i="17"/>
  <c r="Q283" i="17"/>
  <c r="M283" i="17"/>
  <c r="T283" i="17"/>
  <c r="S282" i="17"/>
  <c r="R282" i="17"/>
  <c r="Q282" i="17"/>
  <c r="N282" i="17" s="1"/>
  <c r="M282" i="17"/>
  <c r="T282" i="17"/>
  <c r="S281" i="17"/>
  <c r="R281" i="17"/>
  <c r="Q281" i="17"/>
  <c r="M281" i="17"/>
  <c r="T281" i="17"/>
  <c r="S280" i="17"/>
  <c r="R280" i="17"/>
  <c r="Q280" i="17"/>
  <c r="P280" i="17" s="1"/>
  <c r="M280" i="17"/>
  <c r="U280" i="17"/>
  <c r="S279" i="17"/>
  <c r="R279" i="17"/>
  <c r="Q279" i="17"/>
  <c r="M279" i="17"/>
  <c r="U279" i="17"/>
  <c r="S278" i="17"/>
  <c r="R278" i="17"/>
  <c r="Q278" i="17"/>
  <c r="P278" i="17" s="1"/>
  <c r="M278" i="17"/>
  <c r="T278" i="17"/>
  <c r="S277" i="17"/>
  <c r="R277" i="17"/>
  <c r="Q277" i="17"/>
  <c r="P277" i="17" s="1"/>
  <c r="M277" i="17"/>
  <c r="X277" i="17"/>
  <c r="S276" i="17"/>
  <c r="R276" i="17"/>
  <c r="Q276" i="17"/>
  <c r="M276" i="17"/>
  <c r="S275" i="17"/>
  <c r="R275" i="17"/>
  <c r="Q275" i="17"/>
  <c r="O275" i="17" s="1"/>
  <c r="M275" i="17"/>
  <c r="U275" i="17"/>
  <c r="T274" i="17"/>
  <c r="S274" i="17"/>
  <c r="R274" i="17"/>
  <c r="Q274" i="17"/>
  <c r="O274" i="17" s="1"/>
  <c r="M274" i="17"/>
  <c r="W274" i="17"/>
  <c r="S273" i="17"/>
  <c r="R273" i="17"/>
  <c r="Q273" i="17"/>
  <c r="P273" i="17" s="1"/>
  <c r="M273" i="17"/>
  <c r="S272" i="17"/>
  <c r="R272" i="17"/>
  <c r="Q272" i="17"/>
  <c r="P272" i="17" s="1"/>
  <c r="M272" i="17"/>
  <c r="X272" i="17"/>
  <c r="S271" i="17"/>
  <c r="R271" i="17"/>
  <c r="Q271" i="17"/>
  <c r="N271" i="17" s="1"/>
  <c r="M271" i="17"/>
  <c r="V271" i="17"/>
  <c r="S270" i="17"/>
  <c r="R270" i="17"/>
  <c r="Q270" i="17"/>
  <c r="P270" i="17" s="1"/>
  <c r="M270" i="17"/>
  <c r="X270" i="17"/>
  <c r="S269" i="17"/>
  <c r="R269" i="17"/>
  <c r="Q269" i="17"/>
  <c r="P269" i="17" s="1"/>
  <c r="M269" i="17"/>
  <c r="X269" i="17"/>
  <c r="S268" i="17"/>
  <c r="R268" i="17"/>
  <c r="Q268" i="17"/>
  <c r="M268" i="17"/>
  <c r="U268" i="17"/>
  <c r="S267" i="17"/>
  <c r="R267" i="17"/>
  <c r="Q267" i="17"/>
  <c r="M267" i="17"/>
  <c r="U267" i="17"/>
  <c r="S266" i="17"/>
  <c r="R266" i="17"/>
  <c r="Q266" i="17"/>
  <c r="O266" i="17" s="1"/>
  <c r="M266" i="17"/>
  <c r="W266" i="17"/>
  <c r="S265" i="17"/>
  <c r="R265" i="17"/>
  <c r="Q265" i="17"/>
  <c r="N265" i="17" s="1"/>
  <c r="M265" i="17"/>
  <c r="T265" i="17"/>
  <c r="S264" i="17"/>
  <c r="R264" i="17"/>
  <c r="Q264" i="17"/>
  <c r="N264" i="17" s="1"/>
  <c r="M264" i="17"/>
  <c r="X264" i="17"/>
  <c r="S263" i="17"/>
  <c r="R263" i="17"/>
  <c r="Q263" i="17"/>
  <c r="N263" i="17" s="1"/>
  <c r="M263" i="17"/>
  <c r="V263" i="17"/>
  <c r="S262" i="17"/>
  <c r="R262" i="17"/>
  <c r="Q262" i="17"/>
  <c r="M262" i="17"/>
  <c r="X262" i="17"/>
  <c r="S261" i="17"/>
  <c r="R261" i="17"/>
  <c r="Q261" i="17"/>
  <c r="P261" i="17" s="1"/>
  <c r="M261" i="17"/>
  <c r="X261" i="17"/>
  <c r="S260" i="17"/>
  <c r="R260" i="17"/>
  <c r="Q260" i="17"/>
  <c r="M260" i="17"/>
  <c r="U260" i="17"/>
  <c r="S259" i="17"/>
  <c r="R259" i="17"/>
  <c r="Q259" i="17"/>
  <c r="O259" i="17" s="1"/>
  <c r="M259" i="17"/>
  <c r="U259" i="17"/>
  <c r="S258" i="17"/>
  <c r="R258" i="17"/>
  <c r="Q258" i="17"/>
  <c r="O258" i="17" s="1"/>
  <c r="M258" i="17"/>
  <c r="W258" i="17"/>
  <c r="S257" i="17"/>
  <c r="R257" i="17"/>
  <c r="Q257" i="17"/>
  <c r="P257" i="17" s="1"/>
  <c r="M257" i="17"/>
  <c r="T257" i="17"/>
  <c r="S256" i="17"/>
  <c r="R256" i="17"/>
  <c r="Q256" i="17"/>
  <c r="P256" i="17" s="1"/>
  <c r="M256" i="17"/>
  <c r="X256" i="17"/>
  <c r="S255" i="17"/>
  <c r="R255" i="17"/>
  <c r="Q255" i="17"/>
  <c r="N255" i="17" s="1"/>
  <c r="M255" i="17"/>
  <c r="V255" i="17"/>
  <c r="S254" i="17"/>
  <c r="R254" i="17"/>
  <c r="Q254" i="17"/>
  <c r="N254" i="17" s="1"/>
  <c r="M254" i="17"/>
  <c r="X254" i="17"/>
  <c r="V253" i="17"/>
  <c r="S253" i="17"/>
  <c r="R253" i="17"/>
  <c r="Q253" i="17"/>
  <c r="P253" i="17" s="1"/>
  <c r="M253" i="17"/>
  <c r="X253" i="17"/>
  <c r="S252" i="17"/>
  <c r="R252" i="17"/>
  <c r="Q252" i="17"/>
  <c r="M252" i="17"/>
  <c r="U252" i="17"/>
  <c r="S251" i="17"/>
  <c r="R251" i="17"/>
  <c r="Q251" i="17"/>
  <c r="O251" i="17" s="1"/>
  <c r="M251" i="17"/>
  <c r="U251" i="17"/>
  <c r="S250" i="17"/>
  <c r="R250" i="17"/>
  <c r="Q250" i="17"/>
  <c r="P250" i="17" s="1"/>
  <c r="M250" i="17"/>
  <c r="S249" i="17"/>
  <c r="R249" i="17"/>
  <c r="Q249" i="17"/>
  <c r="O249" i="17" s="1"/>
  <c r="M249" i="17"/>
  <c r="V249" i="17"/>
  <c r="S248" i="17"/>
  <c r="R248" i="17"/>
  <c r="Q248" i="17"/>
  <c r="N248" i="17" s="1"/>
  <c r="M248" i="17"/>
  <c r="S247" i="17"/>
  <c r="R247" i="17"/>
  <c r="Q247" i="17"/>
  <c r="M247" i="17"/>
  <c r="X247" i="17"/>
  <c r="S246" i="17"/>
  <c r="R246" i="17"/>
  <c r="Q246" i="17"/>
  <c r="O246" i="17" s="1"/>
  <c r="M246" i="17"/>
  <c r="V245" i="17"/>
  <c r="S245" i="17"/>
  <c r="R245" i="17"/>
  <c r="Q245" i="17"/>
  <c r="P245" i="17" s="1"/>
  <c r="M245" i="17"/>
  <c r="S244" i="17"/>
  <c r="R244" i="17"/>
  <c r="Q244" i="17"/>
  <c r="O244" i="17" s="1"/>
  <c r="M244" i="17"/>
  <c r="W244" i="17"/>
  <c r="S243" i="17"/>
  <c r="R243" i="17"/>
  <c r="Q243" i="17"/>
  <c r="N243" i="17" s="1"/>
  <c r="M243" i="17"/>
  <c r="T243" i="17"/>
  <c r="S242" i="17"/>
  <c r="R242" i="17"/>
  <c r="Q242" i="17"/>
  <c r="M242" i="17"/>
  <c r="S241" i="17"/>
  <c r="R241" i="17"/>
  <c r="Q241" i="17"/>
  <c r="O241" i="17" s="1"/>
  <c r="M241" i="17"/>
  <c r="V241" i="17"/>
  <c r="V240" i="17"/>
  <c r="S240" i="17"/>
  <c r="R240" i="17"/>
  <c r="Q240" i="17"/>
  <c r="O240" i="17" s="1"/>
  <c r="M240" i="17"/>
  <c r="S239" i="17"/>
  <c r="R239" i="17"/>
  <c r="Q239" i="17"/>
  <c r="M239" i="17"/>
  <c r="X239" i="17"/>
  <c r="S238" i="17"/>
  <c r="R238" i="17"/>
  <c r="Q238" i="17"/>
  <c r="O238" i="17" s="1"/>
  <c r="M238" i="17"/>
  <c r="U238" i="17"/>
  <c r="S237" i="17"/>
  <c r="R237" i="17"/>
  <c r="Q237" i="17"/>
  <c r="P237" i="17" s="1"/>
  <c r="M237" i="17"/>
  <c r="X237" i="17"/>
  <c r="S236" i="17"/>
  <c r="R236" i="17"/>
  <c r="Q236" i="17"/>
  <c r="O236" i="17" s="1"/>
  <c r="M236" i="17"/>
  <c r="W236" i="17"/>
  <c r="S235" i="17"/>
  <c r="R235" i="17"/>
  <c r="Q235" i="17"/>
  <c r="P235" i="17" s="1"/>
  <c r="M235" i="17"/>
  <c r="T235" i="17"/>
  <c r="S234" i="17"/>
  <c r="R234" i="17"/>
  <c r="Q234" i="17"/>
  <c r="P234" i="17" s="1"/>
  <c r="M234" i="17"/>
  <c r="S233" i="17"/>
  <c r="R233" i="17"/>
  <c r="Q233" i="17"/>
  <c r="M233" i="17"/>
  <c r="V233" i="17"/>
  <c r="S232" i="17"/>
  <c r="R232" i="17"/>
  <c r="Q232" i="17"/>
  <c r="M232" i="17"/>
  <c r="S231" i="17"/>
  <c r="R231" i="17"/>
  <c r="Q231" i="17"/>
  <c r="M231" i="17"/>
  <c r="X231" i="17"/>
  <c r="S230" i="17"/>
  <c r="R230" i="17"/>
  <c r="Q230" i="17"/>
  <c r="O230" i="17" s="1"/>
  <c r="M230" i="17"/>
  <c r="U230" i="17"/>
  <c r="S229" i="17"/>
  <c r="R229" i="17"/>
  <c r="Q229" i="17"/>
  <c r="P229" i="17" s="1"/>
  <c r="M229" i="17"/>
  <c r="X229" i="17"/>
  <c r="V228" i="17"/>
  <c r="S228" i="17"/>
  <c r="R228" i="17"/>
  <c r="Q228" i="17"/>
  <c r="M228" i="17"/>
  <c r="W228" i="17"/>
  <c r="S227" i="17"/>
  <c r="R227" i="17"/>
  <c r="Q227" i="17"/>
  <c r="P227" i="17" s="1"/>
  <c r="M227" i="17"/>
  <c r="T227" i="17"/>
  <c r="S226" i="17"/>
  <c r="R226" i="17"/>
  <c r="Q226" i="17"/>
  <c r="N226" i="17" s="1"/>
  <c r="M226" i="17"/>
  <c r="U226" i="17"/>
  <c r="S225" i="17"/>
  <c r="R225" i="17"/>
  <c r="Q225" i="17"/>
  <c r="M225" i="17"/>
  <c r="V225" i="17"/>
  <c r="S224" i="17"/>
  <c r="R224" i="17"/>
  <c r="Q224" i="17"/>
  <c r="M224" i="17"/>
  <c r="V224" i="17"/>
  <c r="S223" i="17"/>
  <c r="R223" i="17"/>
  <c r="Q223" i="17"/>
  <c r="M223" i="17"/>
  <c r="T223" i="17"/>
  <c r="S222" i="17"/>
  <c r="R222" i="17"/>
  <c r="Q222" i="17"/>
  <c r="O222" i="17" s="1"/>
  <c r="M222" i="17"/>
  <c r="U222" i="17"/>
  <c r="U221" i="17"/>
  <c r="S221" i="17"/>
  <c r="R221" i="17"/>
  <c r="Q221" i="17"/>
  <c r="P221" i="17" s="1"/>
  <c r="M221" i="17"/>
  <c r="X221" i="17"/>
  <c r="S220" i="17"/>
  <c r="R220" i="17"/>
  <c r="Q220" i="17"/>
  <c r="O220" i="17" s="1"/>
  <c r="M220" i="17"/>
  <c r="W220" i="17"/>
  <c r="S219" i="17"/>
  <c r="R219" i="17"/>
  <c r="Q219" i="17"/>
  <c r="P219" i="17" s="1"/>
  <c r="M219" i="17"/>
  <c r="S218" i="17"/>
  <c r="R218" i="17"/>
  <c r="Q218" i="17"/>
  <c r="O218" i="17" s="1"/>
  <c r="M218" i="17"/>
  <c r="U218" i="17"/>
  <c r="S217" i="17"/>
  <c r="R217" i="17"/>
  <c r="Q217" i="17"/>
  <c r="O217" i="17" s="1"/>
  <c r="M217" i="17"/>
  <c r="V217" i="17"/>
  <c r="S216" i="17"/>
  <c r="R216" i="17"/>
  <c r="Q216" i="17"/>
  <c r="M216" i="17"/>
  <c r="S215" i="17"/>
  <c r="R215" i="17"/>
  <c r="Q215" i="17"/>
  <c r="M215" i="17"/>
  <c r="T215" i="17"/>
  <c r="S214" i="17"/>
  <c r="R214" i="17"/>
  <c r="Q214" i="17"/>
  <c r="P214" i="17" s="1"/>
  <c r="M214" i="17"/>
  <c r="U214" i="17"/>
  <c r="S213" i="17"/>
  <c r="R213" i="17"/>
  <c r="Q213" i="17"/>
  <c r="P213" i="17" s="1"/>
  <c r="M213" i="17"/>
  <c r="U213" i="17"/>
  <c r="S212" i="17"/>
  <c r="R212" i="17"/>
  <c r="Q212" i="17"/>
  <c r="O212" i="17" s="1"/>
  <c r="M212" i="17"/>
  <c r="W212" i="17"/>
  <c r="S211" i="17"/>
  <c r="R211" i="17"/>
  <c r="Q211" i="17"/>
  <c r="P211" i="17" s="1"/>
  <c r="M211" i="17"/>
  <c r="T211" i="17"/>
  <c r="S210" i="17"/>
  <c r="R210" i="17"/>
  <c r="Q210" i="17"/>
  <c r="O210" i="17" s="1"/>
  <c r="M210" i="17"/>
  <c r="X210" i="17"/>
  <c r="S209" i="17"/>
  <c r="R209" i="17"/>
  <c r="Q209" i="17"/>
  <c r="M209" i="17"/>
  <c r="S208" i="17"/>
  <c r="R208" i="17"/>
  <c r="Q208" i="17"/>
  <c r="O208" i="17" s="1"/>
  <c r="M208" i="17"/>
  <c r="S207" i="17"/>
  <c r="R207" i="17"/>
  <c r="Q207" i="17"/>
  <c r="O207" i="17" s="1"/>
  <c r="M207" i="17"/>
  <c r="S206" i="17"/>
  <c r="R206" i="17"/>
  <c r="Q206" i="17"/>
  <c r="O206" i="17" s="1"/>
  <c r="M206" i="17"/>
  <c r="S205" i="17"/>
  <c r="R205" i="17"/>
  <c r="Q205" i="17"/>
  <c r="N205" i="17" s="1"/>
  <c r="M205" i="17"/>
  <c r="U205" i="17"/>
  <c r="V204" i="17"/>
  <c r="S204" i="17"/>
  <c r="R204" i="17"/>
  <c r="Q204" i="17"/>
  <c r="O204" i="17" s="1"/>
  <c r="M204" i="17"/>
  <c r="W204" i="17"/>
  <c r="S203" i="17"/>
  <c r="R203" i="17"/>
  <c r="Q203" i="17"/>
  <c r="N203" i="17" s="1"/>
  <c r="M203" i="17"/>
  <c r="T203" i="17"/>
  <c r="S202" i="17"/>
  <c r="R202" i="17"/>
  <c r="Q202" i="17"/>
  <c r="M202" i="17"/>
  <c r="T202" i="17"/>
  <c r="S201" i="17"/>
  <c r="R201" i="17"/>
  <c r="Q201" i="17"/>
  <c r="P201" i="17" s="1"/>
  <c r="M201" i="17"/>
  <c r="V201" i="17"/>
  <c r="S200" i="17"/>
  <c r="R200" i="17"/>
  <c r="Q200" i="17"/>
  <c r="P200" i="17" s="1"/>
  <c r="M200" i="17"/>
  <c r="U200" i="17"/>
  <c r="S199" i="17"/>
  <c r="R199" i="17"/>
  <c r="Q199" i="17"/>
  <c r="O199" i="17" s="1"/>
  <c r="M199" i="17"/>
  <c r="W199" i="17"/>
  <c r="S198" i="17"/>
  <c r="R198" i="17"/>
  <c r="Q198" i="17"/>
  <c r="P198" i="17" s="1"/>
  <c r="M198" i="17"/>
  <c r="W198" i="17"/>
  <c r="S197" i="17"/>
  <c r="R197" i="17"/>
  <c r="Q197" i="17"/>
  <c r="N197" i="17" s="1"/>
  <c r="M197" i="17"/>
  <c r="S196" i="17"/>
  <c r="R196" i="17"/>
  <c r="Q196" i="17"/>
  <c r="O196" i="17" s="1"/>
  <c r="M196" i="17"/>
  <c r="V196" i="17"/>
  <c r="S195" i="17"/>
  <c r="R195" i="17"/>
  <c r="Q195" i="17"/>
  <c r="N195" i="17" s="1"/>
  <c r="M195" i="17"/>
  <c r="S194" i="17"/>
  <c r="R194" i="17"/>
  <c r="Q194" i="17"/>
  <c r="M194" i="17"/>
  <c r="X194" i="17"/>
  <c r="S193" i="17"/>
  <c r="R193" i="17"/>
  <c r="Q193" i="17"/>
  <c r="N193" i="17" s="1"/>
  <c r="M193" i="17"/>
  <c r="X193" i="17"/>
  <c r="S192" i="17"/>
  <c r="R192" i="17"/>
  <c r="Q192" i="17"/>
  <c r="O192" i="17" s="1"/>
  <c r="M192" i="17"/>
  <c r="X192" i="17"/>
  <c r="S191" i="17"/>
  <c r="R191" i="17"/>
  <c r="Q191" i="17"/>
  <c r="O191" i="17" s="1"/>
  <c r="M191" i="17"/>
  <c r="W191" i="17"/>
  <c r="S190" i="17"/>
  <c r="R190" i="17"/>
  <c r="Q190" i="17"/>
  <c r="P190" i="17" s="1"/>
  <c r="M190" i="17"/>
  <c r="T190" i="17"/>
  <c r="T189" i="17"/>
  <c r="S189" i="17"/>
  <c r="R189" i="17"/>
  <c r="Q189" i="17"/>
  <c r="N189" i="17" s="1"/>
  <c r="M189" i="17"/>
  <c r="U189" i="17"/>
  <c r="S188" i="17"/>
  <c r="R188" i="17"/>
  <c r="Q188" i="17"/>
  <c r="O188" i="17" s="1"/>
  <c r="M188" i="17"/>
  <c r="S187" i="17"/>
  <c r="R187" i="17"/>
  <c r="Q187" i="17"/>
  <c r="N187" i="17" s="1"/>
  <c r="M187" i="17"/>
  <c r="V187" i="17"/>
  <c r="U186" i="17"/>
  <c r="S186" i="17"/>
  <c r="R186" i="17"/>
  <c r="Q186" i="17"/>
  <c r="P186" i="17" s="1"/>
  <c r="M186" i="17"/>
  <c r="S185" i="17"/>
  <c r="R185" i="17"/>
  <c r="Q185" i="17"/>
  <c r="N185" i="17" s="1"/>
  <c r="M185" i="17"/>
  <c r="W185" i="17"/>
  <c r="S184" i="17"/>
  <c r="R184" i="17"/>
  <c r="Q184" i="17"/>
  <c r="N184" i="17" s="1"/>
  <c r="M184" i="17"/>
  <c r="U184" i="17"/>
  <c r="S183" i="17"/>
  <c r="R183" i="17"/>
  <c r="Q183" i="17"/>
  <c r="O183" i="17" s="1"/>
  <c r="M183" i="17"/>
  <c r="W183" i="17"/>
  <c r="V182" i="17"/>
  <c r="S182" i="17"/>
  <c r="R182" i="17"/>
  <c r="Q182" i="17"/>
  <c r="N182" i="17" s="1"/>
  <c r="M182" i="17"/>
  <c r="U182" i="17"/>
  <c r="S181" i="17"/>
  <c r="R181" i="17"/>
  <c r="Q181" i="17"/>
  <c r="M181" i="17"/>
  <c r="U181" i="17"/>
  <c r="S180" i="17"/>
  <c r="R180" i="17"/>
  <c r="Q180" i="17"/>
  <c r="M180" i="17"/>
  <c r="W180" i="17"/>
  <c r="S179" i="17"/>
  <c r="R179" i="17"/>
  <c r="Q179" i="17"/>
  <c r="O179" i="17" s="1"/>
  <c r="M179" i="17"/>
  <c r="T179" i="17"/>
  <c r="S178" i="17"/>
  <c r="R178" i="17"/>
  <c r="Q178" i="17"/>
  <c r="O178" i="17" s="1"/>
  <c r="M178" i="17"/>
  <c r="X178" i="17"/>
  <c r="S177" i="17"/>
  <c r="R177" i="17"/>
  <c r="Q177" i="17"/>
  <c r="N177" i="17" s="1"/>
  <c r="M177" i="17"/>
  <c r="V177" i="17"/>
  <c r="S176" i="17"/>
  <c r="R176" i="17"/>
  <c r="Q176" i="17"/>
  <c r="P176" i="17" s="1"/>
  <c r="M176" i="17"/>
  <c r="X176" i="17"/>
  <c r="S175" i="17"/>
  <c r="R175" i="17"/>
  <c r="Q175" i="17"/>
  <c r="O175" i="17" s="1"/>
  <c r="M175" i="17"/>
  <c r="W175" i="17"/>
  <c r="S174" i="17"/>
  <c r="R174" i="17"/>
  <c r="Q174" i="17"/>
  <c r="M174" i="17"/>
  <c r="U174" i="17"/>
  <c r="S173" i="17"/>
  <c r="R173" i="17"/>
  <c r="Q173" i="17"/>
  <c r="P173" i="17" s="1"/>
  <c r="M173" i="17"/>
  <c r="U173" i="17"/>
  <c r="S172" i="17"/>
  <c r="R172" i="17"/>
  <c r="Q172" i="17"/>
  <c r="O172" i="17" s="1"/>
  <c r="M172" i="17"/>
  <c r="X172" i="17"/>
  <c r="S171" i="17"/>
  <c r="R171" i="17"/>
  <c r="Q171" i="17"/>
  <c r="P171" i="17" s="1"/>
  <c r="M171" i="17"/>
  <c r="T171" i="17"/>
  <c r="S170" i="17"/>
  <c r="R170" i="17"/>
  <c r="Q170" i="17"/>
  <c r="O170" i="17" s="1"/>
  <c r="M170" i="17"/>
  <c r="W170" i="17"/>
  <c r="S169" i="17"/>
  <c r="R169" i="17"/>
  <c r="Q169" i="17"/>
  <c r="N169" i="17" s="1"/>
  <c r="M169" i="17"/>
  <c r="X169" i="17"/>
  <c r="S168" i="17"/>
  <c r="R168" i="17"/>
  <c r="Q168" i="17"/>
  <c r="P168" i="17" s="1"/>
  <c r="M168" i="17"/>
  <c r="S167" i="17"/>
  <c r="R167" i="17"/>
  <c r="Q167" i="17"/>
  <c r="O167" i="17" s="1"/>
  <c r="M167" i="17"/>
  <c r="U167" i="17"/>
  <c r="S166" i="17"/>
  <c r="R166" i="17"/>
  <c r="Q166" i="17"/>
  <c r="M166" i="17"/>
  <c r="U166" i="17"/>
  <c r="S165" i="17"/>
  <c r="R165" i="17"/>
  <c r="Q165" i="17"/>
  <c r="P165" i="17" s="1"/>
  <c r="M165" i="17"/>
  <c r="S164" i="17"/>
  <c r="R164" i="17"/>
  <c r="Q164" i="17"/>
  <c r="P164" i="17" s="1"/>
  <c r="M164" i="17"/>
  <c r="X164" i="17"/>
  <c r="S163" i="17"/>
  <c r="R163" i="17"/>
  <c r="Q163" i="17"/>
  <c r="P163" i="17" s="1"/>
  <c r="M163" i="17"/>
  <c r="T163" i="17"/>
  <c r="S162" i="17"/>
  <c r="R162" i="17"/>
  <c r="Q162" i="17"/>
  <c r="O162" i="17" s="1"/>
  <c r="M162" i="17"/>
  <c r="W162" i="17"/>
  <c r="S161" i="17"/>
  <c r="R161" i="17"/>
  <c r="Q161" i="17"/>
  <c r="M161" i="17"/>
  <c r="V161" i="17"/>
  <c r="S160" i="17"/>
  <c r="R160" i="17"/>
  <c r="Q160" i="17"/>
  <c r="O160" i="17" s="1"/>
  <c r="M160" i="17"/>
  <c r="W160" i="17"/>
  <c r="S159" i="17"/>
  <c r="R159" i="17"/>
  <c r="Q159" i="17"/>
  <c r="O159" i="17" s="1"/>
  <c r="M159" i="17"/>
  <c r="T159" i="17"/>
  <c r="S158" i="17"/>
  <c r="R158" i="17"/>
  <c r="Q158" i="17"/>
  <c r="P158" i="17" s="1"/>
  <c r="M158" i="17"/>
  <c r="U158" i="17"/>
  <c r="S157" i="17"/>
  <c r="R157" i="17"/>
  <c r="Q157" i="17"/>
  <c r="P157" i="17" s="1"/>
  <c r="M157" i="17"/>
  <c r="X157" i="17"/>
  <c r="S156" i="17"/>
  <c r="R156" i="17"/>
  <c r="Q156" i="17"/>
  <c r="O156" i="17" s="1"/>
  <c r="M156" i="17"/>
  <c r="T156" i="17"/>
  <c r="X155" i="17"/>
  <c r="S155" i="17"/>
  <c r="R155" i="17"/>
  <c r="Q155" i="17"/>
  <c r="N155" i="17" s="1"/>
  <c r="M155" i="17"/>
  <c r="T155" i="17"/>
  <c r="S154" i="17"/>
  <c r="R154" i="17"/>
  <c r="Q154" i="17"/>
  <c r="O154" i="17" s="1"/>
  <c r="M154" i="17"/>
  <c r="W154" i="17"/>
  <c r="S153" i="17"/>
  <c r="R153" i="17"/>
  <c r="Q153" i="17"/>
  <c r="N153" i="17" s="1"/>
  <c r="M153" i="17"/>
  <c r="T153" i="17"/>
  <c r="S152" i="17"/>
  <c r="R152" i="17"/>
  <c r="Q152" i="17"/>
  <c r="N152" i="17" s="1"/>
  <c r="M152" i="17"/>
  <c r="T152" i="17"/>
  <c r="S151" i="17"/>
  <c r="R151" i="17"/>
  <c r="Q151" i="17"/>
  <c r="M151" i="17"/>
  <c r="W151" i="17"/>
  <c r="S150" i="17"/>
  <c r="R150" i="17"/>
  <c r="Q150" i="17"/>
  <c r="O150" i="17" s="1"/>
  <c r="M150" i="17"/>
  <c r="U150" i="17"/>
  <c r="S149" i="17"/>
  <c r="R149" i="17"/>
  <c r="Q149" i="17"/>
  <c r="P149" i="17" s="1"/>
  <c r="M149" i="17"/>
  <c r="X149" i="17"/>
  <c r="S148" i="17"/>
  <c r="R148" i="17"/>
  <c r="Q148" i="17"/>
  <c r="M148" i="17"/>
  <c r="T148" i="17"/>
  <c r="S147" i="17"/>
  <c r="R147" i="17"/>
  <c r="Q147" i="17"/>
  <c r="M147" i="17"/>
  <c r="T147" i="17"/>
  <c r="S146" i="17"/>
  <c r="R146" i="17"/>
  <c r="Q146" i="17"/>
  <c r="O146" i="17" s="1"/>
  <c r="M146" i="17"/>
  <c r="U146" i="17"/>
  <c r="S145" i="17"/>
  <c r="R145" i="17"/>
  <c r="Q145" i="17"/>
  <c r="N145" i="17" s="1"/>
  <c r="M145" i="17"/>
  <c r="T145" i="17"/>
  <c r="S144" i="17"/>
  <c r="R144" i="17"/>
  <c r="Q144" i="17"/>
  <c r="P144" i="17" s="1"/>
  <c r="M144" i="17"/>
  <c r="W144" i="17"/>
  <c r="S143" i="17"/>
  <c r="R143" i="17"/>
  <c r="Q143" i="17"/>
  <c r="O143" i="17" s="1"/>
  <c r="M143" i="17"/>
  <c r="U143" i="17"/>
  <c r="S142" i="17"/>
  <c r="R142" i="17"/>
  <c r="Q142" i="17"/>
  <c r="M142" i="17"/>
  <c r="T142" i="17"/>
  <c r="S141" i="17"/>
  <c r="R141" i="17"/>
  <c r="Q141" i="17"/>
  <c r="P141" i="17" s="1"/>
  <c r="M141" i="17"/>
  <c r="U141" i="17"/>
  <c r="S140" i="17"/>
  <c r="R140" i="17"/>
  <c r="Q140" i="17"/>
  <c r="O140" i="17" s="1"/>
  <c r="M140" i="17"/>
  <c r="T140" i="17"/>
  <c r="S139" i="17"/>
  <c r="R139" i="17"/>
  <c r="Q139" i="17"/>
  <c r="P139" i="17" s="1"/>
  <c r="M139" i="17"/>
  <c r="T139" i="17"/>
  <c r="S138" i="17"/>
  <c r="R138" i="17"/>
  <c r="Q138" i="17"/>
  <c r="O138" i="17" s="1"/>
  <c r="M138" i="17"/>
  <c r="W138" i="17"/>
  <c r="U137" i="17"/>
  <c r="S137" i="17"/>
  <c r="R137" i="17"/>
  <c r="Q137" i="17"/>
  <c r="M137" i="17"/>
  <c r="T137" i="17"/>
  <c r="S136" i="17"/>
  <c r="R136" i="17"/>
  <c r="Q136" i="17"/>
  <c r="P136" i="17" s="1"/>
  <c r="M136" i="17"/>
  <c r="T136" i="17"/>
  <c r="S135" i="17"/>
  <c r="R135" i="17"/>
  <c r="Q135" i="17"/>
  <c r="O135" i="17" s="1"/>
  <c r="M135" i="17"/>
  <c r="U135" i="17"/>
  <c r="V134" i="17"/>
  <c r="S134" i="17"/>
  <c r="R134" i="17"/>
  <c r="Q134" i="17"/>
  <c r="P134" i="17" s="1"/>
  <c r="M134" i="17"/>
  <c r="U134" i="17"/>
  <c r="V133" i="17"/>
  <c r="S133" i="17"/>
  <c r="R133" i="17"/>
  <c r="Q133" i="17"/>
  <c r="M133" i="17"/>
  <c r="X133" i="17"/>
  <c r="S132" i="17"/>
  <c r="R132" i="17"/>
  <c r="Q132" i="17"/>
  <c r="O132" i="17" s="1"/>
  <c r="M132" i="17"/>
  <c r="T132" i="17"/>
  <c r="S131" i="17"/>
  <c r="R131" i="17"/>
  <c r="Q131" i="17"/>
  <c r="N131" i="17" s="1"/>
  <c r="M131" i="17"/>
  <c r="T131" i="17"/>
  <c r="S130" i="17"/>
  <c r="R130" i="17"/>
  <c r="Q130" i="17"/>
  <c r="O130" i="17" s="1"/>
  <c r="M130" i="17"/>
  <c r="W130" i="17"/>
  <c r="S129" i="17"/>
  <c r="R129" i="17"/>
  <c r="Q129" i="17"/>
  <c r="N129" i="17" s="1"/>
  <c r="M129" i="17"/>
  <c r="T129" i="17"/>
  <c r="S128" i="17"/>
  <c r="R128" i="17"/>
  <c r="Q128" i="17"/>
  <c r="P128" i="17" s="1"/>
  <c r="M128" i="17"/>
  <c r="T128" i="17"/>
  <c r="S127" i="17"/>
  <c r="R127" i="17"/>
  <c r="Q127" i="17"/>
  <c r="N127" i="17" s="1"/>
  <c r="M127" i="17"/>
  <c r="U127" i="17"/>
  <c r="S126" i="17"/>
  <c r="R126" i="17"/>
  <c r="Q126" i="17"/>
  <c r="N126" i="17" s="1"/>
  <c r="M126" i="17"/>
  <c r="T126" i="17"/>
  <c r="S125" i="17"/>
  <c r="R125" i="17"/>
  <c r="Q125" i="17"/>
  <c r="P125" i="17" s="1"/>
  <c r="M125" i="17"/>
  <c r="U125" i="17"/>
  <c r="S124" i="17"/>
  <c r="R124" i="17"/>
  <c r="Q124" i="17"/>
  <c r="O124" i="17" s="1"/>
  <c r="M124" i="17"/>
  <c r="U124" i="17"/>
  <c r="S123" i="17"/>
  <c r="R123" i="17"/>
  <c r="Q123" i="17"/>
  <c r="P123" i="17" s="1"/>
  <c r="M123" i="17"/>
  <c r="T123" i="17"/>
  <c r="S122" i="17"/>
  <c r="R122" i="17"/>
  <c r="Q122" i="17"/>
  <c r="P122" i="17" s="1"/>
  <c r="M122" i="17"/>
  <c r="U122" i="17"/>
  <c r="S121" i="17"/>
  <c r="R121" i="17"/>
  <c r="Q121" i="17"/>
  <c r="N121" i="17" s="1"/>
  <c r="M121" i="17"/>
  <c r="T121" i="17"/>
  <c r="S120" i="17"/>
  <c r="R120" i="17"/>
  <c r="Q120" i="17"/>
  <c r="M120" i="17"/>
  <c r="T120" i="17"/>
  <c r="S119" i="17"/>
  <c r="R119" i="17"/>
  <c r="Q119" i="17"/>
  <c r="M119" i="17"/>
  <c r="T119" i="17"/>
  <c r="S118" i="17"/>
  <c r="R118" i="17"/>
  <c r="Q118" i="17"/>
  <c r="N118" i="17" s="1"/>
  <c r="M118" i="17"/>
  <c r="T118" i="17"/>
  <c r="S117" i="17"/>
  <c r="R117" i="17"/>
  <c r="Q117" i="17"/>
  <c r="O117" i="17" s="1"/>
  <c r="M117" i="17"/>
  <c r="V117" i="17"/>
  <c r="S116" i="17"/>
  <c r="R116" i="17"/>
  <c r="Q116" i="17"/>
  <c r="O116" i="17" s="1"/>
  <c r="M116" i="17"/>
  <c r="T116" i="17"/>
  <c r="S115" i="17"/>
  <c r="R115" i="17"/>
  <c r="Q115" i="17"/>
  <c r="P115" i="17" s="1"/>
  <c r="M115" i="17"/>
  <c r="T115" i="17"/>
  <c r="S114" i="17"/>
  <c r="R114" i="17"/>
  <c r="Q114" i="17"/>
  <c r="P114" i="17" s="1"/>
  <c r="M114" i="17"/>
  <c r="U114" i="17"/>
  <c r="S113" i="17"/>
  <c r="R113" i="17"/>
  <c r="Q113" i="17"/>
  <c r="N113" i="17" s="1"/>
  <c r="M113" i="17"/>
  <c r="T113" i="17"/>
  <c r="S112" i="17"/>
  <c r="R112" i="17"/>
  <c r="Q112" i="17"/>
  <c r="M112" i="17"/>
  <c r="T112" i="17"/>
  <c r="S111" i="17"/>
  <c r="R111" i="17"/>
  <c r="Q111" i="17"/>
  <c r="N111" i="17" s="1"/>
  <c r="M111" i="17"/>
  <c r="T111" i="17"/>
  <c r="S110" i="17"/>
  <c r="R110" i="17"/>
  <c r="Q110" i="17"/>
  <c r="P110" i="17" s="1"/>
  <c r="M110" i="17"/>
  <c r="T110" i="17"/>
  <c r="S109" i="17"/>
  <c r="R109" i="17"/>
  <c r="Q109" i="17"/>
  <c r="N109" i="17" s="1"/>
  <c r="M109" i="17"/>
  <c r="V109" i="17"/>
  <c r="S108" i="17"/>
  <c r="R108" i="17"/>
  <c r="Q108" i="17"/>
  <c r="O108" i="17" s="1"/>
  <c r="M108" i="17"/>
  <c r="U108" i="17"/>
  <c r="S107" i="17"/>
  <c r="R107" i="17"/>
  <c r="Q107" i="17"/>
  <c r="M107" i="17"/>
  <c r="T107" i="17"/>
  <c r="S106" i="17"/>
  <c r="R106" i="17"/>
  <c r="Q106" i="17"/>
  <c r="P106" i="17" s="1"/>
  <c r="M106" i="17"/>
  <c r="U106" i="17"/>
  <c r="S105" i="17"/>
  <c r="R105" i="17"/>
  <c r="Q105" i="17"/>
  <c r="N105" i="17" s="1"/>
  <c r="M105" i="17"/>
  <c r="T105" i="17"/>
  <c r="S104" i="17"/>
  <c r="R104" i="17"/>
  <c r="Q104" i="17"/>
  <c r="P104" i="17" s="1"/>
  <c r="M104" i="17"/>
  <c r="T104" i="17"/>
  <c r="S103" i="17"/>
  <c r="R103" i="17"/>
  <c r="Q103" i="17"/>
  <c r="N103" i="17" s="1"/>
  <c r="M103" i="17"/>
  <c r="T103" i="17"/>
  <c r="S102" i="17"/>
  <c r="R102" i="17"/>
  <c r="Q102" i="17"/>
  <c r="P102" i="17" s="1"/>
  <c r="M102" i="17"/>
  <c r="T102" i="17"/>
  <c r="S101" i="17"/>
  <c r="R101" i="17"/>
  <c r="Q101" i="17"/>
  <c r="P101" i="17" s="1"/>
  <c r="M101" i="17"/>
  <c r="X101" i="17"/>
  <c r="S100" i="17"/>
  <c r="R100" i="17"/>
  <c r="Q100" i="17"/>
  <c r="P100" i="17" s="1"/>
  <c r="M100" i="17"/>
  <c r="U100" i="17"/>
  <c r="S99" i="17"/>
  <c r="R99" i="17"/>
  <c r="Q99" i="17"/>
  <c r="N99" i="17" s="1"/>
  <c r="M99" i="17"/>
  <c r="T99" i="17"/>
  <c r="S98" i="17"/>
  <c r="R98" i="17"/>
  <c r="Q98" i="17"/>
  <c r="P98" i="17" s="1"/>
  <c r="M98" i="17"/>
  <c r="U98" i="17"/>
  <c r="S97" i="17"/>
  <c r="R97" i="17"/>
  <c r="Q97" i="17"/>
  <c r="N97" i="17" s="1"/>
  <c r="M97" i="17"/>
  <c r="X97" i="17"/>
  <c r="S96" i="17"/>
  <c r="R96" i="17"/>
  <c r="Q96" i="17"/>
  <c r="P96" i="17" s="1"/>
  <c r="M96" i="17"/>
  <c r="U96" i="17"/>
  <c r="S95" i="17"/>
  <c r="R95" i="17"/>
  <c r="Q95" i="17"/>
  <c r="N95" i="17" s="1"/>
  <c r="M95" i="17"/>
  <c r="T95" i="17"/>
  <c r="S94" i="17"/>
  <c r="R94" i="17"/>
  <c r="Q94" i="17"/>
  <c r="P94" i="17" s="1"/>
  <c r="M94" i="17"/>
  <c r="T94" i="17"/>
  <c r="S93" i="17"/>
  <c r="R93" i="17"/>
  <c r="Q93" i="17"/>
  <c r="P93" i="17" s="1"/>
  <c r="M93" i="17"/>
  <c r="W93" i="17"/>
  <c r="S92" i="17"/>
  <c r="R92" i="17"/>
  <c r="Q92" i="17"/>
  <c r="P92" i="17" s="1"/>
  <c r="M92" i="17"/>
  <c r="U92" i="17"/>
  <c r="S91" i="17"/>
  <c r="R91" i="17"/>
  <c r="Q91" i="17"/>
  <c r="N91" i="17" s="1"/>
  <c r="M91" i="17"/>
  <c r="T91" i="17"/>
  <c r="S90" i="17"/>
  <c r="R90" i="17"/>
  <c r="Q90" i="17"/>
  <c r="P90" i="17" s="1"/>
  <c r="M90" i="17"/>
  <c r="U90" i="17"/>
  <c r="S89" i="17"/>
  <c r="R89" i="17"/>
  <c r="Q89" i="17"/>
  <c r="N89" i="17" s="1"/>
  <c r="M89" i="17"/>
  <c r="X89" i="17"/>
  <c r="S88" i="17"/>
  <c r="R88" i="17"/>
  <c r="Q88" i="17"/>
  <c r="P88" i="17" s="1"/>
  <c r="M88" i="17"/>
  <c r="S87" i="17"/>
  <c r="R87" i="17"/>
  <c r="Q87" i="17"/>
  <c r="N87" i="17" s="1"/>
  <c r="M87" i="17"/>
  <c r="T87" i="17"/>
  <c r="S86" i="17"/>
  <c r="R86" i="17"/>
  <c r="Q86" i="17"/>
  <c r="P86" i="17" s="1"/>
  <c r="M86" i="17"/>
  <c r="T86" i="17"/>
  <c r="S85" i="17"/>
  <c r="R85" i="17"/>
  <c r="Q85" i="17"/>
  <c r="P85" i="17" s="1"/>
  <c r="M85" i="17"/>
  <c r="X85" i="17"/>
  <c r="S84" i="17"/>
  <c r="R84" i="17"/>
  <c r="Q84" i="17"/>
  <c r="P84" i="17" s="1"/>
  <c r="M84" i="17"/>
  <c r="X84" i="17"/>
  <c r="S83" i="17"/>
  <c r="R83" i="17"/>
  <c r="Q83" i="17"/>
  <c r="P83" i="17" s="1"/>
  <c r="M83" i="17"/>
  <c r="T83" i="17"/>
  <c r="S82" i="17"/>
  <c r="R82" i="17"/>
  <c r="Q82" i="17"/>
  <c r="P82" i="17" s="1"/>
  <c r="M82" i="17"/>
  <c r="T82" i="17"/>
  <c r="S81" i="17"/>
  <c r="R81" i="17"/>
  <c r="Q81" i="17"/>
  <c r="N81" i="17" s="1"/>
  <c r="M81" i="17"/>
  <c r="X81" i="17"/>
  <c r="S80" i="17"/>
  <c r="R80" i="17"/>
  <c r="Q80" i="17"/>
  <c r="O80" i="17" s="1"/>
  <c r="M80" i="17"/>
  <c r="W80" i="17"/>
  <c r="S79" i="17"/>
  <c r="R79" i="17"/>
  <c r="Q79" i="17"/>
  <c r="N79" i="17" s="1"/>
  <c r="M79" i="17"/>
  <c r="T79" i="17"/>
  <c r="S78" i="17"/>
  <c r="R78" i="17"/>
  <c r="Q78" i="17"/>
  <c r="P78" i="17" s="1"/>
  <c r="M78" i="17"/>
  <c r="T78" i="17"/>
  <c r="S77" i="17"/>
  <c r="R77" i="17"/>
  <c r="Q77" i="17"/>
  <c r="P77" i="17" s="1"/>
  <c r="M77" i="17"/>
  <c r="V77" i="17"/>
  <c r="S76" i="17"/>
  <c r="R76" i="17"/>
  <c r="Q76" i="17"/>
  <c r="M76" i="17"/>
  <c r="U76" i="17"/>
  <c r="S75" i="17"/>
  <c r="R75" i="17"/>
  <c r="Q75" i="17"/>
  <c r="P75" i="17" s="1"/>
  <c r="M75" i="17"/>
  <c r="T75" i="17"/>
  <c r="S74" i="17"/>
  <c r="R74" i="17"/>
  <c r="Q74" i="17"/>
  <c r="P74" i="17" s="1"/>
  <c r="M74" i="17"/>
  <c r="V74" i="17"/>
  <c r="S73" i="17"/>
  <c r="R73" i="17"/>
  <c r="Q73" i="17"/>
  <c r="N73" i="17" s="1"/>
  <c r="M73" i="17"/>
  <c r="T73" i="17"/>
  <c r="S72" i="17"/>
  <c r="R72" i="17"/>
  <c r="Q72" i="17"/>
  <c r="O72" i="17" s="1"/>
  <c r="M72" i="17"/>
  <c r="W72" i="17"/>
  <c r="S71" i="17"/>
  <c r="R71" i="17"/>
  <c r="Q71" i="17"/>
  <c r="N71" i="17" s="1"/>
  <c r="M71" i="17"/>
  <c r="T71" i="17"/>
  <c r="S70" i="17"/>
  <c r="R70" i="17"/>
  <c r="Q70" i="17"/>
  <c r="O70" i="17" s="1"/>
  <c r="M70" i="17"/>
  <c r="T70" i="17"/>
  <c r="S69" i="17"/>
  <c r="R69" i="17"/>
  <c r="Q69" i="17"/>
  <c r="N69" i="17" s="1"/>
  <c r="M69" i="17"/>
  <c r="V69" i="17"/>
  <c r="S68" i="17"/>
  <c r="R68" i="17"/>
  <c r="Q68" i="17"/>
  <c r="P68" i="17" s="1"/>
  <c r="M68" i="17"/>
  <c r="U68" i="17"/>
  <c r="S67" i="17"/>
  <c r="R67" i="17"/>
  <c r="Q67" i="17"/>
  <c r="P67" i="17" s="1"/>
  <c r="M67" i="17"/>
  <c r="T67" i="17"/>
  <c r="S66" i="17"/>
  <c r="R66" i="17"/>
  <c r="Q66" i="17"/>
  <c r="P66" i="17" s="1"/>
  <c r="M66" i="17"/>
  <c r="X66" i="17"/>
  <c r="S65" i="17"/>
  <c r="R65" i="17"/>
  <c r="Q65" i="17"/>
  <c r="N65" i="17" s="1"/>
  <c r="M65" i="17"/>
  <c r="T65" i="17"/>
  <c r="W64" i="17"/>
  <c r="S64" i="17"/>
  <c r="R64" i="17"/>
  <c r="Q64" i="17"/>
  <c r="O64" i="17" s="1"/>
  <c r="M64" i="17"/>
  <c r="T64" i="17"/>
  <c r="S63" i="17"/>
  <c r="R63" i="17"/>
  <c r="Q63" i="17"/>
  <c r="N63" i="17" s="1"/>
  <c r="M63" i="17"/>
  <c r="U63" i="17"/>
  <c r="S62" i="17"/>
  <c r="R62" i="17"/>
  <c r="Q62" i="17"/>
  <c r="P62" i="17" s="1"/>
  <c r="M62" i="17"/>
  <c r="T62" i="17"/>
  <c r="S61" i="17"/>
  <c r="R61" i="17"/>
  <c r="Q61" i="17"/>
  <c r="O61" i="17" s="1"/>
  <c r="M61" i="17"/>
  <c r="V61" i="17"/>
  <c r="S60" i="17"/>
  <c r="R60" i="17"/>
  <c r="Q60" i="17"/>
  <c r="P60" i="17" s="1"/>
  <c r="M60" i="17"/>
  <c r="T60" i="17"/>
  <c r="S59" i="17"/>
  <c r="R59" i="17"/>
  <c r="Q59" i="17"/>
  <c r="P59" i="17" s="1"/>
  <c r="M59" i="17"/>
  <c r="T59" i="17"/>
  <c r="S58" i="17"/>
  <c r="R58" i="17"/>
  <c r="Q58" i="17"/>
  <c r="P58" i="17" s="1"/>
  <c r="M58" i="17"/>
  <c r="X58" i="17"/>
  <c r="S57" i="17"/>
  <c r="R57" i="17"/>
  <c r="Q57" i="17"/>
  <c r="N57" i="17" s="1"/>
  <c r="M57" i="17"/>
  <c r="W57" i="17"/>
  <c r="S56" i="17"/>
  <c r="R56" i="17"/>
  <c r="Q56" i="17"/>
  <c r="M56" i="17"/>
  <c r="U56" i="17"/>
  <c r="S55" i="17"/>
  <c r="R55" i="17"/>
  <c r="Q55" i="17"/>
  <c r="N55" i="17" s="1"/>
  <c r="M55" i="17"/>
  <c r="U55" i="17"/>
  <c r="V54" i="17"/>
  <c r="S54" i="17"/>
  <c r="R54" i="17"/>
  <c r="Q54" i="17"/>
  <c r="P54" i="17" s="1"/>
  <c r="M54" i="17"/>
  <c r="T54" i="17"/>
  <c r="V53" i="17"/>
  <c r="S53" i="17"/>
  <c r="R53" i="17"/>
  <c r="Q53" i="17"/>
  <c r="N53" i="17" s="1"/>
  <c r="M53" i="17"/>
  <c r="W53" i="17"/>
  <c r="S52" i="17"/>
  <c r="R52" i="17"/>
  <c r="Q52" i="17"/>
  <c r="N52" i="17" s="1"/>
  <c r="M52" i="17"/>
  <c r="V52" i="17"/>
  <c r="S51" i="17"/>
  <c r="R51" i="17"/>
  <c r="Q51" i="17"/>
  <c r="O51" i="17" s="1"/>
  <c r="M51" i="17"/>
  <c r="W51" i="17"/>
  <c r="S50" i="17"/>
  <c r="R50" i="17"/>
  <c r="Q50" i="17"/>
  <c r="P50" i="17" s="1"/>
  <c r="M50" i="17"/>
  <c r="X50" i="17"/>
  <c r="S49" i="17"/>
  <c r="R49" i="17"/>
  <c r="Q49" i="17"/>
  <c r="N49" i="17" s="1"/>
  <c r="M49" i="17"/>
  <c r="U49" i="17"/>
  <c r="S48" i="17"/>
  <c r="R48" i="17"/>
  <c r="Q48" i="17"/>
  <c r="P48" i="17" s="1"/>
  <c r="M48" i="17"/>
  <c r="T48" i="17"/>
  <c r="S47" i="17"/>
  <c r="R47" i="17"/>
  <c r="Q47" i="17"/>
  <c r="O47" i="17" s="1"/>
  <c r="M47" i="17"/>
  <c r="W47" i="17"/>
  <c r="S46" i="17"/>
  <c r="R46" i="17"/>
  <c r="Q46" i="17"/>
  <c r="P46" i="17" s="1"/>
  <c r="M46" i="17"/>
  <c r="T46" i="17"/>
  <c r="S45" i="17"/>
  <c r="R45" i="17"/>
  <c r="Q45" i="17"/>
  <c r="P45" i="17" s="1"/>
  <c r="M45" i="17"/>
  <c r="W45" i="17"/>
  <c r="S44" i="17"/>
  <c r="R44" i="17"/>
  <c r="Q44" i="17"/>
  <c r="N44" i="17" s="1"/>
  <c r="M44" i="17"/>
  <c r="V44" i="17"/>
  <c r="S43" i="17"/>
  <c r="R43" i="17"/>
  <c r="Q43" i="17"/>
  <c r="O43" i="17" s="1"/>
  <c r="M43" i="17"/>
  <c r="W43" i="17"/>
  <c r="S42" i="17"/>
  <c r="R42" i="17"/>
  <c r="Q42" i="17"/>
  <c r="M42" i="17"/>
  <c r="X42" i="17"/>
  <c r="S41" i="17"/>
  <c r="R41" i="17"/>
  <c r="Q41" i="17"/>
  <c r="N41" i="17" s="1"/>
  <c r="M41" i="17"/>
  <c r="U41" i="17"/>
  <c r="S40" i="17"/>
  <c r="R40" i="17"/>
  <c r="Q40" i="17"/>
  <c r="P40" i="17" s="1"/>
  <c r="M40" i="17"/>
  <c r="S39" i="17"/>
  <c r="R39" i="17"/>
  <c r="Q39" i="17"/>
  <c r="O39" i="17" s="1"/>
  <c r="M39" i="17"/>
  <c r="W39" i="17"/>
  <c r="S38" i="17"/>
  <c r="R38" i="17"/>
  <c r="Q38" i="17"/>
  <c r="P38" i="17" s="1"/>
  <c r="M38" i="17"/>
  <c r="T38" i="17"/>
  <c r="S37" i="17"/>
  <c r="R37" i="17"/>
  <c r="Q37" i="17"/>
  <c r="P37" i="17" s="1"/>
  <c r="M37" i="17"/>
  <c r="W37" i="17"/>
  <c r="S36" i="17"/>
  <c r="R36" i="17"/>
  <c r="Q36" i="17"/>
  <c r="N36" i="17" s="1"/>
  <c r="M36" i="17"/>
  <c r="V36" i="17"/>
  <c r="S35" i="17"/>
  <c r="R35" i="17"/>
  <c r="Q35" i="17"/>
  <c r="O35" i="17" s="1"/>
  <c r="M35" i="17"/>
  <c r="W35" i="17"/>
  <c r="S34" i="17"/>
  <c r="R34" i="17"/>
  <c r="Q34" i="17"/>
  <c r="P34" i="17" s="1"/>
  <c r="M34" i="17"/>
  <c r="X34" i="17"/>
  <c r="S33" i="17"/>
  <c r="R33" i="17"/>
  <c r="Q33" i="17"/>
  <c r="N33" i="17" s="1"/>
  <c r="M33" i="17"/>
  <c r="U33" i="17"/>
  <c r="S32" i="17"/>
  <c r="R32" i="17"/>
  <c r="Q32" i="17"/>
  <c r="P32" i="17" s="1"/>
  <c r="M32" i="17"/>
  <c r="T32" i="17"/>
  <c r="S31" i="17"/>
  <c r="R31" i="17"/>
  <c r="Q31" i="17"/>
  <c r="M31" i="17"/>
  <c r="W31" i="17"/>
  <c r="S30" i="17"/>
  <c r="R30" i="17"/>
  <c r="Q30" i="17"/>
  <c r="M30" i="17"/>
  <c r="T30" i="17"/>
  <c r="S29" i="17"/>
  <c r="R29" i="17"/>
  <c r="Q29" i="17"/>
  <c r="O29" i="17" s="1"/>
  <c r="M29" i="17"/>
  <c r="W29" i="17"/>
  <c r="S28" i="17"/>
  <c r="R28" i="17"/>
  <c r="Q28" i="17"/>
  <c r="N28" i="17" s="1"/>
  <c r="M28" i="17"/>
  <c r="S27" i="17"/>
  <c r="R27" i="17"/>
  <c r="Q27" i="17"/>
  <c r="O27" i="17" s="1"/>
  <c r="M27" i="17"/>
  <c r="W27" i="17"/>
  <c r="S26" i="17"/>
  <c r="R26" i="17"/>
  <c r="Q26" i="17"/>
  <c r="P26" i="17" s="1"/>
  <c r="M26" i="17"/>
  <c r="S25" i="17"/>
  <c r="R25" i="17"/>
  <c r="Q25" i="17"/>
  <c r="N25" i="17" s="1"/>
  <c r="M25" i="17"/>
  <c r="U25" i="17"/>
  <c r="S24" i="17"/>
  <c r="R24" i="17"/>
  <c r="Q24" i="17"/>
  <c r="P24" i="17" s="1"/>
  <c r="M24" i="17"/>
  <c r="S23" i="17"/>
  <c r="R23" i="17"/>
  <c r="Q23" i="17"/>
  <c r="O23" i="17" s="1"/>
  <c r="M23" i="17"/>
  <c r="W23" i="17"/>
  <c r="V22" i="17"/>
  <c r="S22" i="17"/>
  <c r="R22" i="17"/>
  <c r="Q22" i="17"/>
  <c r="P22" i="17" s="1"/>
  <c r="M22" i="17"/>
  <c r="T22" i="17"/>
  <c r="S21" i="17"/>
  <c r="R21" i="17"/>
  <c r="Q21" i="17"/>
  <c r="P21" i="17" s="1"/>
  <c r="M21" i="17"/>
  <c r="W21" i="17"/>
  <c r="S20" i="17"/>
  <c r="R20" i="17"/>
  <c r="Q20" i="17"/>
  <c r="N20" i="17" s="1"/>
  <c r="M20" i="17"/>
  <c r="V20" i="17"/>
  <c r="S19" i="17"/>
  <c r="R19" i="17"/>
  <c r="Q19" i="17"/>
  <c r="O19" i="17" s="1"/>
  <c r="M19" i="17"/>
  <c r="S18" i="17"/>
  <c r="R18" i="17"/>
  <c r="Q18" i="17"/>
  <c r="P18" i="17" s="1"/>
  <c r="M18" i="17"/>
  <c r="S17" i="17"/>
  <c r="R17" i="17"/>
  <c r="Q17" i="17"/>
  <c r="N17" i="17" s="1"/>
  <c r="M17" i="17"/>
  <c r="U17" i="17"/>
  <c r="S16" i="17"/>
  <c r="R16" i="17"/>
  <c r="Q16" i="17"/>
  <c r="P16" i="17" s="1"/>
  <c r="M16" i="17"/>
  <c r="T16" i="17"/>
  <c r="S15" i="17"/>
  <c r="R15" i="17"/>
  <c r="Q15" i="17"/>
  <c r="O15" i="17" s="1"/>
  <c r="M15" i="17"/>
  <c r="W15" i="17"/>
  <c r="S14" i="17"/>
  <c r="R14" i="17"/>
  <c r="Q14" i="17"/>
  <c r="P14" i="17" s="1"/>
  <c r="M14" i="17"/>
  <c r="T14" i="17"/>
  <c r="X13" i="17"/>
  <c r="S13" i="17"/>
  <c r="R13" i="17"/>
  <c r="Q13" i="17"/>
  <c r="O13" i="17" s="1"/>
  <c r="M13" i="17"/>
  <c r="S12" i="17"/>
  <c r="R12" i="17"/>
  <c r="Q12" i="17"/>
  <c r="P12" i="17" s="1"/>
  <c r="M12" i="17"/>
  <c r="T12" i="17"/>
  <c r="S11" i="17"/>
  <c r="R11" i="17"/>
  <c r="Q11" i="17"/>
  <c r="O11" i="17" s="1"/>
  <c r="M11" i="17"/>
  <c r="V11" i="17"/>
  <c r="S10" i="17"/>
  <c r="R10" i="17"/>
  <c r="Q10" i="17"/>
  <c r="N10" i="17" s="1"/>
  <c r="M10" i="17"/>
  <c r="V10" i="17"/>
  <c r="S9" i="17"/>
  <c r="R9" i="17"/>
  <c r="Q9" i="17"/>
  <c r="P9" i="17" s="1"/>
  <c r="M9" i="17"/>
  <c r="T9" i="17"/>
  <c r="S8" i="17"/>
  <c r="R8" i="17"/>
  <c r="Q8" i="17"/>
  <c r="M8" i="17"/>
  <c r="T8" i="17"/>
  <c r="S7" i="17"/>
  <c r="R7" i="17"/>
  <c r="Q7" i="17"/>
  <c r="N7" i="17" s="1"/>
  <c r="M7" i="17"/>
  <c r="U7" i="17"/>
  <c r="S6" i="17"/>
  <c r="R6" i="17"/>
  <c r="Q6" i="17"/>
  <c r="P6" i="17" s="1"/>
  <c r="M6" i="17"/>
  <c r="W6" i="17"/>
  <c r="S5" i="17"/>
  <c r="R5" i="17"/>
  <c r="Q5" i="17"/>
  <c r="O5" i="17" s="1"/>
  <c r="M5" i="17"/>
  <c r="S4" i="17"/>
  <c r="R4" i="17"/>
  <c r="Q4" i="17"/>
  <c r="M4" i="17"/>
  <c r="S3" i="17"/>
  <c r="R3" i="17"/>
  <c r="Q3" i="17"/>
  <c r="P3" i="17" s="1"/>
  <c r="M3" i="17"/>
  <c r="V3" i="17"/>
  <c r="S2" i="17"/>
  <c r="R2" i="17"/>
  <c r="Q2" i="17"/>
  <c r="N2" i="17" s="1"/>
  <c r="M2" i="17"/>
  <c r="V2" i="17"/>
  <c r="K159" i="16"/>
  <c r="K157" i="16"/>
  <c r="K155" i="16"/>
  <c r="K153" i="16"/>
  <c r="K150" i="16"/>
  <c r="K148" i="16"/>
  <c r="K143" i="16"/>
  <c r="K141" i="16"/>
  <c r="K140" i="16"/>
  <c r="K139" i="16"/>
  <c r="K138" i="16"/>
  <c r="K137" i="16"/>
  <c r="K136" i="16"/>
  <c r="K135" i="16"/>
  <c r="K134" i="16"/>
  <c r="K133" i="16"/>
  <c r="K132" i="16"/>
  <c r="K130" i="16"/>
  <c r="K129" i="16"/>
  <c r="K128" i="16"/>
  <c r="K127" i="16"/>
  <c r="K126" i="16"/>
  <c r="K124" i="16"/>
  <c r="K114" i="16"/>
  <c r="K111" i="16"/>
  <c r="K110" i="16"/>
  <c r="K107" i="16"/>
  <c r="K105" i="16"/>
  <c r="K104" i="16"/>
  <c r="K103" i="16"/>
  <c r="K102" i="16"/>
  <c r="K100" i="16"/>
  <c r="K96" i="16"/>
  <c r="K95" i="16"/>
  <c r="K94" i="16"/>
  <c r="K93" i="16"/>
  <c r="K92" i="16"/>
  <c r="K91" i="16"/>
  <c r="K90" i="16"/>
  <c r="K89" i="16"/>
  <c r="K85" i="16"/>
  <c r="K83" i="16"/>
  <c r="K79" i="16"/>
  <c r="K75" i="16"/>
  <c r="K74" i="16"/>
  <c r="K73" i="16"/>
  <c r="K71" i="16"/>
  <c r="K69" i="16"/>
  <c r="K66" i="16"/>
  <c r="K65" i="16"/>
  <c r="K64" i="16"/>
  <c r="K61" i="16"/>
  <c r="K59" i="16"/>
  <c r="K58" i="16"/>
  <c r="K56" i="16"/>
  <c r="K55" i="16"/>
  <c r="K54" i="16"/>
  <c r="K49" i="16"/>
  <c r="K42" i="16"/>
  <c r="K39" i="16"/>
  <c r="K37" i="16"/>
  <c r="K33" i="16"/>
  <c r="K32" i="16"/>
  <c r="K31" i="16"/>
  <c r="K30" i="16"/>
  <c r="K24" i="16"/>
  <c r="K15" i="16"/>
  <c r="K13" i="16"/>
  <c r="K9" i="16"/>
  <c r="I8" i="16"/>
  <c r="K7" i="16"/>
  <c r="I7" i="16"/>
  <c r="I6" i="16"/>
  <c r="I5" i="16"/>
  <c r="K4" i="16"/>
  <c r="I4" i="16"/>
  <c r="I3" i="16"/>
  <c r="K2" i="16"/>
  <c r="X377" i="15"/>
  <c r="X369" i="15"/>
  <c r="X360" i="15"/>
  <c r="X351" i="15"/>
  <c r="X336" i="15"/>
  <c r="X325" i="15"/>
  <c r="X302" i="15"/>
  <c r="X279" i="15"/>
  <c r="X278" i="15"/>
  <c r="X276" i="15"/>
  <c r="X270" i="15"/>
  <c r="X258" i="15"/>
  <c r="X257" i="15"/>
  <c r="X254" i="15"/>
  <c r="X248" i="15"/>
  <c r="X246" i="15"/>
  <c r="X244" i="15"/>
  <c r="X238" i="15"/>
  <c r="X222" i="15"/>
  <c r="X211" i="15"/>
  <c r="X203" i="15"/>
  <c r="X168" i="15"/>
  <c r="X165" i="15"/>
  <c r="X149" i="15"/>
  <c r="X126" i="15"/>
  <c r="X118" i="15"/>
  <c r="X117" i="15"/>
  <c r="X114" i="15"/>
  <c r="X109" i="15"/>
  <c r="X101" i="15"/>
  <c r="X100" i="15"/>
  <c r="X92" i="15"/>
  <c r="X86" i="15"/>
  <c r="X84" i="15"/>
  <c r="X76" i="15"/>
  <c r="X68" i="15"/>
  <c r="X60" i="15"/>
  <c r="X52" i="15"/>
  <c r="X44" i="15"/>
  <c r="X36" i="15"/>
  <c r="X28" i="15"/>
  <c r="X20" i="15"/>
  <c r="X12" i="15"/>
  <c r="X4" i="15"/>
  <c r="L11" i="14"/>
  <c r="J11" i="14"/>
  <c r="A499" i="12"/>
  <c r="A498" i="12"/>
  <c r="A497" i="12"/>
  <c r="A496" i="12"/>
  <c r="A495" i="12"/>
  <c r="A494" i="12"/>
  <c r="A493" i="12"/>
  <c r="A492" i="12"/>
  <c r="A491" i="12"/>
  <c r="A490" i="12"/>
  <c r="A489" i="12"/>
  <c r="A488" i="12"/>
  <c r="A487" i="12"/>
  <c r="A486" i="12"/>
  <c r="A484" i="12"/>
  <c r="A483" i="12"/>
  <c r="AO482" i="12"/>
  <c r="AN482" i="12"/>
  <c r="A482" i="12"/>
  <c r="A481" i="12"/>
  <c r="A480" i="12"/>
  <c r="A479" i="12"/>
  <c r="A478" i="12"/>
  <c r="A477" i="12"/>
  <c r="A476" i="12"/>
  <c r="A475" i="12"/>
  <c r="A474" i="12"/>
  <c r="A473" i="12"/>
  <c r="A472" i="12"/>
  <c r="A471" i="12"/>
  <c r="A470" i="12"/>
  <c r="A469" i="12"/>
  <c r="A468" i="12"/>
  <c r="AO467" i="12"/>
  <c r="AN467" i="12"/>
  <c r="A467" i="12"/>
  <c r="A466" i="12"/>
  <c r="AR465" i="12"/>
  <c r="A465" i="12"/>
  <c r="AR464" i="12"/>
  <c r="A464" i="12"/>
  <c r="AR463" i="12"/>
  <c r="A463" i="12"/>
  <c r="A462" i="12"/>
  <c r="A461" i="12"/>
  <c r="A460" i="12"/>
  <c r="A459" i="12"/>
  <c r="A458" i="12"/>
  <c r="A457" i="12"/>
  <c r="A456" i="12"/>
  <c r="A455" i="12"/>
  <c r="A454" i="12"/>
  <c r="A453" i="12"/>
  <c r="A452" i="12"/>
  <c r="A451" i="12"/>
  <c r="A450" i="12"/>
  <c r="A449" i="12"/>
  <c r="A448" i="12"/>
  <c r="A447" i="12"/>
  <c r="A446" i="12"/>
  <c r="A445" i="12"/>
  <c r="A444" i="12"/>
  <c r="A443" i="12"/>
  <c r="A442" i="12"/>
  <c r="A441"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404"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5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94" i="12"/>
  <c r="A284" i="12"/>
  <c r="A283" i="12"/>
  <c r="A282" i="12"/>
  <c r="A281" i="12"/>
  <c r="A280" i="12"/>
  <c r="A279" i="12"/>
  <c r="A278" i="12"/>
  <c r="A277" i="12"/>
  <c r="A276" i="12"/>
  <c r="A275" i="12"/>
  <c r="A274" i="12"/>
  <c r="A273" i="12"/>
  <c r="A272" i="12"/>
  <c r="A271" i="12"/>
  <c r="A270" i="12"/>
  <c r="A269" i="12"/>
  <c r="A268" i="12"/>
  <c r="A267" i="12"/>
  <c r="A266" i="12"/>
  <c r="A265" i="12"/>
  <c r="Q265" i="12" s="1" a="1"/>
  <c r="Q265" i="12" s="1"/>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3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A189" i="12"/>
  <c r="R188" i="12"/>
  <c r="A188" i="12"/>
  <c r="A187" i="12"/>
  <c r="A186" i="12"/>
  <c r="A185" i="12"/>
  <c r="A184" i="12"/>
  <c r="A183" i="12"/>
  <c r="K182" i="12"/>
  <c r="A182" i="12"/>
  <c r="A181" i="12"/>
  <c r="A180" i="12"/>
  <c r="R179" i="12"/>
  <c r="A179" i="12"/>
  <c r="A178" i="12"/>
  <c r="A177" i="12"/>
  <c r="A176" i="12"/>
  <c r="A175" i="12"/>
  <c r="A174" i="12"/>
  <c r="A173" i="12"/>
  <c r="A172" i="12"/>
  <c r="A171"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A97" i="12"/>
  <c r="A95" i="12"/>
  <c r="A94" i="12"/>
  <c r="A93" i="12"/>
  <c r="B85" i="12"/>
  <c r="A85" i="12" s="1"/>
  <c r="B84" i="12"/>
  <c r="A84" i="12" s="1"/>
  <c r="B83" i="12"/>
  <c r="A83" i="12" s="1"/>
  <c r="B82" i="12"/>
  <c r="A82" i="12" s="1"/>
  <c r="B81" i="12"/>
  <c r="A81" i="12" s="1"/>
  <c r="B80" i="12"/>
  <c r="B79" i="12"/>
  <c r="A79" i="12" s="1"/>
  <c r="B78" i="12"/>
  <c r="A78" i="12" s="1"/>
  <c r="B77" i="12"/>
  <c r="A77" i="12" s="1"/>
  <c r="B76" i="12"/>
  <c r="B75" i="12"/>
  <c r="A75" i="12" s="1"/>
  <c r="B74" i="12"/>
  <c r="A74" i="12" s="1"/>
  <c r="B73" i="12"/>
  <c r="A73" i="12" s="1"/>
  <c r="B72" i="12"/>
  <c r="A72" i="12" s="1"/>
  <c r="B71" i="12"/>
  <c r="B70" i="12"/>
  <c r="A70" i="12" s="1"/>
  <c r="B69" i="12"/>
  <c r="A69" i="12" s="1"/>
  <c r="B68" i="12"/>
  <c r="A68" i="12" s="1"/>
  <c r="B67" i="12"/>
  <c r="B66" i="12"/>
  <c r="B65" i="12"/>
  <c r="A65" i="12" s="1"/>
  <c r="B64" i="12"/>
  <c r="A64" i="12" s="1"/>
  <c r="B63" i="12"/>
  <c r="A63" i="12" s="1"/>
  <c r="B62" i="12"/>
  <c r="B61" i="12"/>
  <c r="A61" i="12" s="1"/>
  <c r="B60" i="12"/>
  <c r="A60" i="12" s="1"/>
  <c r="B59" i="12"/>
  <c r="A59" i="12"/>
  <c r="B58" i="12"/>
  <c r="B57" i="12"/>
  <c r="A57" i="12" s="1"/>
  <c r="B56" i="12"/>
  <c r="A56" i="12" s="1"/>
  <c r="B55" i="12"/>
  <c r="A55" i="12" s="1"/>
  <c r="B54" i="12"/>
  <c r="A54" i="12" s="1"/>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s="1"/>
  <c r="B37" i="12"/>
  <c r="B36" i="12"/>
  <c r="A36" i="12" s="1"/>
  <c r="B35" i="12"/>
  <c r="B34" i="12"/>
  <c r="A34" i="12" s="1"/>
  <c r="B33" i="12"/>
  <c r="A33" i="12" s="1"/>
  <c r="B32" i="12"/>
  <c r="L32" i="12" s="1"/>
  <c r="B31" i="12"/>
  <c r="A31" i="12" s="1"/>
  <c r="B30" i="12"/>
  <c r="A30" i="12" s="1"/>
  <c r="B29" i="12"/>
  <c r="A29" i="12" s="1"/>
  <c r="B28" i="12"/>
  <c r="A28" i="12" s="1"/>
  <c r="B27" i="12"/>
  <c r="A27" i="12" s="1"/>
  <c r="B26" i="12"/>
  <c r="A26" i="12" s="1"/>
  <c r="B25" i="12"/>
  <c r="A25" i="12" s="1"/>
  <c r="B24" i="12"/>
  <c r="A24" i="12" s="1"/>
  <c r="B23" i="12"/>
  <c r="B22" i="12"/>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1" i="12"/>
  <c r="C1" i="12"/>
  <c r="C168" i="12" s="1"/>
  <c r="L11" i="11"/>
  <c r="J11" i="11"/>
  <c r="AO482" i="9"/>
  <c r="AN482" i="9"/>
  <c r="AO467" i="9"/>
  <c r="AN467" i="9"/>
  <c r="R188" i="9"/>
  <c r="R179" i="9"/>
  <c r="R19" i="9"/>
  <c r="AF14" i="9"/>
  <c r="AF15" i="9" s="1"/>
  <c r="AE15" i="9" s="1"/>
  <c r="W8" i="9"/>
  <c r="S168" i="9"/>
  <c r="C1" i="9"/>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B40" i="21" s="1"/>
  <c r="Z496" i="9" l="1"/>
  <c r="F75" i="9"/>
  <c r="V402" i="9"/>
  <c r="F7" i="21"/>
  <c r="F20" i="21" s="1"/>
  <c r="F12" i="21"/>
  <c r="Q3" i="20"/>
  <c r="P3" i="20"/>
  <c r="O3" i="20"/>
  <c r="F265" i="12" a="1"/>
  <c r="F265" i="12" s="1"/>
  <c r="Z453" i="9"/>
  <c r="D99" i="9"/>
  <c r="E99" i="9" s="1"/>
  <c r="F96" i="9"/>
  <c r="N96" i="9" s="1"/>
  <c r="Z457" i="9"/>
  <c r="Z455" i="9"/>
  <c r="Z494" i="9"/>
  <c r="AI494" i="9" s="1"/>
  <c r="Z460" i="9"/>
  <c r="Z493" i="9"/>
  <c r="Z491" i="9"/>
  <c r="Z458" i="9"/>
  <c r="Z469" i="9"/>
  <c r="Z461" i="9"/>
  <c r="Z477" i="9"/>
  <c r="Z420" i="9"/>
  <c r="Z492" i="9"/>
  <c r="AI492" i="9" s="1"/>
  <c r="Z456" i="9"/>
  <c r="AI456" i="9" s="1"/>
  <c r="Z454" i="9"/>
  <c r="Z459" i="9"/>
  <c r="Z497" i="12" a="1"/>
  <c r="Z497" i="12" s="1"/>
  <c r="AI497" i="12" s="1"/>
  <c r="F78" i="9"/>
  <c r="F69" i="9"/>
  <c r="N69" i="9" s="1"/>
  <c r="F59" i="9"/>
  <c r="F52" i="9"/>
  <c r="F42" i="9"/>
  <c r="F35" i="9"/>
  <c r="F22" i="9"/>
  <c r="D19" i="9"/>
  <c r="E19" i="9" s="1"/>
  <c r="F12" i="9"/>
  <c r="F6" i="9"/>
  <c r="F77" i="9"/>
  <c r="F58" i="9"/>
  <c r="F15" i="9"/>
  <c r="F53" i="9"/>
  <c r="F39" i="9"/>
  <c r="F8" i="9"/>
  <c r="F56" i="9"/>
  <c r="F38" i="9"/>
  <c r="D22" i="9"/>
  <c r="E22" i="9" s="1"/>
  <c r="D12" i="9"/>
  <c r="E12" i="9" s="1"/>
  <c r="F9" i="9"/>
  <c r="D6" i="9"/>
  <c r="F71" i="9"/>
  <c r="F40" i="9"/>
  <c r="F37" i="9"/>
  <c r="D23" i="9"/>
  <c r="E23" i="9" s="1"/>
  <c r="F81" i="9"/>
  <c r="F68" i="9"/>
  <c r="F65" i="9"/>
  <c r="F62" i="9"/>
  <c r="F51" i="9"/>
  <c r="F48" i="9"/>
  <c r="F45" i="9"/>
  <c r="F34" i="9"/>
  <c r="F31" i="9"/>
  <c r="D9" i="9"/>
  <c r="E9" i="9" s="1"/>
  <c r="F55" i="9"/>
  <c r="F10" i="9"/>
  <c r="F7" i="9"/>
  <c r="F70" i="9"/>
  <c r="F43" i="9"/>
  <c r="D11" i="9"/>
  <c r="E11" i="9" s="1"/>
  <c r="F80" i="9"/>
  <c r="F67" i="9"/>
  <c r="F61" i="9"/>
  <c r="F50" i="9"/>
  <c r="F44" i="9"/>
  <c r="F33" i="9"/>
  <c r="F21" i="9"/>
  <c r="D15" i="9"/>
  <c r="D10" i="9"/>
  <c r="D7" i="9"/>
  <c r="F5" i="9"/>
  <c r="F57" i="9"/>
  <c r="D17" i="9"/>
  <c r="F64" i="9"/>
  <c r="F47" i="9"/>
  <c r="F23" i="9"/>
  <c r="D21" i="9"/>
  <c r="E21" i="9" s="1"/>
  <c r="F17" i="9"/>
  <c r="F11" i="9"/>
  <c r="F79" i="9"/>
  <c r="F60" i="9"/>
  <c r="F36" i="9"/>
  <c r="D8" i="9"/>
  <c r="E8" i="9" s="1"/>
  <c r="F66" i="9"/>
  <c r="F46" i="9"/>
  <c r="F49" i="9"/>
  <c r="F19" i="9"/>
  <c r="F63" i="9"/>
  <c r="F82" i="9"/>
  <c r="F32" i="9"/>
  <c r="F394" i="9"/>
  <c r="F381" i="9"/>
  <c r="F378" i="9"/>
  <c r="F360" i="9"/>
  <c r="F339" i="9"/>
  <c r="F324" i="9"/>
  <c r="D308" i="9"/>
  <c r="F303" i="9"/>
  <c r="D298" i="9"/>
  <c r="D296" i="9"/>
  <c r="F280" i="9"/>
  <c r="F274" i="9"/>
  <c r="F270" i="9"/>
  <c r="F267" i="9"/>
  <c r="F263" i="9"/>
  <c r="F228" i="9"/>
  <c r="F218" i="9"/>
  <c r="F211" i="9"/>
  <c r="F191" i="9"/>
  <c r="N191" i="9" s="1"/>
  <c r="F184" i="9"/>
  <c r="D42" i="8" s="1"/>
  <c r="E181" i="9"/>
  <c r="F156" i="9"/>
  <c r="N156" i="9" s="1"/>
  <c r="F150" i="9"/>
  <c r="F147" i="9"/>
  <c r="F137" i="9"/>
  <c r="F133" i="9"/>
  <c r="F130" i="9"/>
  <c r="F119" i="9"/>
  <c r="F116" i="9"/>
  <c r="F113" i="9"/>
  <c r="F103" i="9"/>
  <c r="D96" i="9"/>
  <c r="M96" i="9" s="1"/>
  <c r="F348" i="9"/>
  <c r="F329" i="9"/>
  <c r="D299" i="9"/>
  <c r="F279" i="9"/>
  <c r="F241" i="9"/>
  <c r="F199" i="9"/>
  <c r="F115" i="9"/>
  <c r="D172" i="9"/>
  <c r="F127" i="9"/>
  <c r="F390" i="9"/>
  <c r="F387" i="9"/>
  <c r="F373" i="9"/>
  <c r="F370" i="9"/>
  <c r="F366" i="9"/>
  <c r="D360" i="9"/>
  <c r="D362" i="9" s="1"/>
  <c r="E362" i="9" s="1"/>
  <c r="F345" i="9"/>
  <c r="F342" i="9"/>
  <c r="F335" i="9"/>
  <c r="F331" i="9"/>
  <c r="F327" i="9"/>
  <c r="F320" i="9"/>
  <c r="D59" i="8" s="1"/>
  <c r="D303" i="9"/>
  <c r="E303" i="9" s="1"/>
  <c r="F301" i="9"/>
  <c r="F277" i="9"/>
  <c r="F259" i="9"/>
  <c r="F256" i="9"/>
  <c r="F224" i="9"/>
  <c r="F221" i="9"/>
  <c r="F206" i="9"/>
  <c r="F203" i="9"/>
  <c r="F200" i="9"/>
  <c r="E191" i="9"/>
  <c r="D181" i="9"/>
  <c r="F162" i="9"/>
  <c r="F159" i="9"/>
  <c r="F143" i="9"/>
  <c r="F140" i="9"/>
  <c r="F126" i="9"/>
  <c r="F123" i="9"/>
  <c r="D103" i="9"/>
  <c r="E103" i="9" s="1"/>
  <c r="F100" i="9"/>
  <c r="N100" i="9" s="1"/>
  <c r="F94" i="9"/>
  <c r="F380" i="9"/>
  <c r="F344" i="9"/>
  <c r="F307" i="9"/>
  <c r="F276" i="9"/>
  <c r="F216" i="9"/>
  <c r="F149" i="9"/>
  <c r="F102" i="9"/>
  <c r="F144" i="9"/>
  <c r="F76" i="9"/>
  <c r="F393" i="9"/>
  <c r="F383" i="9"/>
  <c r="F376" i="9"/>
  <c r="F338" i="9"/>
  <c r="F323" i="9"/>
  <c r="D301" i="9"/>
  <c r="E301" i="9" s="1"/>
  <c r="F299" i="9"/>
  <c r="F283" i="9"/>
  <c r="F269" i="9"/>
  <c r="F262" i="9"/>
  <c r="F227" i="9"/>
  <c r="F213" i="9"/>
  <c r="D47" i="8" s="1"/>
  <c r="F209" i="9"/>
  <c r="F152" i="9"/>
  <c r="F146" i="9"/>
  <c r="F136" i="9"/>
  <c r="F129" i="9"/>
  <c r="F118" i="9"/>
  <c r="F112" i="9"/>
  <c r="D100" i="9"/>
  <c r="D94" i="9"/>
  <c r="F386" i="9"/>
  <c r="F369" i="9"/>
  <c r="F334" i="9"/>
  <c r="F312" i="9"/>
  <c r="M312" i="9" s="1"/>
  <c r="F297" i="9"/>
  <c r="F265" i="9"/>
  <c r="F205" i="9"/>
  <c r="F132" i="9"/>
  <c r="F99" i="9"/>
  <c r="E175" i="9"/>
  <c r="F392" i="9"/>
  <c r="F389" i="9"/>
  <c r="F375" i="9"/>
  <c r="F372" i="9"/>
  <c r="F365" i="9"/>
  <c r="F341" i="9"/>
  <c r="F326" i="9"/>
  <c r="F322" i="9"/>
  <c r="F319" i="9"/>
  <c r="D312" i="9"/>
  <c r="E312" i="9" s="1"/>
  <c r="D307" i="9"/>
  <c r="E307" i="9" s="1"/>
  <c r="D297" i="9"/>
  <c r="F295" i="9"/>
  <c r="F282" i="9"/>
  <c r="F272" i="9"/>
  <c r="F261" i="9"/>
  <c r="F258" i="9"/>
  <c r="F255" i="9"/>
  <c r="F244" i="9"/>
  <c r="E241" i="9"/>
  <c r="F226" i="9"/>
  <c r="F223" i="9"/>
  <c r="F220" i="9"/>
  <c r="F202" i="9"/>
  <c r="F172" i="9"/>
  <c r="F161" i="9"/>
  <c r="F158" i="9"/>
  <c r="F145" i="9"/>
  <c r="F142" i="9"/>
  <c r="F139" i="9"/>
  <c r="F128" i="9"/>
  <c r="F125" i="9"/>
  <c r="F121" i="9"/>
  <c r="F104" i="9"/>
  <c r="N104" i="9" s="1"/>
  <c r="D102" i="9"/>
  <c r="E102" i="9" s="1"/>
  <c r="F95" i="9"/>
  <c r="N95" i="9" s="1"/>
  <c r="F391" i="9"/>
  <c r="F374" i="9"/>
  <c r="F340" i="9"/>
  <c r="F328" i="9"/>
  <c r="F321" i="9"/>
  <c r="D300" i="9"/>
  <c r="F278" i="9"/>
  <c r="F271" i="9"/>
  <c r="F254" i="9"/>
  <c r="F225" i="9"/>
  <c r="F204" i="9"/>
  <c r="E188" i="9"/>
  <c r="F157" i="9"/>
  <c r="F120" i="9"/>
  <c r="F385" i="9"/>
  <c r="F382" i="9"/>
  <c r="F368" i="9"/>
  <c r="F347" i="9"/>
  <c r="F333" i="9"/>
  <c r="F302" i="9"/>
  <c r="F300" i="9"/>
  <c r="D295" i="9"/>
  <c r="F268" i="9"/>
  <c r="F264" i="9"/>
  <c r="E244" i="9"/>
  <c r="D241" i="9"/>
  <c r="F215" i="9"/>
  <c r="F212" i="9"/>
  <c r="F208" i="9"/>
  <c r="F198" i="9"/>
  <c r="F188" i="9"/>
  <c r="F178" i="9"/>
  <c r="F175" i="9"/>
  <c r="E172" i="9"/>
  <c r="F151" i="9"/>
  <c r="F148" i="9"/>
  <c r="F134" i="9"/>
  <c r="F131" i="9"/>
  <c r="F117" i="9"/>
  <c r="F114" i="9"/>
  <c r="D104" i="9"/>
  <c r="E104" i="9" s="1"/>
  <c r="D95" i="9"/>
  <c r="F93" i="9"/>
  <c r="F379" i="9"/>
  <c r="F343" i="9"/>
  <c r="F336" i="9"/>
  <c r="F325" i="9"/>
  <c r="D302" i="9"/>
  <c r="E302" i="9" s="1"/>
  <c r="F281" i="9"/>
  <c r="F275" i="9"/>
  <c r="F260" i="9"/>
  <c r="D244" i="9"/>
  <c r="F219" i="9"/>
  <c r="F201" i="9"/>
  <c r="E178" i="9"/>
  <c r="F138" i="9"/>
  <c r="F124" i="9"/>
  <c r="F371" i="9"/>
  <c r="F284" i="9"/>
  <c r="F257" i="9"/>
  <c r="F181" i="9"/>
  <c r="F207" i="9"/>
  <c r="F384" i="9"/>
  <c r="F332" i="9"/>
  <c r="F222" i="9"/>
  <c r="D175" i="9"/>
  <c r="F318" i="9"/>
  <c r="F298" i="9"/>
  <c r="F367" i="9"/>
  <c r="F308" i="9"/>
  <c r="F296" i="9"/>
  <c r="F214" i="9"/>
  <c r="F388" i="9"/>
  <c r="D178" i="9"/>
  <c r="F346" i="9"/>
  <c r="F160" i="9"/>
  <c r="F141" i="9"/>
  <c r="C168" i="9"/>
  <c r="C89" i="9"/>
  <c r="O603" i="17"/>
  <c r="P620" i="17"/>
  <c r="P869" i="17"/>
  <c r="P919" i="17"/>
  <c r="P887" i="17"/>
  <c r="O917" i="17"/>
  <c r="N663" i="17"/>
  <c r="N344" i="17"/>
  <c r="N557" i="17"/>
  <c r="O1009" i="17"/>
  <c r="N762" i="17"/>
  <c r="O905" i="17"/>
  <c r="P494" i="17"/>
  <c r="N497" i="17"/>
  <c r="N1033" i="17"/>
  <c r="P29" i="17"/>
  <c r="P343" i="17"/>
  <c r="O416" i="17"/>
  <c r="N210" i="17"/>
  <c r="P461" i="17"/>
  <c r="O620" i="17"/>
  <c r="O815" i="17"/>
  <c r="N62" i="17"/>
  <c r="N566" i="17"/>
  <c r="O642" i="17"/>
  <c r="O438" i="17"/>
  <c r="N629" i="17"/>
  <c r="P762" i="17"/>
  <c r="P178" i="17"/>
  <c r="O629" i="17"/>
  <c r="O646" i="17"/>
  <c r="N772" i="17"/>
  <c r="O62" i="17"/>
  <c r="O344" i="17"/>
  <c r="P124" i="17"/>
  <c r="P212" i="17"/>
  <c r="O309" i="17"/>
  <c r="P61" i="17"/>
  <c r="P374" i="17"/>
  <c r="O372" i="17"/>
  <c r="N320" i="17"/>
  <c r="N114" i="17"/>
  <c r="O149" i="17"/>
  <c r="O325" i="17"/>
  <c r="O398" i="17"/>
  <c r="T42" i="17"/>
  <c r="N37" i="17"/>
  <c r="X53" i="17"/>
  <c r="X182" i="17"/>
  <c r="W241" i="17"/>
  <c r="P259" i="17"/>
  <c r="O270" i="17"/>
  <c r="N288" i="17"/>
  <c r="V456" i="17"/>
  <c r="W486" i="17"/>
  <c r="V568" i="17"/>
  <c r="N655" i="17"/>
  <c r="O784" i="17"/>
  <c r="N790" i="17"/>
  <c r="O808" i="17"/>
  <c r="U1026" i="17"/>
  <c r="C291" i="9"/>
  <c r="C356" i="9" s="1"/>
  <c r="N11" i="14"/>
  <c r="O37" i="17"/>
  <c r="O40" i="17"/>
  <c r="V78" i="17"/>
  <c r="T81" i="17"/>
  <c r="P97" i="17"/>
  <c r="V155" i="17"/>
  <c r="N160" i="17"/>
  <c r="P220" i="17"/>
  <c r="V222" i="17"/>
  <c r="N230" i="17"/>
  <c r="N246" i="17"/>
  <c r="O288" i="17"/>
  <c r="N299" i="17"/>
  <c r="O507" i="17"/>
  <c r="P619" i="17"/>
  <c r="O655" i="17"/>
  <c r="N780" i="17"/>
  <c r="O793" i="17"/>
  <c r="V827" i="17"/>
  <c r="X20" i="17"/>
  <c r="N54" i="17"/>
  <c r="X65" i="17"/>
  <c r="N67" i="17"/>
  <c r="V103" i="17"/>
  <c r="O113" i="17"/>
  <c r="O114" i="17"/>
  <c r="P210" i="17"/>
  <c r="W227" i="17"/>
  <c r="N238" i="17"/>
  <c r="N272" i="17"/>
  <c r="N307" i="17"/>
  <c r="U373" i="17"/>
  <c r="N431" i="17"/>
  <c r="U629" i="17"/>
  <c r="O663" i="17"/>
  <c r="X670" i="17"/>
  <c r="P683" i="17"/>
  <c r="V712" i="17"/>
  <c r="W805" i="17"/>
  <c r="O810" i="17"/>
  <c r="O813" i="17"/>
  <c r="C236" i="12"/>
  <c r="T68" i="17"/>
  <c r="N78" i="17"/>
  <c r="O82" i="17"/>
  <c r="P113" i="17"/>
  <c r="P179" i="17"/>
  <c r="X201" i="17"/>
  <c r="O203" i="17"/>
  <c r="X214" i="17"/>
  <c r="U217" i="17"/>
  <c r="P238" i="17"/>
  <c r="O254" i="17"/>
  <c r="O272" i="17"/>
  <c r="N321" i="17"/>
  <c r="W364" i="17"/>
  <c r="P419" i="17"/>
  <c r="V451" i="17"/>
  <c r="V518" i="17"/>
  <c r="V543" i="17"/>
  <c r="X558" i="17"/>
  <c r="N612" i="17"/>
  <c r="U715" i="17"/>
  <c r="N782" i="17"/>
  <c r="U790" i="17"/>
  <c r="O795" i="17"/>
  <c r="W820" i="17"/>
  <c r="N869" i="17"/>
  <c r="V889" i="17"/>
  <c r="V895" i="17"/>
  <c r="N909" i="17"/>
  <c r="U988" i="17"/>
  <c r="O78" i="17"/>
  <c r="U160" i="17"/>
  <c r="N170" i="17"/>
  <c r="P188" i="17"/>
  <c r="N222" i="17"/>
  <c r="N237" i="17"/>
  <c r="N244" i="17"/>
  <c r="O253" i="17"/>
  <c r="P254" i="17"/>
  <c r="N257" i="17"/>
  <c r="N275" i="17"/>
  <c r="N341" i="17"/>
  <c r="P418" i="17"/>
  <c r="N590" i="17"/>
  <c r="V597" i="17"/>
  <c r="W607" i="17"/>
  <c r="O612" i="17"/>
  <c r="P647" i="17"/>
  <c r="N650" i="17"/>
  <c r="O653" i="17"/>
  <c r="O782" i="17"/>
  <c r="O788" i="17"/>
  <c r="O831" i="17"/>
  <c r="O887" i="17"/>
  <c r="W889" i="17"/>
  <c r="W895" i="17"/>
  <c r="P909" i="17"/>
  <c r="P940" i="17"/>
  <c r="V29" i="17"/>
  <c r="P70" i="17"/>
  <c r="P108" i="17"/>
  <c r="P132" i="17"/>
  <c r="V137" i="17"/>
  <c r="P160" i="17"/>
  <c r="O177" i="17"/>
  <c r="P203" i="17"/>
  <c r="N213" i="17"/>
  <c r="O235" i="17"/>
  <c r="X241" i="17"/>
  <c r="P243" i="17"/>
  <c r="N266" i="17"/>
  <c r="V275" i="17"/>
  <c r="O277" i="17"/>
  <c r="O307" i="17"/>
  <c r="P319" i="17"/>
  <c r="W321" i="17"/>
  <c r="O427" i="17"/>
  <c r="O508" i="17"/>
  <c r="N511" i="17"/>
  <c r="O566" i="17"/>
  <c r="P690" i="17"/>
  <c r="P772" i="17"/>
  <c r="P778" i="17"/>
  <c r="N823" i="17"/>
  <c r="O839" i="17"/>
  <c r="W863" i="17"/>
  <c r="O1039" i="17"/>
  <c r="P27" i="17"/>
  <c r="N46" i="17"/>
  <c r="O49" i="17"/>
  <c r="O94" i="17"/>
  <c r="N98" i="17"/>
  <c r="W137" i="17"/>
  <c r="P150" i="17"/>
  <c r="O265" i="17"/>
  <c r="P266" i="17"/>
  <c r="P300" i="17"/>
  <c r="P447" i="17"/>
  <c r="N481" i="17"/>
  <c r="O499" i="17"/>
  <c r="O672" i="17"/>
  <c r="O816" i="17"/>
  <c r="O940" i="17"/>
  <c r="N1001" i="17"/>
  <c r="U95" i="17"/>
  <c r="V123" i="17"/>
  <c r="X297" i="17"/>
  <c r="W329" i="17"/>
  <c r="V384" i="17"/>
  <c r="X493" i="17"/>
  <c r="U696" i="17"/>
  <c r="T740" i="17"/>
  <c r="U952" i="17"/>
  <c r="O818" i="17"/>
  <c r="P847" i="17"/>
  <c r="W884" i="17"/>
  <c r="O893" i="17"/>
  <c r="T919" i="17"/>
  <c r="O924" i="17"/>
  <c r="O930" i="17"/>
  <c r="V952" i="17"/>
  <c r="T966" i="17"/>
  <c r="T986" i="17"/>
  <c r="U1013" i="17"/>
  <c r="V21" i="17"/>
  <c r="U43" i="17"/>
  <c r="T52" i="17"/>
  <c r="X310" i="17"/>
  <c r="T433" i="17"/>
  <c r="W457" i="17"/>
  <c r="U487" i="17"/>
  <c r="U638" i="17"/>
  <c r="T20" i="17"/>
  <c r="P41" i="17"/>
  <c r="N74" i="17"/>
  <c r="X94" i="17"/>
  <c r="V98" i="17"/>
  <c r="X104" i="17"/>
  <c r="X180" i="17"/>
  <c r="N240" i="17"/>
  <c r="O248" i="17"/>
  <c r="V265" i="17"/>
  <c r="N274" i="17"/>
  <c r="T300" i="17"/>
  <c r="X350" i="17"/>
  <c r="N352" i="17"/>
  <c r="O379" i="17"/>
  <c r="X405" i="17"/>
  <c r="T456" i="17"/>
  <c r="X457" i="17"/>
  <c r="O462" i="17"/>
  <c r="W466" i="17"/>
  <c r="N471" i="17"/>
  <c r="V475" i="17"/>
  <c r="T530" i="17"/>
  <c r="O558" i="17"/>
  <c r="O579" i="17"/>
  <c r="N582" i="17"/>
  <c r="V614" i="17"/>
  <c r="V638" i="17"/>
  <c r="O649" i="17"/>
  <c r="U672" i="17"/>
  <c r="P694" i="17"/>
  <c r="U739" i="17"/>
  <c r="O821" i="17"/>
  <c r="W1001" i="17"/>
  <c r="P853" i="17"/>
  <c r="O879" i="17"/>
  <c r="O882" i="17"/>
  <c r="N964" i="17"/>
  <c r="W1041" i="17"/>
  <c r="V792" i="17"/>
  <c r="W792" i="17"/>
  <c r="P829" i="17"/>
  <c r="N829" i="17"/>
  <c r="T692" i="17"/>
  <c r="U692" i="17"/>
  <c r="T823" i="17"/>
  <c r="V823" i="17"/>
  <c r="W854" i="17"/>
  <c r="T854" i="17"/>
  <c r="N941" i="17"/>
  <c r="P941" i="17"/>
  <c r="V943" i="17"/>
  <c r="T943" i="17"/>
  <c r="V564" i="17"/>
  <c r="U564" i="17"/>
  <c r="W590" i="17"/>
  <c r="V590" i="17"/>
  <c r="N400" i="17"/>
  <c r="P400" i="17"/>
  <c r="T745" i="17"/>
  <c r="U745" i="17"/>
  <c r="X21" i="17"/>
  <c r="W42" i="17"/>
  <c r="X52" i="17"/>
  <c r="T108" i="17"/>
  <c r="N201" i="17"/>
  <c r="O201" i="17"/>
  <c r="V212" i="17"/>
  <c r="T213" i="17"/>
  <c r="W217" i="17"/>
  <c r="N219" i="17"/>
  <c r="P230" i="17"/>
  <c r="W235" i="17"/>
  <c r="P248" i="17"/>
  <c r="N256" i="17"/>
  <c r="V259" i="17"/>
  <c r="O273" i="17"/>
  <c r="P274" i="17"/>
  <c r="P275" i="17"/>
  <c r="N291" i="17"/>
  <c r="O352" i="17"/>
  <c r="V390" i="17"/>
  <c r="T421" i="17"/>
  <c r="N430" i="17"/>
  <c r="O431" i="17"/>
  <c r="O458" i="17"/>
  <c r="X467" i="17"/>
  <c r="W467" i="17"/>
  <c r="P471" i="17"/>
  <c r="O481" i="17"/>
  <c r="X492" i="17"/>
  <c r="X508" i="17"/>
  <c r="X544" i="17"/>
  <c r="V544" i="17"/>
  <c r="X559" i="17"/>
  <c r="W562" i="17"/>
  <c r="P564" i="17"/>
  <c r="V567" i="17"/>
  <c r="P605" i="17"/>
  <c r="N605" i="17"/>
  <c r="P624" i="17"/>
  <c r="T273" i="17"/>
  <c r="V273" i="17"/>
  <c r="W824" i="17"/>
  <c r="T824" i="17"/>
  <c r="X633" i="17"/>
  <c r="W633" i="17"/>
  <c r="X695" i="17"/>
  <c r="T695" i="17"/>
  <c r="N6" i="17"/>
  <c r="U10" i="17"/>
  <c r="P23" i="17"/>
  <c r="O73" i="17"/>
  <c r="V75" i="17"/>
  <c r="X80" i="17"/>
  <c r="N86" i="17"/>
  <c r="O122" i="17"/>
  <c r="V131" i="17"/>
  <c r="O163" i="17"/>
  <c r="P169" i="17"/>
  <c r="U176" i="17"/>
  <c r="N200" i="17"/>
  <c r="O200" i="17"/>
  <c r="W211" i="17"/>
  <c r="X212" i="17"/>
  <c r="O219" i="17"/>
  <c r="N251" i="17"/>
  <c r="O256" i="17"/>
  <c r="T258" i="17"/>
  <c r="O264" i="17"/>
  <c r="P315" i="17"/>
  <c r="O315" i="17"/>
  <c r="N325" i="17"/>
  <c r="T336" i="17"/>
  <c r="X336" i="17"/>
  <c r="N398" i="17"/>
  <c r="N406" i="17"/>
  <c r="O415" i="17"/>
  <c r="N419" i="17"/>
  <c r="O430" i="17"/>
  <c r="U432" i="17"/>
  <c r="N446" i="17"/>
  <c r="O446" i="17"/>
  <c r="P452" i="17"/>
  <c r="V454" i="17"/>
  <c r="V478" i="17"/>
  <c r="O484" i="17"/>
  <c r="N534" i="17"/>
  <c r="P556" i="17"/>
  <c r="U565" i="17"/>
  <c r="U604" i="17"/>
  <c r="X604" i="17"/>
  <c r="W604" i="17"/>
  <c r="P621" i="17"/>
  <c r="O621" i="17"/>
  <c r="P645" i="17"/>
  <c r="O645" i="17"/>
  <c r="N645" i="17"/>
  <c r="O716" i="17"/>
  <c r="P716" i="17"/>
  <c r="U812" i="17"/>
  <c r="T812" i="17"/>
  <c r="T879" i="17"/>
  <c r="V879" i="17"/>
  <c r="O903" i="17"/>
  <c r="P903" i="17"/>
  <c r="N903" i="17"/>
  <c r="T219" i="17"/>
  <c r="W219" i="17"/>
  <c r="O262" i="17"/>
  <c r="P262" i="17"/>
  <c r="T798" i="17"/>
  <c r="U798" i="17"/>
  <c r="U27" i="17"/>
  <c r="X75" i="17"/>
  <c r="O86" i="17"/>
  <c r="V124" i="17"/>
  <c r="W131" i="17"/>
  <c r="T195" i="17"/>
  <c r="V195" i="17"/>
  <c r="N204" i="17"/>
  <c r="N208" i="17"/>
  <c r="N242" i="17"/>
  <c r="O242" i="17"/>
  <c r="V244" i="17"/>
  <c r="U246" i="17"/>
  <c r="V246" i="17"/>
  <c r="P304" i="17"/>
  <c r="O304" i="17"/>
  <c r="T320" i="17"/>
  <c r="W320" i="17"/>
  <c r="P373" i="17"/>
  <c r="O373" i="17"/>
  <c r="P381" i="17"/>
  <c r="N381" i="17"/>
  <c r="W383" i="17"/>
  <c r="X383" i="17"/>
  <c r="O534" i="17"/>
  <c r="X565" i="17"/>
  <c r="V647" i="17"/>
  <c r="T647" i="17"/>
  <c r="N648" i="17"/>
  <c r="P648" i="17"/>
  <c r="W675" i="17"/>
  <c r="U688" i="17"/>
  <c r="V688" i="17"/>
  <c r="O742" i="17"/>
  <c r="N742" i="17"/>
  <c r="T815" i="17"/>
  <c r="U815" i="17"/>
  <c r="P837" i="17"/>
  <c r="O837" i="17"/>
  <c r="N837" i="17"/>
  <c r="P844" i="17"/>
  <c r="N844" i="17"/>
  <c r="W846" i="17"/>
  <c r="V846" i="17"/>
  <c r="T859" i="17"/>
  <c r="V859" i="17"/>
  <c r="T899" i="17"/>
  <c r="V899" i="17"/>
  <c r="U899" i="17"/>
  <c r="O202" i="17"/>
  <c r="P202" i="17"/>
  <c r="O267" i="17"/>
  <c r="N267" i="17"/>
  <c r="O920" i="17"/>
  <c r="P920" i="17"/>
  <c r="T656" i="17"/>
  <c r="W656" i="17"/>
  <c r="U656" i="17"/>
  <c r="P35" i="17"/>
  <c r="V37" i="17"/>
  <c r="P43" i="17"/>
  <c r="N72" i="17"/>
  <c r="V79" i="17"/>
  <c r="X83" i="17"/>
  <c r="N85" i="17"/>
  <c r="P89" i="17"/>
  <c r="V94" i="17"/>
  <c r="V95" i="17"/>
  <c r="W123" i="17"/>
  <c r="X130" i="17"/>
  <c r="X131" i="17"/>
  <c r="N168" i="17"/>
  <c r="P204" i="17"/>
  <c r="P208" i="17"/>
  <c r="U210" i="17"/>
  <c r="P232" i="17"/>
  <c r="N232" i="17"/>
  <c r="U233" i="17"/>
  <c r="N235" i="17"/>
  <c r="P236" i="17"/>
  <c r="V243" i="17"/>
  <c r="X245" i="17"/>
  <c r="U245" i="17"/>
  <c r="O250" i="17"/>
  <c r="W257" i="17"/>
  <c r="P263" i="17"/>
  <c r="V269" i="17"/>
  <c r="P283" i="17"/>
  <c r="N283" i="17"/>
  <c r="N293" i="17"/>
  <c r="P355" i="17"/>
  <c r="O355" i="17"/>
  <c r="U392" i="17"/>
  <c r="O487" i="17"/>
  <c r="N487" i="17"/>
  <c r="O509" i="17"/>
  <c r="P524" i="17"/>
  <c r="X535" i="17"/>
  <c r="N568" i="17"/>
  <c r="P577" i="17"/>
  <c r="N577" i="17"/>
  <c r="V579" i="17"/>
  <c r="X579" i="17"/>
  <c r="P580" i="17"/>
  <c r="O580" i="17"/>
  <c r="N580" i="17"/>
  <c r="W581" i="17"/>
  <c r="X594" i="17"/>
  <c r="P600" i="17"/>
  <c r="O600" i="17"/>
  <c r="U617" i="17"/>
  <c r="O641" i="17"/>
  <c r="P641" i="17"/>
  <c r="O644" i="17"/>
  <c r="T650" i="17"/>
  <c r="U650" i="17"/>
  <c r="P658" i="17"/>
  <c r="O658" i="17"/>
  <c r="X660" i="17"/>
  <c r="T660" i="17"/>
  <c r="P812" i="17"/>
  <c r="O812" i="17"/>
  <c r="T865" i="17"/>
  <c r="W865" i="17"/>
  <c r="T835" i="17"/>
  <c r="W835" i="17"/>
  <c r="X30" i="17"/>
  <c r="W61" i="17"/>
  <c r="V99" i="17"/>
  <c r="X102" i="17"/>
  <c r="V106" i="17"/>
  <c r="U159" i="17"/>
  <c r="V179" i="17"/>
  <c r="O185" i="17"/>
  <c r="W188" i="17"/>
  <c r="V188" i="17"/>
  <c r="U193" i="17"/>
  <c r="O195" i="17"/>
  <c r="O228" i="17"/>
  <c r="N228" i="17"/>
  <c r="X273" i="17"/>
  <c r="V294" i="17"/>
  <c r="U297" i="17"/>
  <c r="T309" i="17"/>
  <c r="W356" i="17"/>
  <c r="U359" i="17"/>
  <c r="U374" i="17"/>
  <c r="O376" i="17"/>
  <c r="W402" i="17"/>
  <c r="P422" i="17"/>
  <c r="N422" i="17"/>
  <c r="V480" i="17"/>
  <c r="W584" i="17"/>
  <c r="T590" i="17"/>
  <c r="V617" i="17"/>
  <c r="T811" i="17"/>
  <c r="W811" i="17"/>
  <c r="V811" i="17"/>
  <c r="U811" i="17"/>
  <c r="V824" i="17"/>
  <c r="T829" i="17"/>
  <c r="V829" i="17"/>
  <c r="V929" i="17"/>
  <c r="T929" i="17"/>
  <c r="T605" i="17"/>
  <c r="U605" i="17"/>
  <c r="O760" i="17"/>
  <c r="P760" i="17"/>
  <c r="N14" i="17"/>
  <c r="O17" i="17"/>
  <c r="O59" i="17"/>
  <c r="X78" i="17"/>
  <c r="X116" i="17"/>
  <c r="O128" i="17"/>
  <c r="P185" i="17"/>
  <c r="P195" i="17"/>
  <c r="O198" i="17"/>
  <c r="U237" i="17"/>
  <c r="N245" i="17"/>
  <c r="V251" i="17"/>
  <c r="N262" i="17"/>
  <c r="P267" i="17"/>
  <c r="V297" i="17"/>
  <c r="V304" i="17"/>
  <c r="W308" i="17"/>
  <c r="N342" i="17"/>
  <c r="P342" i="17"/>
  <c r="N349" i="17"/>
  <c r="T352" i="17"/>
  <c r="V352" i="17"/>
  <c r="P376" i="17"/>
  <c r="O387" i="17"/>
  <c r="P454" i="17"/>
  <c r="T471" i="17"/>
  <c r="U471" i="17"/>
  <c r="U484" i="17"/>
  <c r="W498" i="17"/>
  <c r="T498" i="17"/>
  <c r="P517" i="17"/>
  <c r="P532" i="17"/>
  <c r="N571" i="17"/>
  <c r="P571" i="17"/>
  <c r="O669" i="17"/>
  <c r="U707" i="17"/>
  <c r="T707" i="17"/>
  <c r="P752" i="17"/>
  <c r="W766" i="17"/>
  <c r="T766" i="17"/>
  <c r="N776" i="17"/>
  <c r="P776" i="17"/>
  <c r="W823" i="17"/>
  <c r="T825" i="17"/>
  <c r="U825" i="17"/>
  <c r="P872" i="17"/>
  <c r="O872" i="17"/>
  <c r="N872" i="17"/>
  <c r="O892" i="17"/>
  <c r="U937" i="17"/>
  <c r="N950" i="17"/>
  <c r="N966" i="17"/>
  <c r="W975" i="17"/>
  <c r="O922" i="17"/>
  <c r="O939" i="17"/>
  <c r="O950" i="17"/>
  <c r="O966" i="17"/>
  <c r="U987" i="17"/>
  <c r="V1007" i="17"/>
  <c r="V1035" i="17"/>
  <c r="W1039" i="17"/>
  <c r="U1045" i="17"/>
  <c r="T828" i="17"/>
  <c r="W566" i="17"/>
  <c r="U614" i="17"/>
  <c r="T639" i="17"/>
  <c r="X691" i="17"/>
  <c r="U701" i="17"/>
  <c r="U723" i="17"/>
  <c r="N795" i="17"/>
  <c r="N808" i="17"/>
  <c r="N818" i="17"/>
  <c r="U827" i="17"/>
  <c r="V828" i="17"/>
  <c r="N853" i="17"/>
  <c r="N882" i="17"/>
  <c r="W987" i="17"/>
  <c r="V991" i="17"/>
  <c r="W999" i="17"/>
  <c r="P1033" i="17"/>
  <c r="N1039" i="17"/>
  <c r="T949" i="17"/>
  <c r="T1018" i="17"/>
  <c r="W949" i="17"/>
  <c r="T994" i="17"/>
  <c r="T1002" i="17"/>
  <c r="U849" i="17"/>
  <c r="T864" i="17"/>
  <c r="T886" i="17"/>
  <c r="U938" i="17"/>
  <c r="W959" i="17"/>
  <c r="T969" i="17"/>
  <c r="O971" i="17"/>
  <c r="V993" i="17"/>
  <c r="W997" i="17"/>
  <c r="N999" i="17"/>
  <c r="V972" i="17"/>
  <c r="V975" i="17"/>
  <c r="O991" i="17"/>
  <c r="U1008" i="17"/>
  <c r="V1029" i="17"/>
  <c r="U1052" i="17"/>
  <c r="O3" i="7"/>
  <c r="O7" i="7"/>
  <c r="X55" i="15"/>
  <c r="X166" i="15"/>
  <c r="X255" i="15"/>
  <c r="X242" i="15"/>
  <c r="X245" i="15"/>
  <c r="X293" i="15"/>
  <c r="X135" i="15"/>
  <c r="X345" i="15"/>
  <c r="X5" i="15"/>
  <c r="X85" i="15"/>
  <c r="X133" i="15"/>
  <c r="X167" i="15"/>
  <c r="X106" i="15"/>
  <c r="X128" i="15"/>
  <c r="X218" i="15"/>
  <c r="X247" i="15"/>
  <c r="X327" i="15"/>
  <c r="X359" i="15"/>
  <c r="X271" i="15"/>
  <c r="X319" i="15"/>
  <c r="X273" i="15"/>
  <c r="X80" i="15"/>
  <c r="X33" i="15"/>
  <c r="X78" i="15"/>
  <c r="X79" i="15"/>
  <c r="X290" i="15"/>
  <c r="X102" i="15"/>
  <c r="X23" i="15"/>
  <c r="X63" i="15"/>
  <c r="X87" i="15"/>
  <c r="X112" i="15"/>
  <c r="X32" i="15"/>
  <c r="X134" i="15"/>
  <c r="X214" i="15"/>
  <c r="X95" i="15"/>
  <c r="X230" i="15"/>
  <c r="X261" i="15"/>
  <c r="X69" i="15"/>
  <c r="X213" i="15"/>
  <c r="X346" i="15"/>
  <c r="X367" i="15"/>
  <c r="X16" i="15"/>
  <c r="X46" i="15"/>
  <c r="X82" i="15"/>
  <c r="X146" i="15"/>
  <c r="X297" i="15"/>
  <c r="X274" i="15"/>
  <c r="X289" i="15"/>
  <c r="X215" i="15"/>
  <c r="X111" i="15"/>
  <c r="X378" i="15"/>
  <c r="N5" i="7"/>
  <c r="C89" i="12"/>
  <c r="N11" i="11"/>
  <c r="X10" i="15"/>
  <c r="X14" i="15"/>
  <c r="X56" i="15"/>
  <c r="X70" i="15"/>
  <c r="X88" i="15"/>
  <c r="X98" i="15"/>
  <c r="X145" i="15"/>
  <c r="X200" i="15"/>
  <c r="X26" i="17"/>
  <c r="W26" i="17"/>
  <c r="T26" i="17"/>
  <c r="O31" i="17"/>
  <c r="P31" i="17"/>
  <c r="X74" i="15"/>
  <c r="X125" i="15"/>
  <c r="X160" i="15"/>
  <c r="O8" i="7"/>
  <c r="X39" i="15"/>
  <c r="X54" i="15"/>
  <c r="X93" i="15"/>
  <c r="X103" i="15"/>
  <c r="X127" i="15"/>
  <c r="X141" i="15"/>
  <c r="X207" i="15"/>
  <c r="X252" i="15"/>
  <c r="X7" i="15"/>
  <c r="X18" i="15"/>
  <c r="X40" i="15"/>
  <c r="X47" i="15"/>
  <c r="X50" i="15"/>
  <c r="X8" i="15"/>
  <c r="X15" i="15"/>
  <c r="X31" i="15"/>
  <c r="X41" i="15"/>
  <c r="X45" i="15"/>
  <c r="X71" i="15"/>
  <c r="X104" i="15"/>
  <c r="X139" i="15"/>
  <c r="X174" i="15"/>
  <c r="X175" i="15"/>
  <c r="X180" i="15"/>
  <c r="X9" i="15"/>
  <c r="X42" i="15"/>
  <c r="X48" i="15"/>
  <c r="X72" i="15"/>
  <c r="X119" i="15"/>
  <c r="X152" i="15"/>
  <c r="X176" i="15"/>
  <c r="X183" i="15"/>
  <c r="X262" i="15"/>
  <c r="G910" i="16"/>
  <c r="X13" i="15"/>
  <c r="X24" i="15"/>
  <c r="X34" i="15"/>
  <c r="X37" i="15"/>
  <c r="X64" i="15"/>
  <c r="X73" i="15"/>
  <c r="X158" i="15"/>
  <c r="X260" i="15"/>
  <c r="X6" i="15"/>
  <c r="X65" i="15"/>
  <c r="X77" i="15"/>
  <c r="X96" i="15"/>
  <c r="X159" i="15"/>
  <c r="X173" i="15"/>
  <c r="X191" i="15"/>
  <c r="X192" i="15"/>
  <c r="X197" i="15"/>
  <c r="X250" i="15"/>
  <c r="X282" i="15"/>
  <c r="X306" i="15"/>
  <c r="X148" i="15"/>
  <c r="X136" i="15"/>
  <c r="X184" i="15"/>
  <c r="X189" i="15"/>
  <c r="X198" i="15"/>
  <c r="X208" i="15"/>
  <c r="X220" i="15"/>
  <c r="X228" i="15"/>
  <c r="X236" i="15"/>
  <c r="X287" i="15"/>
  <c r="X303" i="15"/>
  <c r="X286" i="15"/>
  <c r="X298" i="15"/>
  <c r="X314" i="15"/>
  <c r="X157" i="15"/>
  <c r="X181" i="15"/>
  <c r="X190" i="15"/>
  <c r="X205" i="15"/>
  <c r="X226" i="15"/>
  <c r="X234" i="15"/>
  <c r="X249" i="15"/>
  <c r="X263" i="15"/>
  <c r="X265" i="15"/>
  <c r="X277" i="15"/>
  <c r="X335" i="15"/>
  <c r="X266" i="15"/>
  <c r="X386" i="15"/>
  <c r="X120" i="15"/>
  <c r="X138" i="15"/>
  <c r="X199" i="15"/>
  <c r="X206" i="15"/>
  <c r="X285" i="15"/>
  <c r="X294" i="15"/>
  <c r="X295" i="15"/>
  <c r="X301" i="15"/>
  <c r="X383" i="15"/>
  <c r="W5" i="17"/>
  <c r="X5" i="17"/>
  <c r="X18" i="17"/>
  <c r="W18" i="17"/>
  <c r="P30" i="17"/>
  <c r="N30" i="17"/>
  <c r="X305" i="15"/>
  <c r="X311" i="15"/>
  <c r="X330" i="15"/>
  <c r="V28" i="17"/>
  <c r="X28" i="17"/>
  <c r="X354" i="15"/>
  <c r="T4" i="17"/>
  <c r="W4" i="17"/>
  <c r="X6" i="17"/>
  <c r="P42" i="17"/>
  <c r="N42" i="17"/>
  <c r="X343" i="15"/>
  <c r="X375" i="15"/>
  <c r="N11" i="17"/>
  <c r="P11" i="17"/>
  <c r="W13" i="17"/>
  <c r="U13" i="17"/>
  <c r="T24" i="17"/>
  <c r="W24" i="17"/>
  <c r="X322" i="15"/>
  <c r="X338" i="15"/>
  <c r="X362" i="15"/>
  <c r="X370" i="15"/>
  <c r="P4" i="17"/>
  <c r="N4" i="17"/>
  <c r="W19" i="17"/>
  <c r="X19" i="17"/>
  <c r="U19" i="17"/>
  <c r="T40" i="17"/>
  <c r="W40" i="17"/>
  <c r="U30" i="17"/>
  <c r="V39" i="17"/>
  <c r="N43" i="17"/>
  <c r="V58" i="17"/>
  <c r="V59" i="17"/>
  <c r="X62" i="17"/>
  <c r="O66" i="17"/>
  <c r="W70" i="17"/>
  <c r="U75" i="17"/>
  <c r="W78" i="17"/>
  <c r="U79" i="17"/>
  <c r="T80" i="17"/>
  <c r="V90" i="17"/>
  <c r="X91" i="17"/>
  <c r="U99" i="17"/>
  <c r="V111" i="17"/>
  <c r="X117" i="17"/>
  <c r="X118" i="17"/>
  <c r="P121" i="17"/>
  <c r="U123" i="17"/>
  <c r="N132" i="17"/>
  <c r="X145" i="17"/>
  <c r="W147" i="17"/>
  <c r="X152" i="17"/>
  <c r="X153" i="17"/>
  <c r="U171" i="17"/>
  <c r="W176" i="17"/>
  <c r="W177" i="17"/>
  <c r="T183" i="17"/>
  <c r="P187" i="17"/>
  <c r="X195" i="17"/>
  <c r="W214" i="17"/>
  <c r="P218" i="17"/>
  <c r="P226" i="17"/>
  <c r="X233" i="17"/>
  <c r="X235" i="17"/>
  <c r="U241" i="17"/>
  <c r="N273" i="17"/>
  <c r="X278" i="17"/>
  <c r="X284" i="17"/>
  <c r="N286" i="17"/>
  <c r="O296" i="17"/>
  <c r="N301" i="17"/>
  <c r="X304" i="17"/>
  <c r="W305" i="17"/>
  <c r="N309" i="17"/>
  <c r="P312" i="17"/>
  <c r="W318" i="17"/>
  <c r="O342" i="17"/>
  <c r="W372" i="17"/>
  <c r="T387" i="17"/>
  <c r="W387" i="17"/>
  <c r="N388" i="17"/>
  <c r="O388" i="17"/>
  <c r="T416" i="17"/>
  <c r="T463" i="17"/>
  <c r="V463" i="17"/>
  <c r="T470" i="17"/>
  <c r="X470" i="17"/>
  <c r="W470" i="17"/>
  <c r="V654" i="17"/>
  <c r="X654" i="17"/>
  <c r="W654" i="17"/>
  <c r="N720" i="17"/>
  <c r="P720" i="17"/>
  <c r="O720" i="17"/>
  <c r="T731" i="17"/>
  <c r="U731" i="17"/>
  <c r="W750" i="17"/>
  <c r="V750" i="17"/>
  <c r="O851" i="17"/>
  <c r="P851" i="17"/>
  <c r="N851" i="17"/>
  <c r="U876" i="17"/>
  <c r="T876" i="17"/>
  <c r="X59" i="17"/>
  <c r="W171" i="17"/>
  <c r="U401" i="17"/>
  <c r="X401" i="17"/>
  <c r="V417" i="17"/>
  <c r="U417" i="17"/>
  <c r="P543" i="17"/>
  <c r="N543" i="17"/>
  <c r="N607" i="17"/>
  <c r="O607" i="17"/>
  <c r="X658" i="17"/>
  <c r="T658" i="17"/>
  <c r="T36" i="17"/>
  <c r="U51" i="17"/>
  <c r="N77" i="17"/>
  <c r="X110" i="17"/>
  <c r="V174" i="17"/>
  <c r="U225" i="17"/>
  <c r="X243" i="17"/>
  <c r="U281" i="17"/>
  <c r="U282" i="17"/>
  <c r="N350" i="17"/>
  <c r="P350" i="17"/>
  <c r="T360" i="17"/>
  <c r="V360" i="17"/>
  <c r="T369" i="17"/>
  <c r="W369" i="17"/>
  <c r="V369" i="17"/>
  <c r="V393" i="17"/>
  <c r="U393" i="17"/>
  <c r="N470" i="17"/>
  <c r="P470" i="17"/>
  <c r="O470" i="17"/>
  <c r="V483" i="17"/>
  <c r="X484" i="17"/>
  <c r="T515" i="17"/>
  <c r="U515" i="17"/>
  <c r="X36" i="17"/>
  <c r="X51" i="17"/>
  <c r="N58" i="17"/>
  <c r="U67" i="17"/>
  <c r="O77" i="17"/>
  <c r="N90" i="17"/>
  <c r="N146" i="17"/>
  <c r="N171" i="17"/>
  <c r="W174" i="17"/>
  <c r="V220" i="17"/>
  <c r="W225" i="17"/>
  <c r="N234" i="17"/>
  <c r="X257" i="17"/>
  <c r="V281" i="17"/>
  <c r="U291" i="17"/>
  <c r="T311" i="17"/>
  <c r="T316" i="17"/>
  <c r="X337" i="17"/>
  <c r="U353" i="17"/>
  <c r="N429" i="17"/>
  <c r="O429" i="17"/>
  <c r="T512" i="17"/>
  <c r="V512" i="17"/>
  <c r="P671" i="17"/>
  <c r="O671" i="17"/>
  <c r="N671" i="17"/>
  <c r="O740" i="17"/>
  <c r="P740" i="17"/>
  <c r="N740" i="17"/>
  <c r="N805" i="17"/>
  <c r="P805" i="17"/>
  <c r="O805" i="17"/>
  <c r="P912" i="17"/>
  <c r="O912" i="17"/>
  <c r="N912" i="17"/>
  <c r="W934" i="17"/>
  <c r="T934" i="17"/>
  <c r="V25" i="17"/>
  <c r="X27" i="17"/>
  <c r="X37" i="17"/>
  <c r="P39" i="17"/>
  <c r="W50" i="17"/>
  <c r="O58" i="17"/>
  <c r="U64" i="17"/>
  <c r="W66" i="17"/>
  <c r="V67" i="17"/>
  <c r="N80" i="17"/>
  <c r="V83" i="17"/>
  <c r="O90" i="17"/>
  <c r="W94" i="17"/>
  <c r="X109" i="17"/>
  <c r="P117" i="17"/>
  <c r="N128" i="17"/>
  <c r="T130" i="17"/>
  <c r="O145" i="17"/>
  <c r="P146" i="17"/>
  <c r="O158" i="17"/>
  <c r="V162" i="17"/>
  <c r="O171" i="17"/>
  <c r="X219" i="17"/>
  <c r="W224" i="17"/>
  <c r="X225" i="17"/>
  <c r="O234" i="17"/>
  <c r="O243" i="17"/>
  <c r="N270" i="17"/>
  <c r="X280" i="17"/>
  <c r="W281" i="17"/>
  <c r="W286" i="17"/>
  <c r="U294" i="17"/>
  <c r="U295" i="17"/>
  <c r="V310" i="17"/>
  <c r="P318" i="17"/>
  <c r="U329" i="17"/>
  <c r="V336" i="17"/>
  <c r="W352" i="17"/>
  <c r="V353" i="17"/>
  <c r="X361" i="17"/>
  <c r="N363" i="17"/>
  <c r="T384" i="17"/>
  <c r="X384" i="17"/>
  <c r="T385" i="17"/>
  <c r="W385" i="17"/>
  <c r="U399" i="17"/>
  <c r="X399" i="17"/>
  <c r="W399" i="17"/>
  <c r="U412" i="17"/>
  <c r="V412" i="17"/>
  <c r="P505" i="17"/>
  <c r="N505" i="17"/>
  <c r="O518" i="17"/>
  <c r="P518" i="17"/>
  <c r="W541" i="17"/>
  <c r="U541" i="17"/>
  <c r="P554" i="17"/>
  <c r="O554" i="17"/>
  <c r="W760" i="17"/>
  <c r="T760" i="17"/>
  <c r="N774" i="17"/>
  <c r="P774" i="17"/>
  <c r="O774" i="17"/>
  <c r="T867" i="17"/>
  <c r="U867" i="17"/>
  <c r="V867" i="17"/>
  <c r="X67" i="17"/>
  <c r="T368" i="17"/>
  <c r="X368" i="17"/>
  <c r="V368" i="17"/>
  <c r="W570" i="17"/>
  <c r="X570" i="17"/>
  <c r="T655" i="17"/>
  <c r="X655" i="17"/>
  <c r="V655" i="17"/>
  <c r="N670" i="17"/>
  <c r="O670" i="17"/>
  <c r="P911" i="17"/>
  <c r="N911" i="17"/>
  <c r="W14" i="17"/>
  <c r="O20" i="17"/>
  <c r="N21" i="17"/>
  <c r="N22" i="17"/>
  <c r="N27" i="17"/>
  <c r="X43" i="17"/>
  <c r="O52" i="17"/>
  <c r="X61" i="17"/>
  <c r="V62" i="17"/>
  <c r="O74" i="17"/>
  <c r="N94" i="17"/>
  <c r="O98" i="17"/>
  <c r="V114" i="17"/>
  <c r="V118" i="17"/>
  <c r="U119" i="17"/>
  <c r="N122" i="17"/>
  <c r="N138" i="17"/>
  <c r="O141" i="17"/>
  <c r="N144" i="17"/>
  <c r="U147" i="17"/>
  <c r="X148" i="17"/>
  <c r="V152" i="17"/>
  <c r="U153" i="17"/>
  <c r="T154" i="17"/>
  <c r="W155" i="17"/>
  <c r="X161" i="17"/>
  <c r="W179" i="17"/>
  <c r="N188" i="17"/>
  <c r="T194" i="17"/>
  <c r="N198" i="17"/>
  <c r="X202" i="17"/>
  <c r="V203" i="17"/>
  <c r="N211" i="17"/>
  <c r="N218" i="17"/>
  <c r="N221" i="17"/>
  <c r="N227" i="17"/>
  <c r="O232" i="17"/>
  <c r="P240" i="17"/>
  <c r="P242" i="17"/>
  <c r="P244" i="17"/>
  <c r="N250" i="17"/>
  <c r="P251" i="17"/>
  <c r="T253" i="17"/>
  <c r="O257" i="17"/>
  <c r="P258" i="17"/>
  <c r="X265" i="17"/>
  <c r="T266" i="17"/>
  <c r="V267" i="17"/>
  <c r="W273" i="17"/>
  <c r="T279" i="17"/>
  <c r="O283" i="17"/>
  <c r="W294" i="17"/>
  <c r="T303" i="17"/>
  <c r="U305" i="17"/>
  <c r="U306" i="17"/>
  <c r="W309" i="17"/>
  <c r="N312" i="17"/>
  <c r="P313" i="17"/>
  <c r="N317" i="17"/>
  <c r="X321" i="17"/>
  <c r="O323" i="17"/>
  <c r="V328" i="17"/>
  <c r="X335" i="17"/>
  <c r="T342" i="17"/>
  <c r="U342" i="17"/>
  <c r="X342" i="17"/>
  <c r="W351" i="17"/>
  <c r="U351" i="17"/>
  <c r="V388" i="17"/>
  <c r="W388" i="17"/>
  <c r="W401" i="17"/>
  <c r="X437" i="17"/>
  <c r="P476" i="17"/>
  <c r="T735" i="17"/>
  <c r="U735" i="17"/>
  <c r="N801" i="17"/>
  <c r="P801" i="17"/>
  <c r="O801" i="17"/>
  <c r="T803" i="17"/>
  <c r="W803" i="17"/>
  <c r="W910" i="17"/>
  <c r="T910" i="17"/>
  <c r="U59" i="17"/>
  <c r="W62" i="17"/>
  <c r="N66" i="17"/>
  <c r="V70" i="17"/>
  <c r="U91" i="17"/>
  <c r="W118" i="17"/>
  <c r="V119" i="17"/>
  <c r="O121" i="17"/>
  <c r="V147" i="17"/>
  <c r="W152" i="17"/>
  <c r="V153" i="17"/>
  <c r="X154" i="17"/>
  <c r="U177" i="17"/>
  <c r="X179" i="17"/>
  <c r="O187" i="17"/>
  <c r="X203" i="17"/>
  <c r="O226" i="17"/>
  <c r="V236" i="17"/>
  <c r="N296" i="17"/>
  <c r="V305" i="17"/>
  <c r="U319" i="17"/>
  <c r="U369" i="17"/>
  <c r="P371" i="17"/>
  <c r="N371" i="17"/>
  <c r="P384" i="17"/>
  <c r="O384" i="17"/>
  <c r="X393" i="17"/>
  <c r="T410" i="17"/>
  <c r="W410" i="17"/>
  <c r="V423" i="17"/>
  <c r="T423" i="17"/>
  <c r="N445" i="17"/>
  <c r="P445" i="17"/>
  <c r="X462" i="17"/>
  <c r="N501" i="17"/>
  <c r="O501" i="17"/>
  <c r="T510" i="17"/>
  <c r="W510" i="17"/>
  <c r="V510" i="17"/>
  <c r="W549" i="17"/>
  <c r="X549" i="17"/>
  <c r="P608" i="17"/>
  <c r="N608" i="17"/>
  <c r="O608" i="17"/>
  <c r="U645" i="17"/>
  <c r="X645" i="17"/>
  <c r="V662" i="17"/>
  <c r="X662" i="17"/>
  <c r="P695" i="17"/>
  <c r="N695" i="17"/>
  <c r="O695" i="17"/>
  <c r="P391" i="17"/>
  <c r="O406" i="17"/>
  <c r="X431" i="17"/>
  <c r="T445" i="17"/>
  <c r="X471" i="17"/>
  <c r="P477" i="17"/>
  <c r="X486" i="17"/>
  <c r="W487" i="17"/>
  <c r="P497" i="17"/>
  <c r="P502" i="17"/>
  <c r="N517" i="17"/>
  <c r="N525" i="17"/>
  <c r="X588" i="17"/>
  <c r="P596" i="17"/>
  <c r="V598" i="17"/>
  <c r="X601" i="17"/>
  <c r="W601" i="17"/>
  <c r="N602" i="17"/>
  <c r="P616" i="17"/>
  <c r="U618" i="17"/>
  <c r="W622" i="17"/>
  <c r="V622" i="17"/>
  <c r="P652" i="17"/>
  <c r="N652" i="17"/>
  <c r="P680" i="17"/>
  <c r="O687" i="17"/>
  <c r="P704" i="17"/>
  <c r="N716" i="17"/>
  <c r="W732" i="17"/>
  <c r="T732" i="17"/>
  <c r="P744" i="17"/>
  <c r="O770" i="17"/>
  <c r="P770" i="17"/>
  <c r="P784" i="17"/>
  <c r="P788" i="17"/>
  <c r="T791" i="17"/>
  <c r="W791" i="17"/>
  <c r="P793" i="17"/>
  <c r="P813" i="17"/>
  <c r="P834" i="17"/>
  <c r="N834" i="17"/>
  <c r="U835" i="17"/>
  <c r="T836" i="17"/>
  <c r="O865" i="17"/>
  <c r="N865" i="17"/>
  <c r="P898" i="17"/>
  <c r="O898" i="17"/>
  <c r="P913" i="17"/>
  <c r="V923" i="17"/>
  <c r="T923" i="17"/>
  <c r="V940" i="17"/>
  <c r="W940" i="17"/>
  <c r="P960" i="17"/>
  <c r="O960" i="17"/>
  <c r="N960" i="17"/>
  <c r="X445" i="17"/>
  <c r="X487" i="17"/>
  <c r="U511" i="17"/>
  <c r="N595" i="17"/>
  <c r="P595" i="17"/>
  <c r="V599" i="17"/>
  <c r="W599" i="17"/>
  <c r="V619" i="17"/>
  <c r="W619" i="17"/>
  <c r="N621" i="17"/>
  <c r="O648" i="17"/>
  <c r="N649" i="17"/>
  <c r="V734" i="17"/>
  <c r="T753" i="17"/>
  <c r="O778" i="17"/>
  <c r="P826" i="17"/>
  <c r="O826" i="17"/>
  <c r="V835" i="17"/>
  <c r="W836" i="17"/>
  <c r="N839" i="17"/>
  <c r="O863" i="17"/>
  <c r="N863" i="17"/>
  <c r="P864" i="17"/>
  <c r="N864" i="17"/>
  <c r="P885" i="17"/>
  <c r="N885" i="17"/>
  <c r="T893" i="17"/>
  <c r="W893" i="17"/>
  <c r="U915" i="17"/>
  <c r="V915" i="17"/>
  <c r="T922" i="17"/>
  <c r="W922" i="17"/>
  <c r="W933" i="17"/>
  <c r="V935" i="17"/>
  <c r="T935" i="17"/>
  <c r="N936" i="17"/>
  <c r="P936" i="17"/>
  <c r="V939" i="17"/>
  <c r="T939" i="17"/>
  <c r="O941" i="17"/>
  <c r="T944" i="17"/>
  <c r="U944" i="17"/>
  <c r="T531" i="17"/>
  <c r="W531" i="17"/>
  <c r="O628" i="17"/>
  <c r="P628" i="17"/>
  <c r="P633" i="17"/>
  <c r="N633" i="17"/>
  <c r="P679" i="17"/>
  <c r="O679" i="17"/>
  <c r="P850" i="17"/>
  <c r="O850" i="17"/>
  <c r="P873" i="17"/>
  <c r="O873" i="17"/>
  <c r="P901" i="17"/>
  <c r="N901" i="17"/>
  <c r="N923" i="17"/>
  <c r="P923" i="17"/>
  <c r="N944" i="17"/>
  <c r="O944" i="17"/>
  <c r="W374" i="17"/>
  <c r="N387" i="17"/>
  <c r="V465" i="17"/>
  <c r="N499" i="17"/>
  <c r="V502" i="17"/>
  <c r="N510" i="17"/>
  <c r="N515" i="17"/>
  <c r="N527" i="17"/>
  <c r="O532" i="17"/>
  <c r="N542" i="17"/>
  <c r="P542" i="17"/>
  <c r="P549" i="17"/>
  <c r="N550" i="17"/>
  <c r="O550" i="17"/>
  <c r="U551" i="17"/>
  <c r="O557" i="17"/>
  <c r="P558" i="17"/>
  <c r="V563" i="17"/>
  <c r="W564" i="17"/>
  <c r="V566" i="17"/>
  <c r="U567" i="17"/>
  <c r="W580" i="17"/>
  <c r="V594" i="17"/>
  <c r="T615" i="17"/>
  <c r="X630" i="17"/>
  <c r="P632" i="17"/>
  <c r="P636" i="17"/>
  <c r="U642" i="17"/>
  <c r="N644" i="17"/>
  <c r="N654" i="17"/>
  <c r="X656" i="17"/>
  <c r="P674" i="17"/>
  <c r="V676" i="17"/>
  <c r="O678" i="17"/>
  <c r="P685" i="17"/>
  <c r="U703" i="17"/>
  <c r="W746" i="17"/>
  <c r="V746" i="17"/>
  <c r="T748" i="17"/>
  <c r="T758" i="17"/>
  <c r="N760" i="17"/>
  <c r="O776" i="17"/>
  <c r="V813" i="17"/>
  <c r="N816" i="17"/>
  <c r="U820" i="17"/>
  <c r="V820" i="17"/>
  <c r="W827" i="17"/>
  <c r="W828" i="17"/>
  <c r="W829" i="17"/>
  <c r="V840" i="17"/>
  <c r="O847" i="17"/>
  <c r="N848" i="17"/>
  <c r="N855" i="17"/>
  <c r="O855" i="17"/>
  <c r="U859" i="17"/>
  <c r="U885" i="17"/>
  <c r="T890" i="17"/>
  <c r="N905" i="17"/>
  <c r="P906" i="17"/>
  <c r="N906" i="17"/>
  <c r="V921" i="17"/>
  <c r="T921" i="17"/>
  <c r="T924" i="17"/>
  <c r="N927" i="17"/>
  <c r="P927" i="17"/>
  <c r="N930" i="17"/>
  <c r="P939" i="17"/>
  <c r="N979" i="17"/>
  <c r="O979" i="17"/>
  <c r="T981" i="17"/>
  <c r="W981" i="17"/>
  <c r="V981" i="17"/>
  <c r="T984" i="17"/>
  <c r="U984" i="17"/>
  <c r="P541" i="17"/>
  <c r="O541" i="17"/>
  <c r="V603" i="17"/>
  <c r="W603" i="17"/>
  <c r="T672" i="17"/>
  <c r="V672" i="17"/>
  <c r="T875" i="17"/>
  <c r="V875" i="17"/>
  <c r="T891" i="17"/>
  <c r="U891" i="17"/>
  <c r="P900" i="17"/>
  <c r="O900" i="17"/>
  <c r="U908" i="17"/>
  <c r="T908" i="17"/>
  <c r="P934" i="17"/>
  <c r="O934" i="17"/>
  <c r="P968" i="17"/>
  <c r="N968" i="17"/>
  <c r="X359" i="17"/>
  <c r="N373" i="17"/>
  <c r="O374" i="17"/>
  <c r="N379" i="17"/>
  <c r="U389" i="17"/>
  <c r="V402" i="17"/>
  <c r="V403" i="17"/>
  <c r="P415" i="17"/>
  <c r="P416" i="17"/>
  <c r="O422" i="17"/>
  <c r="U424" i="17"/>
  <c r="X428" i="17"/>
  <c r="X429" i="17"/>
  <c r="P438" i="17"/>
  <c r="O452" i="17"/>
  <c r="N458" i="17"/>
  <c r="P462" i="17"/>
  <c r="T475" i="17"/>
  <c r="P478" i="17"/>
  <c r="X480" i="17"/>
  <c r="P484" i="17"/>
  <c r="V486" i="17"/>
  <c r="O494" i="17"/>
  <c r="U500" i="17"/>
  <c r="W505" i="17"/>
  <c r="N507" i="17"/>
  <c r="P508" i="17"/>
  <c r="P509" i="17"/>
  <c r="X517" i="17"/>
  <c r="W525" i="17"/>
  <c r="X525" i="17"/>
  <c r="V528" i="17"/>
  <c r="N540" i="17"/>
  <c r="P540" i="17"/>
  <c r="X566" i="17"/>
  <c r="W602" i="17"/>
  <c r="X602" i="17"/>
  <c r="O605" i="17"/>
  <c r="X607" i="17"/>
  <c r="T626" i="17"/>
  <c r="V626" i="17"/>
  <c r="X629" i="17"/>
  <c r="U633" i="17"/>
  <c r="P639" i="17"/>
  <c r="W649" i="17"/>
  <c r="X675" i="17"/>
  <c r="P688" i="17"/>
  <c r="W694" i="17"/>
  <c r="W695" i="17"/>
  <c r="T716" i="17"/>
  <c r="W716" i="17"/>
  <c r="V716" i="17"/>
  <c r="O734" i="17"/>
  <c r="N734" i="17"/>
  <c r="W744" i="17"/>
  <c r="T744" i="17"/>
  <c r="N764" i="17"/>
  <c r="O780" i="17"/>
  <c r="N798" i="17"/>
  <c r="N810" i="17"/>
  <c r="N812" i="17"/>
  <c r="U817" i="17"/>
  <c r="T819" i="17"/>
  <c r="U819" i="17"/>
  <c r="N831" i="17"/>
  <c r="T838" i="17"/>
  <c r="W839" i="17"/>
  <c r="P842" i="17"/>
  <c r="N842" i="17"/>
  <c r="U843" i="17"/>
  <c r="V849" i="17"/>
  <c r="V850" i="17"/>
  <c r="N861" i="17"/>
  <c r="W869" i="17"/>
  <c r="P879" i="17"/>
  <c r="W901" i="17"/>
  <c r="P917" i="17"/>
  <c r="N933" i="17"/>
  <c r="P933" i="17"/>
  <c r="V936" i="17"/>
  <c r="W936" i="17"/>
  <c r="V944" i="17"/>
  <c r="V957" i="17"/>
  <c r="W957" i="17"/>
  <c r="T977" i="17"/>
  <c r="U977" i="17"/>
  <c r="T983" i="17"/>
  <c r="V983" i="17"/>
  <c r="W431" i="17"/>
  <c r="N596" i="17"/>
  <c r="X599" i="17"/>
  <c r="N616" i="17"/>
  <c r="T621" i="17"/>
  <c r="U621" i="17"/>
  <c r="X621" i="17"/>
  <c r="T646" i="17"/>
  <c r="X649" i="17"/>
  <c r="O656" i="17"/>
  <c r="N656" i="17"/>
  <c r="N704" i="17"/>
  <c r="T845" i="17"/>
  <c r="W845" i="17"/>
  <c r="V893" i="17"/>
  <c r="P895" i="17"/>
  <c r="O895" i="17"/>
  <c r="T911" i="17"/>
  <c r="W911" i="17"/>
  <c r="O913" i="17"/>
  <c r="V922" i="17"/>
  <c r="O963" i="17"/>
  <c r="V1009" i="17"/>
  <c r="N982" i="17"/>
  <c r="N983" i="17"/>
  <c r="W1009" i="17"/>
  <c r="V1013" i="17"/>
  <c r="W1025" i="17"/>
  <c r="X605" i="17"/>
  <c r="X650" i="17"/>
  <c r="V801" i="17"/>
  <c r="W812" i="17"/>
  <c r="O982" i="17"/>
  <c r="O983" i="17"/>
  <c r="N1009" i="17"/>
  <c r="T1012" i="17"/>
  <c r="U1029" i="17"/>
  <c r="U1035" i="17"/>
  <c r="T1036" i="17"/>
  <c r="V1041" i="17"/>
  <c r="T892" i="17"/>
  <c r="T904" i="17"/>
  <c r="W917" i="17"/>
  <c r="O919" i="17"/>
  <c r="N920" i="17"/>
  <c r="V938" i="17"/>
  <c r="T941" i="17"/>
  <c r="V950" i="17"/>
  <c r="W991" i="17"/>
  <c r="N993" i="17"/>
  <c r="T996" i="17"/>
  <c r="V1001" i="17"/>
  <c r="U1011" i="17"/>
  <c r="V1015" i="17"/>
  <c r="T1020" i="17"/>
  <c r="V1023" i="17"/>
  <c r="T1028" i="17"/>
  <c r="W1029" i="17"/>
  <c r="P1031" i="17"/>
  <c r="T1034" i="17"/>
  <c r="W1035" i="17"/>
  <c r="O1017" i="17"/>
  <c r="U1019" i="17"/>
  <c r="W1023" i="17"/>
  <c r="V1039" i="17"/>
  <c r="W930" i="17"/>
  <c r="W966" i="17"/>
  <c r="W989" i="17"/>
  <c r="N991" i="17"/>
  <c r="V995" i="17"/>
  <c r="P1017" i="17"/>
  <c r="V1019" i="17"/>
  <c r="U1027" i="17"/>
  <c r="N1041" i="17"/>
  <c r="O2" i="17"/>
  <c r="W3" i="17"/>
  <c r="N5" i="17"/>
  <c r="V12" i="17"/>
  <c r="O21" i="17"/>
  <c r="W22" i="17"/>
  <c r="V23" i="17"/>
  <c r="X25" i="17"/>
  <c r="O33" i="17"/>
  <c r="X35" i="17"/>
  <c r="V45" i="17"/>
  <c r="U46" i="17"/>
  <c r="O53" i="17"/>
  <c r="W54" i="17"/>
  <c r="O57" i="17"/>
  <c r="N61" i="17"/>
  <c r="O69" i="17"/>
  <c r="N70" i="17"/>
  <c r="U71" i="17"/>
  <c r="W77" i="17"/>
  <c r="X93" i="17"/>
  <c r="V102" i="17"/>
  <c r="O109" i="17"/>
  <c r="V110" i="17"/>
  <c r="V115" i="17"/>
  <c r="O118" i="17"/>
  <c r="U126" i="17"/>
  <c r="U128" i="17"/>
  <c r="V129" i="17"/>
  <c r="O131" i="17"/>
  <c r="X136" i="17"/>
  <c r="V139" i="17"/>
  <c r="N150" i="17"/>
  <c r="O152" i="17"/>
  <c r="O155" i="17"/>
  <c r="X158" i="17"/>
  <c r="U161" i="17"/>
  <c r="W169" i="17"/>
  <c r="N172" i="17"/>
  <c r="N178" i="17"/>
  <c r="N179" i="17"/>
  <c r="P182" i="17"/>
  <c r="O182" i="17"/>
  <c r="O186" i="17"/>
  <c r="N186" i="17"/>
  <c r="O194" i="17"/>
  <c r="P194" i="17"/>
  <c r="P216" i="17"/>
  <c r="O216" i="17"/>
  <c r="N216" i="17"/>
  <c r="P2" i="17"/>
  <c r="N3" i="17"/>
  <c r="X3" i="17"/>
  <c r="P5" i="17"/>
  <c r="N12" i="17"/>
  <c r="W12" i="17"/>
  <c r="W16" i="17"/>
  <c r="V17" i="17"/>
  <c r="T18" i="17"/>
  <c r="X22" i="17"/>
  <c r="V27" i="17"/>
  <c r="T28" i="17"/>
  <c r="O32" i="17"/>
  <c r="P33" i="17"/>
  <c r="N34" i="17"/>
  <c r="N35" i="17"/>
  <c r="U37" i="17"/>
  <c r="O44" i="17"/>
  <c r="N45" i="17"/>
  <c r="X45" i="17"/>
  <c r="V46" i="17"/>
  <c r="W48" i="17"/>
  <c r="V49" i="17"/>
  <c r="T50" i="17"/>
  <c r="P53" i="17"/>
  <c r="X54" i="17"/>
  <c r="P57" i="17"/>
  <c r="U62" i="17"/>
  <c r="P69" i="17"/>
  <c r="X70" i="17"/>
  <c r="V71" i="17"/>
  <c r="X72" i="17"/>
  <c r="W75" i="17"/>
  <c r="U78" i="17"/>
  <c r="U83" i="17"/>
  <c r="N93" i="17"/>
  <c r="U94" i="17"/>
  <c r="N101" i="17"/>
  <c r="N102" i="17"/>
  <c r="W102" i="17"/>
  <c r="U103" i="17"/>
  <c r="U107" i="17"/>
  <c r="P109" i="17"/>
  <c r="N110" i="17"/>
  <c r="W110" i="17"/>
  <c r="U111" i="17"/>
  <c r="W114" i="17"/>
  <c r="W115" i="17"/>
  <c r="U116" i="17"/>
  <c r="P118" i="17"/>
  <c r="V126" i="17"/>
  <c r="V128" i="17"/>
  <c r="W129" i="17"/>
  <c r="P131" i="17"/>
  <c r="N136" i="17"/>
  <c r="X137" i="17"/>
  <c r="V138" i="17"/>
  <c r="W139" i="17"/>
  <c r="X140" i="17"/>
  <c r="U145" i="17"/>
  <c r="P152" i="17"/>
  <c r="W153" i="17"/>
  <c r="P155" i="17"/>
  <c r="N157" i="17"/>
  <c r="N158" i="17"/>
  <c r="T160" i="17"/>
  <c r="X160" i="17"/>
  <c r="V160" i="17"/>
  <c r="V166" i="17"/>
  <c r="T167" i="17"/>
  <c r="V170" i="17"/>
  <c r="P172" i="17"/>
  <c r="U198" i="17"/>
  <c r="X198" i="17"/>
  <c r="V198" i="17"/>
  <c r="P224" i="17"/>
  <c r="O224" i="17"/>
  <c r="N224" i="17"/>
  <c r="O3" i="17"/>
  <c r="U4" i="17"/>
  <c r="W9" i="17"/>
  <c r="O12" i="17"/>
  <c r="X12" i="17"/>
  <c r="V15" i="17"/>
  <c r="X17" i="17"/>
  <c r="O25" i="17"/>
  <c r="U38" i="17"/>
  <c r="O45" i="17"/>
  <c r="W46" i="17"/>
  <c r="V47" i="17"/>
  <c r="X49" i="17"/>
  <c r="W85" i="17"/>
  <c r="O93" i="17"/>
  <c r="O101" i="17"/>
  <c r="O102" i="17"/>
  <c r="V107" i="17"/>
  <c r="O110" i="17"/>
  <c r="X115" i="17"/>
  <c r="X129" i="17"/>
  <c r="O136" i="17"/>
  <c r="X139" i="17"/>
  <c r="V145" i="17"/>
  <c r="O164" i="17"/>
  <c r="N164" i="17"/>
  <c r="W166" i="17"/>
  <c r="V169" i="17"/>
  <c r="U169" i="17"/>
  <c r="X170" i="17"/>
  <c r="T175" i="17"/>
  <c r="P192" i="17"/>
  <c r="N192" i="17"/>
  <c r="V4" i="17"/>
  <c r="W10" i="17"/>
  <c r="V13" i="17"/>
  <c r="V19" i="17"/>
  <c r="O24" i="17"/>
  <c r="P25" i="17"/>
  <c r="N26" i="17"/>
  <c r="U29" i="17"/>
  <c r="O36" i="17"/>
  <c r="V38" i="17"/>
  <c r="V41" i="17"/>
  <c r="X46" i="17"/>
  <c r="V51" i="17"/>
  <c r="V64" i="17"/>
  <c r="O75" i="17"/>
  <c r="W83" i="17"/>
  <c r="T89" i="17"/>
  <c r="T97" i="17"/>
  <c r="W106" i="17"/>
  <c r="W107" i="17"/>
  <c r="W117" i="17"/>
  <c r="V122" i="17"/>
  <c r="V130" i="17"/>
  <c r="W145" i="17"/>
  <c r="T149" i="17"/>
  <c r="O153" i="17"/>
  <c r="V154" i="17"/>
  <c r="P156" i="17"/>
  <c r="T161" i="17"/>
  <c r="W161" i="17"/>
  <c r="X162" i="17"/>
  <c r="U163" i="17"/>
  <c r="V171" i="17"/>
  <c r="V176" i="17"/>
  <c r="X184" i="17"/>
  <c r="W184" i="17"/>
  <c r="V184" i="17"/>
  <c r="U11" i="17"/>
  <c r="W38" i="17"/>
  <c r="X41" i="17"/>
  <c r="U86" i="17"/>
  <c r="X107" i="17"/>
  <c r="W122" i="17"/>
  <c r="V149" i="17"/>
  <c r="V163" i="17"/>
  <c r="V185" i="17"/>
  <c r="U185" i="17"/>
  <c r="X185" i="17"/>
  <c r="T187" i="17"/>
  <c r="W187" i="17"/>
  <c r="U187" i="17"/>
  <c r="X187" i="17"/>
  <c r="T197" i="17"/>
  <c r="U197" i="17"/>
  <c r="U2" i="17"/>
  <c r="O4" i="17"/>
  <c r="X4" i="17"/>
  <c r="U5" i="17"/>
  <c r="V7" i="17"/>
  <c r="O10" i="17"/>
  <c r="W11" i="17"/>
  <c r="N13" i="17"/>
  <c r="O16" i="17"/>
  <c r="P17" i="17"/>
  <c r="N18" i="17"/>
  <c r="N19" i="17"/>
  <c r="U21" i="17"/>
  <c r="O28" i="17"/>
  <c r="N29" i="17"/>
  <c r="X29" i="17"/>
  <c r="V30" i="17"/>
  <c r="W32" i="17"/>
  <c r="V33" i="17"/>
  <c r="T34" i="17"/>
  <c r="X38" i="17"/>
  <c r="V43" i="17"/>
  <c r="T44" i="17"/>
  <c r="O48" i="17"/>
  <c r="P49" i="17"/>
  <c r="N50" i="17"/>
  <c r="N51" i="17"/>
  <c r="U53" i="17"/>
  <c r="V56" i="17"/>
  <c r="W59" i="17"/>
  <c r="U60" i="17"/>
  <c r="N64" i="17"/>
  <c r="X64" i="17"/>
  <c r="W67" i="17"/>
  <c r="W69" i="17"/>
  <c r="P72" i="17"/>
  <c r="O83" i="17"/>
  <c r="O85" i="17"/>
  <c r="V86" i="17"/>
  <c r="U87" i="17"/>
  <c r="W90" i="17"/>
  <c r="V91" i="17"/>
  <c r="W98" i="17"/>
  <c r="W99" i="17"/>
  <c r="T100" i="17"/>
  <c r="O105" i="17"/>
  <c r="N106" i="17"/>
  <c r="W109" i="17"/>
  <c r="P116" i="17"/>
  <c r="N117" i="17"/>
  <c r="U118" i="17"/>
  <c r="X123" i="17"/>
  <c r="N130" i="17"/>
  <c r="U131" i="17"/>
  <c r="W134" i="17"/>
  <c r="T135" i="17"/>
  <c r="P138" i="17"/>
  <c r="N140" i="17"/>
  <c r="O144" i="17"/>
  <c r="P145" i="17"/>
  <c r="X147" i="17"/>
  <c r="W149" i="17"/>
  <c r="U152" i="17"/>
  <c r="N154" i="17"/>
  <c r="U155" i="17"/>
  <c r="V157" i="17"/>
  <c r="N162" i="17"/>
  <c r="W163" i="17"/>
  <c r="T164" i="17"/>
  <c r="O168" i="17"/>
  <c r="P170" i="17"/>
  <c r="X171" i="17"/>
  <c r="T172" i="17"/>
  <c r="N176" i="17"/>
  <c r="X177" i="17"/>
  <c r="O184" i="17"/>
  <c r="X188" i="17"/>
  <c r="U192" i="17"/>
  <c r="U206" i="17"/>
  <c r="V206" i="17"/>
  <c r="W2" i="17"/>
  <c r="V5" i="17"/>
  <c r="V6" i="17"/>
  <c r="O9" i="17"/>
  <c r="P10" i="17"/>
  <c r="X11" i="17"/>
  <c r="P13" i="17"/>
  <c r="P15" i="17"/>
  <c r="P19" i="17"/>
  <c r="U22" i="17"/>
  <c r="W30" i="17"/>
  <c r="V31" i="17"/>
  <c r="X33" i="17"/>
  <c r="W34" i="17"/>
  <c r="U35" i="17"/>
  <c r="N38" i="17"/>
  <c r="O41" i="17"/>
  <c r="X44" i="17"/>
  <c r="P47" i="17"/>
  <c r="P51" i="17"/>
  <c r="U54" i="17"/>
  <c r="U61" i="17"/>
  <c r="P64" i="17"/>
  <c r="U70" i="17"/>
  <c r="N82" i="17"/>
  <c r="W86" i="17"/>
  <c r="V87" i="17"/>
  <c r="O89" i="17"/>
  <c r="W91" i="17"/>
  <c r="O97" i="17"/>
  <c r="X99" i="17"/>
  <c r="P105" i="17"/>
  <c r="O106" i="17"/>
  <c r="P130" i="17"/>
  <c r="X134" i="17"/>
  <c r="N149" i="17"/>
  <c r="X150" i="17"/>
  <c r="P154" i="17"/>
  <c r="W157" i="17"/>
  <c r="V158" i="17"/>
  <c r="P162" i="17"/>
  <c r="N163" i="17"/>
  <c r="X163" i="17"/>
  <c r="O176" i="17"/>
  <c r="V180" i="17"/>
  <c r="P184" i="17"/>
  <c r="V193" i="17"/>
  <c r="W193" i="17"/>
  <c r="W196" i="17"/>
  <c r="X196" i="17"/>
  <c r="T199" i="17"/>
  <c r="V209" i="17"/>
  <c r="X209" i="17"/>
  <c r="W209" i="17"/>
  <c r="U209" i="17"/>
  <c r="U3" i="17"/>
  <c r="U12" i="17"/>
  <c r="V35" i="17"/>
  <c r="U45" i="17"/>
  <c r="T55" i="17"/>
  <c r="X86" i="17"/>
  <c r="U102" i="17"/>
  <c r="U110" i="17"/>
  <c r="U115" i="17"/>
  <c r="U129" i="17"/>
  <c r="U136" i="17"/>
  <c r="U139" i="17"/>
  <c r="W158" i="17"/>
  <c r="N194" i="17"/>
  <c r="X200" i="17"/>
  <c r="W200" i="17"/>
  <c r="V200" i="17"/>
  <c r="X249" i="17"/>
  <c r="X255" i="17"/>
  <c r="X271" i="17"/>
  <c r="U288" i="17"/>
  <c r="X302" i="17"/>
  <c r="U312" i="17"/>
  <c r="V326" i="17"/>
  <c r="V345" i="17"/>
  <c r="V366" i="17"/>
  <c r="U376" i="17"/>
  <c r="T382" i="17"/>
  <c r="U382" i="17"/>
  <c r="X382" i="17"/>
  <c r="W391" i="17"/>
  <c r="X391" i="17"/>
  <c r="U405" i="17"/>
  <c r="V405" i="17"/>
  <c r="T435" i="17"/>
  <c r="W435" i="17"/>
  <c r="X204" i="17"/>
  <c r="O211" i="17"/>
  <c r="X211" i="17"/>
  <c r="U219" i="17"/>
  <c r="O227" i="17"/>
  <c r="X227" i="17"/>
  <c r="U229" i="17"/>
  <c r="U235" i="17"/>
  <c r="X244" i="17"/>
  <c r="X251" i="17"/>
  <c r="U257" i="17"/>
  <c r="T261" i="17"/>
  <c r="P264" i="17"/>
  <c r="P265" i="17"/>
  <c r="X267" i="17"/>
  <c r="O269" i="17"/>
  <c r="U273" i="17"/>
  <c r="U278" i="17"/>
  <c r="O286" i="17"/>
  <c r="X286" i="17"/>
  <c r="V288" i="17"/>
  <c r="O293" i="17"/>
  <c r="O299" i="17"/>
  <c r="O301" i="17"/>
  <c r="U304" i="17"/>
  <c r="P310" i="17"/>
  <c r="V312" i="17"/>
  <c r="T317" i="17"/>
  <c r="O320" i="17"/>
  <c r="X320" i="17"/>
  <c r="U321" i="17"/>
  <c r="W326" i="17"/>
  <c r="U327" i="17"/>
  <c r="N329" i="17"/>
  <c r="X329" i="17"/>
  <c r="P335" i="17"/>
  <c r="N336" i="17"/>
  <c r="W336" i="17"/>
  <c r="U337" i="17"/>
  <c r="V342" i="17"/>
  <c r="W345" i="17"/>
  <c r="O349" i="17"/>
  <c r="U352" i="17"/>
  <c r="P359" i="17"/>
  <c r="N360" i="17"/>
  <c r="W360" i="17"/>
  <c r="U361" i="17"/>
  <c r="W366" i="17"/>
  <c r="U367" i="17"/>
  <c r="O371" i="17"/>
  <c r="V376" i="17"/>
  <c r="X381" i="17"/>
  <c r="U381" i="17"/>
  <c r="N392" i="17"/>
  <c r="T393" i="17"/>
  <c r="W393" i="17"/>
  <c r="V397" i="17"/>
  <c r="W411" i="17"/>
  <c r="X411" i="17"/>
  <c r="V411" i="17"/>
  <c r="N412" i="17"/>
  <c r="P412" i="17"/>
  <c r="O412" i="17"/>
  <c r="N417" i="17"/>
  <c r="P417" i="17"/>
  <c r="O417" i="17"/>
  <c r="U201" i="17"/>
  <c r="P206" i="17"/>
  <c r="V219" i="17"/>
  <c r="X228" i="17"/>
  <c r="V229" i="17"/>
  <c r="V230" i="17"/>
  <c r="V235" i="17"/>
  <c r="X246" i="17"/>
  <c r="P255" i="17"/>
  <c r="V257" i="17"/>
  <c r="V261" i="17"/>
  <c r="T263" i="17"/>
  <c r="P271" i="17"/>
  <c r="W277" i="17"/>
  <c r="V278" i="17"/>
  <c r="W288" i="17"/>
  <c r="O292" i="17"/>
  <c r="W312" i="17"/>
  <c r="U313" i="17"/>
  <c r="U318" i="17"/>
  <c r="V321" i="17"/>
  <c r="O326" i="17"/>
  <c r="X326" i="17"/>
  <c r="X327" i="17"/>
  <c r="P329" i="17"/>
  <c r="N331" i="17"/>
  <c r="O336" i="17"/>
  <c r="V337" i="17"/>
  <c r="U343" i="17"/>
  <c r="N345" i="17"/>
  <c r="X345" i="17"/>
  <c r="N347" i="17"/>
  <c r="O360" i="17"/>
  <c r="X360" i="17"/>
  <c r="V361" i="17"/>
  <c r="N365" i="17"/>
  <c r="O366" i="17"/>
  <c r="X366" i="17"/>
  <c r="X367" i="17"/>
  <c r="P375" i="17"/>
  <c r="W376" i="17"/>
  <c r="U377" i="17"/>
  <c r="W379" i="17"/>
  <c r="N390" i="17"/>
  <c r="O390" i="17"/>
  <c r="P392" i="17"/>
  <c r="U396" i="17"/>
  <c r="N405" i="17"/>
  <c r="P405" i="17"/>
  <c r="O405" i="17"/>
  <c r="U409" i="17"/>
  <c r="X409" i="17"/>
  <c r="V409" i="17"/>
  <c r="T441" i="17"/>
  <c r="X441" i="17"/>
  <c r="X444" i="17"/>
  <c r="T444" i="17"/>
  <c r="W201" i="17"/>
  <c r="X230" i="17"/>
  <c r="W261" i="17"/>
  <c r="W263" i="17"/>
  <c r="W278" i="17"/>
  <c r="V280" i="17"/>
  <c r="T285" i="17"/>
  <c r="X288" i="17"/>
  <c r="U289" i="17"/>
  <c r="P303" i="17"/>
  <c r="N304" i="17"/>
  <c r="P311" i="17"/>
  <c r="X312" i="17"/>
  <c r="V313" i="17"/>
  <c r="T314" i="17"/>
  <c r="V318" i="17"/>
  <c r="P326" i="17"/>
  <c r="U328" i="17"/>
  <c r="U334" i="17"/>
  <c r="W337" i="17"/>
  <c r="X343" i="17"/>
  <c r="P345" i="17"/>
  <c r="O347" i="17"/>
  <c r="P351" i="17"/>
  <c r="U357" i="17"/>
  <c r="U358" i="17"/>
  <c r="W361" i="17"/>
  <c r="O364" i="17"/>
  <c r="O365" i="17"/>
  <c r="P366" i="17"/>
  <c r="U368" i="17"/>
  <c r="X376" i="17"/>
  <c r="V377" i="17"/>
  <c r="V380" i="17"/>
  <c r="W380" i="17"/>
  <c r="N382" i="17"/>
  <c r="P382" i="17"/>
  <c r="P383" i="17"/>
  <c r="P389" i="17"/>
  <c r="N389" i="17"/>
  <c r="U397" i="17"/>
  <c r="X397" i="17"/>
  <c r="X263" i="17"/>
  <c r="V285" i="17"/>
  <c r="V289" i="17"/>
  <c r="W313" i="17"/>
  <c r="V334" i="17"/>
  <c r="U344" i="17"/>
  <c r="V358" i="17"/>
  <c r="W377" i="17"/>
  <c r="N453" i="17"/>
  <c r="P453" i="17"/>
  <c r="O453" i="17"/>
  <c r="U195" i="17"/>
  <c r="U203" i="17"/>
  <c r="X220" i="17"/>
  <c r="V221" i="17"/>
  <c r="X222" i="17"/>
  <c r="P228" i="17"/>
  <c r="N229" i="17"/>
  <c r="X236" i="17"/>
  <c r="V237" i="17"/>
  <c r="V238" i="17"/>
  <c r="U243" i="17"/>
  <c r="P246" i="17"/>
  <c r="X259" i="17"/>
  <c r="O261" i="17"/>
  <c r="U265" i="17"/>
  <c r="T269" i="17"/>
  <c r="X275" i="17"/>
  <c r="N277" i="17"/>
  <c r="N278" i="17"/>
  <c r="N280" i="17"/>
  <c r="X281" i="17"/>
  <c r="W285" i="17"/>
  <c r="W289" i="17"/>
  <c r="V291" i="17"/>
  <c r="X294" i="17"/>
  <c r="W297" i="17"/>
  <c r="T301" i="17"/>
  <c r="U302" i="17"/>
  <c r="X305" i="17"/>
  <c r="V309" i="17"/>
  <c r="U310" i="17"/>
  <c r="X313" i="17"/>
  <c r="O317" i="17"/>
  <c r="O318" i="17"/>
  <c r="X318" i="17"/>
  <c r="X319" i="17"/>
  <c r="P321" i="17"/>
  <c r="N323" i="17"/>
  <c r="P327" i="17"/>
  <c r="N328" i="17"/>
  <c r="W328" i="17"/>
  <c r="W334" i="17"/>
  <c r="U335" i="17"/>
  <c r="N337" i="17"/>
  <c r="O341" i="17"/>
  <c r="V344" i="17"/>
  <c r="W348" i="17"/>
  <c r="U350" i="17"/>
  <c r="W353" i="17"/>
  <c r="W358" i="17"/>
  <c r="O363" i="17"/>
  <c r="P367" i="17"/>
  <c r="N368" i="17"/>
  <c r="W368" i="17"/>
  <c r="V374" i="17"/>
  <c r="X377" i="17"/>
  <c r="O380" i="17"/>
  <c r="P404" i="17"/>
  <c r="O404" i="17"/>
  <c r="O409" i="17"/>
  <c r="N409" i="17"/>
  <c r="W436" i="17"/>
  <c r="T436" i="17"/>
  <c r="U211" i="17"/>
  <c r="U227" i="17"/>
  <c r="X238" i="17"/>
  <c r="U249" i="17"/>
  <c r="T255" i="17"/>
  <c r="T271" i="17"/>
  <c r="O280" i="17"/>
  <c r="N285" i="17"/>
  <c r="U286" i="17"/>
  <c r="N289" i="17"/>
  <c r="X289" i="17"/>
  <c r="W291" i="17"/>
  <c r="V301" i="17"/>
  <c r="V302" i="17"/>
  <c r="U320" i="17"/>
  <c r="O328" i="17"/>
  <c r="X328" i="17"/>
  <c r="N333" i="17"/>
  <c r="O334" i="17"/>
  <c r="X334" i="17"/>
  <c r="W344" i="17"/>
  <c r="V350" i="17"/>
  <c r="N357" i="17"/>
  <c r="O358" i="17"/>
  <c r="X358" i="17"/>
  <c r="O368" i="17"/>
  <c r="U375" i="17"/>
  <c r="V382" i="17"/>
  <c r="U391" i="17"/>
  <c r="W395" i="17"/>
  <c r="V395" i="17"/>
  <c r="N397" i="17"/>
  <c r="O397" i="17"/>
  <c r="O401" i="17"/>
  <c r="P401" i="17"/>
  <c r="U407" i="17"/>
  <c r="V407" i="17"/>
  <c r="W407" i="17"/>
  <c r="N425" i="17"/>
  <c r="P425" i="17"/>
  <c r="O425" i="17"/>
  <c r="T455" i="17"/>
  <c r="X455" i="17"/>
  <c r="V455" i="17"/>
  <c r="U455" i="17"/>
  <c r="P457" i="17"/>
  <c r="O457" i="17"/>
  <c r="N457" i="17"/>
  <c r="U179" i="17"/>
  <c r="W182" i="17"/>
  <c r="W195" i="17"/>
  <c r="N202" i="17"/>
  <c r="W203" i="17"/>
  <c r="V211" i="17"/>
  <c r="V214" i="17"/>
  <c r="X217" i="17"/>
  <c r="N220" i="17"/>
  <c r="V227" i="17"/>
  <c r="W233" i="17"/>
  <c r="N236" i="17"/>
  <c r="W243" i="17"/>
  <c r="W249" i="17"/>
  <c r="W253" i="17"/>
  <c r="W255" i="17"/>
  <c r="N258" i="17"/>
  <c r="N259" i="17"/>
  <c r="W265" i="17"/>
  <c r="W269" i="17"/>
  <c r="W271" i="17"/>
  <c r="P284" i="17"/>
  <c r="O285" i="17"/>
  <c r="V286" i="17"/>
  <c r="P289" i="17"/>
  <c r="X291" i="17"/>
  <c r="O297" i="17"/>
  <c r="W301" i="17"/>
  <c r="W302" i="17"/>
  <c r="W310" i="17"/>
  <c r="V320" i="17"/>
  <c r="U326" i="17"/>
  <c r="V329" i="17"/>
  <c r="O333" i="17"/>
  <c r="P334" i="17"/>
  <c r="U336" i="17"/>
  <c r="X344" i="17"/>
  <c r="U345" i="17"/>
  <c r="W350" i="17"/>
  <c r="O356" i="17"/>
  <c r="O357" i="17"/>
  <c r="P358" i="17"/>
  <c r="U360" i="17"/>
  <c r="U365" i="17"/>
  <c r="U366" i="17"/>
  <c r="X369" i="17"/>
  <c r="X374" i="17"/>
  <c r="X375" i="17"/>
  <c r="W382" i="17"/>
  <c r="T390" i="17"/>
  <c r="X390" i="17"/>
  <c r="W390" i="17"/>
  <c r="T392" i="17"/>
  <c r="X392" i="17"/>
  <c r="V392" i="17"/>
  <c r="P396" i="17"/>
  <c r="N396" i="17"/>
  <c r="N408" i="17"/>
  <c r="O408" i="17"/>
  <c r="T417" i="17"/>
  <c r="W417" i="17"/>
  <c r="X417" i="17"/>
  <c r="T439" i="17"/>
  <c r="W439" i="17"/>
  <c r="V439" i="17"/>
  <c r="U439" i="17"/>
  <c r="V442" i="17"/>
  <c r="T442" i="17"/>
  <c r="X385" i="17"/>
  <c r="U404" i="17"/>
  <c r="N413" i="17"/>
  <c r="O414" i="17"/>
  <c r="V418" i="17"/>
  <c r="W422" i="17"/>
  <c r="P426" i="17"/>
  <c r="T428" i="17"/>
  <c r="O434" i="17"/>
  <c r="O435" i="17"/>
  <c r="P441" i="17"/>
  <c r="O443" i="17"/>
  <c r="W446" i="17"/>
  <c r="P448" i="17"/>
  <c r="X452" i="17"/>
  <c r="V457" i="17"/>
  <c r="U460" i="17"/>
  <c r="P463" i="17"/>
  <c r="N465" i="17"/>
  <c r="P469" i="17"/>
  <c r="P473" i="17"/>
  <c r="N483" i="17"/>
  <c r="U486" i="17"/>
  <c r="O489" i="17"/>
  <c r="N491" i="17"/>
  <c r="O493" i="17"/>
  <c r="W494" i="17"/>
  <c r="V495" i="17"/>
  <c r="W497" i="17"/>
  <c r="O500" i="17"/>
  <c r="X501" i="17"/>
  <c r="W508" i="17"/>
  <c r="P510" i="17"/>
  <c r="X511" i="17"/>
  <c r="P516" i="17"/>
  <c r="T522" i="17"/>
  <c r="U523" i="17"/>
  <c r="P525" i="17"/>
  <c r="N526" i="17"/>
  <c r="W527" i="17"/>
  <c r="V527" i="17"/>
  <c r="P535" i="17"/>
  <c r="N535" i="17"/>
  <c r="T539" i="17"/>
  <c r="U539" i="17"/>
  <c r="X541" i="17"/>
  <c r="P547" i="17"/>
  <c r="O547" i="17"/>
  <c r="N548" i="17"/>
  <c r="O548" i="17"/>
  <c r="N549" i="17"/>
  <c r="X551" i="17"/>
  <c r="N559" i="17"/>
  <c r="X577" i="17"/>
  <c r="V577" i="17"/>
  <c r="U577" i="17"/>
  <c r="V592" i="17"/>
  <c r="W418" i="17"/>
  <c r="P433" i="17"/>
  <c r="P434" i="17"/>
  <c r="X446" i="17"/>
  <c r="U447" i="17"/>
  <c r="U454" i="17"/>
  <c r="O465" i="17"/>
  <c r="O468" i="17"/>
  <c r="U478" i="17"/>
  <c r="O483" i="17"/>
  <c r="P489" i="17"/>
  <c r="O491" i="17"/>
  <c r="P493" i="17"/>
  <c r="X494" i="17"/>
  <c r="X495" i="17"/>
  <c r="P500" i="17"/>
  <c r="U502" i="17"/>
  <c r="U518" i="17"/>
  <c r="W523" i="17"/>
  <c r="U524" i="17"/>
  <c r="P526" i="17"/>
  <c r="T542" i="17"/>
  <c r="W542" i="17"/>
  <c r="V542" i="17"/>
  <c r="O546" i="17"/>
  <c r="P563" i="17"/>
  <c r="N563" i="17"/>
  <c r="P570" i="17"/>
  <c r="O570" i="17"/>
  <c r="N574" i="17"/>
  <c r="P574" i="17"/>
  <c r="O574" i="17"/>
  <c r="O578" i="17"/>
  <c r="P578" i="17"/>
  <c r="P584" i="17"/>
  <c r="O584" i="17"/>
  <c r="V587" i="17"/>
  <c r="W587" i="17"/>
  <c r="P588" i="17"/>
  <c r="O588" i="17"/>
  <c r="X593" i="17"/>
  <c r="V593" i="17"/>
  <c r="U593" i="17"/>
  <c r="U438" i="17"/>
  <c r="V447" i="17"/>
  <c r="U462" i="17"/>
  <c r="N486" i="17"/>
  <c r="U503" i="17"/>
  <c r="T504" i="17"/>
  <c r="U509" i="17"/>
  <c r="W524" i="17"/>
  <c r="X542" i="17"/>
  <c r="V556" i="17"/>
  <c r="X556" i="17"/>
  <c r="W556" i="17"/>
  <c r="P562" i="17"/>
  <c r="O562" i="17"/>
  <c r="O565" i="17"/>
  <c r="N565" i="17"/>
  <c r="T576" i="17"/>
  <c r="X576" i="17"/>
  <c r="W576" i="17"/>
  <c r="V589" i="17"/>
  <c r="O594" i="17"/>
  <c r="N594" i="17"/>
  <c r="V611" i="17"/>
  <c r="W611" i="17"/>
  <c r="U431" i="17"/>
  <c r="V438" i="17"/>
  <c r="W447" i="17"/>
  <c r="N454" i="17"/>
  <c r="W454" i="17"/>
  <c r="O460" i="17"/>
  <c r="V462" i="17"/>
  <c r="V471" i="17"/>
  <c r="T472" i="17"/>
  <c r="W475" i="17"/>
  <c r="N478" i="17"/>
  <c r="W478" i="17"/>
  <c r="U479" i="17"/>
  <c r="O485" i="17"/>
  <c r="O486" i="17"/>
  <c r="U492" i="17"/>
  <c r="N502" i="17"/>
  <c r="W502" i="17"/>
  <c r="V503" i="17"/>
  <c r="X509" i="17"/>
  <c r="W514" i="17"/>
  <c r="N518" i="17"/>
  <c r="W518" i="17"/>
  <c r="U519" i="17"/>
  <c r="V520" i="17"/>
  <c r="N523" i="17"/>
  <c r="X524" i="17"/>
  <c r="V532" i="17"/>
  <c r="X532" i="17"/>
  <c r="W532" i="17"/>
  <c r="T534" i="17"/>
  <c r="V534" i="17"/>
  <c r="U534" i="17"/>
  <c r="U535" i="17"/>
  <c r="V536" i="17"/>
  <c r="P539" i="17"/>
  <c r="N539" i="17"/>
  <c r="W543" i="17"/>
  <c r="U543" i="17"/>
  <c r="U547" i="17"/>
  <c r="U548" i="17"/>
  <c r="P551" i="17"/>
  <c r="N551" i="17"/>
  <c r="T555" i="17"/>
  <c r="U555" i="17"/>
  <c r="X557" i="17"/>
  <c r="W586" i="17"/>
  <c r="V586" i="17"/>
  <c r="T586" i="17"/>
  <c r="U384" i="17"/>
  <c r="V401" i="17"/>
  <c r="U402" i="17"/>
  <c r="X410" i="17"/>
  <c r="X416" i="17"/>
  <c r="V431" i="17"/>
  <c r="X438" i="17"/>
  <c r="W445" i="17"/>
  <c r="N447" i="17"/>
  <c r="X447" i="17"/>
  <c r="T451" i="17"/>
  <c r="X454" i="17"/>
  <c r="P460" i="17"/>
  <c r="O461" i="17"/>
  <c r="W462" i="17"/>
  <c r="U463" i="17"/>
  <c r="T469" i="17"/>
  <c r="W471" i="17"/>
  <c r="X472" i="17"/>
  <c r="V473" i="17"/>
  <c r="O477" i="17"/>
  <c r="X478" i="17"/>
  <c r="V479" i="17"/>
  <c r="T480" i="17"/>
  <c r="P485" i="17"/>
  <c r="V487" i="17"/>
  <c r="U488" i="17"/>
  <c r="W492" i="17"/>
  <c r="X502" i="17"/>
  <c r="X503" i="17"/>
  <c r="U510" i="17"/>
  <c r="W513" i="17"/>
  <c r="W515" i="17"/>
  <c r="U516" i="17"/>
  <c r="X518" i="17"/>
  <c r="V519" i="17"/>
  <c r="O522" i="17"/>
  <c r="O523" i="17"/>
  <c r="O524" i="17"/>
  <c r="U525" i="17"/>
  <c r="W533" i="17"/>
  <c r="U533" i="17"/>
  <c r="W534" i="17"/>
  <c r="V535" i="17"/>
  <c r="O538" i="17"/>
  <c r="W547" i="17"/>
  <c r="W548" i="17"/>
  <c r="O556" i="17"/>
  <c r="T558" i="17"/>
  <c r="W558" i="17"/>
  <c r="V558" i="17"/>
  <c r="U563" i="17"/>
  <c r="N567" i="17"/>
  <c r="T581" i="17"/>
  <c r="U581" i="17"/>
  <c r="X581" i="17"/>
  <c r="V591" i="17"/>
  <c r="X591" i="17"/>
  <c r="W591" i="17"/>
  <c r="W469" i="17"/>
  <c r="W473" i="17"/>
  <c r="W479" i="17"/>
  <c r="V489" i="17"/>
  <c r="W516" i="17"/>
  <c r="X519" i="17"/>
  <c r="X548" i="17"/>
  <c r="U571" i="17"/>
  <c r="X571" i="17"/>
  <c r="W571" i="17"/>
  <c r="X585" i="17"/>
  <c r="V585" i="17"/>
  <c r="U585" i="17"/>
  <c r="T589" i="17"/>
  <c r="U589" i="17"/>
  <c r="X589" i="17"/>
  <c r="O592" i="17"/>
  <c r="N592" i="17"/>
  <c r="N604" i="17"/>
  <c r="P604" i="17"/>
  <c r="O604" i="17"/>
  <c r="U446" i="17"/>
  <c r="W451" i="17"/>
  <c r="W463" i="17"/>
  <c r="W465" i="17"/>
  <c r="X469" i="17"/>
  <c r="X479" i="17"/>
  <c r="W483" i="17"/>
  <c r="W489" i="17"/>
  <c r="U494" i="17"/>
  <c r="W500" i="17"/>
  <c r="X516" i="17"/>
  <c r="T526" i="17"/>
  <c r="X526" i="17"/>
  <c r="V526" i="17"/>
  <c r="P530" i="17"/>
  <c r="O530" i="17"/>
  <c r="P531" i="17"/>
  <c r="N531" i="17"/>
  <c r="T550" i="17"/>
  <c r="V550" i="17"/>
  <c r="U550" i="17"/>
  <c r="P555" i="17"/>
  <c r="N555" i="17"/>
  <c r="W559" i="17"/>
  <c r="U559" i="17"/>
  <c r="W563" i="17"/>
  <c r="P581" i="17"/>
  <c r="O581" i="17"/>
  <c r="N581" i="17"/>
  <c r="X402" i="17"/>
  <c r="N414" i="17"/>
  <c r="U418" i="17"/>
  <c r="V422" i="17"/>
  <c r="O426" i="17"/>
  <c r="N435" i="17"/>
  <c r="O441" i="17"/>
  <c r="N443" i="17"/>
  <c r="V446" i="17"/>
  <c r="N448" i="17"/>
  <c r="W452" i="17"/>
  <c r="X456" i="17"/>
  <c r="X463" i="17"/>
  <c r="X465" i="17"/>
  <c r="O469" i="17"/>
  <c r="U470" i="17"/>
  <c r="N473" i="17"/>
  <c r="N479" i="17"/>
  <c r="W484" i="17"/>
  <c r="P487" i="17"/>
  <c r="X489" i="17"/>
  <c r="V494" i="17"/>
  <c r="U495" i="17"/>
  <c r="T496" i="17"/>
  <c r="V497" i="17"/>
  <c r="X500" i="17"/>
  <c r="U501" i="17"/>
  <c r="W507" i="17"/>
  <c r="U508" i="17"/>
  <c r="V511" i="17"/>
  <c r="O514" i="17"/>
  <c r="O515" i="17"/>
  <c r="O516" i="17"/>
  <c r="U517" i="17"/>
  <c r="N519" i="17"/>
  <c r="W526" i="17"/>
  <c r="X527" i="17"/>
  <c r="N533" i="17"/>
  <c r="O533" i="17"/>
  <c r="V540" i="17"/>
  <c r="X540" i="17"/>
  <c r="W540" i="17"/>
  <c r="N547" i="17"/>
  <c r="P548" i="17"/>
  <c r="W550" i="17"/>
  <c r="V551" i="17"/>
  <c r="V552" i="17"/>
  <c r="P572" i="17"/>
  <c r="O572" i="17"/>
  <c r="N572" i="17"/>
  <c r="O575" i="17"/>
  <c r="N575" i="17"/>
  <c r="U576" i="17"/>
  <c r="P589" i="17"/>
  <c r="N589" i="17"/>
  <c r="N599" i="17"/>
  <c r="O599" i="17"/>
  <c r="X609" i="17"/>
  <c r="W609" i="17"/>
  <c r="U609" i="17"/>
  <c r="X567" i="17"/>
  <c r="V605" i="17"/>
  <c r="V608" i="17"/>
  <c r="W612" i="17"/>
  <c r="N624" i="17"/>
  <c r="N625" i="17"/>
  <c r="N628" i="17"/>
  <c r="V629" i="17"/>
  <c r="U630" i="17"/>
  <c r="T631" i="17"/>
  <c r="O640" i="17"/>
  <c r="N641" i="17"/>
  <c r="W642" i="17"/>
  <c r="W646" i="17"/>
  <c r="U649" i="17"/>
  <c r="N651" i="17"/>
  <c r="X652" i="17"/>
  <c r="U655" i="17"/>
  <c r="U660" i="17"/>
  <c r="V661" i="17"/>
  <c r="N666" i="17"/>
  <c r="O667" i="17"/>
  <c r="P669" i="17"/>
  <c r="N674" i="17"/>
  <c r="X674" i="17"/>
  <c r="T677" i="17"/>
  <c r="W680" i="17"/>
  <c r="X681" i="17"/>
  <c r="U700" i="17"/>
  <c r="U711" i="17"/>
  <c r="U719" i="17"/>
  <c r="T719" i="17"/>
  <c r="O732" i="17"/>
  <c r="N732" i="17"/>
  <c r="U743" i="17"/>
  <c r="T747" i="17"/>
  <c r="U747" i="17"/>
  <c r="O748" i="17"/>
  <c r="P748" i="17"/>
  <c r="T797" i="17"/>
  <c r="V797" i="17"/>
  <c r="U797" i="17"/>
  <c r="P857" i="17"/>
  <c r="O857" i="17"/>
  <c r="N857" i="17"/>
  <c r="W872" i="17"/>
  <c r="T872" i="17"/>
  <c r="V872" i="17"/>
  <c r="U916" i="17"/>
  <c r="T916" i="17"/>
  <c r="W916" i="17"/>
  <c r="V916" i="17"/>
  <c r="U549" i="17"/>
  <c r="V560" i="17"/>
  <c r="X564" i="17"/>
  <c r="X590" i="17"/>
  <c r="U597" i="17"/>
  <c r="U601" i="17"/>
  <c r="W605" i="17"/>
  <c r="W608" i="17"/>
  <c r="V610" i="17"/>
  <c r="U613" i="17"/>
  <c r="O625" i="17"/>
  <c r="W629" i="17"/>
  <c r="V630" i="17"/>
  <c r="U637" i="17"/>
  <c r="P640" i="17"/>
  <c r="N642" i="17"/>
  <c r="X642" i="17"/>
  <c r="T643" i="17"/>
  <c r="N646" i="17"/>
  <c r="V649" i="17"/>
  <c r="P651" i="17"/>
  <c r="W660" i="17"/>
  <c r="W661" i="17"/>
  <c r="T662" i="17"/>
  <c r="P667" i="17"/>
  <c r="V675" i="17"/>
  <c r="O680" i="17"/>
  <c r="X680" i="17"/>
  <c r="X682" i="17"/>
  <c r="T696" i="17"/>
  <c r="X696" i="17"/>
  <c r="W696" i="17"/>
  <c r="T699" i="17"/>
  <c r="V700" i="17"/>
  <c r="N708" i="17"/>
  <c r="T712" i="17"/>
  <c r="W712" i="17"/>
  <c r="O724" i="17"/>
  <c r="P724" i="17"/>
  <c r="N724" i="17"/>
  <c r="O728" i="17"/>
  <c r="P728" i="17"/>
  <c r="W730" i="17"/>
  <c r="V730" i="17"/>
  <c r="P736" i="17"/>
  <c r="O756" i="17"/>
  <c r="P756" i="17"/>
  <c r="P868" i="17"/>
  <c r="O868" i="17"/>
  <c r="N868" i="17"/>
  <c r="W902" i="17"/>
  <c r="V902" i="17"/>
  <c r="T902" i="17"/>
  <c r="V613" i="17"/>
  <c r="W632" i="17"/>
  <c r="V637" i="17"/>
  <c r="V643" i="17"/>
  <c r="X661" i="17"/>
  <c r="U683" i="17"/>
  <c r="T687" i="17"/>
  <c r="T691" i="17"/>
  <c r="W691" i="17"/>
  <c r="V691" i="17"/>
  <c r="W700" i="17"/>
  <c r="P708" i="17"/>
  <c r="U727" i="17"/>
  <c r="T727" i="17"/>
  <c r="T795" i="17"/>
  <c r="W795" i="17"/>
  <c r="U795" i="17"/>
  <c r="U800" i="17"/>
  <c r="W800" i="17"/>
  <c r="V800" i="17"/>
  <c r="P841" i="17"/>
  <c r="O841" i="17"/>
  <c r="N841" i="17"/>
  <c r="P860" i="17"/>
  <c r="O860" i="17"/>
  <c r="N860" i="17"/>
  <c r="N931" i="17"/>
  <c r="O931" i="17"/>
  <c r="P931" i="17"/>
  <c r="W613" i="17"/>
  <c r="V616" i="17"/>
  <c r="X619" i="17"/>
  <c r="U634" i="17"/>
  <c r="W637" i="17"/>
  <c r="X643" i="17"/>
  <c r="U663" i="17"/>
  <c r="U664" i="17"/>
  <c r="N675" i="17"/>
  <c r="N682" i="17"/>
  <c r="V683" i="17"/>
  <c r="T685" i="17"/>
  <c r="U685" i="17"/>
  <c r="W685" i="17"/>
  <c r="U693" i="17"/>
  <c r="X693" i="17"/>
  <c r="W754" i="17"/>
  <c r="T754" i="17"/>
  <c r="W762" i="17"/>
  <c r="V762" i="17"/>
  <c r="O786" i="17"/>
  <c r="P786" i="17"/>
  <c r="T837" i="17"/>
  <c r="V837" i="17"/>
  <c r="W837" i="17"/>
  <c r="U837" i="17"/>
  <c r="T853" i="17"/>
  <c r="V853" i="17"/>
  <c r="W853" i="17"/>
  <c r="U853" i="17"/>
  <c r="P877" i="17"/>
  <c r="O877" i="17"/>
  <c r="N877" i="17"/>
  <c r="P890" i="17"/>
  <c r="O890" i="17"/>
  <c r="N890" i="17"/>
  <c r="U566" i="17"/>
  <c r="V580" i="17"/>
  <c r="P582" i="17"/>
  <c r="X597" i="17"/>
  <c r="X603" i="17"/>
  <c r="N609" i="17"/>
  <c r="N613" i="17"/>
  <c r="X613" i="17"/>
  <c r="X614" i="17"/>
  <c r="W616" i="17"/>
  <c r="W617" i="17"/>
  <c r="V621" i="17"/>
  <c r="T627" i="17"/>
  <c r="N632" i="17"/>
  <c r="V633" i="17"/>
  <c r="V634" i="17"/>
  <c r="N636" i="17"/>
  <c r="N637" i="17"/>
  <c r="X637" i="17"/>
  <c r="X638" i="17"/>
  <c r="N643" i="17"/>
  <c r="W644" i="17"/>
  <c r="V645" i="17"/>
  <c r="W650" i="17"/>
  <c r="V656" i="17"/>
  <c r="V657" i="17"/>
  <c r="V663" i="17"/>
  <c r="V664" i="17"/>
  <c r="V666" i="17"/>
  <c r="W672" i="17"/>
  <c r="U673" i="17"/>
  <c r="O675" i="17"/>
  <c r="O677" i="17"/>
  <c r="P678" i="17"/>
  <c r="O682" i="17"/>
  <c r="N683" i="17"/>
  <c r="W683" i="17"/>
  <c r="X685" i="17"/>
  <c r="T688" i="17"/>
  <c r="W688" i="17"/>
  <c r="X688" i="17"/>
  <c r="N690" i="17"/>
  <c r="N691" i="17"/>
  <c r="O696" i="17"/>
  <c r="N696" i="17"/>
  <c r="O712" i="17"/>
  <c r="N712" i="17"/>
  <c r="T724" i="17"/>
  <c r="N726" i="17"/>
  <c r="U729" i="17"/>
  <c r="T729" i="17"/>
  <c r="U737" i="17"/>
  <c r="T751" i="17"/>
  <c r="O758" i="17"/>
  <c r="P758" i="17"/>
  <c r="N758" i="17"/>
  <c r="T793" i="17"/>
  <c r="V793" i="17"/>
  <c r="W793" i="17"/>
  <c r="U793" i="17"/>
  <c r="P840" i="17"/>
  <c r="O840" i="17"/>
  <c r="N840" i="17"/>
  <c r="P866" i="17"/>
  <c r="O866" i="17"/>
  <c r="N866" i="17"/>
  <c r="P889" i="17"/>
  <c r="O889" i="17"/>
  <c r="N889" i="17"/>
  <c r="V927" i="17"/>
  <c r="T927" i="17"/>
  <c r="V961" i="17"/>
  <c r="W961" i="17"/>
  <c r="U570" i="17"/>
  <c r="V584" i="17"/>
  <c r="V588" i="17"/>
  <c r="V604" i="17"/>
  <c r="O609" i="17"/>
  <c r="O613" i="17"/>
  <c r="O619" i="17"/>
  <c r="U622" i="17"/>
  <c r="U625" i="17"/>
  <c r="O637" i="17"/>
  <c r="X640" i="17"/>
  <c r="P643" i="17"/>
  <c r="W645" i="17"/>
  <c r="T651" i="17"/>
  <c r="X663" i="17"/>
  <c r="W664" i="17"/>
  <c r="U665" i="17"/>
  <c r="W666" i="17"/>
  <c r="T667" i="17"/>
  <c r="X683" i="17"/>
  <c r="N685" i="17"/>
  <c r="N687" i="17"/>
  <c r="O691" i="17"/>
  <c r="P700" i="17"/>
  <c r="O700" i="17"/>
  <c r="T704" i="17"/>
  <c r="V704" i="17"/>
  <c r="U704" i="17"/>
  <c r="T720" i="17"/>
  <c r="W720" i="17"/>
  <c r="V720" i="17"/>
  <c r="P726" i="17"/>
  <c r="W738" i="17"/>
  <c r="V738" i="17"/>
  <c r="T738" i="17"/>
  <c r="W742" i="17"/>
  <c r="V742" i="17"/>
  <c r="W752" i="17"/>
  <c r="V752" i="17"/>
  <c r="O766" i="17"/>
  <c r="P766" i="17"/>
  <c r="N766" i="17"/>
  <c r="T799" i="17"/>
  <c r="W799" i="17"/>
  <c r="V799" i="17"/>
  <c r="U799" i="17"/>
  <c r="T851" i="17"/>
  <c r="U851" i="17"/>
  <c r="V851" i="17"/>
  <c r="W862" i="17"/>
  <c r="V862" i="17"/>
  <c r="T862" i="17"/>
  <c r="T905" i="17"/>
  <c r="V905" i="17"/>
  <c r="W905" i="17"/>
  <c r="V625" i="17"/>
  <c r="W628" i="17"/>
  <c r="W641" i="17"/>
  <c r="V651" i="17"/>
  <c r="X664" i="17"/>
  <c r="U674" i="17"/>
  <c r="T684" i="17"/>
  <c r="U684" i="17"/>
  <c r="W768" i="17"/>
  <c r="T768" i="17"/>
  <c r="W782" i="17"/>
  <c r="V782" i="17"/>
  <c r="U782" i="17"/>
  <c r="W870" i="17"/>
  <c r="V870" i="17"/>
  <c r="T870" i="17"/>
  <c r="W882" i="17"/>
  <c r="V882" i="17"/>
  <c r="W918" i="17"/>
  <c r="T918" i="17"/>
  <c r="X622" i="17"/>
  <c r="W625" i="17"/>
  <c r="V642" i="17"/>
  <c r="V646" i="17"/>
  <c r="X651" i="17"/>
  <c r="U661" i="17"/>
  <c r="W674" i="17"/>
  <c r="V680" i="17"/>
  <c r="W728" i="17"/>
  <c r="V728" i="17"/>
  <c r="T728" i="17"/>
  <c r="W736" i="17"/>
  <c r="T736" i="17"/>
  <c r="O843" i="17"/>
  <c r="P843" i="17"/>
  <c r="N843" i="17"/>
  <c r="T847" i="17"/>
  <c r="W847" i="17"/>
  <c r="U847" i="17"/>
  <c r="T873" i="17"/>
  <c r="V873" i="17"/>
  <c r="W873" i="17"/>
  <c r="O975" i="17"/>
  <c r="N975" i="17"/>
  <c r="P975" i="17"/>
  <c r="T985" i="17"/>
  <c r="W985" i="17"/>
  <c r="V985" i="17"/>
  <c r="U985" i="17"/>
  <c r="V770" i="17"/>
  <c r="O797" i="17"/>
  <c r="O803" i="17"/>
  <c r="P807" i="17"/>
  <c r="O807" i="17"/>
  <c r="P809" i="17"/>
  <c r="N809" i="17"/>
  <c r="W815" i="17"/>
  <c r="U816" i="17"/>
  <c r="W817" i="17"/>
  <c r="V818" i="17"/>
  <c r="P823" i="17"/>
  <c r="P832" i="17"/>
  <c r="N832" i="17"/>
  <c r="O833" i="17"/>
  <c r="O836" i="17"/>
  <c r="V839" i="17"/>
  <c r="O845" i="17"/>
  <c r="T855" i="17"/>
  <c r="W855" i="17"/>
  <c r="V855" i="17"/>
  <c r="P861" i="17"/>
  <c r="P863" i="17"/>
  <c r="V865" i="17"/>
  <c r="P871" i="17"/>
  <c r="W876" i="17"/>
  <c r="P880" i="17"/>
  <c r="O880" i="17"/>
  <c r="P881" i="17"/>
  <c r="O884" i="17"/>
  <c r="T887" i="17"/>
  <c r="W887" i="17"/>
  <c r="V887" i="17"/>
  <c r="P896" i="17"/>
  <c r="O896" i="17"/>
  <c r="N897" i="17"/>
  <c r="P897" i="17"/>
  <c r="V906" i="17"/>
  <c r="T909" i="17"/>
  <c r="V909" i="17"/>
  <c r="W909" i="17"/>
  <c r="T913" i="17"/>
  <c r="V913" i="17"/>
  <c r="U913" i="17"/>
  <c r="V948" i="17"/>
  <c r="U948" i="17"/>
  <c r="T948" i="17"/>
  <c r="W818" i="17"/>
  <c r="W856" i="17"/>
  <c r="T856" i="17"/>
  <c r="U857" i="17"/>
  <c r="T877" i="17"/>
  <c r="V877" i="17"/>
  <c r="U877" i="17"/>
  <c r="W888" i="17"/>
  <c r="T888" i="17"/>
  <c r="T907" i="17"/>
  <c r="U907" i="17"/>
  <c r="W913" i="17"/>
  <c r="W923" i="17"/>
  <c r="V925" i="17"/>
  <c r="T925" i="17"/>
  <c r="V932" i="17"/>
  <c r="T932" i="17"/>
  <c r="N945" i="17"/>
  <c r="P945" i="17"/>
  <c r="N955" i="17"/>
  <c r="O955" i="17"/>
  <c r="T968" i="17"/>
  <c r="U968" i="17"/>
  <c r="P978" i="17"/>
  <c r="N978" i="17"/>
  <c r="V766" i="17"/>
  <c r="U776" i="17"/>
  <c r="U788" i="17"/>
  <c r="P804" i="17"/>
  <c r="O804" i="17"/>
  <c r="W819" i="17"/>
  <c r="P824" i="17"/>
  <c r="O824" i="17"/>
  <c r="N825" i="17"/>
  <c r="O825" i="17"/>
  <c r="U831" i="17"/>
  <c r="T841" i="17"/>
  <c r="W841" i="17"/>
  <c r="V841" i="17"/>
  <c r="T844" i="17"/>
  <c r="O848" i="17"/>
  <c r="V857" i="17"/>
  <c r="W859" i="17"/>
  <c r="V860" i="17"/>
  <c r="U868" i="17"/>
  <c r="T868" i="17"/>
  <c r="W868" i="17"/>
  <c r="W877" i="17"/>
  <c r="U879" i="17"/>
  <c r="O885" i="17"/>
  <c r="V890" i="17"/>
  <c r="W891" i="17"/>
  <c r="V892" i="17"/>
  <c r="P904" i="17"/>
  <c r="N904" i="17"/>
  <c r="O911" i="17"/>
  <c r="N922" i="17"/>
  <c r="P926" i="17"/>
  <c r="N926" i="17"/>
  <c r="V947" i="17"/>
  <c r="T947" i="17"/>
  <c r="N973" i="17"/>
  <c r="P742" i="17"/>
  <c r="N750" i="17"/>
  <c r="N768" i="17"/>
  <c r="V776" i="17"/>
  <c r="P796" i="17"/>
  <c r="O796" i="17"/>
  <c r="U807" i="17"/>
  <c r="U809" i="17"/>
  <c r="T821" i="17"/>
  <c r="V821" i="17"/>
  <c r="U821" i="17"/>
  <c r="O829" i="17"/>
  <c r="V831" i="17"/>
  <c r="T832" i="17"/>
  <c r="V844" i="17"/>
  <c r="N856" i="17"/>
  <c r="W857" i="17"/>
  <c r="W860" i="17"/>
  <c r="U869" i="17"/>
  <c r="P876" i="17"/>
  <c r="O876" i="17"/>
  <c r="W878" i="17"/>
  <c r="T878" i="17"/>
  <c r="T880" i="17"/>
  <c r="U883" i="17"/>
  <c r="N888" i="17"/>
  <c r="W892" i="17"/>
  <c r="T896" i="17"/>
  <c r="U897" i="17"/>
  <c r="U900" i="17"/>
  <c r="T900" i="17"/>
  <c r="W900" i="17"/>
  <c r="U901" i="17"/>
  <c r="P908" i="17"/>
  <c r="O908" i="17"/>
  <c r="V931" i="17"/>
  <c r="T931" i="17"/>
  <c r="N954" i="17"/>
  <c r="P954" i="17"/>
  <c r="T980" i="17"/>
  <c r="W980" i="17"/>
  <c r="U980" i="17"/>
  <c r="U708" i="17"/>
  <c r="P750" i="17"/>
  <c r="P768" i="17"/>
  <c r="U791" i="17"/>
  <c r="U803" i="17"/>
  <c r="U805" i="17"/>
  <c r="V807" i="17"/>
  <c r="V809" i="17"/>
  <c r="W821" i="17"/>
  <c r="U823" i="17"/>
  <c r="W831" i="17"/>
  <c r="V832" i="17"/>
  <c r="W844" i="17"/>
  <c r="U845" i="17"/>
  <c r="T846" i="17"/>
  <c r="O856" i="17"/>
  <c r="N859" i="17"/>
  <c r="T861" i="17"/>
  <c r="V861" i="17"/>
  <c r="U861" i="17"/>
  <c r="U863" i="17"/>
  <c r="V869" i="17"/>
  <c r="P874" i="17"/>
  <c r="O874" i="17"/>
  <c r="W879" i="17"/>
  <c r="V880" i="17"/>
  <c r="T884" i="17"/>
  <c r="O888" i="17"/>
  <c r="V896" i="17"/>
  <c r="V901" i="17"/>
  <c r="U903" i="17"/>
  <c r="P914" i="17"/>
  <c r="N914" i="17"/>
  <c r="O914" i="17"/>
  <c r="T960" i="17"/>
  <c r="V960" i="17"/>
  <c r="U960" i="17"/>
  <c r="T962" i="17"/>
  <c r="U962" i="17"/>
  <c r="V967" i="17"/>
  <c r="W967" i="17"/>
  <c r="T967" i="17"/>
  <c r="U784" i="17"/>
  <c r="U801" i="17"/>
  <c r="V803" i="17"/>
  <c r="V805" i="17"/>
  <c r="W807" i="17"/>
  <c r="W809" i="17"/>
  <c r="O819" i="17"/>
  <c r="P819" i="17"/>
  <c r="N821" i="17"/>
  <c r="W822" i="17"/>
  <c r="T822" i="17"/>
  <c r="T833" i="17"/>
  <c r="W833" i="17"/>
  <c r="V833" i="17"/>
  <c r="V845" i="17"/>
  <c r="T871" i="17"/>
  <c r="W871" i="17"/>
  <c r="V871" i="17"/>
  <c r="U875" i="17"/>
  <c r="T881" i="17"/>
  <c r="W881" i="17"/>
  <c r="V881" i="17"/>
  <c r="T883" i="17"/>
  <c r="V883" i="17"/>
  <c r="V884" i="17"/>
  <c r="W894" i="17"/>
  <c r="T894" i="17"/>
  <c r="N895" i="17"/>
  <c r="T897" i="17"/>
  <c r="W897" i="17"/>
  <c r="V903" i="17"/>
  <c r="P938" i="17"/>
  <c r="N938" i="17"/>
  <c r="P942" i="17"/>
  <c r="O942" i="17"/>
  <c r="N947" i="17"/>
  <c r="O947" i="17"/>
  <c r="N953" i="17"/>
  <c r="P953" i="17"/>
  <c r="T958" i="17"/>
  <c r="V965" i="17"/>
  <c r="T965" i="17"/>
  <c r="V695" i="17"/>
  <c r="U716" i="17"/>
  <c r="V760" i="17"/>
  <c r="P764" i="17"/>
  <c r="T770" i="17"/>
  <c r="U772" i="17"/>
  <c r="V780" i="17"/>
  <c r="U792" i="17"/>
  <c r="T792" i="17"/>
  <c r="W801" i="17"/>
  <c r="N803" i="17"/>
  <c r="N807" i="17"/>
  <c r="O809" i="17"/>
  <c r="U813" i="17"/>
  <c r="T814" i="17"/>
  <c r="V815" i="17"/>
  <c r="V817" i="17"/>
  <c r="W825" i="17"/>
  <c r="O832" i="17"/>
  <c r="N833" i="17"/>
  <c r="N836" i="17"/>
  <c r="V838" i="17"/>
  <c r="U839" i="17"/>
  <c r="N845" i="17"/>
  <c r="U852" i="17"/>
  <c r="T852" i="17"/>
  <c r="V854" i="17"/>
  <c r="U855" i="17"/>
  <c r="P858" i="17"/>
  <c r="O858" i="17"/>
  <c r="V864" i="17"/>
  <c r="U865" i="17"/>
  <c r="O871" i="17"/>
  <c r="V874" i="17"/>
  <c r="W875" i="17"/>
  <c r="V876" i="17"/>
  <c r="N880" i="17"/>
  <c r="O881" i="17"/>
  <c r="N884" i="17"/>
  <c r="V885" i="17"/>
  <c r="V886" i="17"/>
  <c r="U887" i="17"/>
  <c r="P893" i="17"/>
  <c r="N896" i="17"/>
  <c r="O897" i="17"/>
  <c r="N898" i="17"/>
  <c r="T906" i="17"/>
  <c r="W907" i="17"/>
  <c r="U909" i="17"/>
  <c r="T912" i="17"/>
  <c r="T915" i="17"/>
  <c r="W915" i="17"/>
  <c r="U926" i="17"/>
  <c r="V926" i="17"/>
  <c r="N946" i="17"/>
  <c r="P946" i="17"/>
  <c r="V964" i="17"/>
  <c r="T964" i="17"/>
  <c r="V968" i="17"/>
  <c r="U889" i="17"/>
  <c r="U895" i="17"/>
  <c r="W946" i="17"/>
  <c r="W954" i="17"/>
  <c r="T959" i="17"/>
  <c r="P961" i="17"/>
  <c r="O969" i="17"/>
  <c r="U972" i="17"/>
  <c r="U973" i="17"/>
  <c r="U975" i="17"/>
  <c r="W977" i="17"/>
  <c r="V978" i="17"/>
  <c r="U981" i="17"/>
  <c r="O985" i="17"/>
  <c r="P993" i="17"/>
  <c r="N995" i="17"/>
  <c r="P999" i="17"/>
  <c r="P1001" i="17"/>
  <c r="N1005" i="17"/>
  <c r="O1007" i="17"/>
  <c r="U1010" i="17"/>
  <c r="W1011" i="17"/>
  <c r="O1015" i="17"/>
  <c r="W1017" i="17"/>
  <c r="O1021" i="17"/>
  <c r="P1023" i="17"/>
  <c r="P1025" i="17"/>
  <c r="V1037" i="17"/>
  <c r="U1041" i="17"/>
  <c r="T1042" i="17"/>
  <c r="V1043" i="17"/>
  <c r="P1047" i="17"/>
  <c r="U1050" i="17"/>
  <c r="U1055" i="17"/>
  <c r="P969" i="17"/>
  <c r="V973" i="17"/>
  <c r="W978" i="17"/>
  <c r="U979" i="17"/>
  <c r="P985" i="17"/>
  <c r="O1005" i="17"/>
  <c r="P1007" i="17"/>
  <c r="P1015" i="17"/>
  <c r="U1031" i="17"/>
  <c r="W1037" i="17"/>
  <c r="W1043" i="17"/>
  <c r="U1049" i="17"/>
  <c r="W973" i="17"/>
  <c r="V979" i="17"/>
  <c r="U1033" i="17"/>
  <c r="V908" i="17"/>
  <c r="T957" i="17"/>
  <c r="V966" i="17"/>
  <c r="U970" i="17"/>
  <c r="W979" i="17"/>
  <c r="U983" i="17"/>
  <c r="U989" i="17"/>
  <c r="U991" i="17"/>
  <c r="U997" i="17"/>
  <c r="N1031" i="17"/>
  <c r="W1031" i="17"/>
  <c r="V1033" i="17"/>
  <c r="O1041" i="17"/>
  <c r="V989" i="17"/>
  <c r="U993" i="17"/>
  <c r="U995" i="17"/>
  <c r="V997" i="17"/>
  <c r="U999" i="17"/>
  <c r="U1001" i="17"/>
  <c r="U1003" i="17"/>
  <c r="U1021" i="17"/>
  <c r="U1023" i="17"/>
  <c r="U1025" i="17"/>
  <c r="V1027" i="17"/>
  <c r="W1033" i="17"/>
  <c r="U1047" i="17"/>
  <c r="U1053" i="17"/>
  <c r="V1003" i="17"/>
  <c r="U1005" i="17"/>
  <c r="U1007" i="17"/>
  <c r="U1015" i="17"/>
  <c r="V1021" i="17"/>
  <c r="W1027" i="17"/>
  <c r="V1047" i="17"/>
  <c r="V812" i="17"/>
  <c r="U829" i="17"/>
  <c r="V836" i="17"/>
  <c r="V843" i="17"/>
  <c r="W850" i="17"/>
  <c r="W867" i="17"/>
  <c r="N892" i="17"/>
  <c r="U893" i="17"/>
  <c r="W899" i="17"/>
  <c r="V904" i="17"/>
  <c r="V910" i="17"/>
  <c r="N916" i="17"/>
  <c r="U917" i="17"/>
  <c r="U921" i="17"/>
  <c r="U930" i="17"/>
  <c r="W935" i="17"/>
  <c r="W938" i="17"/>
  <c r="W943" i="17"/>
  <c r="W995" i="17"/>
  <c r="W1003" i="17"/>
  <c r="V1005" i="17"/>
  <c r="U1017" i="17"/>
  <c r="W1021" i="17"/>
  <c r="N1023" i="17"/>
  <c r="N1025" i="17"/>
  <c r="U911" i="17"/>
  <c r="O916" i="17"/>
  <c r="V917" i="17"/>
  <c r="W919" i="17"/>
  <c r="U922" i="17"/>
  <c r="V930" i="17"/>
  <c r="V934" i="17"/>
  <c r="W941" i="17"/>
  <c r="W944" i="17"/>
  <c r="U946" i="17"/>
  <c r="W950" i="17"/>
  <c r="W951" i="17"/>
  <c r="W952" i="17"/>
  <c r="T953" i="17"/>
  <c r="U954" i="17"/>
  <c r="O961" i="17"/>
  <c r="P963" i="17"/>
  <c r="O964" i="17"/>
  <c r="O968" i="17"/>
  <c r="P971" i="17"/>
  <c r="V977" i="17"/>
  <c r="W1005" i="17"/>
  <c r="W1007" i="17"/>
  <c r="U1009" i="17"/>
  <c r="V1011" i="17"/>
  <c r="W1013" i="17"/>
  <c r="W1015" i="17"/>
  <c r="V1017" i="17"/>
  <c r="W1019" i="17"/>
  <c r="U1037" i="17"/>
  <c r="U1039" i="17"/>
  <c r="U1043" i="17"/>
  <c r="T1044" i="17"/>
  <c r="W1045" i="17"/>
  <c r="N1047" i="17"/>
  <c r="S5" i="5"/>
  <c r="G35" i="8"/>
  <c r="I35" i="8" s="1"/>
  <c r="N8" i="1"/>
  <c r="B42" i="21" s="1"/>
  <c r="AO485" i="9"/>
  <c r="N10" i="1"/>
  <c r="B44" i="21" s="1"/>
  <c r="S236" i="9"/>
  <c r="AO402" i="9"/>
  <c r="N14" i="1"/>
  <c r="S89" i="12"/>
  <c r="S168" i="12"/>
  <c r="N5" i="1"/>
  <c r="B39" i="21" s="1"/>
  <c r="Q3" i="3"/>
  <c r="K3" i="5"/>
  <c r="P3" i="3"/>
  <c r="O3" i="3"/>
  <c r="N11" i="1"/>
  <c r="B45" i="21" s="1"/>
  <c r="N7" i="1"/>
  <c r="B41" i="21" s="1"/>
  <c r="N3" i="1"/>
  <c r="B37" i="21" s="1"/>
  <c r="N12" i="1"/>
  <c r="B46" i="21" s="1"/>
  <c r="N4" i="1"/>
  <c r="B38" i="21" s="1"/>
  <c r="N13" i="1"/>
  <c r="B47" i="21" s="1"/>
  <c r="N9" i="1"/>
  <c r="B43" i="21" s="1"/>
  <c r="G7" i="5"/>
  <c r="A48" i="12"/>
  <c r="F17" i="8"/>
  <c r="H17" i="8" s="1"/>
  <c r="M5" i="5"/>
  <c r="E15" i="5"/>
  <c r="G15" i="5" s="1"/>
  <c r="H6" i="11"/>
  <c r="H9" i="11"/>
  <c r="H10" i="11"/>
  <c r="H15" i="11"/>
  <c r="H14" i="11"/>
  <c r="H8" i="11"/>
  <c r="H7" i="11"/>
  <c r="M3" i="6"/>
  <c r="C18" i="8"/>
  <c r="H5" i="11"/>
  <c r="A22" i="12"/>
  <c r="A51" i="12"/>
  <c r="G34" i="8"/>
  <c r="I34" i="8" s="1"/>
  <c r="A44" i="12"/>
  <c r="A23" i="12"/>
  <c r="A67" i="12"/>
  <c r="A39" i="12"/>
  <c r="A80" i="12"/>
  <c r="A40" i="12"/>
  <c r="A46" i="12"/>
  <c r="A76" i="12"/>
  <c r="A32" i="12"/>
  <c r="A47" i="12"/>
  <c r="V485" i="9"/>
  <c r="C236" i="9"/>
  <c r="A35" i="12"/>
  <c r="A58" i="12"/>
  <c r="A62" i="12"/>
  <c r="A66" i="12"/>
  <c r="S291" i="9"/>
  <c r="S356" i="9"/>
  <c r="A6" i="12"/>
  <c r="A37" i="12"/>
  <c r="AO402" i="12"/>
  <c r="AO485" i="12"/>
  <c r="S356" i="12"/>
  <c r="A71" i="12"/>
  <c r="S236" i="12"/>
  <c r="V402" i="12"/>
  <c r="V485" i="12"/>
  <c r="A485" i="12" s="1"/>
  <c r="C291" i="12"/>
  <c r="C356" i="12" s="1"/>
  <c r="X11" i="15"/>
  <c r="X21" i="15"/>
  <c r="X49" i="15"/>
  <c r="X75" i="15"/>
  <c r="X89" i="15"/>
  <c r="X99" i="15"/>
  <c r="X107" i="15"/>
  <c r="X209" i="15"/>
  <c r="X221" i="15"/>
  <c r="X19" i="15"/>
  <c r="X26" i="15"/>
  <c r="X29" i="15"/>
  <c r="X57" i="15"/>
  <c r="X62" i="15"/>
  <c r="X83" i="15"/>
  <c r="X121" i="15"/>
  <c r="X140" i="15"/>
  <c r="X144" i="15"/>
  <c r="X150" i="15"/>
  <c r="X219" i="15"/>
  <c r="X229" i="15"/>
  <c r="X27" i="15"/>
  <c r="X227" i="15"/>
  <c r="X237" i="15"/>
  <c r="X313" i="15"/>
  <c r="G941" i="16"/>
  <c r="G933" i="16"/>
  <c r="G925" i="16"/>
  <c r="G917" i="16"/>
  <c r="G909" i="16"/>
  <c r="G940" i="16"/>
  <c r="G932" i="16"/>
  <c r="G924" i="16"/>
  <c r="G916" i="16"/>
  <c r="G908" i="16"/>
  <c r="G939" i="16"/>
  <c r="G931" i="16"/>
  <c r="G923" i="16"/>
  <c r="G915" i="16"/>
  <c r="G946" i="16"/>
  <c r="G938" i="16"/>
  <c r="G930" i="16"/>
  <c r="G922" i="16"/>
  <c r="G914" i="16"/>
  <c r="G944" i="16"/>
  <c r="G936" i="16"/>
  <c r="G928" i="16"/>
  <c r="G920" i="16"/>
  <c r="G912" i="16"/>
  <c r="G943" i="16"/>
  <c r="G935" i="16"/>
  <c r="G927" i="16"/>
  <c r="G919" i="16"/>
  <c r="G911" i="16"/>
  <c r="G929" i="16"/>
  <c r="G926" i="16"/>
  <c r="G921" i="16"/>
  <c r="G918" i="16"/>
  <c r="G945" i="16"/>
  <c r="G913" i="16"/>
  <c r="G937" i="16"/>
  <c r="G934" i="16"/>
  <c r="G942" i="16"/>
  <c r="X35" i="15"/>
  <c r="X97" i="15"/>
  <c r="X113" i="15"/>
  <c r="X122" i="15"/>
  <c r="X137" i="15"/>
  <c r="X143" i="15"/>
  <c r="X142" i="15"/>
  <c r="X195" i="15"/>
  <c r="X201" i="15"/>
  <c r="X235" i="15"/>
  <c r="X385" i="15"/>
  <c r="X17" i="15"/>
  <c r="X22" i="15"/>
  <c r="X43" i="15"/>
  <c r="X53" i="15"/>
  <c r="X81" i="15"/>
  <c r="X90" i="15"/>
  <c r="X94" i="15"/>
  <c r="X123" i="15"/>
  <c r="X187" i="15"/>
  <c r="X193" i="15"/>
  <c r="X243" i="15"/>
  <c r="X341" i="15"/>
  <c r="X25" i="15"/>
  <c r="X30" i="15"/>
  <c r="X51" i="15"/>
  <c r="X58" i="15"/>
  <c r="X61" i="15"/>
  <c r="X91" i="15"/>
  <c r="X105" i="15"/>
  <c r="X110" i="15"/>
  <c r="X153" i="15"/>
  <c r="X154" i="15"/>
  <c r="X155" i="15"/>
  <c r="X179" i="15"/>
  <c r="X185" i="15"/>
  <c r="X309" i="15"/>
  <c r="X365" i="15"/>
  <c r="X2" i="15"/>
  <c r="X38" i="15"/>
  <c r="X59" i="15"/>
  <c r="X66" i="15"/>
  <c r="X115" i="15"/>
  <c r="X171" i="15"/>
  <c r="X177" i="15"/>
  <c r="X3" i="15"/>
  <c r="X67" i="15"/>
  <c r="X129" i="15"/>
  <c r="X130" i="15"/>
  <c r="X131" i="15"/>
  <c r="X161" i="15"/>
  <c r="X162" i="15"/>
  <c r="X163" i="15"/>
  <c r="X169" i="15"/>
  <c r="X253" i="15"/>
  <c r="X170" i="15"/>
  <c r="X178" i="15"/>
  <c r="X186" i="15"/>
  <c r="X194" i="15"/>
  <c r="X202" i="15"/>
  <c r="X210" i="15"/>
  <c r="X256" i="15"/>
  <c r="X268" i="15"/>
  <c r="X281" i="15"/>
  <c r="X316" i="15"/>
  <c r="X320" i="15"/>
  <c r="X380" i="15"/>
  <c r="X251" i="15"/>
  <c r="X264" i="15"/>
  <c r="X310" i="15"/>
  <c r="X332" i="15"/>
  <c r="X356" i="15"/>
  <c r="X376" i="15"/>
  <c r="P107" i="17"/>
  <c r="O107" i="17"/>
  <c r="N107" i="17"/>
  <c r="X108" i="15"/>
  <c r="X116" i="15"/>
  <c r="X124" i="15"/>
  <c r="X132" i="15"/>
  <c r="X151" i="15"/>
  <c r="X147" i="15"/>
  <c r="X156" i="15"/>
  <c r="X164" i="15"/>
  <c r="X172" i="15"/>
  <c r="X182" i="15"/>
  <c r="X188" i="15"/>
  <c r="X196" i="15"/>
  <c r="X204" i="15"/>
  <c r="X212" i="15"/>
  <c r="X217" i="15"/>
  <c r="X231" i="15"/>
  <c r="X233" i="15"/>
  <c r="X239" i="15"/>
  <c r="X241" i="15"/>
  <c r="X259" i="15"/>
  <c r="X269" i="15"/>
  <c r="X272" i="15"/>
  <c r="X284" i="15"/>
  <c r="X292" i="15"/>
  <c r="X300" i="15"/>
  <c r="X317" i="15"/>
  <c r="X324" i="15"/>
  <c r="X328" i="15"/>
  <c r="X337" i="15"/>
  <c r="X352" i="15"/>
  <c r="X361" i="15"/>
  <c r="X381" i="15"/>
  <c r="W88" i="17"/>
  <c r="V88" i="17"/>
  <c r="U88" i="17"/>
  <c r="T88" i="17"/>
  <c r="X88" i="17"/>
  <c r="X267" i="15"/>
  <c r="X280" i="15"/>
  <c r="X318" i="15"/>
  <c r="X333" i="15"/>
  <c r="X348" i="15"/>
  <c r="X357" i="15"/>
  <c r="X372" i="15"/>
  <c r="X275" i="15"/>
  <c r="X288" i="15"/>
  <c r="X296" i="15"/>
  <c r="X304" i="15"/>
  <c r="X321" i="15"/>
  <c r="X344" i="15"/>
  <c r="X368" i="15"/>
  <c r="X216" i="15"/>
  <c r="X232" i="15"/>
  <c r="X240" i="15"/>
  <c r="X283" i="15"/>
  <c r="X291" i="15"/>
  <c r="X299" i="15"/>
  <c r="X326" i="15"/>
  <c r="X329" i="15"/>
  <c r="X349" i="15"/>
  <c r="X353" i="15"/>
  <c r="X373" i="15"/>
  <c r="X308" i="15"/>
  <c r="X312" i="15"/>
  <c r="X340" i="15"/>
  <c r="X364" i="15"/>
  <c r="X384" i="15"/>
  <c r="X334" i="15"/>
  <c r="X342" i="15"/>
  <c r="X350" i="15"/>
  <c r="X358" i="15"/>
  <c r="X366" i="15"/>
  <c r="X374" i="15"/>
  <c r="X382" i="15"/>
  <c r="X307" i="15"/>
  <c r="X315" i="15"/>
  <c r="X323" i="15"/>
  <c r="X331" i="15"/>
  <c r="X339" i="15"/>
  <c r="X347" i="15"/>
  <c r="X355" i="15"/>
  <c r="X363" i="15"/>
  <c r="X371" i="15"/>
  <c r="X379" i="15"/>
  <c r="P7" i="17"/>
  <c r="O7" i="17"/>
  <c r="P112" i="17"/>
  <c r="O112" i="17"/>
  <c r="N112" i="17"/>
  <c r="X9" i="17"/>
  <c r="V9" i="17"/>
  <c r="U9" i="17"/>
  <c r="X16" i="17"/>
  <c r="V16" i="17"/>
  <c r="U16" i="17"/>
  <c r="N56" i="17"/>
  <c r="P56" i="17"/>
  <c r="O56" i="17"/>
  <c r="U74" i="17"/>
  <c r="X74" i="17"/>
  <c r="W74" i="17"/>
  <c r="T74" i="17"/>
  <c r="X8" i="17"/>
  <c r="W8" i="17"/>
  <c r="V8" i="17"/>
  <c r="U8" i="17"/>
  <c r="P181" i="17"/>
  <c r="O181" i="17"/>
  <c r="N181" i="17"/>
  <c r="N166" i="17"/>
  <c r="P166" i="17"/>
  <c r="O166" i="17"/>
  <c r="P8" i="17"/>
  <c r="O8" i="17"/>
  <c r="N8" i="17"/>
  <c r="V57" i="17"/>
  <c r="U57" i="17"/>
  <c r="X57" i="17"/>
  <c r="T57" i="17"/>
  <c r="O76" i="17"/>
  <c r="N76" i="17"/>
  <c r="P76" i="17"/>
  <c r="W84" i="17"/>
  <c r="V84" i="17"/>
  <c r="U84" i="17"/>
  <c r="T84" i="17"/>
  <c r="P119" i="17"/>
  <c r="O119" i="17"/>
  <c r="N119" i="17"/>
  <c r="X165" i="17"/>
  <c r="W165" i="17"/>
  <c r="V165" i="17"/>
  <c r="T165" i="17"/>
  <c r="U165" i="17"/>
  <c r="X2" i="17"/>
  <c r="T6" i="17"/>
  <c r="W7" i="17"/>
  <c r="X10" i="17"/>
  <c r="U14" i="17"/>
  <c r="U18" i="17"/>
  <c r="U20" i="17"/>
  <c r="U24" i="17"/>
  <c r="U26" i="17"/>
  <c r="U28" i="17"/>
  <c r="U32" i="17"/>
  <c r="U34" i="17"/>
  <c r="U36" i="17"/>
  <c r="U40" i="17"/>
  <c r="U42" i="17"/>
  <c r="U44" i="17"/>
  <c r="U48" i="17"/>
  <c r="U50" i="17"/>
  <c r="U52" i="17"/>
  <c r="W56" i="17"/>
  <c r="P63" i="17"/>
  <c r="O63" i="17"/>
  <c r="X69" i="17"/>
  <c r="P71" i="17"/>
  <c r="O71" i="17"/>
  <c r="V73" i="17"/>
  <c r="U73" i="17"/>
  <c r="W73" i="17"/>
  <c r="T77" i="17"/>
  <c r="U80" i="17"/>
  <c r="W92" i="17"/>
  <c r="V92" i="17"/>
  <c r="X92" i="17"/>
  <c r="W96" i="17"/>
  <c r="V96" i="17"/>
  <c r="X96" i="17"/>
  <c r="W101" i="17"/>
  <c r="X112" i="17"/>
  <c r="W112" i="17"/>
  <c r="V112" i="17"/>
  <c r="U112" i="17"/>
  <c r="P126" i="17"/>
  <c r="O126" i="17"/>
  <c r="P151" i="17"/>
  <c r="N151" i="17"/>
  <c r="O151" i="17"/>
  <c r="N225" i="17"/>
  <c r="P225" i="17"/>
  <c r="O225" i="17"/>
  <c r="T3" i="17"/>
  <c r="U6" i="17"/>
  <c r="X7" i="17"/>
  <c r="N9" i="17"/>
  <c r="T11" i="17"/>
  <c r="V14" i="17"/>
  <c r="N16" i="17"/>
  <c r="V18" i="17"/>
  <c r="W20" i="17"/>
  <c r="N24" i="17"/>
  <c r="V24" i="17"/>
  <c r="V26" i="17"/>
  <c r="W28" i="17"/>
  <c r="N32" i="17"/>
  <c r="V32" i="17"/>
  <c r="V34" i="17"/>
  <c r="W36" i="17"/>
  <c r="N40" i="17"/>
  <c r="V40" i="17"/>
  <c r="V42" i="17"/>
  <c r="W44" i="17"/>
  <c r="N48" i="17"/>
  <c r="V48" i="17"/>
  <c r="V50" i="17"/>
  <c r="W52" i="17"/>
  <c r="X56" i="17"/>
  <c r="N59" i="17"/>
  <c r="X73" i="17"/>
  <c r="U77" i="17"/>
  <c r="V80" i="17"/>
  <c r="N83" i="17"/>
  <c r="P91" i="17"/>
  <c r="O91" i="17"/>
  <c r="V93" i="17"/>
  <c r="U93" i="17"/>
  <c r="T93" i="17"/>
  <c r="V97" i="17"/>
  <c r="U97" i="17"/>
  <c r="W97" i="17"/>
  <c r="O100" i="17"/>
  <c r="N100" i="17"/>
  <c r="P103" i="17"/>
  <c r="O103" i="17"/>
  <c r="O104" i="17"/>
  <c r="N104" i="17"/>
  <c r="W108" i="17"/>
  <c r="V108" i="17"/>
  <c r="X108" i="17"/>
  <c r="P120" i="17"/>
  <c r="O120" i="17"/>
  <c r="N120" i="17"/>
  <c r="T5" i="17"/>
  <c r="O6" i="17"/>
  <c r="T13" i="17"/>
  <c r="O14" i="17"/>
  <c r="X14" i="17"/>
  <c r="T15" i="17"/>
  <c r="O18" i="17"/>
  <c r="T19" i="17"/>
  <c r="P20" i="17"/>
  <c r="T21" i="17"/>
  <c r="O22" i="17"/>
  <c r="T23" i="17"/>
  <c r="X24" i="17"/>
  <c r="O26" i="17"/>
  <c r="T27" i="17"/>
  <c r="P28" i="17"/>
  <c r="T29" i="17"/>
  <c r="O30" i="17"/>
  <c r="T31" i="17"/>
  <c r="X32" i="17"/>
  <c r="O34" i="17"/>
  <c r="T35" i="17"/>
  <c r="P36" i="17"/>
  <c r="T37" i="17"/>
  <c r="O38" i="17"/>
  <c r="T39" i="17"/>
  <c r="X40" i="17"/>
  <c r="O42" i="17"/>
  <c r="T43" i="17"/>
  <c r="P44" i="17"/>
  <c r="T45" i="17"/>
  <c r="O46" i="17"/>
  <c r="T47" i="17"/>
  <c r="X48" i="17"/>
  <c r="O50" i="17"/>
  <c r="T51" i="17"/>
  <c r="P52" i="17"/>
  <c r="T53" i="17"/>
  <c r="O54" i="17"/>
  <c r="T58" i="17"/>
  <c r="W60" i="17"/>
  <c r="V60" i="17"/>
  <c r="X60" i="17"/>
  <c r="T63" i="17"/>
  <c r="V65" i="17"/>
  <c r="U65" i="17"/>
  <c r="W65" i="17"/>
  <c r="O67" i="17"/>
  <c r="P73" i="17"/>
  <c r="X77" i="17"/>
  <c r="P79" i="17"/>
  <c r="O79" i="17"/>
  <c r="P80" i="17"/>
  <c r="V81" i="17"/>
  <c r="U81" i="17"/>
  <c r="W81" i="17"/>
  <c r="V85" i="17"/>
  <c r="U85" i="17"/>
  <c r="T85" i="17"/>
  <c r="V89" i="17"/>
  <c r="U89" i="17"/>
  <c r="W89" i="17"/>
  <c r="O92" i="17"/>
  <c r="N92" i="17"/>
  <c r="P95" i="17"/>
  <c r="O95" i="17"/>
  <c r="O96" i="17"/>
  <c r="N96" i="17"/>
  <c r="P111" i="17"/>
  <c r="O111" i="17"/>
  <c r="O180" i="17"/>
  <c r="P180" i="17"/>
  <c r="N180" i="17"/>
  <c r="W186" i="17"/>
  <c r="V186" i="17"/>
  <c r="X186" i="17"/>
  <c r="T186" i="17"/>
  <c r="X208" i="17"/>
  <c r="W208" i="17"/>
  <c r="V208" i="17"/>
  <c r="U208" i="17"/>
  <c r="T208" i="17"/>
  <c r="N302" i="17"/>
  <c r="P302" i="17"/>
  <c r="O302" i="17"/>
  <c r="X363" i="17"/>
  <c r="V363" i="17"/>
  <c r="U363" i="17"/>
  <c r="T363" i="17"/>
  <c r="W363" i="17"/>
  <c r="T2" i="17"/>
  <c r="T10" i="17"/>
  <c r="U15" i="17"/>
  <c r="T17" i="17"/>
  <c r="U23" i="17"/>
  <c r="T25" i="17"/>
  <c r="U31" i="17"/>
  <c r="T33" i="17"/>
  <c r="U39" i="17"/>
  <c r="T41" i="17"/>
  <c r="U47" i="17"/>
  <c r="T49" i="17"/>
  <c r="X55" i="17"/>
  <c r="W55" i="17"/>
  <c r="V55" i="17"/>
  <c r="U58" i="17"/>
  <c r="T61" i="17"/>
  <c r="T66" i="17"/>
  <c r="W68" i="17"/>
  <c r="V68" i="17"/>
  <c r="X68" i="17"/>
  <c r="T72" i="17"/>
  <c r="U142" i="17"/>
  <c r="X142" i="17"/>
  <c r="W142" i="17"/>
  <c r="V142" i="17"/>
  <c r="W146" i="17"/>
  <c r="T146" i="17"/>
  <c r="X146" i="17"/>
  <c r="V146" i="17"/>
  <c r="N233" i="17"/>
  <c r="P233" i="17"/>
  <c r="O233" i="17"/>
  <c r="T7" i="17"/>
  <c r="T56" i="17"/>
  <c r="X63" i="17"/>
  <c r="W63" i="17"/>
  <c r="V63" i="17"/>
  <c r="O65" i="17"/>
  <c r="U66" i="17"/>
  <c r="T69" i="17"/>
  <c r="U72" i="17"/>
  <c r="T76" i="17"/>
  <c r="O81" i="17"/>
  <c r="U82" i="17"/>
  <c r="X82" i="17"/>
  <c r="V82" i="17"/>
  <c r="O84" i="17"/>
  <c r="N84" i="17"/>
  <c r="P87" i="17"/>
  <c r="O87" i="17"/>
  <c r="O88" i="17"/>
  <c r="N88" i="17"/>
  <c r="X121" i="17"/>
  <c r="V121" i="17"/>
  <c r="U121" i="17"/>
  <c r="W121" i="17"/>
  <c r="V127" i="17"/>
  <c r="X127" i="17"/>
  <c r="W127" i="17"/>
  <c r="T127" i="17"/>
  <c r="X141" i="17"/>
  <c r="T141" i="17"/>
  <c r="W141" i="17"/>
  <c r="V141" i="17"/>
  <c r="X173" i="17"/>
  <c r="W173" i="17"/>
  <c r="V173" i="17"/>
  <c r="T173" i="17"/>
  <c r="N174" i="17"/>
  <c r="P174" i="17"/>
  <c r="O174" i="17"/>
  <c r="P252" i="17"/>
  <c r="O252" i="17"/>
  <c r="N252" i="17"/>
  <c r="P268" i="17"/>
  <c r="O268" i="17"/>
  <c r="N268" i="17"/>
  <c r="N15" i="17"/>
  <c r="X15" i="17"/>
  <c r="W17" i="17"/>
  <c r="N23" i="17"/>
  <c r="X23" i="17"/>
  <c r="W25" i="17"/>
  <c r="N31" i="17"/>
  <c r="X31" i="17"/>
  <c r="W33" i="17"/>
  <c r="N39" i="17"/>
  <c r="X39" i="17"/>
  <c r="W41" i="17"/>
  <c r="N47" i="17"/>
  <c r="X47" i="17"/>
  <c r="W49" i="17"/>
  <c r="W58" i="17"/>
  <c r="O60" i="17"/>
  <c r="N60" i="17"/>
  <c r="P65" i="17"/>
  <c r="V66" i="17"/>
  <c r="U69" i="17"/>
  <c r="V72" i="17"/>
  <c r="N75" i="17"/>
  <c r="P81" i="17"/>
  <c r="W82" i="17"/>
  <c r="T92" i="17"/>
  <c r="T96" i="17"/>
  <c r="W100" i="17"/>
  <c r="V100" i="17"/>
  <c r="X100" i="17"/>
  <c r="W104" i="17"/>
  <c r="V104" i="17"/>
  <c r="U104" i="17"/>
  <c r="X105" i="17"/>
  <c r="V105" i="17"/>
  <c r="U105" i="17"/>
  <c r="W105" i="17"/>
  <c r="X113" i="17"/>
  <c r="V113" i="17"/>
  <c r="U113" i="17"/>
  <c r="W113" i="17"/>
  <c r="P133" i="17"/>
  <c r="O133" i="17"/>
  <c r="N133" i="17"/>
  <c r="N137" i="17"/>
  <c r="P137" i="17"/>
  <c r="O137" i="17"/>
  <c r="P142" i="17"/>
  <c r="O142" i="17"/>
  <c r="N142" i="17"/>
  <c r="P147" i="17"/>
  <c r="O147" i="17"/>
  <c r="N147" i="17"/>
  <c r="X151" i="17"/>
  <c r="V151" i="17"/>
  <c r="U151" i="17"/>
  <c r="T151" i="17"/>
  <c r="N161" i="17"/>
  <c r="P161" i="17"/>
  <c r="O161" i="17"/>
  <c r="X168" i="17"/>
  <c r="W168" i="17"/>
  <c r="V168" i="17"/>
  <c r="U168" i="17"/>
  <c r="T168" i="17"/>
  <c r="X207" i="17"/>
  <c r="V207" i="17"/>
  <c r="U207" i="17"/>
  <c r="W207" i="17"/>
  <c r="T207" i="17"/>
  <c r="N209" i="17"/>
  <c r="P209" i="17"/>
  <c r="O209" i="17"/>
  <c r="P55" i="17"/>
  <c r="O55" i="17"/>
  <c r="O68" i="17"/>
  <c r="N68" i="17"/>
  <c r="W76" i="17"/>
  <c r="V76" i="17"/>
  <c r="X76" i="17"/>
  <c r="P99" i="17"/>
  <c r="O99" i="17"/>
  <c r="V101" i="17"/>
  <c r="U101" i="17"/>
  <c r="T101" i="17"/>
  <c r="X120" i="17"/>
  <c r="W120" i="17"/>
  <c r="V120" i="17"/>
  <c r="U120" i="17"/>
  <c r="X125" i="17"/>
  <c r="W125" i="17"/>
  <c r="V125" i="17"/>
  <c r="T125" i="17"/>
  <c r="X144" i="17"/>
  <c r="V144" i="17"/>
  <c r="U144" i="17"/>
  <c r="T144" i="17"/>
  <c r="O148" i="17"/>
  <c r="P148" i="17"/>
  <c r="N148" i="17"/>
  <c r="U190" i="17"/>
  <c r="X190" i="17"/>
  <c r="W190" i="17"/>
  <c r="V190" i="17"/>
  <c r="X216" i="17"/>
  <c r="U216" i="17"/>
  <c r="W216" i="17"/>
  <c r="V216" i="17"/>
  <c r="T216" i="17"/>
  <c r="P231" i="17"/>
  <c r="O231" i="17"/>
  <c r="N231" i="17"/>
  <c r="W71" i="17"/>
  <c r="W79" i="17"/>
  <c r="W87" i="17"/>
  <c r="X90" i="17"/>
  <c r="W95" i="17"/>
  <c r="X98" i="17"/>
  <c r="W103" i="17"/>
  <c r="X106" i="17"/>
  <c r="N108" i="17"/>
  <c r="W111" i="17"/>
  <c r="X114" i="17"/>
  <c r="N116" i="17"/>
  <c r="V116" i="17"/>
  <c r="W119" i="17"/>
  <c r="X122" i="17"/>
  <c r="N124" i="17"/>
  <c r="W124" i="17"/>
  <c r="W126" i="17"/>
  <c r="W128" i="17"/>
  <c r="W133" i="17"/>
  <c r="P135" i="17"/>
  <c r="N135" i="17"/>
  <c r="V136" i="17"/>
  <c r="X138" i="17"/>
  <c r="P140" i="17"/>
  <c r="U149" i="17"/>
  <c r="P153" i="17"/>
  <c r="U154" i="17"/>
  <c r="X156" i="17"/>
  <c r="T157" i="17"/>
  <c r="X159" i="17"/>
  <c r="V159" i="17"/>
  <c r="W159" i="17"/>
  <c r="T162" i="17"/>
  <c r="W164" i="17"/>
  <c r="U164" i="17"/>
  <c r="V164" i="17"/>
  <c r="X166" i="17"/>
  <c r="T170" i="17"/>
  <c r="W172" i="17"/>
  <c r="U172" i="17"/>
  <c r="V172" i="17"/>
  <c r="X174" i="17"/>
  <c r="P177" i="17"/>
  <c r="U178" i="17"/>
  <c r="T182" i="17"/>
  <c r="V192" i="17"/>
  <c r="X199" i="17"/>
  <c r="V199" i="17"/>
  <c r="U199" i="17"/>
  <c r="T200" i="17"/>
  <c r="P205" i="17"/>
  <c r="O205" i="17"/>
  <c r="N206" i="17"/>
  <c r="W206" i="17"/>
  <c r="W210" i="17"/>
  <c r="V210" i="17"/>
  <c r="T210" i="17"/>
  <c r="X213" i="17"/>
  <c r="W213" i="17"/>
  <c r="V213" i="17"/>
  <c r="N217" i="17"/>
  <c r="P217" i="17"/>
  <c r="P222" i="17"/>
  <c r="P223" i="17"/>
  <c r="O223" i="17"/>
  <c r="N223" i="17"/>
  <c r="X226" i="17"/>
  <c r="W226" i="17"/>
  <c r="V226" i="17"/>
  <c r="T226" i="17"/>
  <c r="X234" i="17"/>
  <c r="W234" i="17"/>
  <c r="V234" i="17"/>
  <c r="U234" i="17"/>
  <c r="T234" i="17"/>
  <c r="P247" i="17"/>
  <c r="O247" i="17"/>
  <c r="N247" i="17"/>
  <c r="N249" i="17"/>
  <c r="P249" i="17"/>
  <c r="X347" i="17"/>
  <c r="U347" i="17"/>
  <c r="T347" i="17"/>
  <c r="W347" i="17"/>
  <c r="X71" i="17"/>
  <c r="X79" i="17"/>
  <c r="X87" i="17"/>
  <c r="X95" i="17"/>
  <c r="X103" i="17"/>
  <c r="X111" i="17"/>
  <c r="W116" i="17"/>
  <c r="X119" i="17"/>
  <c r="X124" i="17"/>
  <c r="X126" i="17"/>
  <c r="X128" i="17"/>
  <c r="T134" i="17"/>
  <c r="W136" i="17"/>
  <c r="N141" i="17"/>
  <c r="P143" i="17"/>
  <c r="N143" i="17"/>
  <c r="N156" i="17"/>
  <c r="U157" i="17"/>
  <c r="U162" i="17"/>
  <c r="X167" i="17"/>
  <c r="V167" i="17"/>
  <c r="W167" i="17"/>
  <c r="O169" i="17"/>
  <c r="U170" i="17"/>
  <c r="X175" i="17"/>
  <c r="V175" i="17"/>
  <c r="U175" i="17"/>
  <c r="T176" i="17"/>
  <c r="X189" i="17"/>
  <c r="W189" i="17"/>
  <c r="V189" i="17"/>
  <c r="P191" i="17"/>
  <c r="N191" i="17"/>
  <c r="W192" i="17"/>
  <c r="X206" i="17"/>
  <c r="N212" i="17"/>
  <c r="P239" i="17"/>
  <c r="O239" i="17"/>
  <c r="N239" i="17"/>
  <c r="N241" i="17"/>
  <c r="P241" i="17"/>
  <c r="V468" i="17"/>
  <c r="T468" i="17"/>
  <c r="W468" i="17"/>
  <c r="U468" i="17"/>
  <c r="X468" i="17"/>
  <c r="T109" i="17"/>
  <c r="N115" i="17"/>
  <c r="T117" i="17"/>
  <c r="N123" i="17"/>
  <c r="N134" i="17"/>
  <c r="N139" i="17"/>
  <c r="T150" i="17"/>
  <c r="P159" i="17"/>
  <c r="N159" i="17"/>
  <c r="X197" i="17"/>
  <c r="W197" i="17"/>
  <c r="V197" i="17"/>
  <c r="P199" i="17"/>
  <c r="N199" i="17"/>
  <c r="T205" i="17"/>
  <c r="N214" i="17"/>
  <c r="X248" i="17"/>
  <c r="W248" i="17"/>
  <c r="U248" i="17"/>
  <c r="T248" i="17"/>
  <c r="X283" i="17"/>
  <c r="W283" i="17"/>
  <c r="V283" i="17"/>
  <c r="U283" i="17"/>
  <c r="X323" i="17"/>
  <c r="U323" i="17"/>
  <c r="T323" i="17"/>
  <c r="W323" i="17"/>
  <c r="T90" i="17"/>
  <c r="T98" i="17"/>
  <c r="T106" i="17"/>
  <c r="U109" i="17"/>
  <c r="T114" i="17"/>
  <c r="O115" i="17"/>
  <c r="U117" i="17"/>
  <c r="T122" i="17"/>
  <c r="O123" i="17"/>
  <c r="N125" i="17"/>
  <c r="O127" i="17"/>
  <c r="O129" i="17"/>
  <c r="W132" i="17"/>
  <c r="U132" i="17"/>
  <c r="V132" i="17"/>
  <c r="O134" i="17"/>
  <c r="O139" i="17"/>
  <c r="T143" i="17"/>
  <c r="V150" i="17"/>
  <c r="O157" i="17"/>
  <c r="T158" i="17"/>
  <c r="N165" i="17"/>
  <c r="P167" i="17"/>
  <c r="N167" i="17"/>
  <c r="N173" i="17"/>
  <c r="P175" i="17"/>
  <c r="N175" i="17"/>
  <c r="X183" i="17"/>
  <c r="V183" i="17"/>
  <c r="U183" i="17"/>
  <c r="T184" i="17"/>
  <c r="P189" i="17"/>
  <c r="O189" i="17"/>
  <c r="N190" i="17"/>
  <c r="T191" i="17"/>
  <c r="O193" i="17"/>
  <c r="W194" i="17"/>
  <c r="V194" i="17"/>
  <c r="U194" i="17"/>
  <c r="N196" i="17"/>
  <c r="T198" i="17"/>
  <c r="O214" i="17"/>
  <c r="X215" i="17"/>
  <c r="W215" i="17"/>
  <c r="V215" i="17"/>
  <c r="U215" i="17"/>
  <c r="X224" i="17"/>
  <c r="U224" i="17"/>
  <c r="T224" i="17"/>
  <c r="X240" i="17"/>
  <c r="W240" i="17"/>
  <c r="U240" i="17"/>
  <c r="T240" i="17"/>
  <c r="V248" i="17"/>
  <c r="X293" i="17"/>
  <c r="T293" i="17"/>
  <c r="W293" i="17"/>
  <c r="V293" i="17"/>
  <c r="X296" i="17"/>
  <c r="W296" i="17"/>
  <c r="V296" i="17"/>
  <c r="U296" i="17"/>
  <c r="T296" i="17"/>
  <c r="X333" i="17"/>
  <c r="V333" i="17"/>
  <c r="T333" i="17"/>
  <c r="W333" i="17"/>
  <c r="V408" i="17"/>
  <c r="X408" i="17"/>
  <c r="W408" i="17"/>
  <c r="T408" i="17"/>
  <c r="U408" i="17"/>
  <c r="O125" i="17"/>
  <c r="P127" i="17"/>
  <c r="P129" i="17"/>
  <c r="U130" i="17"/>
  <c r="X132" i="17"/>
  <c r="T133" i="17"/>
  <c r="X135" i="17"/>
  <c r="V135" i="17"/>
  <c r="W135" i="17"/>
  <c r="T138" i="17"/>
  <c r="W140" i="17"/>
  <c r="U140" i="17"/>
  <c r="V140" i="17"/>
  <c r="W150" i="17"/>
  <c r="O165" i="17"/>
  <c r="T166" i="17"/>
  <c r="O173" i="17"/>
  <c r="T174" i="17"/>
  <c r="T181" i="17"/>
  <c r="O190" i="17"/>
  <c r="P193" i="17"/>
  <c r="P196" i="17"/>
  <c r="X205" i="17"/>
  <c r="W205" i="17"/>
  <c r="V205" i="17"/>
  <c r="P207" i="17"/>
  <c r="N207" i="17"/>
  <c r="X232" i="17"/>
  <c r="W232" i="17"/>
  <c r="U232" i="17"/>
  <c r="T232" i="17"/>
  <c r="O279" i="17"/>
  <c r="N279" i="17"/>
  <c r="P279" i="17"/>
  <c r="P281" i="17"/>
  <c r="O281" i="17"/>
  <c r="N281" i="17"/>
  <c r="X290" i="17"/>
  <c r="W290" i="17"/>
  <c r="U290" i="17"/>
  <c r="T290" i="17"/>
  <c r="U307" i="17"/>
  <c r="X307" i="17"/>
  <c r="W307" i="17"/>
  <c r="V307" i="17"/>
  <c r="X322" i="17"/>
  <c r="W322" i="17"/>
  <c r="U322" i="17"/>
  <c r="V322" i="17"/>
  <c r="T322" i="17"/>
  <c r="X406" i="17"/>
  <c r="W406" i="17"/>
  <c r="V406" i="17"/>
  <c r="T406" i="17"/>
  <c r="U406" i="17"/>
  <c r="T124" i="17"/>
  <c r="U133" i="17"/>
  <c r="U138" i="17"/>
  <c r="X143" i="17"/>
  <c r="V143" i="17"/>
  <c r="W143" i="17"/>
  <c r="W148" i="17"/>
  <c r="U148" i="17"/>
  <c r="V148" i="17"/>
  <c r="X191" i="17"/>
  <c r="V191" i="17"/>
  <c r="U191" i="17"/>
  <c r="T192" i="17"/>
  <c r="P197" i="17"/>
  <c r="O197" i="17"/>
  <c r="W202" i="17"/>
  <c r="V202" i="17"/>
  <c r="U202" i="17"/>
  <c r="T206" i="17"/>
  <c r="P215" i="17"/>
  <c r="O215" i="17"/>
  <c r="N215" i="17"/>
  <c r="X218" i="17"/>
  <c r="W218" i="17"/>
  <c r="V218" i="17"/>
  <c r="T218" i="17"/>
  <c r="X223" i="17"/>
  <c r="W223" i="17"/>
  <c r="V223" i="17"/>
  <c r="U223" i="17"/>
  <c r="V232" i="17"/>
  <c r="W250" i="17"/>
  <c r="X250" i="17"/>
  <c r="V250" i="17"/>
  <c r="U250" i="17"/>
  <c r="T250" i="17"/>
  <c r="P260" i="17"/>
  <c r="O260" i="17"/>
  <c r="N260" i="17"/>
  <c r="P276" i="17"/>
  <c r="O276" i="17"/>
  <c r="N276" i="17"/>
  <c r="P294" i="17"/>
  <c r="O294" i="17"/>
  <c r="N294" i="17"/>
  <c r="V332" i="17"/>
  <c r="U332" i="17"/>
  <c r="X332" i="17"/>
  <c r="W332" i="17"/>
  <c r="T332" i="17"/>
  <c r="W156" i="17"/>
  <c r="U156" i="17"/>
  <c r="V156" i="17"/>
  <c r="W178" i="17"/>
  <c r="V178" i="17"/>
  <c r="T178" i="17"/>
  <c r="X181" i="17"/>
  <c r="W181" i="17"/>
  <c r="V181" i="17"/>
  <c r="P183" i="17"/>
  <c r="N183" i="17"/>
  <c r="X242" i="17"/>
  <c r="W242" i="17"/>
  <c r="V242" i="17"/>
  <c r="U242" i="17"/>
  <c r="T242" i="17"/>
  <c r="O305" i="17"/>
  <c r="P305" i="17"/>
  <c r="N305" i="17"/>
  <c r="P339" i="17"/>
  <c r="O339" i="17"/>
  <c r="N339" i="17"/>
  <c r="X378" i="17"/>
  <c r="W378" i="17"/>
  <c r="V378" i="17"/>
  <c r="U378" i="17"/>
  <c r="T378" i="17"/>
  <c r="T221" i="17"/>
  <c r="W222" i="17"/>
  <c r="T229" i="17"/>
  <c r="W230" i="17"/>
  <c r="T237" i="17"/>
  <c r="W238" i="17"/>
  <c r="T245" i="17"/>
  <c r="W246" i="17"/>
  <c r="W251" i="17"/>
  <c r="N253" i="17"/>
  <c r="O255" i="17"/>
  <c r="W259" i="17"/>
  <c r="N261" i="17"/>
  <c r="O263" i="17"/>
  <c r="W267" i="17"/>
  <c r="N269" i="17"/>
  <c r="O271" i="17"/>
  <c r="W275" i="17"/>
  <c r="W280" i="17"/>
  <c r="O287" i="17"/>
  <c r="N287" i="17"/>
  <c r="P292" i="17"/>
  <c r="P297" i="17"/>
  <c r="X298" i="17"/>
  <c r="W298" i="17"/>
  <c r="V298" i="17"/>
  <c r="O300" i="17"/>
  <c r="U301" i="17"/>
  <c r="O310" i="17"/>
  <c r="N313" i="17"/>
  <c r="P330" i="17"/>
  <c r="O330" i="17"/>
  <c r="O331" i="17"/>
  <c r="N340" i="17"/>
  <c r="P340" i="17"/>
  <c r="X349" i="17"/>
  <c r="W349" i="17"/>
  <c r="V349" i="17"/>
  <c r="U349" i="17"/>
  <c r="X355" i="17"/>
  <c r="V355" i="17"/>
  <c r="U355" i="17"/>
  <c r="W355" i="17"/>
  <c r="X370" i="17"/>
  <c r="W370" i="17"/>
  <c r="V370" i="17"/>
  <c r="U370" i="17"/>
  <c r="P377" i="17"/>
  <c r="O377" i="17"/>
  <c r="X398" i="17"/>
  <c r="W398" i="17"/>
  <c r="V398" i="17"/>
  <c r="T398" i="17"/>
  <c r="V400" i="17"/>
  <c r="X400" i="17"/>
  <c r="W400" i="17"/>
  <c r="T400" i="17"/>
  <c r="U420" i="17"/>
  <c r="X420" i="17"/>
  <c r="W420" i="17"/>
  <c r="V420" i="17"/>
  <c r="P421" i="17"/>
  <c r="O421" i="17"/>
  <c r="N421" i="17"/>
  <c r="W464" i="17"/>
  <c r="X464" i="17"/>
  <c r="V464" i="17"/>
  <c r="T464" i="17"/>
  <c r="U464" i="17"/>
  <c r="T254" i="17"/>
  <c r="T256" i="17"/>
  <c r="T262" i="17"/>
  <c r="T264" i="17"/>
  <c r="T270" i="17"/>
  <c r="T272" i="17"/>
  <c r="P282" i="17"/>
  <c r="O282" i="17"/>
  <c r="O295" i="17"/>
  <c r="N295" i="17"/>
  <c r="T299" i="17"/>
  <c r="P306" i="17"/>
  <c r="O306" i="17"/>
  <c r="W311" i="17"/>
  <c r="V311" i="17"/>
  <c r="X311" i="17"/>
  <c r="X314" i="17"/>
  <c r="W314" i="17"/>
  <c r="U314" i="17"/>
  <c r="X315" i="17"/>
  <c r="U315" i="17"/>
  <c r="V315" i="17"/>
  <c r="V324" i="17"/>
  <c r="U324" i="17"/>
  <c r="X324" i="17"/>
  <c r="X325" i="17"/>
  <c r="V325" i="17"/>
  <c r="U325" i="17"/>
  <c r="X346" i="17"/>
  <c r="W346" i="17"/>
  <c r="V346" i="17"/>
  <c r="U346" i="17"/>
  <c r="X362" i="17"/>
  <c r="W362" i="17"/>
  <c r="V362" i="17"/>
  <c r="U362" i="17"/>
  <c r="P369" i="17"/>
  <c r="O369" i="17"/>
  <c r="T394" i="17"/>
  <c r="X394" i="17"/>
  <c r="W394" i="17"/>
  <c r="V394" i="17"/>
  <c r="O395" i="17"/>
  <c r="P395" i="17"/>
  <c r="N395" i="17"/>
  <c r="N407" i="17"/>
  <c r="P407" i="17"/>
  <c r="O407" i="17"/>
  <c r="X490" i="17"/>
  <c r="V490" i="17"/>
  <c r="U490" i="17"/>
  <c r="W490" i="17"/>
  <c r="T490" i="17"/>
  <c r="P520" i="17"/>
  <c r="O520" i="17"/>
  <c r="N520" i="17"/>
  <c r="T231" i="17"/>
  <c r="T239" i="17"/>
  <c r="T247" i="17"/>
  <c r="T252" i="17"/>
  <c r="U254" i="17"/>
  <c r="U256" i="17"/>
  <c r="U258" i="17"/>
  <c r="T260" i="17"/>
  <c r="U262" i="17"/>
  <c r="U264" i="17"/>
  <c r="U266" i="17"/>
  <c r="T268" i="17"/>
  <c r="U270" i="17"/>
  <c r="U272" i="17"/>
  <c r="U274" i="17"/>
  <c r="V276" i="17"/>
  <c r="U276" i="17"/>
  <c r="T276" i="17"/>
  <c r="P290" i="17"/>
  <c r="O290" i="17"/>
  <c r="U299" i="17"/>
  <c r="W315" i="17"/>
  <c r="P322" i="17"/>
  <c r="O322" i="17"/>
  <c r="W325" i="17"/>
  <c r="N332" i="17"/>
  <c r="P332" i="17"/>
  <c r="X354" i="17"/>
  <c r="W354" i="17"/>
  <c r="V354" i="17"/>
  <c r="U354" i="17"/>
  <c r="P361" i="17"/>
  <c r="O361" i="17"/>
  <c r="P370" i="17"/>
  <c r="O370" i="17"/>
  <c r="N370" i="17"/>
  <c r="N393" i="17"/>
  <c r="P393" i="17"/>
  <c r="O393" i="17"/>
  <c r="N399" i="17"/>
  <c r="P399" i="17"/>
  <c r="O399" i="17"/>
  <c r="V415" i="17"/>
  <c r="X415" i="17"/>
  <c r="W415" i="17"/>
  <c r="T415" i="17"/>
  <c r="V461" i="17"/>
  <c r="W461" i="17"/>
  <c r="X461" i="17"/>
  <c r="T461" i="17"/>
  <c r="O480" i="17"/>
  <c r="N480" i="17"/>
  <c r="P480" i="17"/>
  <c r="T180" i="17"/>
  <c r="T188" i="17"/>
  <c r="T196" i="17"/>
  <c r="T204" i="17"/>
  <c r="T212" i="17"/>
  <c r="O213" i="17"/>
  <c r="T220" i="17"/>
  <c r="O221" i="17"/>
  <c r="W221" i="17"/>
  <c r="T228" i="17"/>
  <c r="O229" i="17"/>
  <c r="W229" i="17"/>
  <c r="U231" i="17"/>
  <c r="T236" i="17"/>
  <c r="O237" i="17"/>
  <c r="W237" i="17"/>
  <c r="U239" i="17"/>
  <c r="T244" i="17"/>
  <c r="O245" i="17"/>
  <c r="W245" i="17"/>
  <c r="U247" i="17"/>
  <c r="V252" i="17"/>
  <c r="V254" i="17"/>
  <c r="V256" i="17"/>
  <c r="V258" i="17"/>
  <c r="V260" i="17"/>
  <c r="V262" i="17"/>
  <c r="V264" i="17"/>
  <c r="V266" i="17"/>
  <c r="V268" i="17"/>
  <c r="V270" i="17"/>
  <c r="V272" i="17"/>
  <c r="V274" i="17"/>
  <c r="W276" i="17"/>
  <c r="O278" i="17"/>
  <c r="T287" i="17"/>
  <c r="O291" i="17"/>
  <c r="P298" i="17"/>
  <c r="O298" i="17"/>
  <c r="V299" i="17"/>
  <c r="V308" i="17"/>
  <c r="U308" i="17"/>
  <c r="X308" i="17"/>
  <c r="U309" i="17"/>
  <c r="N315" i="17"/>
  <c r="V316" i="17"/>
  <c r="U316" i="17"/>
  <c r="X316" i="17"/>
  <c r="X317" i="17"/>
  <c r="V317" i="17"/>
  <c r="U317" i="17"/>
  <c r="T330" i="17"/>
  <c r="P337" i="17"/>
  <c r="X338" i="17"/>
  <c r="W338" i="17"/>
  <c r="U338" i="17"/>
  <c r="X339" i="17"/>
  <c r="U339" i="17"/>
  <c r="V339" i="17"/>
  <c r="T340" i="17"/>
  <c r="P346" i="17"/>
  <c r="O346" i="17"/>
  <c r="N346" i="17"/>
  <c r="P353" i="17"/>
  <c r="O353" i="17"/>
  <c r="P362" i="17"/>
  <c r="O362" i="17"/>
  <c r="N362" i="17"/>
  <c r="U426" i="17"/>
  <c r="W426" i="17"/>
  <c r="X426" i="17"/>
  <c r="T426" i="17"/>
  <c r="P450" i="17"/>
  <c r="N450" i="17"/>
  <c r="O450" i="17"/>
  <c r="T169" i="17"/>
  <c r="T177" i="17"/>
  <c r="U180" i="17"/>
  <c r="T185" i="17"/>
  <c r="U188" i="17"/>
  <c r="T193" i="17"/>
  <c r="U196" i="17"/>
  <c r="T201" i="17"/>
  <c r="U204" i="17"/>
  <c r="T209" i="17"/>
  <c r="U212" i="17"/>
  <c r="T217" i="17"/>
  <c r="U220" i="17"/>
  <c r="T225" i="17"/>
  <c r="U228" i="17"/>
  <c r="V231" i="17"/>
  <c r="T233" i="17"/>
  <c r="U236" i="17"/>
  <c r="V239" i="17"/>
  <c r="T241" i="17"/>
  <c r="U244" i="17"/>
  <c r="V247" i="17"/>
  <c r="T249" i="17"/>
  <c r="W252" i="17"/>
  <c r="W254" i="17"/>
  <c r="W256" i="17"/>
  <c r="X258" i="17"/>
  <c r="W260" i="17"/>
  <c r="W262" i="17"/>
  <c r="W264" i="17"/>
  <c r="X266" i="17"/>
  <c r="W268" i="17"/>
  <c r="W270" i="17"/>
  <c r="W272" i="17"/>
  <c r="X274" i="17"/>
  <c r="X276" i="17"/>
  <c r="T277" i="17"/>
  <c r="W279" i="17"/>
  <c r="V279" i="17"/>
  <c r="X279" i="17"/>
  <c r="V284" i="17"/>
  <c r="U284" i="17"/>
  <c r="W284" i="17"/>
  <c r="W299" i="17"/>
  <c r="P314" i="17"/>
  <c r="O314" i="17"/>
  <c r="N324" i="17"/>
  <c r="P324" i="17"/>
  <c r="N348" i="17"/>
  <c r="P348" i="17"/>
  <c r="P354" i="17"/>
  <c r="O354" i="17"/>
  <c r="N354" i="17"/>
  <c r="X386" i="17"/>
  <c r="W386" i="17"/>
  <c r="V386" i="17"/>
  <c r="U386" i="17"/>
  <c r="O428" i="17"/>
  <c r="P428" i="17"/>
  <c r="N428" i="17"/>
  <c r="N437" i="17"/>
  <c r="P437" i="17"/>
  <c r="O437" i="17"/>
  <c r="W448" i="17"/>
  <c r="V448" i="17"/>
  <c r="X448" i="17"/>
  <c r="T448" i="17"/>
  <c r="T214" i="17"/>
  <c r="T222" i="17"/>
  <c r="T230" i="17"/>
  <c r="W231" i="17"/>
  <c r="T238" i="17"/>
  <c r="W239" i="17"/>
  <c r="T246" i="17"/>
  <c r="W247" i="17"/>
  <c r="T251" i="17"/>
  <c r="X252" i="17"/>
  <c r="T259" i="17"/>
  <c r="X260" i="17"/>
  <c r="T267" i="17"/>
  <c r="X268" i="17"/>
  <c r="T275" i="17"/>
  <c r="U277" i="17"/>
  <c r="T280" i="17"/>
  <c r="W287" i="17"/>
  <c r="V287" i="17"/>
  <c r="X287" i="17"/>
  <c r="V292" i="17"/>
  <c r="U292" i="17"/>
  <c r="W292" i="17"/>
  <c r="X330" i="17"/>
  <c r="W330" i="17"/>
  <c r="U330" i="17"/>
  <c r="X331" i="17"/>
  <c r="U331" i="17"/>
  <c r="V331" i="17"/>
  <c r="V340" i="17"/>
  <c r="U340" i="17"/>
  <c r="X340" i="17"/>
  <c r="X341" i="17"/>
  <c r="V341" i="17"/>
  <c r="U341" i="17"/>
  <c r="N385" i="17"/>
  <c r="P385" i="17"/>
  <c r="O385" i="17"/>
  <c r="O411" i="17"/>
  <c r="P411" i="17"/>
  <c r="N411" i="17"/>
  <c r="V476" i="17"/>
  <c r="T476" i="17"/>
  <c r="X476" i="17"/>
  <c r="W476" i="17"/>
  <c r="U476" i="17"/>
  <c r="U253" i="17"/>
  <c r="U255" i="17"/>
  <c r="U261" i="17"/>
  <c r="U263" i="17"/>
  <c r="U269" i="17"/>
  <c r="U271" i="17"/>
  <c r="V277" i="17"/>
  <c r="X282" i="17"/>
  <c r="W282" i="17"/>
  <c r="V282" i="17"/>
  <c r="O284" i="17"/>
  <c r="U285" i="17"/>
  <c r="X292" i="17"/>
  <c r="W295" i="17"/>
  <c r="V295" i="17"/>
  <c r="X295" i="17"/>
  <c r="T298" i="17"/>
  <c r="V300" i="17"/>
  <c r="U300" i="17"/>
  <c r="W300" i="17"/>
  <c r="W303" i="17"/>
  <c r="V303" i="17"/>
  <c r="X303" i="17"/>
  <c r="X306" i="17"/>
  <c r="W306" i="17"/>
  <c r="V306" i="17"/>
  <c r="N308" i="17"/>
  <c r="P308" i="17"/>
  <c r="N316" i="17"/>
  <c r="P316" i="17"/>
  <c r="W331" i="17"/>
  <c r="P338" i="17"/>
  <c r="O338" i="17"/>
  <c r="W341" i="17"/>
  <c r="T346" i="17"/>
  <c r="T362" i="17"/>
  <c r="X371" i="17"/>
  <c r="V371" i="17"/>
  <c r="U371" i="17"/>
  <c r="W371" i="17"/>
  <c r="U394" i="17"/>
  <c r="O403" i="17"/>
  <c r="P403" i="17"/>
  <c r="N403" i="17"/>
  <c r="N444" i="17"/>
  <c r="P444" i="17"/>
  <c r="O444" i="17"/>
  <c r="X348" i="17"/>
  <c r="P356" i="17"/>
  <c r="X356" i="17"/>
  <c r="P364" i="17"/>
  <c r="X364" i="17"/>
  <c r="P372" i="17"/>
  <c r="X372" i="17"/>
  <c r="U379" i="17"/>
  <c r="P380" i="17"/>
  <c r="X380" i="17"/>
  <c r="U387" i="17"/>
  <c r="P388" i="17"/>
  <c r="X388" i="17"/>
  <c r="O413" i="17"/>
  <c r="V414" i="17"/>
  <c r="V419" i="17"/>
  <c r="U422" i="17"/>
  <c r="W425" i="17"/>
  <c r="X434" i="17"/>
  <c r="T438" i="17"/>
  <c r="P439" i="17"/>
  <c r="W440" i="17"/>
  <c r="X440" i="17"/>
  <c r="V440" i="17"/>
  <c r="U445" i="17"/>
  <c r="P449" i="17"/>
  <c r="X459" i="17"/>
  <c r="W459" i="17"/>
  <c r="T459" i="17"/>
  <c r="V460" i="17"/>
  <c r="T460" i="17"/>
  <c r="W460" i="17"/>
  <c r="U481" i="17"/>
  <c r="X481" i="17"/>
  <c r="W481" i="17"/>
  <c r="T481" i="17"/>
  <c r="X491" i="17"/>
  <c r="T491" i="17"/>
  <c r="W491" i="17"/>
  <c r="V491" i="17"/>
  <c r="T357" i="17"/>
  <c r="T365" i="17"/>
  <c r="T373" i="17"/>
  <c r="V379" i="17"/>
  <c r="T381" i="17"/>
  <c r="V387" i="17"/>
  <c r="T389" i="17"/>
  <c r="T396" i="17"/>
  <c r="T404" i="17"/>
  <c r="T412" i="17"/>
  <c r="W414" i="17"/>
  <c r="X419" i="17"/>
  <c r="O424" i="17"/>
  <c r="N424" i="17"/>
  <c r="X425" i="17"/>
  <c r="V429" i="17"/>
  <c r="W429" i="17"/>
  <c r="U429" i="17"/>
  <c r="X435" i="17"/>
  <c r="V435" i="17"/>
  <c r="U435" i="17"/>
  <c r="U441" i="17"/>
  <c r="W441" i="17"/>
  <c r="V441" i="17"/>
  <c r="P504" i="17"/>
  <c r="O504" i="17"/>
  <c r="N504" i="17"/>
  <c r="T319" i="17"/>
  <c r="T327" i="17"/>
  <c r="T335" i="17"/>
  <c r="T343" i="17"/>
  <c r="T351" i="17"/>
  <c r="V357" i="17"/>
  <c r="T359" i="17"/>
  <c r="V365" i="17"/>
  <c r="T367" i="17"/>
  <c r="V373" i="17"/>
  <c r="T375" i="17"/>
  <c r="X379" i="17"/>
  <c r="V381" i="17"/>
  <c r="T383" i="17"/>
  <c r="X387" i="17"/>
  <c r="V389" i="17"/>
  <c r="T391" i="17"/>
  <c r="V396" i="17"/>
  <c r="V404" i="17"/>
  <c r="W412" i="17"/>
  <c r="U423" i="17"/>
  <c r="T430" i="17"/>
  <c r="W432" i="17"/>
  <c r="X432" i="17"/>
  <c r="V432" i="17"/>
  <c r="U436" i="17"/>
  <c r="O440" i="17"/>
  <c r="N440" i="17"/>
  <c r="X442" i="17"/>
  <c r="U442" i="17"/>
  <c r="W442" i="17"/>
  <c r="P451" i="17"/>
  <c r="O451" i="17"/>
  <c r="V453" i="17"/>
  <c r="X453" i="17"/>
  <c r="U453" i="17"/>
  <c r="P459" i="17"/>
  <c r="N459" i="17"/>
  <c r="O586" i="17"/>
  <c r="P586" i="17"/>
  <c r="N586" i="17"/>
  <c r="T348" i="17"/>
  <c r="T356" i="17"/>
  <c r="W357" i="17"/>
  <c r="T364" i="17"/>
  <c r="W365" i="17"/>
  <c r="T372" i="17"/>
  <c r="W373" i="17"/>
  <c r="N378" i="17"/>
  <c r="T380" i="17"/>
  <c r="W381" i="17"/>
  <c r="N386" i="17"/>
  <c r="T388" i="17"/>
  <c r="W389" i="17"/>
  <c r="N394" i="17"/>
  <c r="W396" i="17"/>
  <c r="N402" i="17"/>
  <c r="W404" i="17"/>
  <c r="N410" i="17"/>
  <c r="X412" i="17"/>
  <c r="N420" i="17"/>
  <c r="W423" i="17"/>
  <c r="X427" i="17"/>
  <c r="V427" i="17"/>
  <c r="U427" i="17"/>
  <c r="U430" i="17"/>
  <c r="U433" i="17"/>
  <c r="V436" i="17"/>
  <c r="X443" i="17"/>
  <c r="V443" i="17"/>
  <c r="U443" i="17"/>
  <c r="U449" i="17"/>
  <c r="V449" i="17"/>
  <c r="T449" i="17"/>
  <c r="W453" i="17"/>
  <c r="O455" i="17"/>
  <c r="P455" i="17"/>
  <c r="P475" i="17"/>
  <c r="N475" i="17"/>
  <c r="P482" i="17"/>
  <c r="O482" i="17"/>
  <c r="N482" i="17"/>
  <c r="N303" i="17"/>
  <c r="N311" i="17"/>
  <c r="N319" i="17"/>
  <c r="V319" i="17"/>
  <c r="N327" i="17"/>
  <c r="V327" i="17"/>
  <c r="N335" i="17"/>
  <c r="V335" i="17"/>
  <c r="N343" i="17"/>
  <c r="V343" i="17"/>
  <c r="U348" i="17"/>
  <c r="N351" i="17"/>
  <c r="V351" i="17"/>
  <c r="U356" i="17"/>
  <c r="N359" i="17"/>
  <c r="V359" i="17"/>
  <c r="U364" i="17"/>
  <c r="N367" i="17"/>
  <c r="V367" i="17"/>
  <c r="U372" i="17"/>
  <c r="N375" i="17"/>
  <c r="V375" i="17"/>
  <c r="O378" i="17"/>
  <c r="U380" i="17"/>
  <c r="N383" i="17"/>
  <c r="V383" i="17"/>
  <c r="O386" i="17"/>
  <c r="U388" i="17"/>
  <c r="N391" i="17"/>
  <c r="V391" i="17"/>
  <c r="O394" i="17"/>
  <c r="T395" i="17"/>
  <c r="T399" i="17"/>
  <c r="T401" i="17"/>
  <c r="O402" i="17"/>
  <c r="T407" i="17"/>
  <c r="T409" i="17"/>
  <c r="O410" i="17"/>
  <c r="X413" i="17"/>
  <c r="U413" i="17"/>
  <c r="V413" i="17"/>
  <c r="U416" i="17"/>
  <c r="O420" i="17"/>
  <c r="O423" i="17"/>
  <c r="X423" i="17"/>
  <c r="W427" i="17"/>
  <c r="V430" i="17"/>
  <c r="W433" i="17"/>
  <c r="N436" i="17"/>
  <c r="X436" i="17"/>
  <c r="W443" i="17"/>
  <c r="W449" i="17"/>
  <c r="T450" i="17"/>
  <c r="O464" i="17"/>
  <c r="N464" i="17"/>
  <c r="P467" i="17"/>
  <c r="N467" i="17"/>
  <c r="V545" i="17"/>
  <c r="U545" i="17"/>
  <c r="X545" i="17"/>
  <c r="W545" i="17"/>
  <c r="T545" i="17"/>
  <c r="U395" i="17"/>
  <c r="T397" i="17"/>
  <c r="U403" i="17"/>
  <c r="T405" i="17"/>
  <c r="U411" i="17"/>
  <c r="W413" i="17"/>
  <c r="T414" i="17"/>
  <c r="W416" i="17"/>
  <c r="N418" i="17"/>
  <c r="T419" i="17"/>
  <c r="X421" i="17"/>
  <c r="U421" i="17"/>
  <c r="V421" i="17"/>
  <c r="P423" i="17"/>
  <c r="W424" i="17"/>
  <c r="X424" i="17"/>
  <c r="V424" i="17"/>
  <c r="T425" i="17"/>
  <c r="N427" i="17"/>
  <c r="U428" i="17"/>
  <c r="X430" i="17"/>
  <c r="O432" i="17"/>
  <c r="N432" i="17"/>
  <c r="O433" i="17"/>
  <c r="X433" i="17"/>
  <c r="P436" i="17"/>
  <c r="V437" i="17"/>
  <c r="W437" i="17"/>
  <c r="U437" i="17"/>
  <c r="N439" i="17"/>
  <c r="T440" i="17"/>
  <c r="P442" i="17"/>
  <c r="O442" i="17"/>
  <c r="V444" i="17"/>
  <c r="W444" i="17"/>
  <c r="U444" i="17"/>
  <c r="N449" i="17"/>
  <c r="X449" i="17"/>
  <c r="O456" i="17"/>
  <c r="P456" i="17"/>
  <c r="U459" i="17"/>
  <c r="O472" i="17"/>
  <c r="P472" i="17"/>
  <c r="N472" i="17"/>
  <c r="P496" i="17"/>
  <c r="O496" i="17"/>
  <c r="N496" i="17"/>
  <c r="N561" i="17"/>
  <c r="P561" i="17"/>
  <c r="O561" i="17"/>
  <c r="U414" i="17"/>
  <c r="U419" i="17"/>
  <c r="U425" i="17"/>
  <c r="U434" i="17"/>
  <c r="W434" i="17"/>
  <c r="V434" i="17"/>
  <c r="X450" i="17"/>
  <c r="U450" i="17"/>
  <c r="W450" i="17"/>
  <c r="X458" i="17"/>
  <c r="U458" i="17"/>
  <c r="W458" i="17"/>
  <c r="V458" i="17"/>
  <c r="U451" i="17"/>
  <c r="U456" i="17"/>
  <c r="N463" i="17"/>
  <c r="X466" i="17"/>
  <c r="U466" i="17"/>
  <c r="V466" i="17"/>
  <c r="P468" i="17"/>
  <c r="U469" i="17"/>
  <c r="X473" i="17"/>
  <c r="O476" i="17"/>
  <c r="T477" i="17"/>
  <c r="X497" i="17"/>
  <c r="X530" i="17"/>
  <c r="V530" i="17"/>
  <c r="U530" i="17"/>
  <c r="V537" i="17"/>
  <c r="U537" i="17"/>
  <c r="X537" i="17"/>
  <c r="W537" i="17"/>
  <c r="N553" i="17"/>
  <c r="P553" i="17"/>
  <c r="O553" i="17"/>
  <c r="N573" i="17"/>
  <c r="P573" i="17"/>
  <c r="O573" i="17"/>
  <c r="X474" i="17"/>
  <c r="U474" i="17"/>
  <c r="V474" i="17"/>
  <c r="U477" i="17"/>
  <c r="W485" i="17"/>
  <c r="V485" i="17"/>
  <c r="U485" i="17"/>
  <c r="X498" i="17"/>
  <c r="V498" i="17"/>
  <c r="U498" i="17"/>
  <c r="X499" i="17"/>
  <c r="V499" i="17"/>
  <c r="U499" i="17"/>
  <c r="P506" i="17"/>
  <c r="N506" i="17"/>
  <c r="X522" i="17"/>
  <c r="V522" i="17"/>
  <c r="U522" i="17"/>
  <c r="N545" i="17"/>
  <c r="P545" i="17"/>
  <c r="O545" i="17"/>
  <c r="P560" i="17"/>
  <c r="O560" i="17"/>
  <c r="N932" i="17"/>
  <c r="O932" i="17"/>
  <c r="P932" i="17"/>
  <c r="N466" i="17"/>
  <c r="U467" i="17"/>
  <c r="U472" i="17"/>
  <c r="W474" i="17"/>
  <c r="W477" i="17"/>
  <c r="X482" i="17"/>
  <c r="U482" i="17"/>
  <c r="V482" i="17"/>
  <c r="X485" i="17"/>
  <c r="X488" i="17"/>
  <c r="W488" i="17"/>
  <c r="V488" i="17"/>
  <c r="P490" i="17"/>
  <c r="N490" i="17"/>
  <c r="W499" i="17"/>
  <c r="X512" i="17"/>
  <c r="W512" i="17"/>
  <c r="U512" i="17"/>
  <c r="V513" i="17"/>
  <c r="U513" i="17"/>
  <c r="X513" i="17"/>
  <c r="X514" i="17"/>
  <c r="V514" i="17"/>
  <c r="U514" i="17"/>
  <c r="V529" i="17"/>
  <c r="U529" i="17"/>
  <c r="X529" i="17"/>
  <c r="W529" i="17"/>
  <c r="N537" i="17"/>
  <c r="P537" i="17"/>
  <c r="O537" i="17"/>
  <c r="P552" i="17"/>
  <c r="O552" i="17"/>
  <c r="T554" i="17"/>
  <c r="N591" i="17"/>
  <c r="P591" i="17"/>
  <c r="O591" i="17"/>
  <c r="V595" i="17"/>
  <c r="X595" i="17"/>
  <c r="W595" i="17"/>
  <c r="T595" i="17"/>
  <c r="U600" i="17"/>
  <c r="X600" i="17"/>
  <c r="W600" i="17"/>
  <c r="V600" i="17"/>
  <c r="T600" i="17"/>
  <c r="O627" i="17"/>
  <c r="N627" i="17"/>
  <c r="P627" i="17"/>
  <c r="U452" i="17"/>
  <c r="T457" i="17"/>
  <c r="O466" i="17"/>
  <c r="V467" i="17"/>
  <c r="V472" i="17"/>
  <c r="N474" i="17"/>
  <c r="U475" i="17"/>
  <c r="X477" i="17"/>
  <c r="P479" i="17"/>
  <c r="U480" i="17"/>
  <c r="W482" i="17"/>
  <c r="T483" i="17"/>
  <c r="T489" i="17"/>
  <c r="P511" i="17"/>
  <c r="V521" i="17"/>
  <c r="U521" i="17"/>
  <c r="X521" i="17"/>
  <c r="W521" i="17"/>
  <c r="P544" i="17"/>
  <c r="O544" i="17"/>
  <c r="T546" i="17"/>
  <c r="X562" i="17"/>
  <c r="V562" i="17"/>
  <c r="U562" i="17"/>
  <c r="V574" i="17"/>
  <c r="X574" i="17"/>
  <c r="W574" i="17"/>
  <c r="T574" i="17"/>
  <c r="V620" i="17"/>
  <c r="U620" i="17"/>
  <c r="X620" i="17"/>
  <c r="W620" i="17"/>
  <c r="T620" i="17"/>
  <c r="P626" i="17"/>
  <c r="O626" i="17"/>
  <c r="N626" i="17"/>
  <c r="T465" i="17"/>
  <c r="O474" i="17"/>
  <c r="U483" i="17"/>
  <c r="O492" i="17"/>
  <c r="W493" i="17"/>
  <c r="V493" i="17"/>
  <c r="U493" i="17"/>
  <c r="N495" i="17"/>
  <c r="X496" i="17"/>
  <c r="W496" i="17"/>
  <c r="V496" i="17"/>
  <c r="P498" i="17"/>
  <c r="N498" i="17"/>
  <c r="N503" i="17"/>
  <c r="X504" i="17"/>
  <c r="W504" i="17"/>
  <c r="U504" i="17"/>
  <c r="U505" i="17"/>
  <c r="X505" i="17"/>
  <c r="V505" i="17"/>
  <c r="T506" i="17"/>
  <c r="N529" i="17"/>
  <c r="P529" i="17"/>
  <c r="O529" i="17"/>
  <c r="P536" i="17"/>
  <c r="O536" i="17"/>
  <c r="T538" i="17"/>
  <c r="X554" i="17"/>
  <c r="V554" i="17"/>
  <c r="U554" i="17"/>
  <c r="T473" i="17"/>
  <c r="P488" i="17"/>
  <c r="O488" i="17"/>
  <c r="P492" i="17"/>
  <c r="P495" i="17"/>
  <c r="T497" i="17"/>
  <c r="P503" i="17"/>
  <c r="P512" i="17"/>
  <c r="O512" i="17"/>
  <c r="N513" i="17"/>
  <c r="P513" i="17"/>
  <c r="N521" i="17"/>
  <c r="P521" i="17"/>
  <c r="O521" i="17"/>
  <c r="X546" i="17"/>
  <c r="V546" i="17"/>
  <c r="U546" i="17"/>
  <c r="V561" i="17"/>
  <c r="U561" i="17"/>
  <c r="X561" i="17"/>
  <c r="W561" i="17"/>
  <c r="P601" i="17"/>
  <c r="O601" i="17"/>
  <c r="N601" i="17"/>
  <c r="U659" i="17"/>
  <c r="W659" i="17"/>
  <c r="X659" i="17"/>
  <c r="T659" i="17"/>
  <c r="V659" i="17"/>
  <c r="X506" i="17"/>
  <c r="V506" i="17"/>
  <c r="U506" i="17"/>
  <c r="X507" i="17"/>
  <c r="V507" i="17"/>
  <c r="U507" i="17"/>
  <c r="P528" i="17"/>
  <c r="O528" i="17"/>
  <c r="X538" i="17"/>
  <c r="V538" i="17"/>
  <c r="U538" i="17"/>
  <c r="V553" i="17"/>
  <c r="U553" i="17"/>
  <c r="X553" i="17"/>
  <c r="W553" i="17"/>
  <c r="N569" i="17"/>
  <c r="P569" i="17"/>
  <c r="O569" i="17"/>
  <c r="X572" i="17"/>
  <c r="W572" i="17"/>
  <c r="V572" i="17"/>
  <c r="T572" i="17"/>
  <c r="W582" i="17"/>
  <c r="X582" i="17"/>
  <c r="V582" i="17"/>
  <c r="T582" i="17"/>
  <c r="O615" i="17"/>
  <c r="N615" i="17"/>
  <c r="P615" i="17"/>
  <c r="V624" i="17"/>
  <c r="U624" i="17"/>
  <c r="X624" i="17"/>
  <c r="W624" i="17"/>
  <c r="T624" i="17"/>
  <c r="O631" i="17"/>
  <c r="N631" i="17"/>
  <c r="P631" i="17"/>
  <c r="T520" i="17"/>
  <c r="T528" i="17"/>
  <c r="T536" i="17"/>
  <c r="T544" i="17"/>
  <c r="T552" i="17"/>
  <c r="T560" i="17"/>
  <c r="T568" i="17"/>
  <c r="X569" i="17"/>
  <c r="W573" i="17"/>
  <c r="X575" i="17"/>
  <c r="U579" i="17"/>
  <c r="P583" i="17"/>
  <c r="T584" i="17"/>
  <c r="T587" i="17"/>
  <c r="O593" i="17"/>
  <c r="X596" i="17"/>
  <c r="U602" i="17"/>
  <c r="P606" i="17"/>
  <c r="U607" i="17"/>
  <c r="T610" i="17"/>
  <c r="P614" i="17"/>
  <c r="T616" i="17"/>
  <c r="V628" i="17"/>
  <c r="U628" i="17"/>
  <c r="T628" i="17"/>
  <c r="V632" i="17"/>
  <c r="U632" i="17"/>
  <c r="T632" i="17"/>
  <c r="P634" i="17"/>
  <c r="O634" i="17"/>
  <c r="O635" i="17"/>
  <c r="N635" i="17"/>
  <c r="X679" i="17"/>
  <c r="W679" i="17"/>
  <c r="V679" i="17"/>
  <c r="T679" i="17"/>
  <c r="T501" i="17"/>
  <c r="T509" i="17"/>
  <c r="V515" i="17"/>
  <c r="T517" i="17"/>
  <c r="U520" i="17"/>
  <c r="V523" i="17"/>
  <c r="T525" i="17"/>
  <c r="U528" i="17"/>
  <c r="V531" i="17"/>
  <c r="T533" i="17"/>
  <c r="U536" i="17"/>
  <c r="V539" i="17"/>
  <c r="T541" i="17"/>
  <c r="U544" i="17"/>
  <c r="V547" i="17"/>
  <c r="T549" i="17"/>
  <c r="U552" i="17"/>
  <c r="V555" i="17"/>
  <c r="T557" i="17"/>
  <c r="U560" i="17"/>
  <c r="T565" i="17"/>
  <c r="U568" i="17"/>
  <c r="T570" i="17"/>
  <c r="X573" i="17"/>
  <c r="W579" i="17"/>
  <c r="U587" i="17"/>
  <c r="T592" i="17"/>
  <c r="U610" i="17"/>
  <c r="P618" i="17"/>
  <c r="O618" i="17"/>
  <c r="W623" i="17"/>
  <c r="V623" i="17"/>
  <c r="X623" i="17"/>
  <c r="P630" i="17"/>
  <c r="O630" i="17"/>
  <c r="P684" i="17"/>
  <c r="O684" i="17"/>
  <c r="N684" i="17"/>
  <c r="W689" i="17"/>
  <c r="V689" i="17"/>
  <c r="T689" i="17"/>
  <c r="X689" i="17"/>
  <c r="U689" i="17"/>
  <c r="W718" i="17"/>
  <c r="V718" i="17"/>
  <c r="U718" i="17"/>
  <c r="T718" i="17"/>
  <c r="T495" i="17"/>
  <c r="V501" i="17"/>
  <c r="T503" i="17"/>
  <c r="V509" i="17"/>
  <c r="T511" i="17"/>
  <c r="X515" i="17"/>
  <c r="V517" i="17"/>
  <c r="T519" i="17"/>
  <c r="W520" i="17"/>
  <c r="X523" i="17"/>
  <c r="V525" i="17"/>
  <c r="T527" i="17"/>
  <c r="W528" i="17"/>
  <c r="X531" i="17"/>
  <c r="V533" i="17"/>
  <c r="T535" i="17"/>
  <c r="W536" i="17"/>
  <c r="X539" i="17"/>
  <c r="V541" i="17"/>
  <c r="T543" i="17"/>
  <c r="W544" i="17"/>
  <c r="X547" i="17"/>
  <c r="V549" i="17"/>
  <c r="T551" i="17"/>
  <c r="W552" i="17"/>
  <c r="X555" i="17"/>
  <c r="V557" i="17"/>
  <c r="T559" i="17"/>
  <c r="W560" i="17"/>
  <c r="X563" i="17"/>
  <c r="V565" i="17"/>
  <c r="T567" i="17"/>
  <c r="O568" i="17"/>
  <c r="W568" i="17"/>
  <c r="V570" i="17"/>
  <c r="N576" i="17"/>
  <c r="P579" i="17"/>
  <c r="T580" i="17"/>
  <c r="X584" i="17"/>
  <c r="O587" i="17"/>
  <c r="X587" i="17"/>
  <c r="O589" i="17"/>
  <c r="U590" i="17"/>
  <c r="W592" i="17"/>
  <c r="N597" i="17"/>
  <c r="T598" i="17"/>
  <c r="P602" i="17"/>
  <c r="U603" i="17"/>
  <c r="P607" i="17"/>
  <c r="T608" i="17"/>
  <c r="N610" i="17"/>
  <c r="X610" i="17"/>
  <c r="T611" i="17"/>
  <c r="X616" i="17"/>
  <c r="P622" i="17"/>
  <c r="O622" i="17"/>
  <c r="T635" i="17"/>
  <c r="U639" i="17"/>
  <c r="W639" i="17"/>
  <c r="V639" i="17"/>
  <c r="O661" i="17"/>
  <c r="P661" i="17"/>
  <c r="N661" i="17"/>
  <c r="X671" i="17"/>
  <c r="W671" i="17"/>
  <c r="V671" i="17"/>
  <c r="U671" i="17"/>
  <c r="T671" i="17"/>
  <c r="O706" i="17"/>
  <c r="N706" i="17"/>
  <c r="P706" i="17"/>
  <c r="W714" i="17"/>
  <c r="V714" i="17"/>
  <c r="U714" i="17"/>
  <c r="T714" i="17"/>
  <c r="T484" i="17"/>
  <c r="T492" i="17"/>
  <c r="T500" i="17"/>
  <c r="T508" i="17"/>
  <c r="N514" i="17"/>
  <c r="T516" i="17"/>
  <c r="N522" i="17"/>
  <c r="T524" i="17"/>
  <c r="N530" i="17"/>
  <c r="T532" i="17"/>
  <c r="N538" i="17"/>
  <c r="T540" i="17"/>
  <c r="N546" i="17"/>
  <c r="T548" i="17"/>
  <c r="N554" i="17"/>
  <c r="T556" i="17"/>
  <c r="N562" i="17"/>
  <c r="T564" i="17"/>
  <c r="O576" i="17"/>
  <c r="T578" i="17"/>
  <c r="T583" i="17"/>
  <c r="P587" i="17"/>
  <c r="T588" i="17"/>
  <c r="X592" i="17"/>
  <c r="O597" i="17"/>
  <c r="U598" i="17"/>
  <c r="T606" i="17"/>
  <c r="P610" i="17"/>
  <c r="U611" i="17"/>
  <c r="O623" i="17"/>
  <c r="N623" i="17"/>
  <c r="N693" i="17"/>
  <c r="P693" i="17"/>
  <c r="O693" i="17"/>
  <c r="T569" i="17"/>
  <c r="T573" i="17"/>
  <c r="T575" i="17"/>
  <c r="U578" i="17"/>
  <c r="U583" i="17"/>
  <c r="T596" i="17"/>
  <c r="U606" i="17"/>
  <c r="W635" i="17"/>
  <c r="V635" i="17"/>
  <c r="X635" i="17"/>
  <c r="P638" i="17"/>
  <c r="O638" i="17"/>
  <c r="N638" i="17"/>
  <c r="O711" i="17"/>
  <c r="N711" i="17"/>
  <c r="P711" i="17"/>
  <c r="W713" i="17"/>
  <c r="V713" i="17"/>
  <c r="U713" i="17"/>
  <c r="T713" i="17"/>
  <c r="W764" i="17"/>
  <c r="V764" i="17"/>
  <c r="T764" i="17"/>
  <c r="U764" i="17"/>
  <c r="O519" i="17"/>
  <c r="O527" i="17"/>
  <c r="O535" i="17"/>
  <c r="O543" i="17"/>
  <c r="O551" i="17"/>
  <c r="O559" i="17"/>
  <c r="N564" i="17"/>
  <c r="O567" i="17"/>
  <c r="U569" i="17"/>
  <c r="T571" i="17"/>
  <c r="U573" i="17"/>
  <c r="V575" i="17"/>
  <c r="O577" i="17"/>
  <c r="V578" i="17"/>
  <c r="X580" i="17"/>
  <c r="W583" i="17"/>
  <c r="N585" i="17"/>
  <c r="U586" i="17"/>
  <c r="W588" i="17"/>
  <c r="P590" i="17"/>
  <c r="U591" i="17"/>
  <c r="T594" i="17"/>
  <c r="V596" i="17"/>
  <c r="N598" i="17"/>
  <c r="X598" i="17"/>
  <c r="T599" i="17"/>
  <c r="P603" i="17"/>
  <c r="T604" i="17"/>
  <c r="V606" i="17"/>
  <c r="X608" i="17"/>
  <c r="O611" i="17"/>
  <c r="X611" i="17"/>
  <c r="N617" i="17"/>
  <c r="X618" i="17"/>
  <c r="W618" i="17"/>
  <c r="V618" i="17"/>
  <c r="T619" i="17"/>
  <c r="X636" i="17"/>
  <c r="V636" i="17"/>
  <c r="U636" i="17"/>
  <c r="T636" i="17"/>
  <c r="V648" i="17"/>
  <c r="X648" i="17"/>
  <c r="W648" i="17"/>
  <c r="T648" i="17"/>
  <c r="W690" i="17"/>
  <c r="V690" i="17"/>
  <c r="U690" i="17"/>
  <c r="X690" i="17"/>
  <c r="T690" i="17"/>
  <c r="O723" i="17"/>
  <c r="N723" i="17"/>
  <c r="P723" i="17"/>
  <c r="V569" i="17"/>
  <c r="W575" i="17"/>
  <c r="N578" i="17"/>
  <c r="X578" i="17"/>
  <c r="T579" i="17"/>
  <c r="O583" i="17"/>
  <c r="X583" i="17"/>
  <c r="O585" i="17"/>
  <c r="N593" i="17"/>
  <c r="U594" i="17"/>
  <c r="W596" i="17"/>
  <c r="P598" i="17"/>
  <c r="U599" i="17"/>
  <c r="T602" i="17"/>
  <c r="N606" i="17"/>
  <c r="X606" i="17"/>
  <c r="T607" i="17"/>
  <c r="P611" i="17"/>
  <c r="V612" i="17"/>
  <c r="U612" i="17"/>
  <c r="T612" i="17"/>
  <c r="N614" i="17"/>
  <c r="W615" i="17"/>
  <c r="V615" i="17"/>
  <c r="X615" i="17"/>
  <c r="O617" i="17"/>
  <c r="U619" i="17"/>
  <c r="T623" i="17"/>
  <c r="W627" i="17"/>
  <c r="V627" i="17"/>
  <c r="X627" i="17"/>
  <c r="W631" i="17"/>
  <c r="V631" i="17"/>
  <c r="X631" i="17"/>
  <c r="N634" i="17"/>
  <c r="P635" i="17"/>
  <c r="W636" i="17"/>
  <c r="O657" i="17"/>
  <c r="N657" i="17"/>
  <c r="P657" i="17"/>
  <c r="O664" i="17"/>
  <c r="P664" i="17"/>
  <c r="N664" i="17"/>
  <c r="U679" i="17"/>
  <c r="W722" i="17"/>
  <c r="V722" i="17"/>
  <c r="U722" i="17"/>
  <c r="T722" i="17"/>
  <c r="T577" i="17"/>
  <c r="T585" i="17"/>
  <c r="T593" i="17"/>
  <c r="T601" i="17"/>
  <c r="T609" i="17"/>
  <c r="T617" i="17"/>
  <c r="T625" i="17"/>
  <c r="W626" i="17"/>
  <c r="T633" i="17"/>
  <c r="W634" i="17"/>
  <c r="N639" i="17"/>
  <c r="U641" i="17"/>
  <c r="U643" i="17"/>
  <c r="T645" i="17"/>
  <c r="W647" i="17"/>
  <c r="V652" i="17"/>
  <c r="O654" i="17"/>
  <c r="V658" i="17"/>
  <c r="U662" i="17"/>
  <c r="T666" i="17"/>
  <c r="X669" i="17"/>
  <c r="P672" i="17"/>
  <c r="W673" i="17"/>
  <c r="V673" i="17"/>
  <c r="T673" i="17"/>
  <c r="T674" i="17"/>
  <c r="U682" i="17"/>
  <c r="N688" i="17"/>
  <c r="O698" i="17"/>
  <c r="N698" i="17"/>
  <c r="P698" i="17"/>
  <c r="O703" i="17"/>
  <c r="N703" i="17"/>
  <c r="W705" i="17"/>
  <c r="V705" i="17"/>
  <c r="W706" i="17"/>
  <c r="V706" i="17"/>
  <c r="U706" i="17"/>
  <c r="T614" i="17"/>
  <c r="T622" i="17"/>
  <c r="X626" i="17"/>
  <c r="T630" i="17"/>
  <c r="X634" i="17"/>
  <c r="T638" i="17"/>
  <c r="V641" i="17"/>
  <c r="O647" i="17"/>
  <c r="X647" i="17"/>
  <c r="W652" i="17"/>
  <c r="N658" i="17"/>
  <c r="W658" i="17"/>
  <c r="W662" i="17"/>
  <c r="W665" i="17"/>
  <c r="T665" i="17"/>
  <c r="X665" i="17"/>
  <c r="U666" i="17"/>
  <c r="P676" i="17"/>
  <c r="O676" i="17"/>
  <c r="N676" i="17"/>
  <c r="N677" i="17"/>
  <c r="V678" i="17"/>
  <c r="U678" i="17"/>
  <c r="T678" i="17"/>
  <c r="X678" i="17"/>
  <c r="W682" i="17"/>
  <c r="O702" i="17"/>
  <c r="N702" i="17"/>
  <c r="P702" i="17"/>
  <c r="O707" i="17"/>
  <c r="N707" i="17"/>
  <c r="W709" i="17"/>
  <c r="V709" i="17"/>
  <c r="W710" i="17"/>
  <c r="V710" i="17"/>
  <c r="U710" i="17"/>
  <c r="T640" i="17"/>
  <c r="X641" i="17"/>
  <c r="T644" i="17"/>
  <c r="U653" i="17"/>
  <c r="X653" i="17"/>
  <c r="V653" i="17"/>
  <c r="V686" i="17"/>
  <c r="U686" i="17"/>
  <c r="X686" i="17"/>
  <c r="O710" i="17"/>
  <c r="N710" i="17"/>
  <c r="P710" i="17"/>
  <c r="O715" i="17"/>
  <c r="N715" i="17"/>
  <c r="W717" i="17"/>
  <c r="V717" i="17"/>
  <c r="U717" i="17"/>
  <c r="W721" i="17"/>
  <c r="V721" i="17"/>
  <c r="U721" i="17"/>
  <c r="W726" i="17"/>
  <c r="T726" i="17"/>
  <c r="V726" i="17"/>
  <c r="W786" i="17"/>
  <c r="V786" i="17"/>
  <c r="U786" i="17"/>
  <c r="T786" i="17"/>
  <c r="U640" i="17"/>
  <c r="U644" i="17"/>
  <c r="U646" i="17"/>
  <c r="P650" i="17"/>
  <c r="U651" i="17"/>
  <c r="W653" i="17"/>
  <c r="T654" i="17"/>
  <c r="O659" i="17"/>
  <c r="V660" i="17"/>
  <c r="N662" i="17"/>
  <c r="P662" i="17"/>
  <c r="O665" i="17"/>
  <c r="N665" i="17"/>
  <c r="O666" i="17"/>
  <c r="U667" i="17"/>
  <c r="W667" i="17"/>
  <c r="V667" i="17"/>
  <c r="U668" i="17"/>
  <c r="P670" i="17"/>
  <c r="T676" i="17"/>
  <c r="X687" i="17"/>
  <c r="V687" i="17"/>
  <c r="U687" i="17"/>
  <c r="O689" i="17"/>
  <c r="N689" i="17"/>
  <c r="P689" i="17"/>
  <c r="T697" i="17"/>
  <c r="O714" i="17"/>
  <c r="N714" i="17"/>
  <c r="P714" i="17"/>
  <c r="O718" i="17"/>
  <c r="N718" i="17"/>
  <c r="P718" i="17"/>
  <c r="O722" i="17"/>
  <c r="N722" i="17"/>
  <c r="P722" i="17"/>
  <c r="O731" i="17"/>
  <c r="N731" i="17"/>
  <c r="P731" i="17"/>
  <c r="T826" i="17"/>
  <c r="W826" i="17"/>
  <c r="U826" i="17"/>
  <c r="W640" i="17"/>
  <c r="V644" i="17"/>
  <c r="N653" i="17"/>
  <c r="U654" i="17"/>
  <c r="P659" i="17"/>
  <c r="T669" i="17"/>
  <c r="T706" i="17"/>
  <c r="O739" i="17"/>
  <c r="N739" i="17"/>
  <c r="P739" i="17"/>
  <c r="P846" i="17"/>
  <c r="N846" i="17"/>
  <c r="O846" i="17"/>
  <c r="W848" i="17"/>
  <c r="V848" i="17"/>
  <c r="T848" i="17"/>
  <c r="X668" i="17"/>
  <c r="W668" i="17"/>
  <c r="T668" i="17"/>
  <c r="U669" i="17"/>
  <c r="N686" i="17"/>
  <c r="P686" i="17"/>
  <c r="W697" i="17"/>
  <c r="V697" i="17"/>
  <c r="W698" i="17"/>
  <c r="V698" i="17"/>
  <c r="U698" i="17"/>
  <c r="T710" i="17"/>
  <c r="W725" i="17"/>
  <c r="V725" i="17"/>
  <c r="T725" i="17"/>
  <c r="U725" i="17"/>
  <c r="O747" i="17"/>
  <c r="N747" i="17"/>
  <c r="P747" i="17"/>
  <c r="W761" i="17"/>
  <c r="V761" i="17"/>
  <c r="U761" i="17"/>
  <c r="T761" i="17"/>
  <c r="O775" i="17"/>
  <c r="N775" i="17"/>
  <c r="P775" i="17"/>
  <c r="O835" i="17"/>
  <c r="N835" i="17"/>
  <c r="P835" i="17"/>
  <c r="U647" i="17"/>
  <c r="T652" i="17"/>
  <c r="W657" i="17"/>
  <c r="T657" i="17"/>
  <c r="X657" i="17"/>
  <c r="U658" i="17"/>
  <c r="P660" i="17"/>
  <c r="O660" i="17"/>
  <c r="W669" i="17"/>
  <c r="X676" i="17"/>
  <c r="W676" i="17"/>
  <c r="U677" i="17"/>
  <c r="X677" i="17"/>
  <c r="V677" i="17"/>
  <c r="W681" i="17"/>
  <c r="V681" i="17"/>
  <c r="T681" i="17"/>
  <c r="T682" i="17"/>
  <c r="X684" i="17"/>
  <c r="W684" i="17"/>
  <c r="V684" i="17"/>
  <c r="V694" i="17"/>
  <c r="U694" i="17"/>
  <c r="X694" i="17"/>
  <c r="O699" i="17"/>
  <c r="N699" i="17"/>
  <c r="W701" i="17"/>
  <c r="V701" i="17"/>
  <c r="W702" i="17"/>
  <c r="V702" i="17"/>
  <c r="U702" i="17"/>
  <c r="P703" i="17"/>
  <c r="U705" i="17"/>
  <c r="T709" i="17"/>
  <c r="O755" i="17"/>
  <c r="N755" i="17"/>
  <c r="P755" i="17"/>
  <c r="W663" i="17"/>
  <c r="V670" i="17"/>
  <c r="U670" i="17"/>
  <c r="W670" i="17"/>
  <c r="P692" i="17"/>
  <c r="O692" i="17"/>
  <c r="V693" i="17"/>
  <c r="W699" i="17"/>
  <c r="V699" i="17"/>
  <c r="W703" i="17"/>
  <c r="V703" i="17"/>
  <c r="W707" i="17"/>
  <c r="V707" i="17"/>
  <c r="W711" i="17"/>
  <c r="V711" i="17"/>
  <c r="W715" i="17"/>
  <c r="V715" i="17"/>
  <c r="W719" i="17"/>
  <c r="V719" i="17"/>
  <c r="V724" i="17"/>
  <c r="O729" i="17"/>
  <c r="N729" i="17"/>
  <c r="P730" i="17"/>
  <c r="V732" i="17"/>
  <c r="T734" i="17"/>
  <c r="O737" i="17"/>
  <c r="N737" i="17"/>
  <c r="P738" i="17"/>
  <c r="V740" i="17"/>
  <c r="T742" i="17"/>
  <c r="O745" i="17"/>
  <c r="N745" i="17"/>
  <c r="P746" i="17"/>
  <c r="V748" i="17"/>
  <c r="T750" i="17"/>
  <c r="O753" i="17"/>
  <c r="N753" i="17"/>
  <c r="P754" i="17"/>
  <c r="W757" i="17"/>
  <c r="V757" i="17"/>
  <c r="U757" i="17"/>
  <c r="V758" i="17"/>
  <c r="U760" i="17"/>
  <c r="T762" i="17"/>
  <c r="O767" i="17"/>
  <c r="N767" i="17"/>
  <c r="O769" i="17"/>
  <c r="N769" i="17"/>
  <c r="O771" i="17"/>
  <c r="N771" i="17"/>
  <c r="V778" i="17"/>
  <c r="U780" i="17"/>
  <c r="T782" i="17"/>
  <c r="O787" i="17"/>
  <c r="N787" i="17"/>
  <c r="O792" i="17"/>
  <c r="O800" i="17"/>
  <c r="W804" i="17"/>
  <c r="V804" i="17"/>
  <c r="U804" i="17"/>
  <c r="P817" i="17"/>
  <c r="O817" i="17"/>
  <c r="N817" i="17"/>
  <c r="O907" i="17"/>
  <c r="N907" i="17"/>
  <c r="P907" i="17"/>
  <c r="W914" i="17"/>
  <c r="V914" i="17"/>
  <c r="U914" i="17"/>
  <c r="W733" i="17"/>
  <c r="V733" i="17"/>
  <c r="U734" i="17"/>
  <c r="W741" i="17"/>
  <c r="V741" i="17"/>
  <c r="U742" i="17"/>
  <c r="W749" i="17"/>
  <c r="V749" i="17"/>
  <c r="U750" i="17"/>
  <c r="W759" i="17"/>
  <c r="V759" i="17"/>
  <c r="U759" i="17"/>
  <c r="U762" i="17"/>
  <c r="O773" i="17"/>
  <c r="N773" i="17"/>
  <c r="T784" i="17"/>
  <c r="O789" i="17"/>
  <c r="N789" i="17"/>
  <c r="W796" i="17"/>
  <c r="V796" i="17"/>
  <c r="U796" i="17"/>
  <c r="O811" i="17"/>
  <c r="N811" i="17"/>
  <c r="W858" i="17"/>
  <c r="T858" i="17"/>
  <c r="V858" i="17"/>
  <c r="P886" i="17"/>
  <c r="N886" i="17"/>
  <c r="O891" i="17"/>
  <c r="N891" i="17"/>
  <c r="N935" i="17"/>
  <c r="P935" i="17"/>
  <c r="O935" i="17"/>
  <c r="P1013" i="17"/>
  <c r="O1013" i="17"/>
  <c r="N1013" i="17"/>
  <c r="P1014" i="17"/>
  <c r="O1014" i="17"/>
  <c r="N1014" i="17"/>
  <c r="O719" i="17"/>
  <c r="N719" i="17"/>
  <c r="W727" i="17"/>
  <c r="V727" i="17"/>
  <c r="U728" i="17"/>
  <c r="W735" i="17"/>
  <c r="V735" i="17"/>
  <c r="U736" i="17"/>
  <c r="W743" i="17"/>
  <c r="V743" i="17"/>
  <c r="U744" i="17"/>
  <c r="W751" i="17"/>
  <c r="V751" i="17"/>
  <c r="U752" i="17"/>
  <c r="O757" i="17"/>
  <c r="N757" i="17"/>
  <c r="W763" i="17"/>
  <c r="V763" i="17"/>
  <c r="U763" i="17"/>
  <c r="U766" i="17"/>
  <c r="U768" i="17"/>
  <c r="U770" i="17"/>
  <c r="T772" i="17"/>
  <c r="O777" i="17"/>
  <c r="N777" i="17"/>
  <c r="V784" i="17"/>
  <c r="T788" i="17"/>
  <c r="V790" i="17"/>
  <c r="V798" i="17"/>
  <c r="P802" i="17"/>
  <c r="O802" i="17"/>
  <c r="N802" i="17"/>
  <c r="W806" i="17"/>
  <c r="U806" i="17"/>
  <c r="T806" i="17"/>
  <c r="N925" i="17"/>
  <c r="O925" i="17"/>
  <c r="P928" i="17"/>
  <c r="O928" i="17"/>
  <c r="N928" i="17"/>
  <c r="V963" i="17"/>
  <c r="T963" i="17"/>
  <c r="U963" i="17"/>
  <c r="O725" i="17"/>
  <c r="N725" i="17"/>
  <c r="O733" i="17"/>
  <c r="N733" i="17"/>
  <c r="O741" i="17"/>
  <c r="N741" i="17"/>
  <c r="O749" i="17"/>
  <c r="N749" i="17"/>
  <c r="O759" i="17"/>
  <c r="N759" i="17"/>
  <c r="W765" i="17"/>
  <c r="V765" i="17"/>
  <c r="U765" i="17"/>
  <c r="T774" i="17"/>
  <c r="O779" i="17"/>
  <c r="N779" i="17"/>
  <c r="W790" i="17"/>
  <c r="P794" i="17"/>
  <c r="O794" i="17"/>
  <c r="N794" i="17"/>
  <c r="W798" i="17"/>
  <c r="V816" i="17"/>
  <c r="P878" i="17"/>
  <c r="N878" i="17"/>
  <c r="O899" i="17"/>
  <c r="N899" i="17"/>
  <c r="P668" i="17"/>
  <c r="O668" i="17"/>
  <c r="O673" i="17"/>
  <c r="N673" i="17"/>
  <c r="O681" i="17"/>
  <c r="N681" i="17"/>
  <c r="X692" i="17"/>
  <c r="W692" i="17"/>
  <c r="V692" i="17"/>
  <c r="O694" i="17"/>
  <c r="U695" i="17"/>
  <c r="N728" i="17"/>
  <c r="W729" i="17"/>
  <c r="V729" i="17"/>
  <c r="U730" i="17"/>
  <c r="N736" i="17"/>
  <c r="W737" i="17"/>
  <c r="V737" i="17"/>
  <c r="U738" i="17"/>
  <c r="N744" i="17"/>
  <c r="W745" i="17"/>
  <c r="V745" i="17"/>
  <c r="U746" i="17"/>
  <c r="N752" i="17"/>
  <c r="W753" i="17"/>
  <c r="V753" i="17"/>
  <c r="U754" i="17"/>
  <c r="T756" i="17"/>
  <c r="O761" i="17"/>
  <c r="N761" i="17"/>
  <c r="V772" i="17"/>
  <c r="U774" i="17"/>
  <c r="T776" i="17"/>
  <c r="O781" i="17"/>
  <c r="N781" i="17"/>
  <c r="V788" i="17"/>
  <c r="P797" i="17"/>
  <c r="W810" i="17"/>
  <c r="V810" i="17"/>
  <c r="U810" i="17"/>
  <c r="P815" i="17"/>
  <c r="W816" i="17"/>
  <c r="W920" i="17"/>
  <c r="V920" i="17"/>
  <c r="U920" i="17"/>
  <c r="T920" i="17"/>
  <c r="T693" i="17"/>
  <c r="O727" i="17"/>
  <c r="N727" i="17"/>
  <c r="O735" i="17"/>
  <c r="N735" i="17"/>
  <c r="O743" i="17"/>
  <c r="N743" i="17"/>
  <c r="O751" i="17"/>
  <c r="N751" i="17"/>
  <c r="U756" i="17"/>
  <c r="O763" i="17"/>
  <c r="N763" i="17"/>
  <c r="V774" i="17"/>
  <c r="T778" i="17"/>
  <c r="O783" i="17"/>
  <c r="N783" i="17"/>
  <c r="W834" i="17"/>
  <c r="V834" i="17"/>
  <c r="U834" i="17"/>
  <c r="P849" i="17"/>
  <c r="O849" i="17"/>
  <c r="N849" i="17"/>
  <c r="W866" i="17"/>
  <c r="T866" i="17"/>
  <c r="V866" i="17"/>
  <c r="P894" i="17"/>
  <c r="N894" i="17"/>
  <c r="O894" i="17"/>
  <c r="P958" i="17"/>
  <c r="O958" i="17"/>
  <c r="N958" i="17"/>
  <c r="O697" i="17"/>
  <c r="N697" i="17"/>
  <c r="O701" i="17"/>
  <c r="N701" i="17"/>
  <c r="O705" i="17"/>
  <c r="N705" i="17"/>
  <c r="O709" i="17"/>
  <c r="N709" i="17"/>
  <c r="O713" i="17"/>
  <c r="N713" i="17"/>
  <c r="O717" i="17"/>
  <c r="N717" i="17"/>
  <c r="O721" i="17"/>
  <c r="N721" i="17"/>
  <c r="W723" i="17"/>
  <c r="V723" i="17"/>
  <c r="U724" i="17"/>
  <c r="N730" i="17"/>
  <c r="W731" i="17"/>
  <c r="V731" i="17"/>
  <c r="U732" i="17"/>
  <c r="T733" i="17"/>
  <c r="N738" i="17"/>
  <c r="W739" i="17"/>
  <c r="V739" i="17"/>
  <c r="U740" i="17"/>
  <c r="T741" i="17"/>
  <c r="N746" i="17"/>
  <c r="W747" i="17"/>
  <c r="V747" i="17"/>
  <c r="U748" i="17"/>
  <c r="T749" i="17"/>
  <c r="N754" i="17"/>
  <c r="W755" i="17"/>
  <c r="V755" i="17"/>
  <c r="U755" i="17"/>
  <c r="V756" i="17"/>
  <c r="U758" i="17"/>
  <c r="T759" i="17"/>
  <c r="O765" i="17"/>
  <c r="N765" i="17"/>
  <c r="U778" i="17"/>
  <c r="T780" i="17"/>
  <c r="O785" i="17"/>
  <c r="N785" i="17"/>
  <c r="P791" i="17"/>
  <c r="O791" i="17"/>
  <c r="N791" i="17"/>
  <c r="N792" i="17"/>
  <c r="P799" i="17"/>
  <c r="O799" i="17"/>
  <c r="N799" i="17"/>
  <c r="N800" i="17"/>
  <c r="T804" i="17"/>
  <c r="P828" i="17"/>
  <c r="N828" i="17"/>
  <c r="T914" i="17"/>
  <c r="W942" i="17"/>
  <c r="V942" i="17"/>
  <c r="T942" i="17"/>
  <c r="V945" i="17"/>
  <c r="T945" i="17"/>
  <c r="W945" i="17"/>
  <c r="V976" i="17"/>
  <c r="U976" i="17"/>
  <c r="T976" i="17"/>
  <c r="O790" i="17"/>
  <c r="T794" i="17"/>
  <c r="O798" i="17"/>
  <c r="T802" i="17"/>
  <c r="P806" i="17"/>
  <c r="N806" i="17"/>
  <c r="T808" i="17"/>
  <c r="U814" i="17"/>
  <c r="P822" i="17"/>
  <c r="N822" i="17"/>
  <c r="U824" i="17"/>
  <c r="T842" i="17"/>
  <c r="P854" i="17"/>
  <c r="N854" i="17"/>
  <c r="U856" i="17"/>
  <c r="P870" i="17"/>
  <c r="N870" i="17"/>
  <c r="O883" i="17"/>
  <c r="N883" i="17"/>
  <c r="T898" i="17"/>
  <c r="U906" i="17"/>
  <c r="N943" i="17"/>
  <c r="O943" i="17"/>
  <c r="P943" i="17"/>
  <c r="P944" i="17"/>
  <c r="T767" i="17"/>
  <c r="T769" i="17"/>
  <c r="T771" i="17"/>
  <c r="T773" i="17"/>
  <c r="T775" i="17"/>
  <c r="T777" i="17"/>
  <c r="T779" i="17"/>
  <c r="T781" i="17"/>
  <c r="T783" i="17"/>
  <c r="T785" i="17"/>
  <c r="T787" i="17"/>
  <c r="T789" i="17"/>
  <c r="U794" i="17"/>
  <c r="U802" i="17"/>
  <c r="U808" i="17"/>
  <c r="V814" i="17"/>
  <c r="U842" i="17"/>
  <c r="P862" i="17"/>
  <c r="N862" i="17"/>
  <c r="O875" i="17"/>
  <c r="N875" i="17"/>
  <c r="U898" i="17"/>
  <c r="P918" i="17"/>
  <c r="N918" i="17"/>
  <c r="N965" i="17"/>
  <c r="O965" i="17"/>
  <c r="P974" i="17"/>
  <c r="N974" i="17"/>
  <c r="P981" i="17"/>
  <c r="O981" i="17"/>
  <c r="N981" i="17"/>
  <c r="U767" i="17"/>
  <c r="U769" i="17"/>
  <c r="U771" i="17"/>
  <c r="U773" i="17"/>
  <c r="U775" i="17"/>
  <c r="U777" i="17"/>
  <c r="U779" i="17"/>
  <c r="U781" i="17"/>
  <c r="U783" i="17"/>
  <c r="U785" i="17"/>
  <c r="U787" i="17"/>
  <c r="U789" i="17"/>
  <c r="V794" i="17"/>
  <c r="T800" i="17"/>
  <c r="V802" i="17"/>
  <c r="V808" i="17"/>
  <c r="T818" i="17"/>
  <c r="N820" i="17"/>
  <c r="N827" i="17"/>
  <c r="P830" i="17"/>
  <c r="N830" i="17"/>
  <c r="U832" i="17"/>
  <c r="V842" i="17"/>
  <c r="T850" i="17"/>
  <c r="N852" i="17"/>
  <c r="P859" i="17"/>
  <c r="O867" i="17"/>
  <c r="N867" i="17"/>
  <c r="T882" i="17"/>
  <c r="U890" i="17"/>
  <c r="V898" i="17"/>
  <c r="N921" i="17"/>
  <c r="O921" i="17"/>
  <c r="P921" i="17"/>
  <c r="U923" i="17"/>
  <c r="U934" i="17"/>
  <c r="O949" i="17"/>
  <c r="T956" i="17"/>
  <c r="T675" i="17"/>
  <c r="V767" i="17"/>
  <c r="V769" i="17"/>
  <c r="V771" i="17"/>
  <c r="V773" i="17"/>
  <c r="V775" i="17"/>
  <c r="V777" i="17"/>
  <c r="V779" i="17"/>
  <c r="V781" i="17"/>
  <c r="V783" i="17"/>
  <c r="V785" i="17"/>
  <c r="V787" i="17"/>
  <c r="V789" i="17"/>
  <c r="O820" i="17"/>
  <c r="P827" i="17"/>
  <c r="T840" i="17"/>
  <c r="O852" i="17"/>
  <c r="T874" i="17"/>
  <c r="U882" i="17"/>
  <c r="P910" i="17"/>
  <c r="N910" i="17"/>
  <c r="O915" i="17"/>
  <c r="N915" i="17"/>
  <c r="V937" i="17"/>
  <c r="T937" i="17"/>
  <c r="N948" i="17"/>
  <c r="P948" i="17"/>
  <c r="O948" i="17"/>
  <c r="P949" i="17"/>
  <c r="V955" i="17"/>
  <c r="T955" i="17"/>
  <c r="W955" i="17"/>
  <c r="U956" i="17"/>
  <c r="T961" i="17"/>
  <c r="O970" i="17"/>
  <c r="N970" i="17"/>
  <c r="P970" i="17"/>
  <c r="P814" i="17"/>
  <c r="N814" i="17"/>
  <c r="P838" i="17"/>
  <c r="N838" i="17"/>
  <c r="U840" i="17"/>
  <c r="U874" i="17"/>
  <c r="P902" i="17"/>
  <c r="N902" i="17"/>
  <c r="N929" i="17"/>
  <c r="O929" i="17"/>
  <c r="W956" i="17"/>
  <c r="N959" i="17"/>
  <c r="P959" i="17"/>
  <c r="O959" i="17"/>
  <c r="U961" i="17"/>
  <c r="O997" i="17"/>
  <c r="N997" i="17"/>
  <c r="P997" i="17"/>
  <c r="P998" i="17"/>
  <c r="O998" i="17"/>
  <c r="N998" i="17"/>
  <c r="W1006" i="17"/>
  <c r="V1006" i="17"/>
  <c r="U1006" i="17"/>
  <c r="T1006" i="17"/>
  <c r="P976" i="17"/>
  <c r="O976" i="17"/>
  <c r="N976" i="17"/>
  <c r="O1003" i="17"/>
  <c r="P1003" i="17"/>
  <c r="P1004" i="17"/>
  <c r="O1004" i="17"/>
  <c r="N1004" i="17"/>
  <c r="O1051" i="17"/>
  <c r="N1051" i="17"/>
  <c r="P1051" i="17"/>
  <c r="U864" i="17"/>
  <c r="U872" i="17"/>
  <c r="U880" i="17"/>
  <c r="U888" i="17"/>
  <c r="U896" i="17"/>
  <c r="U904" i="17"/>
  <c r="U912" i="17"/>
  <c r="U924" i="17"/>
  <c r="T928" i="17"/>
  <c r="U931" i="17"/>
  <c r="U947" i="17"/>
  <c r="U964" i="17"/>
  <c r="N967" i="17"/>
  <c r="P967" i="17"/>
  <c r="O967" i="17"/>
  <c r="U969" i="17"/>
  <c r="P1050" i="17"/>
  <c r="O1050" i="17"/>
  <c r="N1050" i="17"/>
  <c r="V912" i="17"/>
  <c r="W924" i="17"/>
  <c r="U928" i="17"/>
  <c r="W931" i="17"/>
  <c r="N937" i="17"/>
  <c r="O937" i="17"/>
  <c r="W947" i="17"/>
  <c r="N952" i="17"/>
  <c r="U958" i="17"/>
  <c r="W964" i="17"/>
  <c r="W969" i="17"/>
  <c r="T971" i="17"/>
  <c r="W971" i="17"/>
  <c r="U971" i="17"/>
  <c r="W972" i="17"/>
  <c r="O977" i="17"/>
  <c r="N977" i="17"/>
  <c r="N989" i="17"/>
  <c r="U822" i="17"/>
  <c r="U830" i="17"/>
  <c r="U838" i="17"/>
  <c r="U846" i="17"/>
  <c r="U854" i="17"/>
  <c r="U862" i="17"/>
  <c r="U870" i="17"/>
  <c r="U878" i="17"/>
  <c r="U886" i="17"/>
  <c r="U894" i="17"/>
  <c r="U902" i="17"/>
  <c r="U910" i="17"/>
  <c r="U918" i="17"/>
  <c r="W921" i="17"/>
  <c r="U925" i="17"/>
  <c r="V928" i="17"/>
  <c r="U932" i="17"/>
  <c r="T936" i="17"/>
  <c r="O938" i="17"/>
  <c r="U939" i="17"/>
  <c r="W948" i="17"/>
  <c r="N951" i="17"/>
  <c r="O951" i="17"/>
  <c r="O952" i="17"/>
  <c r="U953" i="17"/>
  <c r="N956" i="17"/>
  <c r="P956" i="17"/>
  <c r="O957" i="17"/>
  <c r="V958" i="17"/>
  <c r="O987" i="17"/>
  <c r="N987" i="17"/>
  <c r="P988" i="17"/>
  <c r="O988" i="17"/>
  <c r="N988" i="17"/>
  <c r="O989" i="17"/>
  <c r="W990" i="17"/>
  <c r="V990" i="17"/>
  <c r="U990" i="17"/>
  <c r="T990" i="17"/>
  <c r="W992" i="17"/>
  <c r="V992" i="17"/>
  <c r="T992" i="17"/>
  <c r="N1011" i="17"/>
  <c r="V918" i="17"/>
  <c r="P924" i="17"/>
  <c r="W925" i="17"/>
  <c r="T926" i="17"/>
  <c r="U929" i="17"/>
  <c r="W932" i="17"/>
  <c r="T933" i="17"/>
  <c r="U936" i="17"/>
  <c r="W939" i="17"/>
  <c r="T940" i="17"/>
  <c r="T950" i="17"/>
  <c r="W953" i="17"/>
  <c r="P957" i="17"/>
  <c r="O962" i="17"/>
  <c r="N962" i="17"/>
  <c r="V974" i="17"/>
  <c r="T974" i="17"/>
  <c r="W974" i="17"/>
  <c r="W982" i="17"/>
  <c r="V982" i="17"/>
  <c r="T982" i="17"/>
  <c r="P1011" i="17"/>
  <c r="W1014" i="17"/>
  <c r="V1014" i="17"/>
  <c r="U1014" i="17"/>
  <c r="W1022" i="17"/>
  <c r="V1022" i="17"/>
  <c r="U1022" i="17"/>
  <c r="T1022" i="17"/>
  <c r="W1024" i="17"/>
  <c r="V1024" i="17"/>
  <c r="T1024" i="17"/>
  <c r="U1024" i="17"/>
  <c r="W929" i="17"/>
  <c r="U933" i="17"/>
  <c r="U940" i="17"/>
  <c r="P972" i="17"/>
  <c r="O972" i="17"/>
  <c r="P980" i="17"/>
  <c r="O980" i="17"/>
  <c r="N980" i="17"/>
  <c r="P990" i="17"/>
  <c r="O990" i="17"/>
  <c r="N990" i="17"/>
  <c r="W1000" i="17"/>
  <c r="V1000" i="17"/>
  <c r="U1000" i="17"/>
  <c r="P1012" i="17"/>
  <c r="O1012" i="17"/>
  <c r="N1012" i="17"/>
  <c r="U941" i="17"/>
  <c r="V946" i="17"/>
  <c r="U949" i="17"/>
  <c r="V954" i="17"/>
  <c r="U957" i="17"/>
  <c r="V962" i="17"/>
  <c r="U965" i="17"/>
  <c r="V970" i="17"/>
  <c r="O973" i="17"/>
  <c r="T978" i="17"/>
  <c r="P984" i="17"/>
  <c r="O984" i="17"/>
  <c r="N984" i="17"/>
  <c r="W986" i="17"/>
  <c r="V986" i="17"/>
  <c r="P995" i="17"/>
  <c r="W1008" i="17"/>
  <c r="V1008" i="17"/>
  <c r="P1021" i="17"/>
  <c r="P1029" i="17"/>
  <c r="P1037" i="17"/>
  <c r="P1045" i="17"/>
  <c r="W962" i="17"/>
  <c r="W970" i="17"/>
  <c r="P996" i="17"/>
  <c r="O996" i="17"/>
  <c r="N996" i="17"/>
  <c r="W998" i="17"/>
  <c r="V998" i="17"/>
  <c r="U998" i="17"/>
  <c r="P1006" i="17"/>
  <c r="O1006" i="17"/>
  <c r="N1006" i="17"/>
  <c r="P1019" i="17"/>
  <c r="O1019" i="17"/>
  <c r="P1020" i="17"/>
  <c r="O1020" i="17"/>
  <c r="N1020" i="17"/>
  <c r="P1022" i="17"/>
  <c r="O1022" i="17"/>
  <c r="N1022" i="17"/>
  <c r="P1027" i="17"/>
  <c r="O1027" i="17"/>
  <c r="N1027" i="17"/>
  <c r="P1028" i="17"/>
  <c r="O1028" i="17"/>
  <c r="N1028" i="17"/>
  <c r="P1030" i="17"/>
  <c r="O1030" i="17"/>
  <c r="N1030" i="17"/>
  <c r="P1035" i="17"/>
  <c r="O1035" i="17"/>
  <c r="N1035" i="17"/>
  <c r="P1036" i="17"/>
  <c r="O1036" i="17"/>
  <c r="N1036" i="17"/>
  <c r="P1038" i="17"/>
  <c r="O1038" i="17"/>
  <c r="N1038" i="17"/>
  <c r="P1043" i="17"/>
  <c r="O1043" i="17"/>
  <c r="N1043" i="17"/>
  <c r="P1044" i="17"/>
  <c r="O1044" i="17"/>
  <c r="N1044" i="17"/>
  <c r="P1046" i="17"/>
  <c r="O1046" i="17"/>
  <c r="N1046" i="17"/>
  <c r="W1054" i="17"/>
  <c r="V1054" i="17"/>
  <c r="T1054" i="17"/>
  <c r="W1048" i="17"/>
  <c r="V1048" i="17"/>
  <c r="U1048" i="17"/>
  <c r="T1048" i="17"/>
  <c r="O1049" i="17"/>
  <c r="N1049" i="17"/>
  <c r="U919" i="17"/>
  <c r="U927" i="17"/>
  <c r="U935" i="17"/>
  <c r="U943" i="17"/>
  <c r="U951" i="17"/>
  <c r="U959" i="17"/>
  <c r="U967" i="17"/>
  <c r="V980" i="17"/>
  <c r="W984" i="17"/>
  <c r="V984" i="17"/>
  <c r="P992" i="17"/>
  <c r="O992" i="17"/>
  <c r="N992" i="17"/>
  <c r="W994" i="17"/>
  <c r="V994" i="17"/>
  <c r="W1016" i="17"/>
  <c r="V1016" i="17"/>
  <c r="T1016" i="17"/>
  <c r="O1029" i="17"/>
  <c r="W1030" i="17"/>
  <c r="V1030" i="17"/>
  <c r="U1030" i="17"/>
  <c r="T1030" i="17"/>
  <c r="W1032" i="17"/>
  <c r="V1032" i="17"/>
  <c r="T1032" i="17"/>
  <c r="O1037" i="17"/>
  <c r="W1038" i="17"/>
  <c r="V1038" i="17"/>
  <c r="U1038" i="17"/>
  <c r="T1038" i="17"/>
  <c r="W1040" i="17"/>
  <c r="V1040" i="17"/>
  <c r="T1040" i="17"/>
  <c r="O1045" i="17"/>
  <c r="W1046" i="17"/>
  <c r="V1046" i="17"/>
  <c r="U1046" i="17"/>
  <c r="T1046" i="17"/>
  <c r="P1048" i="17"/>
  <c r="O1048" i="17"/>
  <c r="N1048" i="17"/>
  <c r="P1000" i="17"/>
  <c r="O1000" i="17"/>
  <c r="N1000" i="17"/>
  <c r="W1002" i="17"/>
  <c r="V1002" i="17"/>
  <c r="P1008" i="17"/>
  <c r="O1008" i="17"/>
  <c r="N1008" i="17"/>
  <c r="W1010" i="17"/>
  <c r="V1010" i="17"/>
  <c r="P1016" i="17"/>
  <c r="O1016" i="17"/>
  <c r="N1016" i="17"/>
  <c r="W1018" i="17"/>
  <c r="V1018" i="17"/>
  <c r="P1024" i="17"/>
  <c r="O1024" i="17"/>
  <c r="N1024" i="17"/>
  <c r="W1026" i="17"/>
  <c r="V1026" i="17"/>
  <c r="P1032" i="17"/>
  <c r="O1032" i="17"/>
  <c r="N1032" i="17"/>
  <c r="W1034" i="17"/>
  <c r="V1034" i="17"/>
  <c r="P1040" i="17"/>
  <c r="O1040" i="17"/>
  <c r="N1040" i="17"/>
  <c r="W1042" i="17"/>
  <c r="V1042" i="17"/>
  <c r="W1052" i="17"/>
  <c r="V1052" i="17"/>
  <c r="P1054" i="17"/>
  <c r="O1054" i="17"/>
  <c r="N1054" i="17"/>
  <c r="O1055" i="17"/>
  <c r="N1055" i="17"/>
  <c r="P986" i="17"/>
  <c r="O986" i="17"/>
  <c r="N986" i="17"/>
  <c r="W988" i="17"/>
  <c r="V988" i="17"/>
  <c r="P994" i="17"/>
  <c r="O994" i="17"/>
  <c r="N994" i="17"/>
  <c r="W996" i="17"/>
  <c r="V996" i="17"/>
  <c r="P1002" i="17"/>
  <c r="O1002" i="17"/>
  <c r="N1002" i="17"/>
  <c r="W1004" i="17"/>
  <c r="V1004" i="17"/>
  <c r="P1010" i="17"/>
  <c r="O1010" i="17"/>
  <c r="N1010" i="17"/>
  <c r="W1012" i="17"/>
  <c r="V1012" i="17"/>
  <c r="P1018" i="17"/>
  <c r="O1018" i="17"/>
  <c r="N1018" i="17"/>
  <c r="W1020" i="17"/>
  <c r="V1020" i="17"/>
  <c r="P1026" i="17"/>
  <c r="O1026" i="17"/>
  <c r="N1026" i="17"/>
  <c r="W1028" i="17"/>
  <c r="V1028" i="17"/>
  <c r="P1034" i="17"/>
  <c r="O1034" i="17"/>
  <c r="N1034" i="17"/>
  <c r="W1036" i="17"/>
  <c r="V1036" i="17"/>
  <c r="P1042" i="17"/>
  <c r="O1042" i="17"/>
  <c r="N1042" i="17"/>
  <c r="W1044" i="17"/>
  <c r="V1044" i="17"/>
  <c r="W1050" i="17"/>
  <c r="V1050" i="17"/>
  <c r="P1052" i="17"/>
  <c r="O1052" i="17"/>
  <c r="N1052" i="17"/>
  <c r="O1053" i="17"/>
  <c r="N1053" i="17"/>
  <c r="T1047" i="17"/>
  <c r="T1049" i="17"/>
  <c r="T1051" i="17"/>
  <c r="T1053" i="17"/>
  <c r="T1055" i="17"/>
  <c r="V1049" i="17"/>
  <c r="V1051" i="17"/>
  <c r="V1053" i="17"/>
  <c r="V1055" i="17"/>
  <c r="F176" i="9" l="1"/>
  <c r="AL412" i="9"/>
  <c r="AK412" i="9" s="1"/>
  <c r="AL476" i="9"/>
  <c r="AO476" i="9" s="1"/>
  <c r="E177" i="9"/>
  <c r="E180" i="9"/>
  <c r="E201" i="9"/>
  <c r="Z476" i="9"/>
  <c r="AL422" i="9"/>
  <c r="AL443" i="9"/>
  <c r="AL479" i="9"/>
  <c r="AL444" i="9"/>
  <c r="AL409" i="9"/>
  <c r="Z475" i="9"/>
  <c r="AL473" i="9"/>
  <c r="AO473" i="9" s="1"/>
  <c r="AL470" i="9"/>
  <c r="AL410" i="9"/>
  <c r="AL431" i="9"/>
  <c r="AL428" i="9"/>
  <c r="AL421" i="9"/>
  <c r="Z472" i="9"/>
  <c r="Z473" i="9"/>
  <c r="AL418" i="9"/>
  <c r="AK418" i="9" s="1"/>
  <c r="AL423" i="9"/>
  <c r="AL432" i="9"/>
  <c r="AL425" i="9"/>
  <c r="AL437" i="9"/>
  <c r="AL463" i="9"/>
  <c r="AL415" i="9"/>
  <c r="AL464" i="9"/>
  <c r="AL442" i="9"/>
  <c r="AL474" i="9"/>
  <c r="AL450" i="9"/>
  <c r="AL411" i="9"/>
  <c r="AL438" i="9"/>
  <c r="AL472" i="9"/>
  <c r="Z470" i="9"/>
  <c r="AL436" i="9"/>
  <c r="AL441" i="9"/>
  <c r="AL427" i="9"/>
  <c r="AL416" i="9"/>
  <c r="AK416" i="9" s="1"/>
  <c r="AL478" i="9"/>
  <c r="AL426" i="9"/>
  <c r="AL414" i="9"/>
  <c r="AL413" i="9"/>
  <c r="AL465" i="9"/>
  <c r="AL451" i="9"/>
  <c r="AL439" i="9"/>
  <c r="AL430" i="9"/>
  <c r="AL435" i="9"/>
  <c r="AL471" i="9"/>
  <c r="AL475" i="9"/>
  <c r="AO475" i="9" s="1"/>
  <c r="AL417" i="9"/>
  <c r="AK417" i="9" s="1"/>
  <c r="AL429" i="9"/>
  <c r="AL449" i="9"/>
  <c r="AL445" i="9"/>
  <c r="AL447" i="9"/>
  <c r="Z440" i="9"/>
  <c r="AI440" i="9" s="1"/>
  <c r="AL446" i="9"/>
  <c r="AL448" i="9"/>
  <c r="AL434" i="9"/>
  <c r="AL424" i="9"/>
  <c r="AL440" i="9"/>
  <c r="E94" i="9"/>
  <c r="S3" i="5"/>
  <c r="B48" i="21"/>
  <c r="K6" i="21" s="1"/>
  <c r="F9" i="21"/>
  <c r="F13" i="21"/>
  <c r="F15" i="21"/>
  <c r="F24" i="21"/>
  <c r="G24" i="21" s="1"/>
  <c r="H24" i="21" s="1"/>
  <c r="G12" i="21"/>
  <c r="H12" i="21" s="1"/>
  <c r="E6" i="9"/>
  <c r="E7" i="21"/>
  <c r="J7" i="21"/>
  <c r="AN3" i="3"/>
  <c r="AO3" i="3"/>
  <c r="E308" i="9"/>
  <c r="R3" i="5"/>
  <c r="AL3" i="20"/>
  <c r="AK3" i="20"/>
  <c r="AJ3" i="20"/>
  <c r="D185"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0" i="9"/>
  <c r="F135" i="9"/>
  <c r="F105" i="9"/>
  <c r="D113" i="9" s="1"/>
  <c r="Z480" i="9"/>
  <c r="E17" i="9"/>
  <c r="E7" i="9"/>
  <c r="F330" i="9"/>
  <c r="F189" i="9"/>
  <c r="E300" i="9"/>
  <c r="Z414" i="9"/>
  <c r="F210" i="9"/>
  <c r="E295" i="9"/>
  <c r="D304" i="9"/>
  <c r="F250" i="9"/>
  <c r="F245" i="9"/>
  <c r="E297" i="9"/>
  <c r="F122" i="9"/>
  <c r="Z474" i="9"/>
  <c r="F163" i="9"/>
  <c r="D32" i="8" s="1"/>
  <c r="F285" i="9"/>
  <c r="E285" i="9" s="1"/>
  <c r="Z443" i="9"/>
  <c r="Z436" i="9"/>
  <c r="Z429" i="9"/>
  <c r="Z465" i="9"/>
  <c r="AI465" i="9" s="1"/>
  <c r="Z464" i="9"/>
  <c r="AI464" i="9" s="1"/>
  <c r="Z463" i="9"/>
  <c r="AI463" i="9" s="1"/>
  <c r="Z427" i="9"/>
  <c r="AI427" i="9" s="1"/>
  <c r="Z418" i="9"/>
  <c r="AI418" i="9" s="1"/>
  <c r="Z497" i="9"/>
  <c r="AI497" i="9" s="1"/>
  <c r="Z451" i="9"/>
  <c r="AI451" i="9" s="1"/>
  <c r="Z426" i="9"/>
  <c r="AI426" i="9" s="1"/>
  <c r="Z478" i="9"/>
  <c r="Z479" i="9"/>
  <c r="Z450" i="9"/>
  <c r="AI450" i="9" s="1"/>
  <c r="Z425" i="9"/>
  <c r="AI425" i="9" s="1"/>
  <c r="Z417" i="9"/>
  <c r="AI417" i="9" s="1"/>
  <c r="Z495" i="9"/>
  <c r="AI495" i="9" s="1"/>
  <c r="Z449" i="9"/>
  <c r="AI449" i="9" s="1"/>
  <c r="Z432" i="9"/>
  <c r="AI432" i="9" s="1"/>
  <c r="Z416" i="9"/>
  <c r="AI416" i="9" s="1"/>
  <c r="Z442" i="9"/>
  <c r="Z413" i="9"/>
  <c r="Z410" i="9"/>
  <c r="Z439" i="9"/>
  <c r="F153" i="9"/>
  <c r="F377" i="9"/>
  <c r="F242" i="9"/>
  <c r="F182" i="9"/>
  <c r="Z441" i="9"/>
  <c r="F72" i="9"/>
  <c r="Z434" i="9"/>
  <c r="Z445" i="9"/>
  <c r="Z421" i="9"/>
  <c r="F185" i="9"/>
  <c r="F179" i="9"/>
  <c r="F304" i="9"/>
  <c r="F309" i="9" s="1"/>
  <c r="F314" i="9" s="1"/>
  <c r="F173" i="9"/>
  <c r="F349" i="9"/>
  <c r="F229" i="9"/>
  <c r="E360" i="9"/>
  <c r="F362" i="9"/>
  <c r="Z428" i="9"/>
  <c r="Z447" i="9"/>
  <c r="Z448" i="9"/>
  <c r="Z437" i="9"/>
  <c r="Z431" i="9"/>
  <c r="Z444" i="9"/>
  <c r="Z430" i="9"/>
  <c r="E96" i="9"/>
  <c r="Z471" i="9"/>
  <c r="F83" i="9"/>
  <c r="D15" i="8" s="1"/>
  <c r="E299" i="9"/>
  <c r="F192" i="9"/>
  <c r="F395" i="9"/>
  <c r="E395" i="9" s="1"/>
  <c r="D13" i="9"/>
  <c r="E10" i="9"/>
  <c r="Z409" i="9"/>
  <c r="F41" i="9"/>
  <c r="Z438" i="9"/>
  <c r="Z411" i="9"/>
  <c r="E95" i="9"/>
  <c r="D97" i="9"/>
  <c r="E113" i="9" s="1"/>
  <c r="E174" i="9"/>
  <c r="E185" i="9"/>
  <c r="E194" i="9" s="1"/>
  <c r="D38" i="8" s="1"/>
  <c r="F266" i="9"/>
  <c r="E296" i="9"/>
  <c r="Z446" i="9"/>
  <c r="E15" i="9"/>
  <c r="Z412" i="9"/>
  <c r="F13" i="9"/>
  <c r="D31" i="9" s="1"/>
  <c r="Z423" i="9"/>
  <c r="N103" i="9"/>
  <c r="E250" i="9"/>
  <c r="E298" i="9"/>
  <c r="F24" i="9"/>
  <c r="D32" i="9" s="1"/>
  <c r="F54" i="9"/>
  <c r="Z422" i="9"/>
  <c r="Z424" i="9"/>
  <c r="Z415" i="9"/>
  <c r="D66" i="8" s="1"/>
  <c r="Z435" i="9"/>
  <c r="M100" i="9"/>
  <c r="S95" i="9"/>
  <c r="S104" i="9"/>
  <c r="S100" i="9"/>
  <c r="S103" i="9"/>
  <c r="M95" i="9"/>
  <c r="N94" i="9"/>
  <c r="M94" i="9"/>
  <c r="N102" i="9"/>
  <c r="L93" i="9"/>
  <c r="AC3" i="3"/>
  <c r="O3" i="5"/>
  <c r="L332" i="9"/>
  <c r="N332" i="9" s="1"/>
  <c r="U3" i="3"/>
  <c r="V3" i="3"/>
  <c r="M3" i="5"/>
  <c r="J3" i="5"/>
  <c r="N3" i="3"/>
  <c r="L3" i="3"/>
  <c r="K178" i="9"/>
  <c r="N241" i="9"/>
  <c r="L224" i="9"/>
  <c r="N224" i="9" s="1"/>
  <c r="L184" i="9"/>
  <c r="N184" i="9" s="1"/>
  <c r="L15" i="9"/>
  <c r="N15" i="9" s="1"/>
  <c r="J247" i="9"/>
  <c r="J244" i="9"/>
  <c r="J12" i="9"/>
  <c r="L22" i="9"/>
  <c r="N22" i="9" s="1"/>
  <c r="L37" i="9"/>
  <c r="L45" i="9"/>
  <c r="N45" i="9" s="1"/>
  <c r="L53" i="9"/>
  <c r="N53" i="9" s="1"/>
  <c r="L62" i="9"/>
  <c r="N62" i="9" s="1"/>
  <c r="L71" i="9"/>
  <c r="N71" i="9" s="1"/>
  <c r="L82" i="9"/>
  <c r="L115" i="9"/>
  <c r="L124" i="9"/>
  <c r="N124" i="9" s="1"/>
  <c r="L132" i="9"/>
  <c r="N132" i="9" s="1"/>
  <c r="L141" i="9"/>
  <c r="N141" i="9" s="1"/>
  <c r="L149" i="9"/>
  <c r="N149" i="9" s="1"/>
  <c r="L161" i="9"/>
  <c r="N161" i="9" s="1"/>
  <c r="J178" i="9"/>
  <c r="L201" i="9"/>
  <c r="L209" i="9"/>
  <c r="N209" i="9" s="1"/>
  <c r="L218" i="9"/>
  <c r="N218" i="9" s="1"/>
  <c r="L226" i="9"/>
  <c r="N226" i="9" s="1"/>
  <c r="L244" i="9"/>
  <c r="N244" i="9" s="1"/>
  <c r="N245" i="9" s="1"/>
  <c r="L257" i="9"/>
  <c r="N257" i="9" s="1"/>
  <c r="L265" i="9"/>
  <c r="N265" i="9" s="1"/>
  <c r="L274" i="9"/>
  <c r="N274" i="9" s="1"/>
  <c r="L282" i="9"/>
  <c r="N282" i="9" s="1"/>
  <c r="L303" i="9"/>
  <c r="N303" i="9" s="1"/>
  <c r="L312" i="9"/>
  <c r="N312" i="9" s="1"/>
  <c r="L325" i="9"/>
  <c r="N325" i="9" s="1"/>
  <c r="L334" i="9"/>
  <c r="N334" i="9" s="1"/>
  <c r="L342" i="9"/>
  <c r="N342" i="9" s="1"/>
  <c r="L329" i="9"/>
  <c r="N329" i="9" s="1"/>
  <c r="L50" i="9"/>
  <c r="N50" i="9" s="1"/>
  <c r="L67" i="9"/>
  <c r="N67" i="9" s="1"/>
  <c r="J175" i="9"/>
  <c r="L254" i="9"/>
  <c r="N254" i="9" s="1"/>
  <c r="L322" i="9"/>
  <c r="N322" i="9" s="1"/>
  <c r="J6" i="9"/>
  <c r="M6" i="9" s="1"/>
  <c r="L9" i="9"/>
  <c r="N9" i="9" s="1"/>
  <c r="L12" i="9"/>
  <c r="N12" i="9" s="1"/>
  <c r="L23" i="9"/>
  <c r="N23" i="9" s="1"/>
  <c r="L46" i="9"/>
  <c r="N46" i="9" s="1"/>
  <c r="L55" i="9"/>
  <c r="N55" i="9" s="1"/>
  <c r="L63" i="9"/>
  <c r="N63" i="9" s="1"/>
  <c r="L75" i="9"/>
  <c r="N75" i="9" s="1"/>
  <c r="L116" i="9"/>
  <c r="L125" i="9"/>
  <c r="N125" i="9" s="1"/>
  <c r="L133" i="9"/>
  <c r="N133" i="9" s="1"/>
  <c r="L142" i="9"/>
  <c r="N142" i="9" s="1"/>
  <c r="L150" i="9"/>
  <c r="N150" i="9" s="1"/>
  <c r="L162" i="9"/>
  <c r="N162" i="9" s="1"/>
  <c r="L202" i="9"/>
  <c r="N202" i="9" s="1"/>
  <c r="L211" i="9"/>
  <c r="N211" i="9" s="1"/>
  <c r="L219" i="9"/>
  <c r="N219" i="9" s="1"/>
  <c r="L227" i="9"/>
  <c r="N227" i="9" s="1"/>
  <c r="L258" i="9"/>
  <c r="N258" i="9" s="1"/>
  <c r="L267" i="9"/>
  <c r="N267" i="9" s="1"/>
  <c r="L275" i="9"/>
  <c r="N275" i="9" s="1"/>
  <c r="L283" i="9"/>
  <c r="N283" i="9" s="1"/>
  <c r="L297" i="9"/>
  <c r="N297" i="9" s="1"/>
  <c r="L300" i="9"/>
  <c r="N300" i="9" s="1"/>
  <c r="L318" i="9"/>
  <c r="N318" i="9" s="1"/>
  <c r="L326" i="9"/>
  <c r="N326" i="9" s="1"/>
  <c r="L335" i="9"/>
  <c r="N335" i="9" s="1"/>
  <c r="L343" i="9"/>
  <c r="N343" i="9" s="1"/>
  <c r="L344" i="9"/>
  <c r="N344" i="9" s="1"/>
  <c r="J8" i="9"/>
  <c r="L129" i="9"/>
  <c r="N129" i="9" s="1"/>
  <c r="L198" i="9"/>
  <c r="N198" i="9" s="1"/>
  <c r="L262" i="9"/>
  <c r="N262" i="9" s="1"/>
  <c r="L6" i="9"/>
  <c r="J10" i="9"/>
  <c r="M15" i="9"/>
  <c r="L38" i="9"/>
  <c r="L47" i="9"/>
  <c r="N47" i="9" s="1"/>
  <c r="L56" i="9"/>
  <c r="N56" i="9" s="1"/>
  <c r="L64" i="9"/>
  <c r="N64" i="9" s="1"/>
  <c r="L76" i="9"/>
  <c r="N76" i="9" s="1"/>
  <c r="L117" i="9"/>
  <c r="L126" i="9"/>
  <c r="N126" i="9" s="1"/>
  <c r="L134" i="9"/>
  <c r="N134" i="9" s="1"/>
  <c r="L143" i="9"/>
  <c r="N143" i="9" s="1"/>
  <c r="L151" i="9"/>
  <c r="N151" i="9" s="1"/>
  <c r="J172" i="9"/>
  <c r="L178" i="9"/>
  <c r="L188" i="9"/>
  <c r="N188" i="9" s="1"/>
  <c r="L203" i="9"/>
  <c r="N203" i="9" s="1"/>
  <c r="L212" i="9"/>
  <c r="N212" i="9" s="1"/>
  <c r="L220" i="9"/>
  <c r="N220" i="9" s="1"/>
  <c r="L228" i="9"/>
  <c r="N228" i="9" s="1"/>
  <c r="L259" i="9"/>
  <c r="N259" i="9" s="1"/>
  <c r="L268" i="9"/>
  <c r="L276" i="9"/>
  <c r="N276" i="9" s="1"/>
  <c r="L284" i="9"/>
  <c r="N284" i="9" s="1"/>
  <c r="L307" i="9"/>
  <c r="N307" i="9" s="1"/>
  <c r="L319" i="9"/>
  <c r="N319" i="9" s="1"/>
  <c r="L327" i="9"/>
  <c r="N327" i="9" s="1"/>
  <c r="L336" i="9"/>
  <c r="N336" i="9" s="1"/>
  <c r="L321" i="9"/>
  <c r="N321" i="9" s="1"/>
  <c r="L59" i="9"/>
  <c r="N59" i="9" s="1"/>
  <c r="L138" i="9"/>
  <c r="N138" i="9" s="1"/>
  <c r="L308" i="9"/>
  <c r="N308" i="9" s="1"/>
  <c r="J7" i="9"/>
  <c r="M7" i="9" s="1"/>
  <c r="L32" i="9"/>
  <c r="L39" i="9"/>
  <c r="L48" i="9"/>
  <c r="N48" i="9" s="1"/>
  <c r="L57" i="9"/>
  <c r="N57" i="9" s="1"/>
  <c r="L65" i="9"/>
  <c r="N65" i="9" s="1"/>
  <c r="L77" i="9"/>
  <c r="N77" i="9" s="1"/>
  <c r="L118" i="9"/>
  <c r="L127" i="9"/>
  <c r="N127" i="9" s="1"/>
  <c r="L136" i="9"/>
  <c r="N136" i="9" s="1"/>
  <c r="L144" i="9"/>
  <c r="N144" i="9" s="1"/>
  <c r="L152" i="9"/>
  <c r="N152" i="9" s="1"/>
  <c r="L204" i="9"/>
  <c r="N204" i="9" s="1"/>
  <c r="L213" i="9"/>
  <c r="N213" i="9" s="1"/>
  <c r="L221" i="9"/>
  <c r="N221" i="9" s="1"/>
  <c r="J241" i="9"/>
  <c r="L247" i="9"/>
  <c r="L260" i="9"/>
  <c r="N260" i="9" s="1"/>
  <c r="L269" i="9"/>
  <c r="N269" i="9" s="1"/>
  <c r="L277" i="9"/>
  <c r="N277" i="9" s="1"/>
  <c r="L301" i="9"/>
  <c r="N301" i="9" s="1"/>
  <c r="L320" i="9"/>
  <c r="N320" i="9" s="1"/>
  <c r="L328" i="9"/>
  <c r="N328" i="9" s="1"/>
  <c r="L337" i="9"/>
  <c r="N337" i="9" s="1"/>
  <c r="L345" i="9"/>
  <c r="N345" i="9" s="1"/>
  <c r="L295" i="9"/>
  <c r="N295" i="9" s="1"/>
  <c r="L34" i="9"/>
  <c r="N34" i="9" s="1"/>
  <c r="L120" i="9"/>
  <c r="N120" i="9" s="1"/>
  <c r="L206" i="9"/>
  <c r="N206" i="9" s="1"/>
  <c r="L271" i="9"/>
  <c r="N271" i="9" s="1"/>
  <c r="L331" i="9"/>
  <c r="N331" i="9" s="1"/>
  <c r="L7" i="9"/>
  <c r="N7" i="9" s="1"/>
  <c r="L10" i="9"/>
  <c r="N10" i="9" s="1"/>
  <c r="J17" i="9"/>
  <c r="L33" i="9"/>
  <c r="N33" i="9" s="1"/>
  <c r="L40" i="9"/>
  <c r="L49" i="9"/>
  <c r="N49" i="9" s="1"/>
  <c r="L58" i="9"/>
  <c r="N58" i="9" s="1"/>
  <c r="L66" i="9"/>
  <c r="N66" i="9" s="1"/>
  <c r="L78" i="9"/>
  <c r="L119" i="9"/>
  <c r="N119" i="9" s="1"/>
  <c r="L128" i="9"/>
  <c r="N128" i="9" s="1"/>
  <c r="L137" i="9"/>
  <c r="N137" i="9" s="1"/>
  <c r="L145" i="9"/>
  <c r="N145" i="9" s="1"/>
  <c r="L157" i="9"/>
  <c r="N157" i="9" s="1"/>
  <c r="L172" i="9"/>
  <c r="N172" i="9" s="1"/>
  <c r="J181" i="9"/>
  <c r="L205" i="9"/>
  <c r="N205" i="9" s="1"/>
  <c r="L214" i="9"/>
  <c r="N214" i="9" s="1"/>
  <c r="L222" i="9"/>
  <c r="N222" i="9" s="1"/>
  <c r="L261" i="9"/>
  <c r="N261" i="9" s="1"/>
  <c r="L270" i="9"/>
  <c r="N270" i="9" s="1"/>
  <c r="L278" i="9"/>
  <c r="N278" i="9" s="1"/>
  <c r="L298" i="9"/>
  <c r="N298" i="9" s="1"/>
  <c r="J11" i="9"/>
  <c r="N112" i="9"/>
  <c r="L8" i="9"/>
  <c r="L19" i="9"/>
  <c r="N19" i="9" s="1"/>
  <c r="L35" i="9"/>
  <c r="N35" i="9" s="1"/>
  <c r="L43" i="9"/>
  <c r="N43" i="9" s="1"/>
  <c r="L51" i="9"/>
  <c r="N51" i="9" s="1"/>
  <c r="L60" i="9"/>
  <c r="N60" i="9" s="1"/>
  <c r="L68" i="9"/>
  <c r="N68" i="9" s="1"/>
  <c r="L80" i="9"/>
  <c r="N80" i="9" s="1"/>
  <c r="L121" i="9"/>
  <c r="N121" i="9" s="1"/>
  <c r="L130" i="9"/>
  <c r="N130" i="9" s="1"/>
  <c r="L139" i="9"/>
  <c r="N139" i="9" s="1"/>
  <c r="L147" i="9"/>
  <c r="N147" i="9" s="1"/>
  <c r="L159" i="9"/>
  <c r="L181" i="9"/>
  <c r="N181" i="9" s="1"/>
  <c r="L199" i="9"/>
  <c r="N199" i="9" s="1"/>
  <c r="L207" i="9"/>
  <c r="N207" i="9" s="1"/>
  <c r="L216" i="9"/>
  <c r="N216" i="9" s="1"/>
  <c r="L255" i="9"/>
  <c r="N255" i="9" s="1"/>
  <c r="L263" i="9"/>
  <c r="N263" i="9" s="1"/>
  <c r="L272" i="9"/>
  <c r="N272" i="9" s="1"/>
  <c r="L280" i="9"/>
  <c r="N280" i="9" s="1"/>
  <c r="L299" i="9"/>
  <c r="N299" i="9" s="1"/>
  <c r="L302" i="9"/>
  <c r="N302" i="9" s="1"/>
  <c r="L323" i="9"/>
  <c r="N323" i="9" s="1"/>
  <c r="L340" i="9"/>
  <c r="N340" i="9" s="1"/>
  <c r="L348" i="9"/>
  <c r="N348" i="9" s="1"/>
  <c r="L333" i="9"/>
  <c r="N333" i="9" s="1"/>
  <c r="L338" i="9"/>
  <c r="N338" i="9" s="1"/>
  <c r="L42" i="9"/>
  <c r="N42" i="9" s="1"/>
  <c r="L79" i="9"/>
  <c r="N79" i="9" s="1"/>
  <c r="L158" i="9"/>
  <c r="N158" i="9" s="1"/>
  <c r="L215" i="9"/>
  <c r="N215" i="9" s="1"/>
  <c r="L279" i="9"/>
  <c r="N279" i="9" s="1"/>
  <c r="L339" i="9"/>
  <c r="N339" i="9" s="1"/>
  <c r="J9" i="9"/>
  <c r="L11" i="9"/>
  <c r="N11" i="9" s="1"/>
  <c r="L21" i="9"/>
  <c r="L36" i="9"/>
  <c r="N36" i="9" s="1"/>
  <c r="L44" i="9"/>
  <c r="N44" i="9" s="1"/>
  <c r="L52" i="9"/>
  <c r="N52" i="9" s="1"/>
  <c r="L61" i="9"/>
  <c r="N61" i="9" s="1"/>
  <c r="L70" i="9"/>
  <c r="N70" i="9" s="1"/>
  <c r="L81" i="9"/>
  <c r="N81" i="9" s="1"/>
  <c r="L114" i="9"/>
  <c r="L123" i="9"/>
  <c r="N123" i="9" s="1"/>
  <c r="L131" i="9"/>
  <c r="N131" i="9" s="1"/>
  <c r="L140" i="9"/>
  <c r="N140" i="9" s="1"/>
  <c r="L148" i="9"/>
  <c r="N148" i="9" s="1"/>
  <c r="L160" i="9"/>
  <c r="N160" i="9" s="1"/>
  <c r="L175" i="9"/>
  <c r="N175" i="9" s="1"/>
  <c r="L200" i="9"/>
  <c r="N200" i="9" s="1"/>
  <c r="L208" i="9"/>
  <c r="N208" i="9" s="1"/>
  <c r="L217" i="9"/>
  <c r="N217" i="9" s="1"/>
  <c r="L225" i="9"/>
  <c r="N225" i="9" s="1"/>
  <c r="L256" i="9"/>
  <c r="N256" i="9" s="1"/>
  <c r="L264" i="9"/>
  <c r="N264" i="9" s="1"/>
  <c r="L273" i="9"/>
  <c r="N273" i="9" s="1"/>
  <c r="L281" i="9"/>
  <c r="N281" i="9" s="1"/>
  <c r="L296" i="9"/>
  <c r="N296" i="9" s="1"/>
  <c r="L324" i="9"/>
  <c r="N324" i="9" s="1"/>
  <c r="L341" i="9"/>
  <c r="N341" i="9" s="1"/>
  <c r="L346" i="9"/>
  <c r="N346" i="9" s="1"/>
  <c r="L17" i="9"/>
  <c r="N17" i="9" s="1"/>
  <c r="L146" i="9"/>
  <c r="N146" i="9" s="1"/>
  <c r="L223" i="9"/>
  <c r="N223" i="9" s="1"/>
  <c r="L347" i="9"/>
  <c r="N347" i="9" s="1"/>
  <c r="G5" i="5"/>
  <c r="AF474" i="9"/>
  <c r="L5" i="9"/>
  <c r="J297" i="9"/>
  <c r="K188" i="9"/>
  <c r="M188" i="9" s="1"/>
  <c r="J307" i="9"/>
  <c r="K247" i="9"/>
  <c r="M247" i="9" s="1"/>
  <c r="J298" i="9"/>
  <c r="J301" i="9"/>
  <c r="K172" i="9"/>
  <c r="M172" i="9" s="1"/>
  <c r="K191" i="9"/>
  <c r="J295" i="9"/>
  <c r="M295" i="9" s="1"/>
  <c r="J308" i="9"/>
  <c r="J302" i="9"/>
  <c r="K302" i="9" s="1"/>
  <c r="K241" i="9"/>
  <c r="M241" i="9" s="1"/>
  <c r="K181" i="9"/>
  <c r="M181" i="9" s="1"/>
  <c r="J296" i="9"/>
  <c r="K175" i="9"/>
  <c r="M175" i="9" s="1"/>
  <c r="J312" i="9"/>
  <c r="K312" i="9" s="1"/>
  <c r="K244" i="9"/>
  <c r="J300" i="9"/>
  <c r="J303" i="9"/>
  <c r="K303" i="9" s="1"/>
  <c r="J299" i="9"/>
  <c r="M299" i="9" s="1"/>
  <c r="AB3" i="3"/>
  <c r="L342" i="12"/>
  <c r="L336" i="12"/>
  <c r="L324" i="12"/>
  <c r="L296" i="12"/>
  <c r="L280" i="12"/>
  <c r="L260" i="12"/>
  <c r="L227" i="12"/>
  <c r="L219" i="12"/>
  <c r="L213" i="12"/>
  <c r="L209" i="12"/>
  <c r="L208" i="12"/>
  <c r="L207" i="12"/>
  <c r="L206" i="12"/>
  <c r="L345" i="12"/>
  <c r="L337" i="12"/>
  <c r="N337" i="12" s="1"/>
  <c r="L331" i="12"/>
  <c r="L327" i="12"/>
  <c r="L319" i="12"/>
  <c r="L301" i="12"/>
  <c r="L283" i="12"/>
  <c r="L275" i="12"/>
  <c r="L269" i="12"/>
  <c r="L265" i="12"/>
  <c r="N265" i="12" s="1"/>
  <c r="L263" i="12"/>
  <c r="L255" i="12"/>
  <c r="L247" i="12"/>
  <c r="L222" i="12"/>
  <c r="L216" i="12"/>
  <c r="L201" i="12"/>
  <c r="L188" i="12"/>
  <c r="L159" i="12"/>
  <c r="L150" i="12"/>
  <c r="L142" i="12"/>
  <c r="L127" i="12"/>
  <c r="L115" i="12"/>
  <c r="L329" i="12"/>
  <c r="L303" i="12"/>
  <c r="L346" i="12"/>
  <c r="L343" i="12"/>
  <c r="L326" i="12"/>
  <c r="L340" i="12"/>
  <c r="L334" i="12"/>
  <c r="L323" i="12"/>
  <c r="L320" i="12"/>
  <c r="L278" i="12"/>
  <c r="L258" i="12"/>
  <c r="L347" i="12"/>
  <c r="L307" i="12"/>
  <c r="L244" i="12"/>
  <c r="L214" i="12"/>
  <c r="L200" i="12"/>
  <c r="L344" i="12"/>
  <c r="L321" i="12"/>
  <c r="L308" i="12"/>
  <c r="L299" i="12"/>
  <c r="L282" i="12"/>
  <c r="L270" i="12"/>
  <c r="L267" i="12"/>
  <c r="L262" i="12"/>
  <c r="L348" i="12"/>
  <c r="L328" i="12"/>
  <c r="L325" i="12"/>
  <c r="L297" i="12"/>
  <c r="L271" i="12"/>
  <c r="L241" i="12"/>
  <c r="L224" i="12"/>
  <c r="L215" i="12"/>
  <c r="L202" i="12"/>
  <c r="L184" i="12"/>
  <c r="L178" i="12"/>
  <c r="J172" i="12"/>
  <c r="L162" i="12"/>
  <c r="L144" i="12"/>
  <c r="L131" i="12"/>
  <c r="L117" i="12"/>
  <c r="L113" i="12"/>
  <c r="J95" i="12"/>
  <c r="L339" i="12"/>
  <c r="L333" i="12"/>
  <c r="L322" i="12"/>
  <c r="L312" i="12"/>
  <c r="L300" i="12"/>
  <c r="L277" i="12"/>
  <c r="L268" i="12"/>
  <c r="L284" i="12"/>
  <c r="L281" i="12"/>
  <c r="L272" i="12"/>
  <c r="L264" i="12"/>
  <c r="L261" i="12"/>
  <c r="L256" i="12"/>
  <c r="L228" i="12"/>
  <c r="L226" i="12"/>
  <c r="L198" i="12"/>
  <c r="L172" i="12"/>
  <c r="L146" i="12"/>
  <c r="L143" i="12"/>
  <c r="L140" i="12"/>
  <c r="L125" i="12"/>
  <c r="L112" i="12"/>
  <c r="J99" i="12"/>
  <c r="L78" i="12"/>
  <c r="L64" i="12"/>
  <c r="L55" i="12"/>
  <c r="L42" i="12"/>
  <c r="L9" i="12"/>
  <c r="L335" i="12"/>
  <c r="L295" i="12"/>
  <c r="L212" i="12"/>
  <c r="L274" i="12"/>
  <c r="J241" i="12"/>
  <c r="L175" i="12"/>
  <c r="L157" i="12"/>
  <c r="L257" i="12"/>
  <c r="L221" i="12"/>
  <c r="L217" i="12"/>
  <c r="L204" i="12"/>
  <c r="L199" i="12"/>
  <c r="J175" i="12"/>
  <c r="L151" i="12"/>
  <c r="L141" i="12"/>
  <c r="L133" i="12"/>
  <c r="L126" i="12"/>
  <c r="L118" i="12"/>
  <c r="J100" i="12"/>
  <c r="L57" i="12"/>
  <c r="J15" i="12"/>
  <c r="L338" i="12"/>
  <c r="L223" i="12"/>
  <c r="L332" i="12"/>
  <c r="L276" i="12"/>
  <c r="L220" i="12"/>
  <c r="L152" i="12"/>
  <c r="L149" i="12"/>
  <c r="L139" i="12"/>
  <c r="L136" i="12"/>
  <c r="L341" i="12"/>
  <c r="L254" i="12"/>
  <c r="L218" i="12"/>
  <c r="L205" i="12"/>
  <c r="L203" i="12"/>
  <c r="J181" i="12"/>
  <c r="J178" i="12"/>
  <c r="L128" i="12"/>
  <c r="L132" i="12"/>
  <c r="L120" i="12"/>
  <c r="L65" i="12"/>
  <c r="L394" i="9"/>
  <c r="L390" i="9"/>
  <c r="L386" i="9"/>
  <c r="L382" i="9"/>
  <c r="L378" i="9"/>
  <c r="L371" i="9"/>
  <c r="L225" i="12"/>
  <c r="L181" i="12"/>
  <c r="L160" i="12"/>
  <c r="L134" i="12"/>
  <c r="L124" i="12"/>
  <c r="L318" i="12"/>
  <c r="L273" i="12"/>
  <c r="N273" i="12" s="1"/>
  <c r="L148" i="12"/>
  <c r="L138" i="12"/>
  <c r="L121" i="12"/>
  <c r="L95" i="12"/>
  <c r="L71" i="12"/>
  <c r="L36" i="12"/>
  <c r="L31" i="12"/>
  <c r="L21" i="12"/>
  <c r="L279" i="12"/>
  <c r="L211" i="12"/>
  <c r="L123" i="12"/>
  <c r="L259" i="12"/>
  <c r="L161" i="12"/>
  <c r="L137" i="12"/>
  <c r="L119" i="12"/>
  <c r="L116" i="12"/>
  <c r="J94" i="12"/>
  <c r="L77" i="12"/>
  <c r="L302" i="12"/>
  <c r="L130" i="12"/>
  <c r="L158" i="12"/>
  <c r="L103" i="12"/>
  <c r="L33" i="12"/>
  <c r="J11" i="12"/>
  <c r="L392" i="9"/>
  <c r="L389" i="9"/>
  <c r="L369" i="9"/>
  <c r="B51" i="2"/>
  <c r="E39" i="2"/>
  <c r="E35" i="2"/>
  <c r="B28" i="2"/>
  <c r="B24" i="2"/>
  <c r="B19" i="2"/>
  <c r="B14" i="2"/>
  <c r="B10" i="2"/>
  <c r="L6" i="12"/>
  <c r="L374" i="9"/>
  <c r="L145" i="12"/>
  <c r="L38" i="12"/>
  <c r="J17" i="12"/>
  <c r="L99" i="12"/>
  <c r="L94" i="12"/>
  <c r="L59" i="12"/>
  <c r="L298" i="12"/>
  <c r="L100" i="12"/>
  <c r="L82" i="12"/>
  <c r="L147" i="12"/>
  <c r="L79" i="12"/>
  <c r="L62" i="12"/>
  <c r="L53" i="12"/>
  <c r="L8" i="12"/>
  <c r="L376" i="9"/>
  <c r="L368" i="9"/>
  <c r="L81" i="12"/>
  <c r="L19" i="12"/>
  <c r="L15" i="12"/>
  <c r="J9" i="12"/>
  <c r="L384" i="9"/>
  <c r="L104" i="12"/>
  <c r="L56" i="12"/>
  <c r="L388" i="9"/>
  <c r="L383" i="9"/>
  <c r="J12" i="12"/>
  <c r="L387" i="9"/>
  <c r="L385" i="9"/>
  <c r="L380" i="9"/>
  <c r="L367" i="9"/>
  <c r="L129" i="12"/>
  <c r="L114" i="12"/>
  <c r="L40" i="12"/>
  <c r="L102" i="12"/>
  <c r="L391" i="9"/>
  <c r="L379" i="9"/>
  <c r="L375" i="9"/>
  <c r="L372" i="9"/>
  <c r="L365" i="9"/>
  <c r="L381" i="9"/>
  <c r="L370" i="9"/>
  <c r="L393" i="9"/>
  <c r="J10" i="12"/>
  <c r="E49" i="2"/>
  <c r="E41" i="2"/>
  <c r="B37" i="2"/>
  <c r="B29" i="2"/>
  <c r="E24" i="2"/>
  <c r="E18" i="2"/>
  <c r="B13" i="2"/>
  <c r="B8" i="2"/>
  <c r="E48" i="2"/>
  <c r="B41" i="2"/>
  <c r="E36" i="2"/>
  <c r="E23" i="2"/>
  <c r="B18" i="2"/>
  <c r="E12" i="2"/>
  <c r="E7" i="2"/>
  <c r="L366" i="9"/>
  <c r="B46" i="2"/>
  <c r="B40" i="2"/>
  <c r="B35" i="2"/>
  <c r="B27" i="2"/>
  <c r="E22" i="2"/>
  <c r="E11" i="2"/>
  <c r="E5" i="2"/>
  <c r="B52" i="2"/>
  <c r="E33" i="2"/>
  <c r="B11" i="2"/>
  <c r="B5" i="2"/>
  <c r="B6" i="2" s="1"/>
  <c r="B39" i="2"/>
  <c r="E26" i="2"/>
  <c r="E15" i="2"/>
  <c r="L373" i="9"/>
  <c r="E51" i="2"/>
  <c r="B43" i="2"/>
  <c r="E38" i="2"/>
  <c r="B26" i="2"/>
  <c r="B15" i="2"/>
  <c r="E10" i="2"/>
  <c r="B48" i="2"/>
  <c r="E14" i="2"/>
  <c r="E9" i="2"/>
  <c r="B50" i="2"/>
  <c r="E27" i="2"/>
  <c r="E13" i="2"/>
  <c r="B36" i="2"/>
  <c r="B42" i="2"/>
  <c r="E25" i="2"/>
  <c r="B12" i="2"/>
  <c r="B25" i="2"/>
  <c r="E40" i="2"/>
  <c r="E19" i="2"/>
  <c r="B38" i="2"/>
  <c r="B23" i="2"/>
  <c r="B9" i="2"/>
  <c r="E37" i="2"/>
  <c r="B20" i="2"/>
  <c r="AF496" i="12"/>
  <c r="AF491" i="12"/>
  <c r="AF493" i="12"/>
  <c r="AF469" i="12"/>
  <c r="AF420" i="12"/>
  <c r="AF497" i="12"/>
  <c r="AH497" i="12" s="1"/>
  <c r="AF492" i="12"/>
  <c r="AF461" i="12"/>
  <c r="AF453" i="12"/>
  <c r="AF456" i="12"/>
  <c r="AF455" i="12"/>
  <c r="AF494" i="12"/>
  <c r="AF462" i="12"/>
  <c r="AR462" i="12" s="1"/>
  <c r="AF457" i="12"/>
  <c r="AF458" i="12"/>
  <c r="AF448" i="12"/>
  <c r="AF460" i="12"/>
  <c r="AF459" i="12"/>
  <c r="AF495" i="12"/>
  <c r="AF454" i="12"/>
  <c r="J247" i="12"/>
  <c r="AF469" i="9"/>
  <c r="AH469" i="9" s="1"/>
  <c r="AI469" i="9" s="1"/>
  <c r="AF491" i="9"/>
  <c r="AH491" i="9" s="1"/>
  <c r="AI491" i="9" s="1"/>
  <c r="AF459" i="9"/>
  <c r="AH459" i="9" s="1"/>
  <c r="AI459" i="9" s="1"/>
  <c r="AF455" i="9"/>
  <c r="AH455" i="9" s="1"/>
  <c r="AI455" i="9" s="1"/>
  <c r="J244" i="12"/>
  <c r="AF457" i="9"/>
  <c r="AH457" i="9" s="1"/>
  <c r="AI457" i="9" s="1"/>
  <c r="AF456" i="9"/>
  <c r="AH456" i="9" s="1"/>
  <c r="AF492" i="9"/>
  <c r="AH492" i="9" s="1"/>
  <c r="AF461" i="9"/>
  <c r="AH461" i="9" s="1"/>
  <c r="AI461" i="9" s="1"/>
  <c r="AF454" i="9"/>
  <c r="AH454" i="9" s="1"/>
  <c r="AI454" i="9" s="1"/>
  <c r="AF494" i="9"/>
  <c r="AH494" i="9" s="1"/>
  <c r="AF462" i="9"/>
  <c r="AF453" i="9"/>
  <c r="AH453" i="9" s="1"/>
  <c r="AF460" i="9"/>
  <c r="AH460" i="9" s="1"/>
  <c r="AI460" i="9" s="1"/>
  <c r="AF420" i="9"/>
  <c r="AH420" i="9" s="1"/>
  <c r="AI420" i="9" s="1"/>
  <c r="AF493" i="9"/>
  <c r="AH493" i="9" s="1"/>
  <c r="AI493" i="9" s="1"/>
  <c r="AF458" i="9"/>
  <c r="AH458" i="9" s="1"/>
  <c r="AI458" i="9" s="1"/>
  <c r="L49" i="12"/>
  <c r="L35" i="12"/>
  <c r="L48" i="12"/>
  <c r="H3" i="5"/>
  <c r="G3" i="3"/>
  <c r="F3" i="3"/>
  <c r="H3" i="3"/>
  <c r="D52" i="8"/>
  <c r="D58" i="8"/>
  <c r="D54" i="8"/>
  <c r="J298" i="12"/>
  <c r="J295" i="12"/>
  <c r="K172" i="12"/>
  <c r="J301" i="12"/>
  <c r="J302" i="12"/>
  <c r="K302" i="12" s="1"/>
  <c r="J299" i="12"/>
  <c r="K191" i="12"/>
  <c r="L192" i="12" s="1"/>
  <c r="K188" i="12"/>
  <c r="K175" i="12"/>
  <c r="J297" i="12"/>
  <c r="J312" i="12"/>
  <c r="K312" i="12" s="1"/>
  <c r="K247" i="12"/>
  <c r="J303" i="12"/>
  <c r="K303" i="12" s="1"/>
  <c r="K241" i="12"/>
  <c r="J308" i="12"/>
  <c r="K244" i="12"/>
  <c r="L93" i="12"/>
  <c r="L360" i="9"/>
  <c r="K181" i="12"/>
  <c r="K178" i="12"/>
  <c r="J307" i="12"/>
  <c r="J296" i="12"/>
  <c r="J300" i="12"/>
  <c r="J360" i="9"/>
  <c r="L17" i="12"/>
  <c r="J8" i="12"/>
  <c r="L66" i="12"/>
  <c r="L47" i="12"/>
  <c r="J7" i="12"/>
  <c r="F14" i="11"/>
  <c r="G14" i="11" s="1"/>
  <c r="AL3" i="3"/>
  <c r="AK3" i="3"/>
  <c r="AJ3" i="3"/>
  <c r="L3" i="5"/>
  <c r="T3" i="3"/>
  <c r="R3" i="3"/>
  <c r="S3" i="3"/>
  <c r="D44" i="8"/>
  <c r="D41" i="8"/>
  <c r="L70" i="12"/>
  <c r="L52" i="12"/>
  <c r="L39" i="12"/>
  <c r="L44" i="12"/>
  <c r="L51" i="12"/>
  <c r="G18" i="8"/>
  <c r="I18" i="8" s="1"/>
  <c r="F18" i="8"/>
  <c r="H18" i="8" s="1"/>
  <c r="F8" i="11"/>
  <c r="G8" i="11" s="1"/>
  <c r="I3" i="3"/>
  <c r="I3" i="5"/>
  <c r="K3" i="3"/>
  <c r="J3" i="3"/>
  <c r="P3" i="5"/>
  <c r="AE3" i="3"/>
  <c r="AD3" i="3"/>
  <c r="AF3" i="3"/>
  <c r="L11" i="12"/>
  <c r="L75" i="12"/>
  <c r="L43" i="12"/>
  <c r="L5" i="12"/>
  <c r="L76" i="12"/>
  <c r="L46" i="12"/>
  <c r="L23" i="12"/>
  <c r="L12" i="12"/>
  <c r="H4" i="11"/>
  <c r="F9" i="11"/>
  <c r="G9" i="11" s="1"/>
  <c r="L60" i="12"/>
  <c r="J6" i="12"/>
  <c r="L58" i="12"/>
  <c r="L61" i="12"/>
  <c r="L63" i="12"/>
  <c r="F4" i="11"/>
  <c r="F15" i="11"/>
  <c r="G15" i="11" s="1"/>
  <c r="AG3" i="3"/>
  <c r="Q3" i="5"/>
  <c r="AI3" i="3"/>
  <c r="AH3" i="3"/>
  <c r="E42" i="8"/>
  <c r="S69" i="9"/>
  <c r="R181" i="9"/>
  <c r="E59" i="8"/>
  <c r="E47" i="8"/>
  <c r="E28" i="8"/>
  <c r="L50" i="12"/>
  <c r="L10" i="12"/>
  <c r="L37" i="12"/>
  <c r="L34" i="12"/>
  <c r="L80" i="12"/>
  <c r="L67" i="12"/>
  <c r="L22" i="12"/>
  <c r="F5" i="11"/>
  <c r="G5" i="11" s="1"/>
  <c r="D7" i="8"/>
  <c r="D11" i="8"/>
  <c r="D45" i="8"/>
  <c r="AO492" i="9"/>
  <c r="AO494" i="9"/>
  <c r="AO456" i="9"/>
  <c r="R244" i="9"/>
  <c r="R247" i="9"/>
  <c r="L68" i="12"/>
  <c r="F6" i="11"/>
  <c r="G6" i="11" s="1"/>
  <c r="E5" i="5"/>
  <c r="D28" i="8"/>
  <c r="D53" i="8"/>
  <c r="D57" i="8"/>
  <c r="D51" i="8"/>
  <c r="AF474" i="12"/>
  <c r="L45" i="12"/>
  <c r="L7" i="12"/>
  <c r="H16" i="11"/>
  <c r="F7" i="11"/>
  <c r="G7" i="11" s="1"/>
  <c r="Y3" i="3"/>
  <c r="N3" i="5"/>
  <c r="Z3" i="3"/>
  <c r="X3" i="3"/>
  <c r="D24" i="8"/>
  <c r="D40" i="8"/>
  <c r="K193" i="9" l="1"/>
  <c r="Q191" i="12" a="1"/>
  <c r="Q191" i="12" s="1"/>
  <c r="Q188" i="12" a="1"/>
  <c r="Q188" i="12" s="1"/>
  <c r="D26" i="8"/>
  <c r="D112" i="9"/>
  <c r="L13" i="9"/>
  <c r="L192" i="9"/>
  <c r="M191" i="9"/>
  <c r="K113" i="9"/>
  <c r="J113" i="9"/>
  <c r="K14" i="21"/>
  <c r="K11" i="21"/>
  <c r="L11" i="21" s="1"/>
  <c r="M11" i="21" s="1"/>
  <c r="AJ412" i="9"/>
  <c r="K7" i="21" a="1"/>
  <c r="K7" i="21" s="1"/>
  <c r="K20" i="21" s="1"/>
  <c r="K12" i="21" a="1"/>
  <c r="K12" i="21" s="1"/>
  <c r="AL466" i="9"/>
  <c r="AJ466" i="9" s="1"/>
  <c r="AK409" i="9"/>
  <c r="AL419" i="9"/>
  <c r="AJ409" i="9"/>
  <c r="J6" i="21"/>
  <c r="J22" i="21" s="1"/>
  <c r="AL433" i="9"/>
  <c r="AJ433" i="9" s="1"/>
  <c r="AK411" i="9"/>
  <c r="AJ411" i="9"/>
  <c r="E266" i="9"/>
  <c r="AK410" i="9"/>
  <c r="AJ410" i="9"/>
  <c r="AL452" i="9"/>
  <c r="AJ452" i="9" s="1"/>
  <c r="AL481" i="9"/>
  <c r="G31" i="21"/>
  <c r="AK413" i="9"/>
  <c r="AJ413" i="9"/>
  <c r="AK414" i="9"/>
  <c r="AJ414" i="9"/>
  <c r="AK415" i="9"/>
  <c r="AJ415" i="9"/>
  <c r="E159" i="9"/>
  <c r="D159" i="9" s="1"/>
  <c r="N78" i="9"/>
  <c r="E32" i="10" s="1"/>
  <c r="N159" i="9"/>
  <c r="N163" i="9" s="1"/>
  <c r="K159" i="9"/>
  <c r="J159" i="9" s="1"/>
  <c r="N82" i="9"/>
  <c r="E33" i="10" s="1"/>
  <c r="N201" i="9"/>
  <c r="K201" i="9"/>
  <c r="N105" i="9"/>
  <c r="N106" i="9" s="1"/>
  <c r="F26" i="21"/>
  <c r="G26" i="21" s="1"/>
  <c r="H26" i="21" s="1"/>
  <c r="F16" i="21"/>
  <c r="G15" i="21"/>
  <c r="H15" i="21" s="1"/>
  <c r="K25" i="21"/>
  <c r="L14" i="21"/>
  <c r="M14" i="21" s="1"/>
  <c r="F8" i="21"/>
  <c r="F21" i="21" s="1"/>
  <c r="F22" i="21"/>
  <c r="G22" i="21" s="1"/>
  <c r="H22" i="21" s="1"/>
  <c r="F10" i="21"/>
  <c r="G9" i="21"/>
  <c r="H9" i="21" s="1"/>
  <c r="L97" i="12"/>
  <c r="J97" i="12"/>
  <c r="K113" i="12" s="1"/>
  <c r="N117" i="9"/>
  <c r="K117" i="9"/>
  <c r="N118" i="9"/>
  <c r="K118" i="9"/>
  <c r="N116" i="9"/>
  <c r="K116" i="9"/>
  <c r="N114" i="9"/>
  <c r="K114" i="9"/>
  <c r="N115" i="9"/>
  <c r="K115" i="9"/>
  <c r="J8" i="21"/>
  <c r="J13" i="21"/>
  <c r="J10" i="21"/>
  <c r="J16" i="21"/>
  <c r="G7" i="21"/>
  <c r="H7" i="21" s="1"/>
  <c r="E20" i="21"/>
  <c r="G20" i="21" s="1"/>
  <c r="H20" i="21" s="1"/>
  <c r="E8" i="21"/>
  <c r="E13" i="21"/>
  <c r="G13" i="21" s="1"/>
  <c r="E10" i="21"/>
  <c r="E16" i="21"/>
  <c r="F108" i="9"/>
  <c r="E135" i="9" s="1"/>
  <c r="AL461" i="12" a="1"/>
  <c r="AL461" i="12" s="1"/>
  <c r="AN461" i="12" s="1"/>
  <c r="AO461" i="12" s="1"/>
  <c r="AL457" i="12" a="1"/>
  <c r="AL457" i="12" s="1"/>
  <c r="AN457" i="12" s="1"/>
  <c r="AO457" i="12" s="1"/>
  <c r="AL453" i="12" a="1"/>
  <c r="AL453" i="12" s="1"/>
  <c r="AN453" i="12" s="1"/>
  <c r="AO453" i="12" s="1"/>
  <c r="Q263" i="12" a="1"/>
  <c r="Q263" i="12" s="1"/>
  <c r="S263" i="12" s="1"/>
  <c r="Q247" i="12" a="1"/>
  <c r="Q247" i="12" s="1"/>
  <c r="S248" i="12" s="1"/>
  <c r="P244" i="12" a="1"/>
  <c r="P244" i="12" s="1"/>
  <c r="Q222" i="12" a="1"/>
  <c r="Q222" i="12" s="1"/>
  <c r="Q218" i="12" a="1"/>
  <c r="Q218" i="12" s="1"/>
  <c r="S218" i="12" s="1"/>
  <c r="Q198" i="12" a="1"/>
  <c r="Q198" i="12" s="1"/>
  <c r="S198" i="12" s="1"/>
  <c r="AL480" i="12" a="1"/>
  <c r="AL480" i="12" s="1"/>
  <c r="Q394" i="12" a="1"/>
  <c r="Q394" i="12" s="1"/>
  <c r="Q390" i="12" a="1"/>
  <c r="Q390" i="12" s="1"/>
  <c r="Q386" i="12" a="1"/>
  <c r="Q386" i="12" s="1"/>
  <c r="Q382" i="12" a="1"/>
  <c r="Q382" i="12" s="1"/>
  <c r="Q378" i="12" a="1"/>
  <c r="Q378" i="12" s="1"/>
  <c r="Q373" i="12" a="1"/>
  <c r="Q373" i="12" s="1"/>
  <c r="Q369" i="12" a="1"/>
  <c r="Q369" i="12" s="1"/>
  <c r="Q365" i="12" a="1"/>
  <c r="Q365" i="12" s="1"/>
  <c r="Q347" i="12" a="1"/>
  <c r="Q347" i="12" s="1"/>
  <c r="S347" i="12" s="1"/>
  <c r="Q343" i="12" a="1"/>
  <c r="Q343" i="12" s="1"/>
  <c r="S343" i="12" s="1"/>
  <c r="Q339" i="12" a="1"/>
  <c r="Q339" i="12" s="1"/>
  <c r="S339" i="12" s="1"/>
  <c r="Q334" i="12" a="1"/>
  <c r="Q334" i="12" s="1"/>
  <c r="Q329" i="12" a="1"/>
  <c r="Q329" i="12" s="1"/>
  <c r="S329" i="12" s="1"/>
  <c r="Q325" i="12" a="1"/>
  <c r="Q325" i="12" s="1"/>
  <c r="S325" i="12" s="1"/>
  <c r="Q321" i="12" a="1"/>
  <c r="Q321" i="12" s="1"/>
  <c r="S321" i="12" s="1"/>
  <c r="Q312" i="12" a="1"/>
  <c r="Q312" i="12" s="1"/>
  <c r="Q307" i="12" a="1"/>
  <c r="Q307" i="12" s="1"/>
  <c r="S307" i="12" s="1"/>
  <c r="Q302" i="12" a="1"/>
  <c r="Q302" i="12" s="1"/>
  <c r="Q300" i="12" a="1"/>
  <c r="Q300" i="12" s="1"/>
  <c r="S300" i="12" s="1"/>
  <c r="Q298" i="12" a="1"/>
  <c r="Q298" i="12" s="1"/>
  <c r="S298" i="12" s="1"/>
  <c r="Q296" i="12" a="1"/>
  <c r="Q296" i="12" s="1"/>
  <c r="Q284" i="12" a="1"/>
  <c r="Q284" i="12" s="1"/>
  <c r="S284" i="12" s="1"/>
  <c r="Q280" i="12" a="1"/>
  <c r="Q280" i="12" s="1"/>
  <c r="S280" i="12" s="1"/>
  <c r="Q276" i="12" a="1"/>
  <c r="Q276" i="12" s="1"/>
  <c r="Q271" i="12" a="1"/>
  <c r="Q271" i="12" s="1"/>
  <c r="S271" i="12" s="1"/>
  <c r="Q267" i="12" a="1"/>
  <c r="Q267" i="12" s="1"/>
  <c r="S267" i="12" s="1"/>
  <c r="Q259" i="12" a="1"/>
  <c r="Q259" i="12" s="1"/>
  <c r="S259" i="12" s="1"/>
  <c r="Q256" i="12" a="1"/>
  <c r="Q256" i="12" s="1"/>
  <c r="S256" i="12" s="1"/>
  <c r="P247" i="12" a="1"/>
  <c r="P247" i="12" s="1"/>
  <c r="O244" i="12" a="1"/>
  <c r="O244" i="12" s="1"/>
  <c r="R244" i="12" s="1"/>
  <c r="Q214" i="12" a="1"/>
  <c r="Q214" i="12" s="1"/>
  <c r="S214" i="12" s="1"/>
  <c r="Q209" i="12" a="1"/>
  <c r="Q209" i="12" s="1"/>
  <c r="S209" i="12" s="1"/>
  <c r="Q205" i="12" a="1"/>
  <c r="Q205" i="12" s="1"/>
  <c r="S205" i="12" s="1"/>
  <c r="Q201" i="12" a="1"/>
  <c r="Q201" i="12" s="1"/>
  <c r="P178" i="12" a="1"/>
  <c r="P178" i="12" s="1"/>
  <c r="P175" i="12" a="1"/>
  <c r="P175" i="12" s="1"/>
  <c r="Q160" i="12" a="1"/>
  <c r="Q160" i="12" s="1"/>
  <c r="Q147" i="12" a="1"/>
  <c r="Q147" i="12" s="1"/>
  <c r="S147" i="12" s="1"/>
  <c r="Q138" i="12" a="1"/>
  <c r="Q138" i="12" s="1"/>
  <c r="S138" i="12" s="1"/>
  <c r="Q128" i="12" a="1"/>
  <c r="Q128" i="12" s="1"/>
  <c r="Q114" i="12" a="1"/>
  <c r="Q114" i="12" s="1"/>
  <c r="S114" i="12" s="1"/>
  <c r="Q104" i="12" a="1"/>
  <c r="Q104" i="12" s="1"/>
  <c r="S104" i="12" s="1"/>
  <c r="Q100" i="12" a="1"/>
  <c r="Q100" i="12" s="1"/>
  <c r="S100" i="12" s="1"/>
  <c r="Q80" i="12" a="1"/>
  <c r="Q80" i="12" s="1"/>
  <c r="S80" i="12" s="1"/>
  <c r="Q71" i="12" a="1"/>
  <c r="Q71" i="12" s="1"/>
  <c r="AL460" i="12" a="1"/>
  <c r="AL460" i="12" s="1"/>
  <c r="AN460" i="12" s="1"/>
  <c r="AO460" i="12" s="1"/>
  <c r="AL456" i="12" a="1"/>
  <c r="AL456" i="12" s="1"/>
  <c r="AO456" i="12" s="1"/>
  <c r="AL448" i="12" a="1"/>
  <c r="AL448" i="12" s="1"/>
  <c r="AN448" i="12" s="1"/>
  <c r="AO448" i="12" s="1"/>
  <c r="O312" i="12" a="1"/>
  <c r="O312" i="12" s="1"/>
  <c r="P312" i="12" s="1"/>
  <c r="O307" i="12" a="1"/>
  <c r="O307" i="12" s="1"/>
  <c r="R307" i="12" s="1"/>
  <c r="O302" i="12" a="1"/>
  <c r="O302" i="12" s="1"/>
  <c r="P302" i="12" s="1"/>
  <c r="O300" i="12" a="1"/>
  <c r="O300" i="12" s="1"/>
  <c r="R300" i="12" s="1"/>
  <c r="O298" i="12" a="1"/>
  <c r="O298" i="12" s="1"/>
  <c r="O296" i="12" a="1"/>
  <c r="O296" i="12" s="1"/>
  <c r="Q262" i="12" a="1"/>
  <c r="Q262" i="12" s="1"/>
  <c r="S262" i="12" s="1"/>
  <c r="O247" i="12" a="1"/>
  <c r="O247" i="12" s="1"/>
  <c r="R247" i="12" s="1"/>
  <c r="Q225" i="12" a="1"/>
  <c r="Q225" i="12" s="1"/>
  <c r="S225" i="12" s="1"/>
  <c r="Q221" i="12" a="1"/>
  <c r="Q221" i="12" s="1"/>
  <c r="P191" i="12" a="1"/>
  <c r="P191" i="12" s="1"/>
  <c r="Q181" i="12" a="1"/>
  <c r="Q181" i="12" s="1"/>
  <c r="S181" i="12" s="1"/>
  <c r="O178" i="12" a="1"/>
  <c r="O178" i="12" s="1"/>
  <c r="R178" i="12" s="1"/>
  <c r="O175" i="12" a="1"/>
  <c r="O175" i="12" s="1"/>
  <c r="R175" i="12" s="1"/>
  <c r="Q150" i="12" a="1"/>
  <c r="Q150" i="12" s="1"/>
  <c r="S150" i="12" s="1"/>
  <c r="Q144" i="12" a="1"/>
  <c r="Q144" i="12" s="1"/>
  <c r="S144" i="12" s="1"/>
  <c r="Q141" i="12" a="1"/>
  <c r="Q141" i="12" s="1"/>
  <c r="S141" i="12" s="1"/>
  <c r="Q130" i="12" a="1"/>
  <c r="Q130" i="12" s="1"/>
  <c r="S130" i="12" s="1"/>
  <c r="Q124" i="12" a="1"/>
  <c r="Q124" i="12" s="1"/>
  <c r="S124" i="12" s="1"/>
  <c r="Q120" i="12" a="1"/>
  <c r="Q120" i="12" s="1"/>
  <c r="S120" i="12" s="1"/>
  <c r="O104" i="12" a="1"/>
  <c r="O104" i="12" s="1"/>
  <c r="P104" i="12" s="1"/>
  <c r="O100" i="12" a="1"/>
  <c r="O100" i="12" s="1"/>
  <c r="AL493" i="12" a="1"/>
  <c r="AL493" i="12" s="1"/>
  <c r="AN493" i="12" s="1"/>
  <c r="AO493" i="12" s="1"/>
  <c r="AL420" i="12" a="1"/>
  <c r="AL420" i="12" s="1"/>
  <c r="AN420" i="12" s="1"/>
  <c r="AO420" i="12" s="1"/>
  <c r="Q393" i="12" a="1"/>
  <c r="Q393" i="12" s="1"/>
  <c r="Q389" i="12" a="1"/>
  <c r="Q389" i="12" s="1"/>
  <c r="Q385" i="12" a="1"/>
  <c r="Q385" i="12" s="1"/>
  <c r="Q381" i="12" a="1"/>
  <c r="Q381" i="12" s="1"/>
  <c r="Q376" i="12" a="1"/>
  <c r="Q376" i="12" s="1"/>
  <c r="Q372" i="12" a="1"/>
  <c r="Q372" i="12" s="1"/>
  <c r="Q368" i="12" a="1"/>
  <c r="Q368" i="12" s="1"/>
  <c r="Q360" i="12" a="1"/>
  <c r="Q360" i="12" s="1"/>
  <c r="Q346" i="12" a="1"/>
  <c r="Q346" i="12" s="1"/>
  <c r="S346" i="12" s="1"/>
  <c r="Q342" i="12" a="1"/>
  <c r="Q342" i="12" s="1"/>
  <c r="S342" i="12" s="1"/>
  <c r="Q338" i="12" a="1"/>
  <c r="Q338" i="12" s="1"/>
  <c r="S338" i="12" s="1"/>
  <c r="Q333" i="12" a="1"/>
  <c r="Q333" i="12" s="1"/>
  <c r="S333" i="12" s="1"/>
  <c r="Q328" i="12" a="1"/>
  <c r="Q328" i="12" s="1"/>
  <c r="S328" i="12" s="1"/>
  <c r="Q324" i="12" a="1"/>
  <c r="Q324" i="12" s="1"/>
  <c r="S324" i="12" s="1"/>
  <c r="Q320" i="12" a="1"/>
  <c r="Q320" i="12" s="1"/>
  <c r="S320" i="12" s="1"/>
  <c r="Q283" i="12" a="1"/>
  <c r="Q283" i="12" s="1"/>
  <c r="S283" i="12" s="1"/>
  <c r="Q279" i="12" a="1"/>
  <c r="Q279" i="12" s="1"/>
  <c r="S279" i="12" s="1"/>
  <c r="Q275" i="12" a="1"/>
  <c r="Q275" i="12" s="1"/>
  <c r="S275" i="12" s="1"/>
  <c r="Q270" i="12" a="1"/>
  <c r="Q270" i="12" s="1"/>
  <c r="Q228" i="12" a="1"/>
  <c r="Q228" i="12" s="1"/>
  <c r="S228" i="12" s="1"/>
  <c r="Q217" i="12" a="1"/>
  <c r="Q217" i="12" s="1"/>
  <c r="AL440" i="12" s="1"/>
  <c r="AO440" i="12" s="1"/>
  <c r="Q213" i="12" a="1"/>
  <c r="Q213" i="12" s="1"/>
  <c r="S213" i="12" s="1"/>
  <c r="Q208" i="12" a="1"/>
  <c r="Q208" i="12" s="1"/>
  <c r="S208" i="12" s="1"/>
  <c r="Q204" i="12" a="1"/>
  <c r="Q204" i="12" s="1"/>
  <c r="S204" i="12" s="1"/>
  <c r="P181" i="12" a="1"/>
  <c r="P181" i="12" s="1"/>
  <c r="Q159" i="12" a="1"/>
  <c r="Q159" i="12" s="1"/>
  <c r="Q156" i="12" a="1"/>
  <c r="Q156" i="12" s="1"/>
  <c r="S156" i="12" s="1"/>
  <c r="Q133" i="12" a="1"/>
  <c r="Q133" i="12" s="1"/>
  <c r="S133" i="12" s="1"/>
  <c r="Q127" i="12" a="1"/>
  <c r="Q127" i="12" s="1"/>
  <c r="Q116" i="12" a="1"/>
  <c r="Q116" i="12" s="1"/>
  <c r="S116" i="12" s="1"/>
  <c r="Q113" i="12" a="1"/>
  <c r="Q113" i="12" s="1"/>
  <c r="S113" i="12" s="1"/>
  <c r="Q102" i="12" a="1"/>
  <c r="Q102" i="12" s="1"/>
  <c r="S102" i="12" s="1"/>
  <c r="Q96" i="12" a="1"/>
  <c r="Q96" i="12" s="1"/>
  <c r="S96" i="12" s="1"/>
  <c r="AL469" i="12" a="1"/>
  <c r="AL469" i="12" s="1"/>
  <c r="AN469" i="12" s="1"/>
  <c r="AO469" i="12" s="1"/>
  <c r="AL459" i="12" a="1"/>
  <c r="AL459" i="12" s="1"/>
  <c r="AN459" i="12" s="1"/>
  <c r="AO459" i="12" s="1"/>
  <c r="AL455" i="12" a="1"/>
  <c r="AL455" i="12" s="1"/>
  <c r="AN455" i="12" s="1"/>
  <c r="AO455" i="12" s="1"/>
  <c r="O360" i="12" a="1"/>
  <c r="O360" i="12" s="1"/>
  <c r="Q261" i="12" a="1"/>
  <c r="Q261" i="12" s="1"/>
  <c r="S261" i="12" s="1"/>
  <c r="Q258" i="12" a="1"/>
  <c r="Q258" i="12" s="1"/>
  <c r="S258" i="12" s="1"/>
  <c r="Q255" i="12" a="1"/>
  <c r="Q255" i="12" s="1"/>
  <c r="S255" i="12" s="1"/>
  <c r="Q224" i="12" a="1"/>
  <c r="Q224" i="12" s="1"/>
  <c r="Q220" i="12" a="1"/>
  <c r="Q220" i="12" s="1"/>
  <c r="S220" i="12" s="1"/>
  <c r="Q200" i="12" a="1"/>
  <c r="Q200" i="12" s="1"/>
  <c r="S200" i="12" s="1"/>
  <c r="S188" i="12"/>
  <c r="O181" i="12" a="1"/>
  <c r="O181" i="12" s="1"/>
  <c r="R181" i="12" s="1"/>
  <c r="Q162" i="12" a="1"/>
  <c r="Q162" i="12" s="1"/>
  <c r="Q146" i="12" a="1"/>
  <c r="Q146" i="12" s="1"/>
  <c r="Q143" i="12" a="1"/>
  <c r="Q143" i="12" s="1"/>
  <c r="S143" i="12" s="1"/>
  <c r="Q140" i="12" a="1"/>
  <c r="Q140" i="12" s="1"/>
  <c r="S140" i="12" s="1"/>
  <c r="Q137" i="12" a="1"/>
  <c r="Q137" i="12" s="1"/>
  <c r="S137" i="12" s="1"/>
  <c r="Q123" i="12" a="1"/>
  <c r="Q123" i="12" s="1"/>
  <c r="Q119" i="12" a="1"/>
  <c r="Q119" i="12" s="1"/>
  <c r="S119" i="12" s="1"/>
  <c r="O102" i="12" a="1"/>
  <c r="O102" i="12" s="1"/>
  <c r="P102" i="12" s="1"/>
  <c r="AL492" i="12" a="1"/>
  <c r="AL492" i="12" s="1"/>
  <c r="AN492" i="12" s="1"/>
  <c r="AO492" i="12" s="1"/>
  <c r="Q392" i="12" a="1"/>
  <c r="Q392" i="12" s="1"/>
  <c r="Q388" i="12" a="1"/>
  <c r="Q388" i="12" s="1"/>
  <c r="Q384" i="12" a="1"/>
  <c r="Q384" i="12" s="1"/>
  <c r="Q380" i="12" a="1"/>
  <c r="Q380" i="12" s="1"/>
  <c r="Q375" i="12" a="1"/>
  <c r="Q375" i="12" s="1"/>
  <c r="Q371" i="12" a="1"/>
  <c r="Q371" i="12" s="1"/>
  <c r="Q367" i="12" a="1"/>
  <c r="Q367" i="12" s="1"/>
  <c r="Q345" i="12" a="1"/>
  <c r="Q345" i="12" s="1"/>
  <c r="Q341" i="12" a="1"/>
  <c r="Q341" i="12" s="1"/>
  <c r="S341" i="12" s="1"/>
  <c r="Q336" i="12" a="1"/>
  <c r="Q336" i="12" s="1"/>
  <c r="S336" i="12" s="1"/>
  <c r="Q332" i="12" a="1"/>
  <c r="Q332" i="12" s="1"/>
  <c r="S332" i="12" s="1"/>
  <c r="Q327" i="12" a="1"/>
  <c r="Q327" i="12" s="1"/>
  <c r="S327" i="12" s="1"/>
  <c r="Q323" i="12" a="1"/>
  <c r="Q323" i="12" s="1"/>
  <c r="Q319" i="12" a="1"/>
  <c r="Q319" i="12" s="1"/>
  <c r="S319" i="12" s="1"/>
  <c r="Q308" i="12" a="1"/>
  <c r="Q308" i="12" s="1"/>
  <c r="S308" i="12" s="1"/>
  <c r="Q303" i="12" a="1"/>
  <c r="Q303" i="12" s="1"/>
  <c r="S303" i="12" s="1"/>
  <c r="Q301" i="12" a="1"/>
  <c r="Q301" i="12" s="1"/>
  <c r="S301" i="12" s="1"/>
  <c r="Q299" i="12" a="1"/>
  <c r="Q299" i="12" s="1"/>
  <c r="S299" i="12" s="1"/>
  <c r="Q297" i="12" a="1"/>
  <c r="Q297" i="12" s="1"/>
  <c r="S297" i="12" s="1"/>
  <c r="Q295" i="12" a="1"/>
  <c r="Q295" i="12" s="1"/>
  <c r="S295" i="12" s="1"/>
  <c r="Q282" i="12" a="1"/>
  <c r="Q282" i="12" s="1"/>
  <c r="S282" i="12" s="1"/>
  <c r="Q278" i="12" a="1"/>
  <c r="Q278" i="12" s="1"/>
  <c r="S278" i="12" s="1"/>
  <c r="Q274" i="12" a="1"/>
  <c r="Q274" i="12" s="1"/>
  <c r="S274" i="12" s="1"/>
  <c r="Q269" i="12" a="1"/>
  <c r="Q269" i="12" s="1"/>
  <c r="S269" i="12" s="1"/>
  <c r="Q264" i="12" a="1"/>
  <c r="Q264" i="12" s="1"/>
  <c r="S264" i="12" s="1"/>
  <c r="Q241" i="12" a="1"/>
  <c r="Q241" i="12" s="1"/>
  <c r="S241" i="12" s="1"/>
  <c r="Q227" i="12" a="1"/>
  <c r="Q227" i="12" s="1"/>
  <c r="S227" i="12" s="1"/>
  <c r="Q216" i="12" a="1"/>
  <c r="Q216" i="12" s="1"/>
  <c r="Q212" i="12" a="1"/>
  <c r="Q212" i="12" s="1"/>
  <c r="S212" i="12" s="1"/>
  <c r="Q207" i="12" a="1"/>
  <c r="Q207" i="12" s="1"/>
  <c r="S207" i="12" s="1"/>
  <c r="Q203" i="12" a="1"/>
  <c r="Q203" i="12" s="1"/>
  <c r="S203" i="12" s="1"/>
  <c r="P188" i="12" a="1"/>
  <c r="P188" i="12" s="1"/>
  <c r="Q158" i="12" a="1"/>
  <c r="Q158" i="12" s="1"/>
  <c r="AL476" i="12" s="1"/>
  <c r="AO476" i="12" s="1"/>
  <c r="Q152" i="12" a="1"/>
  <c r="Q152" i="12" s="1"/>
  <c r="S152" i="12" s="1"/>
  <c r="Q149" i="12" a="1"/>
  <c r="Q149" i="12" s="1"/>
  <c r="Q129" i="12" a="1"/>
  <c r="Q129" i="12" s="1"/>
  <c r="S129" i="12" s="1"/>
  <c r="Q126" i="12" a="1"/>
  <c r="Q126" i="12" s="1"/>
  <c r="S126" i="12" s="1"/>
  <c r="AL462" i="12" a="1"/>
  <c r="AL462" i="12" s="1"/>
  <c r="AL458" i="12" a="1"/>
  <c r="AL458" i="12" s="1"/>
  <c r="AN458" i="12" s="1"/>
  <c r="AO458" i="12" s="1"/>
  <c r="AL454" i="12" a="1"/>
  <c r="AL454" i="12" s="1"/>
  <c r="AN454" i="12" s="1"/>
  <c r="AO454" i="12" s="1"/>
  <c r="O308" i="12" a="1"/>
  <c r="O308" i="12" s="1"/>
  <c r="R308" i="12" s="1"/>
  <c r="O303" i="12" a="1"/>
  <c r="O303" i="12" s="1"/>
  <c r="P303" i="12" s="1"/>
  <c r="O301" i="12" a="1"/>
  <c r="O301" i="12" s="1"/>
  <c r="P301" i="12" s="1"/>
  <c r="O299" i="12" a="1"/>
  <c r="O299" i="12" s="1"/>
  <c r="R299" i="12" s="1"/>
  <c r="O297" i="12" a="1"/>
  <c r="O297" i="12" s="1"/>
  <c r="R297" i="12" s="1"/>
  <c r="O295" i="12" a="1"/>
  <c r="O295" i="12" s="1"/>
  <c r="R295" i="12" s="1"/>
  <c r="Q254" i="12" a="1"/>
  <c r="Q254" i="12" s="1"/>
  <c r="S254" i="12" s="1"/>
  <c r="P241" i="12" a="1"/>
  <c r="P241" i="12" s="1"/>
  <c r="Q223" i="12" a="1"/>
  <c r="Q223" i="12" s="1"/>
  <c r="Q219" i="12" a="1"/>
  <c r="Q219" i="12" s="1"/>
  <c r="S219" i="12" s="1"/>
  <c r="Q199" i="12" a="1"/>
  <c r="Q199" i="12" s="1"/>
  <c r="S199" i="12" s="1"/>
  <c r="Q172" i="12" a="1"/>
  <c r="Q172" i="12" s="1"/>
  <c r="S172" i="12" s="1"/>
  <c r="Q161" i="12" a="1"/>
  <c r="Q161" i="12" s="1"/>
  <c r="S161" i="12" s="1"/>
  <c r="Q142" i="12" a="1"/>
  <c r="Q142" i="12" s="1"/>
  <c r="S142" i="12" s="1"/>
  <c r="Q139" i="12" a="1"/>
  <c r="Q139" i="12" s="1"/>
  <c r="S139" i="12" s="1"/>
  <c r="Q136" i="12" a="1"/>
  <c r="Q136" i="12" s="1"/>
  <c r="S136" i="12" s="1"/>
  <c r="Q132" i="12" a="1"/>
  <c r="Q132" i="12" s="1"/>
  <c r="S132" i="12" s="1"/>
  <c r="Q118" i="12" a="1"/>
  <c r="Q118" i="12" s="1"/>
  <c r="S118" i="12" s="1"/>
  <c r="Q115" i="12" a="1"/>
  <c r="Q115" i="12" s="1"/>
  <c r="S115" i="12" s="1"/>
  <c r="Q103" i="12" a="1"/>
  <c r="Q103" i="12" s="1"/>
  <c r="S103" i="12" s="1"/>
  <c r="Q99" i="12" a="1"/>
  <c r="Q99" i="12" s="1"/>
  <c r="AL491" i="12" a="1"/>
  <c r="AL491" i="12" s="1"/>
  <c r="AN491" i="12" s="1"/>
  <c r="AO491" i="12" s="1"/>
  <c r="Q391" i="12" a="1"/>
  <c r="Q391" i="12" s="1"/>
  <c r="Q387" i="12" a="1"/>
  <c r="Q387" i="12" s="1"/>
  <c r="Q383" i="12" a="1"/>
  <c r="Q383" i="12" s="1"/>
  <c r="Q379" i="12" a="1"/>
  <c r="Q379" i="12" s="1"/>
  <c r="Q374" i="12" a="1"/>
  <c r="Q374" i="12" s="1"/>
  <c r="Q370" i="12" a="1"/>
  <c r="Q370" i="12" s="1"/>
  <c r="Q366" i="12" a="1"/>
  <c r="Q366" i="12" s="1"/>
  <c r="Q348" i="12" a="1"/>
  <c r="Q348" i="12" s="1"/>
  <c r="S348" i="12" s="1"/>
  <c r="Q344" i="12" a="1"/>
  <c r="Q344" i="12" s="1"/>
  <c r="S344" i="12" s="1"/>
  <c r="Q340" i="12" a="1"/>
  <c r="Q340" i="12" s="1"/>
  <c r="S340" i="12" s="1"/>
  <c r="Q335" i="12" a="1"/>
  <c r="Q335" i="12" s="1"/>
  <c r="S335" i="12" s="1"/>
  <c r="Q331" i="12" a="1"/>
  <c r="Q331" i="12" s="1"/>
  <c r="S331" i="12" s="1"/>
  <c r="Q257" i="12" a="1"/>
  <c r="Q257" i="12" s="1"/>
  <c r="S257" i="12" s="1"/>
  <c r="Q211" i="12" a="1"/>
  <c r="Q211" i="12" s="1"/>
  <c r="Q151" i="12" a="1"/>
  <c r="Q151" i="12" s="1"/>
  <c r="S151" i="12" s="1"/>
  <c r="Q125" i="12" a="1"/>
  <c r="Q125" i="12" s="1"/>
  <c r="S125" i="12" s="1"/>
  <c r="Q112" i="12" a="1"/>
  <c r="Q112" i="12" s="1"/>
  <c r="S112" i="12" s="1"/>
  <c r="Q94" i="12" a="1"/>
  <c r="Q94" i="12" s="1"/>
  <c r="Q51" i="12" a="1"/>
  <c r="Q51" i="12" s="1"/>
  <c r="S51" i="12" s="1"/>
  <c r="Q45" i="12" a="1"/>
  <c r="Q45" i="12" s="1"/>
  <c r="S45" i="12" s="1"/>
  <c r="Q42" i="12" a="1"/>
  <c r="Q42" i="12" s="1"/>
  <c r="Q35" i="12" a="1"/>
  <c r="Q35" i="12" s="1"/>
  <c r="S35" i="12" s="1"/>
  <c r="O19" i="12" a="1"/>
  <c r="O19" i="12" s="1"/>
  <c r="Q326" i="12" a="1"/>
  <c r="Q326" i="12" s="1"/>
  <c r="S326" i="12" s="1"/>
  <c r="Q206" i="12" a="1"/>
  <c r="Q206" i="12" s="1"/>
  <c r="Q175" i="12" a="1"/>
  <c r="Q175" i="12" s="1"/>
  <c r="O94" i="12" a="1"/>
  <c r="O94" i="12" s="1"/>
  <c r="R94" i="12" s="1"/>
  <c r="Q69" i="12" a="1"/>
  <c r="Q69" i="12" s="1"/>
  <c r="S69" i="12" s="1"/>
  <c r="Q66" i="12" a="1"/>
  <c r="Q66" i="12" s="1"/>
  <c r="S66" i="12" s="1"/>
  <c r="Q63" i="12" a="1"/>
  <c r="Q63" i="12" s="1"/>
  <c r="S63" i="12" s="1"/>
  <c r="Q53" i="12" a="1"/>
  <c r="Q53" i="12" s="1"/>
  <c r="S53" i="12" s="1"/>
  <c r="Q38" i="12" a="1"/>
  <c r="Q38" i="12" s="1"/>
  <c r="S38" i="12" s="1"/>
  <c r="Q32" i="12" a="1"/>
  <c r="Q32" i="12" s="1"/>
  <c r="S32" i="12" s="1"/>
  <c r="Q22" i="12" a="1"/>
  <c r="Q22" i="12" s="1"/>
  <c r="S22" i="12" s="1"/>
  <c r="Q7" i="12" a="1"/>
  <c r="Q7" i="12" s="1"/>
  <c r="S7" i="12" s="1"/>
  <c r="Q322" i="12" a="1"/>
  <c r="Q322" i="12" s="1"/>
  <c r="S322" i="12" s="1"/>
  <c r="Q281" i="12" a="1"/>
  <c r="Q281" i="12" s="1"/>
  <c r="S281" i="12" s="1"/>
  <c r="Q244" i="12" a="1"/>
  <c r="Q244" i="12" s="1"/>
  <c r="S245" i="12" s="1"/>
  <c r="Q202" i="12" a="1"/>
  <c r="Q202" i="12" s="1"/>
  <c r="S202" i="12" s="1"/>
  <c r="P172" i="12" a="1"/>
  <c r="P172" i="12" s="1"/>
  <c r="Q148" i="12" a="1"/>
  <c r="Q148" i="12" s="1"/>
  <c r="S148" i="12" s="1"/>
  <c r="Q121" i="12" a="1"/>
  <c r="Q121" i="12" s="1"/>
  <c r="S121" i="12" s="1"/>
  <c r="O99" i="12" a="1"/>
  <c r="O99" i="12" s="1"/>
  <c r="P99" i="12" s="1"/>
  <c r="Q76" i="12" a="1"/>
  <c r="Q76" i="12" s="1"/>
  <c r="AL472" i="12" s="1"/>
  <c r="AO472" i="12" s="1"/>
  <c r="Q60" i="12" a="1"/>
  <c r="Q60" i="12" s="1"/>
  <c r="S60" i="12" s="1"/>
  <c r="Q57" i="12" a="1"/>
  <c r="Q57" i="12" s="1"/>
  <c r="S57" i="12" s="1"/>
  <c r="Q15" i="12" a="1"/>
  <c r="Q15" i="12" s="1"/>
  <c r="S15" i="12" s="1"/>
  <c r="Q10" i="12" a="1"/>
  <c r="Q10" i="12" s="1"/>
  <c r="S10" i="12" s="1"/>
  <c r="O7" i="12" a="1"/>
  <c r="O7" i="12" s="1"/>
  <c r="R7" i="12" s="1"/>
  <c r="O10" i="12" a="1"/>
  <c r="O10" i="12" s="1"/>
  <c r="P10" i="12" s="1"/>
  <c r="Q318" i="12" a="1"/>
  <c r="Q318" i="12" s="1"/>
  <c r="S318" i="12" s="1"/>
  <c r="Q277" i="12" a="1"/>
  <c r="Q277" i="12" s="1"/>
  <c r="S277" i="12" s="1"/>
  <c r="O241" i="12" a="1"/>
  <c r="O241" i="12" s="1"/>
  <c r="R241" i="12" s="1"/>
  <c r="O172" i="12" a="1"/>
  <c r="O172" i="12" s="1"/>
  <c r="R172" i="12" s="1"/>
  <c r="Q134" i="12" a="1"/>
  <c r="Q134" i="12" s="1"/>
  <c r="S134" i="12" s="1"/>
  <c r="Q79" i="12" a="1"/>
  <c r="Q79" i="12" s="1"/>
  <c r="S79" i="12" s="1"/>
  <c r="Q75" i="12" a="1"/>
  <c r="Q75" i="12" s="1"/>
  <c r="Q65" i="12" a="1"/>
  <c r="Q65" i="12" s="1"/>
  <c r="Q50" i="12" a="1"/>
  <c r="Q50" i="12" s="1"/>
  <c r="S50" i="12" s="1"/>
  <c r="Q47" i="12" a="1"/>
  <c r="Q47" i="12" s="1"/>
  <c r="S47" i="12" s="1"/>
  <c r="Q44" i="12" a="1"/>
  <c r="Q44" i="12" s="1"/>
  <c r="S44" i="12" s="1"/>
  <c r="Q40" i="12" a="1"/>
  <c r="Q40" i="12" s="1"/>
  <c r="S40" i="12" s="1"/>
  <c r="Q37" i="12" a="1"/>
  <c r="Q37" i="12" s="1"/>
  <c r="S37" i="12" s="1"/>
  <c r="Q31" i="12" a="1"/>
  <c r="Q31" i="12" s="1"/>
  <c r="S31" i="12" s="1"/>
  <c r="Q8" i="12" a="1"/>
  <c r="Q8" i="12" s="1"/>
  <c r="S8" i="12" s="1"/>
  <c r="Q272" i="12" a="1"/>
  <c r="Q272" i="12" s="1"/>
  <c r="S272" i="12" s="1"/>
  <c r="Q226" i="12" a="1"/>
  <c r="Q226" i="12" s="1"/>
  <c r="S226" i="12" s="1"/>
  <c r="O103" i="12" a="1"/>
  <c r="O103" i="12" s="1"/>
  <c r="P103" i="12" s="1"/>
  <c r="O96" i="12" a="1"/>
  <c r="O96" i="12" s="1"/>
  <c r="Q93" i="12" a="1"/>
  <c r="Q93" i="12" s="1"/>
  <c r="Q68" i="12" a="1"/>
  <c r="Q68" i="12" s="1"/>
  <c r="S68" i="12" s="1"/>
  <c r="Q62" i="12" a="1"/>
  <c r="Q62" i="12" s="1"/>
  <c r="S62" i="12" s="1"/>
  <c r="Q59" i="12" a="1"/>
  <c r="Q59" i="12" s="1"/>
  <c r="S59" i="12" s="1"/>
  <c r="Q52" i="12" a="1"/>
  <c r="Q52" i="12" s="1"/>
  <c r="S52" i="12" s="1"/>
  <c r="Q34" i="12" a="1"/>
  <c r="Q34" i="12" s="1"/>
  <c r="S34" i="12" s="1"/>
  <c r="Q21" i="12" a="1"/>
  <c r="Q21" i="12" s="1"/>
  <c r="S21" i="12" s="1"/>
  <c r="Q17" i="12" a="1"/>
  <c r="Q17" i="12" s="1"/>
  <c r="S17" i="12" s="1"/>
  <c r="O15" i="12" a="1"/>
  <c r="O15" i="12" s="1"/>
  <c r="R15" i="12" s="1"/>
  <c r="Q268" i="12" a="1"/>
  <c r="Q268" i="12" s="1"/>
  <c r="S268" i="12" s="1"/>
  <c r="Q184" i="12" a="1"/>
  <c r="Q184" i="12" s="1"/>
  <c r="S184" i="12" s="1"/>
  <c r="Q145" i="12" a="1"/>
  <c r="Q145" i="12" s="1"/>
  <c r="S145" i="12" s="1"/>
  <c r="Q131" i="12" a="1"/>
  <c r="Q131" i="12" s="1"/>
  <c r="S131" i="12" s="1"/>
  <c r="Q117" i="12" a="1"/>
  <c r="Q117" i="12" s="1"/>
  <c r="S117" i="12" s="1"/>
  <c r="Q82" i="12" a="1"/>
  <c r="Q82" i="12" s="1"/>
  <c r="Q78" i="12" a="1"/>
  <c r="Q78" i="12" s="1"/>
  <c r="AL470" i="12" s="1"/>
  <c r="Q56" i="12" a="1"/>
  <c r="Q56" i="12" s="1"/>
  <c r="S56" i="12" s="1"/>
  <c r="Q49" i="12" a="1"/>
  <c r="Q49" i="12" s="1"/>
  <c r="Q46" i="12" a="1"/>
  <c r="Q46" i="12" s="1"/>
  <c r="S46" i="12" s="1"/>
  <c r="Q36" i="12" a="1"/>
  <c r="Q36" i="12" s="1"/>
  <c r="S36" i="12" s="1"/>
  <c r="O17" i="12" a="1"/>
  <c r="O17" i="12" s="1"/>
  <c r="R17" i="12" s="1"/>
  <c r="O11" i="12" a="1"/>
  <c r="O11" i="12" s="1"/>
  <c r="P11" i="12" s="1"/>
  <c r="Q95" i="12" a="1"/>
  <c r="Q95" i="12" s="1"/>
  <c r="S95" i="12" s="1"/>
  <c r="Q70" i="12" a="1"/>
  <c r="Q70" i="12" s="1"/>
  <c r="S70" i="12" s="1"/>
  <c r="Q43" i="12" a="1"/>
  <c r="Q43" i="12" s="1"/>
  <c r="S43" i="12" s="1"/>
  <c r="Q39" i="12" a="1"/>
  <c r="Q39" i="12" s="1"/>
  <c r="S39" i="12" s="1"/>
  <c r="Q9" i="12" a="1"/>
  <c r="Q9" i="12" s="1"/>
  <c r="S9" i="12" s="1"/>
  <c r="Q6" i="12" a="1"/>
  <c r="Q6" i="12" s="1"/>
  <c r="S6" i="12" s="1"/>
  <c r="Q33" i="12" a="1"/>
  <c r="Q33" i="12" s="1"/>
  <c r="S33" i="12" s="1"/>
  <c r="Q19" i="12" a="1"/>
  <c r="Q19" i="12" s="1"/>
  <c r="S19" i="12" s="1"/>
  <c r="Q12" i="12" a="1"/>
  <c r="Q12" i="12" s="1"/>
  <c r="S12" i="12" s="1"/>
  <c r="O12" i="12" a="1"/>
  <c r="O12" i="12" s="1"/>
  <c r="P12" i="12" s="1"/>
  <c r="Q260" i="12" a="1"/>
  <c r="Q260" i="12" s="1"/>
  <c r="S260" i="12" s="1"/>
  <c r="Q215" i="12" a="1"/>
  <c r="Q215" i="12" s="1"/>
  <c r="S215" i="12" s="1"/>
  <c r="Q178" i="12" a="1"/>
  <c r="Q178" i="12" s="1"/>
  <c r="Q157" i="12" a="1"/>
  <c r="Q157" i="12" s="1"/>
  <c r="AL475" i="12" s="1"/>
  <c r="AO475" i="12" s="1"/>
  <c r="O95" i="12" a="1"/>
  <c r="O95" i="12" s="1"/>
  <c r="R95" i="12" s="1"/>
  <c r="Q81" i="12" a="1"/>
  <c r="Q81" i="12" s="1"/>
  <c r="S81" i="12" s="1"/>
  <c r="Q77" i="12" a="1"/>
  <c r="Q77" i="12" s="1"/>
  <c r="AL473" i="12" s="1"/>
  <c r="AO473" i="12" s="1"/>
  <c r="Q67" i="12" a="1"/>
  <c r="Q67" i="12" s="1"/>
  <c r="S67" i="12" s="1"/>
  <c r="Q64" i="12" a="1"/>
  <c r="Q64" i="12" s="1"/>
  <c r="S64" i="12" s="1"/>
  <c r="Q61" i="12" a="1"/>
  <c r="Q61" i="12" s="1"/>
  <c r="S61" i="12" s="1"/>
  <c r="Q58" i="12" a="1"/>
  <c r="Q58" i="12" s="1"/>
  <c r="S58" i="12" s="1"/>
  <c r="Q55" i="12" a="1"/>
  <c r="Q55" i="12" s="1"/>
  <c r="S55" i="12" s="1"/>
  <c r="Q48" i="12" a="1"/>
  <c r="Q48" i="12" s="1"/>
  <c r="S48" i="12" s="1"/>
  <c r="Q23" i="12" a="1"/>
  <c r="Q23" i="12" s="1"/>
  <c r="S23" i="12" s="1"/>
  <c r="O6" i="12" a="1"/>
  <c r="O6" i="12" s="1"/>
  <c r="R6" i="12" s="1"/>
  <c r="O9" i="12" a="1"/>
  <c r="O9" i="12" s="1"/>
  <c r="P9" i="12" s="1"/>
  <c r="Q11" i="12" a="1"/>
  <c r="Q11" i="12" s="1"/>
  <c r="S11" i="12" s="1"/>
  <c r="O8" i="12" a="1"/>
  <c r="O8" i="12" s="1"/>
  <c r="P8" i="12" s="1"/>
  <c r="Q5" i="12" a="1"/>
  <c r="Q5" i="12" s="1"/>
  <c r="AL496" i="12" a="1"/>
  <c r="AL496" i="12" s="1"/>
  <c r="AL494" i="12" a="1"/>
  <c r="AL494" i="12" s="1"/>
  <c r="AO494" i="12" s="1"/>
  <c r="F191" i="12" a="1"/>
  <c r="F191" i="12" s="1"/>
  <c r="Z491" i="12" a="1"/>
  <c r="Z491" i="12" s="1"/>
  <c r="F391" i="12" a="1"/>
  <c r="F391" i="12" s="1"/>
  <c r="F387" i="12" a="1"/>
  <c r="F387" i="12" s="1"/>
  <c r="F383" i="12" a="1"/>
  <c r="F383" i="12" s="1"/>
  <c r="F379" i="12" a="1"/>
  <c r="F379" i="12" s="1"/>
  <c r="F374" i="12" a="1"/>
  <c r="F374" i="12" s="1"/>
  <c r="F370" i="12" a="1"/>
  <c r="F370" i="12" s="1"/>
  <c r="F366" i="12" a="1"/>
  <c r="F366" i="12" s="1"/>
  <c r="F348" i="12" a="1"/>
  <c r="F348" i="12" s="1"/>
  <c r="F344" i="12" a="1"/>
  <c r="F344" i="12" s="1"/>
  <c r="F340" i="12" a="1"/>
  <c r="F340" i="12" s="1"/>
  <c r="F335" i="12" a="1"/>
  <c r="F335" i="12" s="1"/>
  <c r="F331" i="12" a="1"/>
  <c r="F331" i="12" s="1"/>
  <c r="F326" i="12" a="1"/>
  <c r="F326" i="12" s="1"/>
  <c r="F322" i="12" a="1"/>
  <c r="F322" i="12" s="1"/>
  <c r="F318" i="12" a="1"/>
  <c r="F318" i="12" s="1"/>
  <c r="D308" i="12" a="1"/>
  <c r="D308" i="12" s="1"/>
  <c r="D303" i="12" a="1"/>
  <c r="D303" i="12" s="1"/>
  <c r="E303" i="12" s="1"/>
  <c r="D301" i="12" a="1"/>
  <c r="D301" i="12" s="1"/>
  <c r="E301" i="12" s="1"/>
  <c r="D299" i="12" a="1"/>
  <c r="D299" i="12" s="1"/>
  <c r="D297" i="12" a="1"/>
  <c r="D297" i="12" s="1"/>
  <c r="D295" i="12" a="1"/>
  <c r="D295" i="12" s="1"/>
  <c r="F281" i="12" a="1"/>
  <c r="F281" i="12" s="1"/>
  <c r="F277" i="12" a="1"/>
  <c r="F277" i="12" s="1"/>
  <c r="F272" i="12" a="1"/>
  <c r="F272" i="12" s="1"/>
  <c r="F268" i="12" a="1"/>
  <c r="F268" i="12" s="1"/>
  <c r="F260" i="12" a="1"/>
  <c r="F260" i="12" s="1"/>
  <c r="F257" i="12" a="1"/>
  <c r="F257" i="12" s="1"/>
  <c r="F241" i="12" a="1"/>
  <c r="F241" i="12" s="1"/>
  <c r="F215" i="12" a="1"/>
  <c r="F215" i="12" s="1"/>
  <c r="F211" i="12" a="1"/>
  <c r="F211" i="12" s="1"/>
  <c r="F206" i="12" a="1"/>
  <c r="F206" i="12" s="1"/>
  <c r="F202" i="12" a="1"/>
  <c r="F202" i="12" s="1"/>
  <c r="Z461" i="12" a="1"/>
  <c r="Z461" i="12" s="1"/>
  <c r="Z457" i="12" a="1"/>
  <c r="Z457" i="12" s="1"/>
  <c r="Z453" i="12" a="1"/>
  <c r="Z453" i="12" s="1"/>
  <c r="F263" i="12" a="1"/>
  <c r="F263" i="12" s="1"/>
  <c r="E241" i="12" a="1"/>
  <c r="E241" i="12" s="1"/>
  <c r="F226" i="12" a="1"/>
  <c r="F226" i="12" s="1"/>
  <c r="F222" i="12" a="1"/>
  <c r="F222" i="12" s="1"/>
  <c r="F198" i="12" a="1"/>
  <c r="F198" i="12" s="1"/>
  <c r="F184" i="12" a="1"/>
  <c r="F184" i="12" s="1"/>
  <c r="F172" i="12" a="1"/>
  <c r="F172" i="12" s="1"/>
  <c r="F157" i="12" a="1"/>
  <c r="F157" i="12" s="1"/>
  <c r="Z475" i="12" s="1"/>
  <c r="F145" i="12" a="1"/>
  <c r="F145" i="12" s="1"/>
  <c r="F134" i="12" a="1"/>
  <c r="F134" i="12" s="1"/>
  <c r="F131" i="12" a="1"/>
  <c r="F131" i="12" s="1"/>
  <c r="F117" i="12" a="1"/>
  <c r="F117" i="12" s="1"/>
  <c r="D103" i="12" a="1"/>
  <c r="D103" i="12" s="1"/>
  <c r="E103" i="12" s="1"/>
  <c r="F394" i="12" a="1"/>
  <c r="F394" i="12" s="1"/>
  <c r="F390" i="12" a="1"/>
  <c r="F390" i="12" s="1"/>
  <c r="F386" i="12" a="1"/>
  <c r="F386" i="12" s="1"/>
  <c r="F382" i="12" a="1"/>
  <c r="F382" i="12" s="1"/>
  <c r="F378" i="12" a="1"/>
  <c r="F378" i="12" s="1"/>
  <c r="F373" i="12" a="1"/>
  <c r="F373" i="12" s="1"/>
  <c r="F369" i="12" a="1"/>
  <c r="F369" i="12" s="1"/>
  <c r="F365" i="12" a="1"/>
  <c r="F365" i="12" s="1"/>
  <c r="F347" i="12" a="1"/>
  <c r="F347" i="12" s="1"/>
  <c r="F343" i="12" a="1"/>
  <c r="F343" i="12" s="1"/>
  <c r="F339" i="12" a="1"/>
  <c r="F339" i="12" s="1"/>
  <c r="F334" i="12" a="1"/>
  <c r="F334" i="12" s="1"/>
  <c r="F329" i="12" a="1"/>
  <c r="F329" i="12" s="1"/>
  <c r="F325" i="12" a="1"/>
  <c r="F325" i="12" s="1"/>
  <c r="F321" i="12" a="1"/>
  <c r="F321" i="12" s="1"/>
  <c r="F284" i="12" a="1"/>
  <c r="F284" i="12" s="1"/>
  <c r="F280" i="12" a="1"/>
  <c r="F280" i="12" s="1"/>
  <c r="F276" i="12" a="1"/>
  <c r="F276" i="12" s="1"/>
  <c r="F271" i="12" a="1"/>
  <c r="F271" i="12" s="1"/>
  <c r="F267" i="12" a="1"/>
  <c r="F267" i="12" s="1"/>
  <c r="F259" i="12" a="1"/>
  <c r="F259" i="12" s="1"/>
  <c r="F244" i="12" a="1"/>
  <c r="F244" i="12" s="1"/>
  <c r="D241" i="12" a="1"/>
  <c r="D241" i="12" s="1"/>
  <c r="F218" i="12" a="1"/>
  <c r="F218" i="12" s="1"/>
  <c r="F214" i="12" a="1"/>
  <c r="F214" i="12" s="1"/>
  <c r="F209" i="12" a="1"/>
  <c r="F209" i="12" s="1"/>
  <c r="F205" i="12" a="1"/>
  <c r="F205" i="12" s="1"/>
  <c r="E172" i="12" a="1"/>
  <c r="E172" i="12" s="1"/>
  <c r="F160" i="12" a="1"/>
  <c r="F160" i="12" s="1"/>
  <c r="F147" i="12" a="1"/>
  <c r="F147" i="12" s="1"/>
  <c r="F138" i="12" a="1"/>
  <c r="F138" i="12" s="1"/>
  <c r="F128" i="12" a="1"/>
  <c r="F128" i="12" s="1"/>
  <c r="F114" i="12" a="1"/>
  <c r="F114" i="12" s="1"/>
  <c r="D99" i="12" a="1"/>
  <c r="D99" i="12" s="1"/>
  <c r="E99" i="12" s="1"/>
  <c r="F95" i="12" a="1"/>
  <c r="F95" i="12" s="1"/>
  <c r="Z477" i="12" a="1"/>
  <c r="Z477" i="12" s="1"/>
  <c r="Z460" i="12" a="1"/>
  <c r="Z460" i="12" s="1"/>
  <c r="Z456" i="12" a="1"/>
  <c r="Z456" i="12" s="1"/>
  <c r="F312" i="12" a="1"/>
  <c r="F312" i="12" s="1"/>
  <c r="F307" i="12" a="1"/>
  <c r="F307" i="12" s="1"/>
  <c r="F302" i="12" a="1"/>
  <c r="F302" i="12" s="1"/>
  <c r="F300" i="12" a="1"/>
  <c r="F300" i="12" s="1"/>
  <c r="F298" i="12" a="1"/>
  <c r="F298" i="12" s="1"/>
  <c r="F296" i="12" a="1"/>
  <c r="F296" i="12" s="1"/>
  <c r="F262" i="12" a="1"/>
  <c r="F262" i="12" s="1"/>
  <c r="F256" i="12" a="1"/>
  <c r="F256" i="12" s="1"/>
  <c r="F247" i="12" a="1"/>
  <c r="F247" i="12" s="1"/>
  <c r="E244" i="12" a="1"/>
  <c r="E244" i="12" s="1"/>
  <c r="F225" i="12" a="1"/>
  <c r="F225" i="12" s="1"/>
  <c r="F221" i="12" a="1"/>
  <c r="F221" i="12" s="1"/>
  <c r="F201" i="12" a="1"/>
  <c r="F201" i="12" s="1"/>
  <c r="E191" i="12" a="1"/>
  <c r="E191" i="12" s="1"/>
  <c r="F175" i="12" a="1"/>
  <c r="F175" i="12" s="1"/>
  <c r="D172" i="12" a="1"/>
  <c r="D172" i="12" s="1"/>
  <c r="F144" i="12" a="1"/>
  <c r="F144" i="12" s="1"/>
  <c r="F141" i="12" a="1"/>
  <c r="F141" i="12" s="1"/>
  <c r="F130" i="12" a="1"/>
  <c r="F130" i="12" s="1"/>
  <c r="F124" i="12" a="1"/>
  <c r="F124" i="12" s="1"/>
  <c r="F120" i="12" a="1"/>
  <c r="F120" i="12" s="1"/>
  <c r="F104" i="12" a="1"/>
  <c r="F104" i="12" s="1"/>
  <c r="D95" i="12" a="1"/>
  <c r="D95" i="12" s="1"/>
  <c r="F93" i="12" a="1"/>
  <c r="F93" i="12" s="1"/>
  <c r="Z493" i="12" a="1"/>
  <c r="Z493" i="12" s="1"/>
  <c r="Z420" i="12" a="1"/>
  <c r="Z420" i="12" s="1"/>
  <c r="F393" i="12" a="1"/>
  <c r="F393" i="12" s="1"/>
  <c r="F389" i="12" a="1"/>
  <c r="F389" i="12" s="1"/>
  <c r="F385" i="12" a="1"/>
  <c r="F385" i="12" s="1"/>
  <c r="F381" i="12" a="1"/>
  <c r="F381" i="12" s="1"/>
  <c r="F376" i="12" a="1"/>
  <c r="F376" i="12" s="1"/>
  <c r="F372" i="12" a="1"/>
  <c r="F372" i="12" s="1"/>
  <c r="F368" i="12" a="1"/>
  <c r="F368" i="12" s="1"/>
  <c r="F346" i="12" a="1"/>
  <c r="F346" i="12" s="1"/>
  <c r="F342" i="12" a="1"/>
  <c r="F342" i="12" s="1"/>
  <c r="F338" i="12" a="1"/>
  <c r="F338" i="12" s="1"/>
  <c r="F333" i="12" a="1"/>
  <c r="F333" i="12" s="1"/>
  <c r="F328" i="12" a="1"/>
  <c r="F328" i="12" s="1"/>
  <c r="F324" i="12" a="1"/>
  <c r="F324" i="12" s="1"/>
  <c r="F320" i="12" a="1"/>
  <c r="F320" i="12" s="1"/>
  <c r="D312" i="12" a="1"/>
  <c r="D312" i="12" s="1"/>
  <c r="E312" i="12" s="1"/>
  <c r="D307" i="12" a="1"/>
  <c r="D307" i="12" s="1"/>
  <c r="D302" i="12" a="1"/>
  <c r="D302" i="12" s="1"/>
  <c r="E302" i="12" s="1"/>
  <c r="D300" i="12" a="1"/>
  <c r="D300" i="12" s="1"/>
  <c r="D298" i="12" a="1"/>
  <c r="D298" i="12" s="1"/>
  <c r="D296" i="12" a="1"/>
  <c r="D296" i="12" s="1"/>
  <c r="F283" i="12" a="1"/>
  <c r="F283" i="12" s="1"/>
  <c r="F279" i="12" a="1"/>
  <c r="F279" i="12" s="1"/>
  <c r="F275" i="12" a="1"/>
  <c r="F275" i="12" s="1"/>
  <c r="F270" i="12" a="1"/>
  <c r="F270" i="12" s="1"/>
  <c r="E247" i="12" a="1"/>
  <c r="E247" i="12" s="1"/>
  <c r="D244" i="12" a="1"/>
  <c r="D244" i="12" s="1"/>
  <c r="F228" i="12" a="1"/>
  <c r="F228" i="12" s="1"/>
  <c r="F217" i="12" a="1"/>
  <c r="F217" i="12" s="1"/>
  <c r="Z440" i="12" s="1"/>
  <c r="AI440" i="12" s="1"/>
  <c r="F213" i="12" a="1"/>
  <c r="F213" i="12" s="1"/>
  <c r="F208" i="12" a="1"/>
  <c r="F208" i="12" s="1"/>
  <c r="F204" i="12" a="1"/>
  <c r="F204" i="12" s="1"/>
  <c r="F178" i="12" a="1"/>
  <c r="F178" i="12" s="1"/>
  <c r="E175" i="12" a="1"/>
  <c r="E175" i="12" s="1"/>
  <c r="F159" i="12" a="1"/>
  <c r="F159" i="12" s="1"/>
  <c r="F156" i="12" a="1"/>
  <c r="F156" i="12" s="1"/>
  <c r="F150" i="12" a="1"/>
  <c r="F150" i="12" s="1"/>
  <c r="F127" i="12" a="1"/>
  <c r="F127" i="12" s="1"/>
  <c r="F113" i="12" a="1"/>
  <c r="F113" i="12" s="1"/>
  <c r="F100" i="12" a="1"/>
  <c r="F100" i="12" s="1"/>
  <c r="Z469" i="12" a="1"/>
  <c r="Z469" i="12" s="1"/>
  <c r="Z459" i="12" a="1"/>
  <c r="Z459" i="12" s="1"/>
  <c r="Z455" i="12" a="1"/>
  <c r="Z455" i="12" s="1"/>
  <c r="F360" i="12" a="1"/>
  <c r="F360" i="12" s="1"/>
  <c r="F261" i="12" a="1"/>
  <c r="F261" i="12" s="1"/>
  <c r="F255" i="12" a="1"/>
  <c r="F255" i="12" s="1"/>
  <c r="D247" i="12" a="1"/>
  <c r="D247" i="12" s="1"/>
  <c r="F224" i="12" a="1"/>
  <c r="F224" i="12" s="1"/>
  <c r="F220" i="12" a="1"/>
  <c r="F220" i="12" s="1"/>
  <c r="F200" i="12" a="1"/>
  <c r="F200" i="12" s="1"/>
  <c r="F181" i="12" a="1"/>
  <c r="F181" i="12" s="1"/>
  <c r="E178" i="12" a="1"/>
  <c r="E178" i="12" s="1"/>
  <c r="D175" i="12" a="1"/>
  <c r="D175" i="12" s="1"/>
  <c r="F162" i="12" a="1"/>
  <c r="F162" i="12" s="1"/>
  <c r="F143" i="12" a="1"/>
  <c r="F143" i="12" s="1"/>
  <c r="F140" i="12" a="1"/>
  <c r="F140" i="12" s="1"/>
  <c r="F137" i="12" a="1"/>
  <c r="F137" i="12" s="1"/>
  <c r="F133" i="12" a="1"/>
  <c r="F133" i="12" s="1"/>
  <c r="F123" i="12" a="1"/>
  <c r="F123" i="12" s="1"/>
  <c r="F119" i="12" a="1"/>
  <c r="F119" i="12" s="1"/>
  <c r="F116" i="12" a="1"/>
  <c r="F116" i="12" s="1"/>
  <c r="Z492" i="12" a="1"/>
  <c r="Z492" i="12" s="1"/>
  <c r="F392" i="12" a="1"/>
  <c r="F392" i="12" s="1"/>
  <c r="F388" i="12" a="1"/>
  <c r="F388" i="12" s="1"/>
  <c r="F384" i="12" a="1"/>
  <c r="F384" i="12" s="1"/>
  <c r="F380" i="12" a="1"/>
  <c r="F380" i="12" s="1"/>
  <c r="F375" i="12" a="1"/>
  <c r="F375" i="12" s="1"/>
  <c r="F371" i="12" a="1"/>
  <c r="F371" i="12" s="1"/>
  <c r="F367" i="12" a="1"/>
  <c r="F367" i="12" s="1"/>
  <c r="D360" i="12" a="1"/>
  <c r="D360" i="12" s="1"/>
  <c r="D362" i="12" s="1"/>
  <c r="E362" i="12" s="1"/>
  <c r="F345" i="12" a="1"/>
  <c r="F345" i="12" s="1"/>
  <c r="F341" i="12" a="1"/>
  <c r="F341" i="12" s="1"/>
  <c r="F336" i="12" a="1"/>
  <c r="F336" i="12" s="1"/>
  <c r="F332" i="12" a="1"/>
  <c r="F332" i="12" s="1"/>
  <c r="F327" i="12" a="1"/>
  <c r="F327" i="12" s="1"/>
  <c r="F323" i="12" a="1"/>
  <c r="F323" i="12" s="1"/>
  <c r="F319" i="12" a="1"/>
  <c r="F319" i="12" s="1"/>
  <c r="F282" i="12" a="1"/>
  <c r="F282" i="12" s="1"/>
  <c r="F278" i="12" a="1"/>
  <c r="F278" i="12" s="1"/>
  <c r="F274" i="12" a="1"/>
  <c r="F274" i="12" s="1"/>
  <c r="F269" i="12" a="1"/>
  <c r="F269" i="12" s="1"/>
  <c r="F258" i="12" a="1"/>
  <c r="F258" i="12" s="1"/>
  <c r="F227" i="12" a="1"/>
  <c r="F227" i="12" s="1"/>
  <c r="F216" i="12" a="1"/>
  <c r="F216" i="12" s="1"/>
  <c r="F212" i="12" a="1"/>
  <c r="F212" i="12" s="1"/>
  <c r="F207" i="12" a="1"/>
  <c r="F207" i="12" s="1"/>
  <c r="F203" i="12" a="1"/>
  <c r="F203" i="12" s="1"/>
  <c r="F188" i="12" a="1"/>
  <c r="F188" i="12" s="1"/>
  <c r="E181" i="12" a="1"/>
  <c r="E181" i="12" s="1"/>
  <c r="D178" i="12" a="1"/>
  <c r="D178" i="12" s="1"/>
  <c r="F158" i="12" a="1"/>
  <c r="F158" i="12" s="1"/>
  <c r="Z476" i="12" s="1"/>
  <c r="F152" i="12" a="1"/>
  <c r="F152" i="12" s="1"/>
  <c r="F149" i="12" a="1"/>
  <c r="F149" i="12" s="1"/>
  <c r="F146" i="12" a="1"/>
  <c r="F146" i="12" s="1"/>
  <c r="F126" i="12" a="1"/>
  <c r="F126" i="12" s="1"/>
  <c r="F102" i="12" a="1"/>
  <c r="F102" i="12" s="1"/>
  <c r="D96" i="12" a="1"/>
  <c r="D96" i="12" s="1"/>
  <c r="M96" i="12" s="1"/>
  <c r="F94" i="12" a="1"/>
  <c r="F94" i="12" s="1"/>
  <c r="F82" i="12" a="1"/>
  <c r="F82" i="12" s="1"/>
  <c r="F76" i="12" a="1"/>
  <c r="F76" i="12" s="1"/>
  <c r="Z462" i="12" a="1"/>
  <c r="Z462" i="12" s="1"/>
  <c r="Z458" i="12" a="1"/>
  <c r="Z458" i="12" s="1"/>
  <c r="Z454" i="12" a="1"/>
  <c r="Z454" i="12" s="1"/>
  <c r="F297" i="12" a="1"/>
  <c r="F297" i="12" s="1"/>
  <c r="F139" i="12" a="1"/>
  <c r="F139" i="12" s="1"/>
  <c r="F81" i="12" a="1"/>
  <c r="F81" i="12" s="1"/>
  <c r="F77" i="12" a="1"/>
  <c r="F77" i="12" s="1"/>
  <c r="Z473"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295" i="12" a="1"/>
  <c r="F295" i="12" s="1"/>
  <c r="F254" i="12" a="1"/>
  <c r="F254" i="12" s="1"/>
  <c r="F151" i="12" a="1"/>
  <c r="F151" i="12" s="1"/>
  <c r="F125" i="12" a="1"/>
  <c r="F125" i="12" s="1"/>
  <c r="F112" i="12" a="1"/>
  <c r="F112" i="12" s="1"/>
  <c r="D100" i="12" a="1"/>
  <c r="D100" i="12" s="1"/>
  <c r="F80" i="12" a="1"/>
  <c r="F80" i="12" s="1"/>
  <c r="F51" i="12" a="1"/>
  <c r="F51" i="12" s="1"/>
  <c r="F48" i="12" a="1"/>
  <c r="F48" i="12" s="1"/>
  <c r="F45" i="12" a="1"/>
  <c r="F45" i="12" s="1"/>
  <c r="F42" i="12" a="1"/>
  <c r="F42" i="12" s="1"/>
  <c r="F12" i="12" a="1"/>
  <c r="F12" i="12" s="1"/>
  <c r="F9" i="12" a="1"/>
  <c r="F9" i="12" s="1"/>
  <c r="F6" i="12" a="1"/>
  <c r="F6" i="12" s="1"/>
  <c r="F136" i="12" a="1"/>
  <c r="F136" i="12" s="1"/>
  <c r="F66" i="12" a="1"/>
  <c r="F66" i="12" s="1"/>
  <c r="F53" i="12" a="1"/>
  <c r="F53" i="12" s="1"/>
  <c r="F38" i="12" a="1"/>
  <c r="F38" i="12" s="1"/>
  <c r="F35" i="12" a="1"/>
  <c r="F35" i="12" s="1"/>
  <c r="F32" i="12" a="1"/>
  <c r="F32" i="12" s="1"/>
  <c r="F19" i="12" a="1"/>
  <c r="F19" i="12" s="1"/>
  <c r="D12" i="12" a="1"/>
  <c r="D12" i="12" s="1"/>
  <c r="E12" i="12" s="1"/>
  <c r="D9" i="12" a="1"/>
  <c r="D9" i="12" s="1"/>
  <c r="E9" i="12" s="1"/>
  <c r="D6" i="12" a="1"/>
  <c r="D6" i="12" s="1"/>
  <c r="F22" i="12" a="1"/>
  <c r="F22" i="12" s="1"/>
  <c r="F199" i="12" a="1"/>
  <c r="F199" i="12" s="1"/>
  <c r="F148" i="12" a="1"/>
  <c r="F148" i="12" s="1"/>
  <c r="F121" i="12" a="1"/>
  <c r="F121" i="12" s="1"/>
  <c r="D104" i="12" a="1"/>
  <c r="D104" i="12" s="1"/>
  <c r="E104" i="12" s="1"/>
  <c r="F99" i="12" a="1"/>
  <c r="F99" i="12" s="1"/>
  <c r="D94" i="12" a="1"/>
  <c r="D94" i="12" s="1"/>
  <c r="F69" i="12" a="1"/>
  <c r="F69" i="12" s="1"/>
  <c r="F63" i="12" a="1"/>
  <c r="F63" i="12" s="1"/>
  <c r="F60" i="12" a="1"/>
  <c r="F60" i="12" s="1"/>
  <c r="D19" i="12" a="1"/>
  <c r="D19" i="12" s="1"/>
  <c r="E19" i="12" s="1"/>
  <c r="F308" i="12" a="1"/>
  <c r="F308" i="12" s="1"/>
  <c r="E188" i="12" a="1"/>
  <c r="E188" i="12" s="1"/>
  <c r="F161" i="12" a="1"/>
  <c r="F161" i="12" s="1"/>
  <c r="F132" i="12" a="1"/>
  <c r="F132" i="12" s="1"/>
  <c r="F118" i="12" a="1"/>
  <c r="F118" i="12" s="1"/>
  <c r="F79" i="12" a="1"/>
  <c r="F79" i="12" s="1"/>
  <c r="F75" i="12" a="1"/>
  <c r="F75" i="12" s="1"/>
  <c r="Z471" i="12" s="1"/>
  <c r="F57" i="12" a="1"/>
  <c r="F57" i="12" s="1"/>
  <c r="F50" i="12" a="1"/>
  <c r="F50" i="12" s="1"/>
  <c r="F47" i="12" a="1"/>
  <c r="F47" i="12" s="1"/>
  <c r="F44" i="12" a="1"/>
  <c r="F44" i="12" s="1"/>
  <c r="F40" i="12" a="1"/>
  <c r="F40" i="12" s="1"/>
  <c r="F37" i="12" a="1"/>
  <c r="F37" i="12" s="1"/>
  <c r="F303" i="12" a="1"/>
  <c r="F303" i="12" s="1"/>
  <c r="F223" i="12" a="1"/>
  <c r="F223" i="12" s="1"/>
  <c r="F103" i="12" a="1"/>
  <c r="F103"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01" i="12" a="1"/>
  <c r="F301" i="12" s="1"/>
  <c r="F264" i="12" a="1"/>
  <c r="F264" i="12" s="1"/>
  <c r="F219" i="12" a="1"/>
  <c r="F219" i="12" s="1"/>
  <c r="D181" i="12" a="1"/>
  <c r="D181" i="12" s="1"/>
  <c r="F129" i="12" a="1"/>
  <c r="F129" i="12" s="1"/>
  <c r="F115" i="12" a="1"/>
  <c r="F115" i="12" s="1"/>
  <c r="F78" i="12" a="1"/>
  <c r="F78" i="12" s="1"/>
  <c r="Z470" i="12" s="1"/>
  <c r="F56" i="12" a="1"/>
  <c r="F56" i="12" s="1"/>
  <c r="F52" i="12" a="1"/>
  <c r="F52" i="12" s="1"/>
  <c r="F49" i="12" a="1"/>
  <c r="F49" i="12" s="1"/>
  <c r="F36" i="12" a="1"/>
  <c r="F36" i="12" s="1"/>
  <c r="D15" i="12" a="1"/>
  <c r="D15" i="12" s="1"/>
  <c r="F8" i="12" a="1"/>
  <c r="F8" i="12" s="1"/>
  <c r="F46" i="12" a="1"/>
  <c r="F46" i="12" s="1"/>
  <c r="D8" i="12" a="1"/>
  <c r="D8" i="12" s="1"/>
  <c r="E8" i="12" s="1"/>
  <c r="F299" i="12" a="1"/>
  <c r="F299" i="12" s="1"/>
  <c r="F142" i="12" a="1"/>
  <c r="F142" i="12" s="1"/>
  <c r="D102" i="12" a="1"/>
  <c r="D102" i="12" s="1"/>
  <c r="E102" i="12" s="1"/>
  <c r="F70" i="12" a="1"/>
  <c r="F70" i="12" s="1"/>
  <c r="F43" i="12" a="1"/>
  <c r="F43" i="12" s="1"/>
  <c r="F17" i="12" a="1"/>
  <c r="F17" i="12" s="1"/>
  <c r="F11" i="12" a="1"/>
  <c r="F11" i="12" s="1"/>
  <c r="D7" i="12" a="1"/>
  <c r="D7" i="12" s="1"/>
  <c r="F10" i="12" a="1"/>
  <c r="F10" i="12" s="1"/>
  <c r="D10" i="12" a="1"/>
  <c r="D10" i="12" s="1"/>
  <c r="E10" i="12" s="1"/>
  <c r="F5" i="12" a="1"/>
  <c r="F5" i="12" s="1"/>
  <c r="F7" i="12" a="1"/>
  <c r="F7" i="12" s="1"/>
  <c r="Z495" i="12" a="1"/>
  <c r="Z495" i="12" s="1"/>
  <c r="Z496" i="12" a="1"/>
  <c r="Z496" i="12" s="1"/>
  <c r="Z494" i="12" a="1"/>
  <c r="Z494" i="12" s="1"/>
  <c r="F351" i="9"/>
  <c r="F353" i="9" s="1"/>
  <c r="Z481" i="9"/>
  <c r="D67" i="8" s="1"/>
  <c r="D9" i="8"/>
  <c r="D12" i="8" s="1"/>
  <c r="E112" i="9"/>
  <c r="E118" i="9"/>
  <c r="E115" i="9"/>
  <c r="Y415" i="9"/>
  <c r="Y411" i="9"/>
  <c r="F194" i="9"/>
  <c r="Y428" i="9" s="1"/>
  <c r="F186" i="9"/>
  <c r="E116" i="9"/>
  <c r="Y410" i="9"/>
  <c r="F27" i="9"/>
  <c r="F287" i="9"/>
  <c r="E287" i="9" s="1"/>
  <c r="E119" i="9"/>
  <c r="Z433" i="9"/>
  <c r="E114" i="9"/>
  <c r="Y417" i="9"/>
  <c r="Y418" i="9"/>
  <c r="F251" i="9"/>
  <c r="E117" i="9"/>
  <c r="E349" i="9"/>
  <c r="F397" i="9"/>
  <c r="E397" i="9" s="1"/>
  <c r="E377" i="9"/>
  <c r="E120" i="9"/>
  <c r="F231" i="9"/>
  <c r="D27" i="9"/>
  <c r="E78" i="9" s="1"/>
  <c r="E13" i="9"/>
  <c r="Z452" i="9"/>
  <c r="D65" i="8" s="1"/>
  <c r="Y413" i="9"/>
  <c r="Z466" i="9"/>
  <c r="E304" i="9"/>
  <c r="D309" i="9"/>
  <c r="E330" i="9"/>
  <c r="Y412" i="9"/>
  <c r="F74" i="9"/>
  <c r="D24" i="9"/>
  <c r="E82" i="9" s="1"/>
  <c r="D82" i="9" s="1"/>
  <c r="E97" i="9"/>
  <c r="D108" i="9"/>
  <c r="D105" i="9"/>
  <c r="E105" i="9" s="1"/>
  <c r="Z419" i="9"/>
  <c r="Y409" i="9"/>
  <c r="E121" i="9"/>
  <c r="Y416" i="9"/>
  <c r="F155" i="9"/>
  <c r="Y414" i="9"/>
  <c r="N97" i="9"/>
  <c r="N98" i="9" s="1"/>
  <c r="R95" i="9"/>
  <c r="M97" i="9"/>
  <c r="M98" i="9" s="1"/>
  <c r="R94" i="9"/>
  <c r="S94" i="9"/>
  <c r="S97" i="9" s="1"/>
  <c r="S98" i="9" s="1"/>
  <c r="S102" i="9"/>
  <c r="R100" i="9"/>
  <c r="N37" i="9"/>
  <c r="AF415" i="9"/>
  <c r="AH415" i="9" s="1"/>
  <c r="AI415" i="9" s="1"/>
  <c r="R241" i="9"/>
  <c r="L366" i="12"/>
  <c r="S366" i="12" s="1"/>
  <c r="N113" i="9"/>
  <c r="N32" i="9"/>
  <c r="J112" i="9"/>
  <c r="L375" i="12"/>
  <c r="L368" i="12"/>
  <c r="L378" i="12"/>
  <c r="AF434" i="12" s="1"/>
  <c r="L383" i="12"/>
  <c r="L374" i="12"/>
  <c r="L384" i="12"/>
  <c r="L392" i="12"/>
  <c r="S392" i="12" s="1"/>
  <c r="L382" i="12"/>
  <c r="L373" i="12"/>
  <c r="L365" i="12"/>
  <c r="AF421" i="12" s="1"/>
  <c r="L389" i="12"/>
  <c r="J360" i="12"/>
  <c r="L372" i="12"/>
  <c r="L379" i="12"/>
  <c r="L393" i="12"/>
  <c r="L387" i="12"/>
  <c r="L380" i="12"/>
  <c r="L388" i="12"/>
  <c r="L376" i="12"/>
  <c r="S376" i="12" s="1"/>
  <c r="L369" i="12"/>
  <c r="L381" i="12"/>
  <c r="L394" i="12"/>
  <c r="L367" i="12"/>
  <c r="L370" i="12"/>
  <c r="L386" i="12"/>
  <c r="L385" i="12"/>
  <c r="L391" i="12"/>
  <c r="L371" i="12"/>
  <c r="L390" i="12"/>
  <c r="L182" i="9"/>
  <c r="N6" i="9"/>
  <c r="N31" i="9"/>
  <c r="N178" i="9"/>
  <c r="M178" i="9"/>
  <c r="D29" i="8"/>
  <c r="AH474" i="9"/>
  <c r="AI474" i="9" s="1"/>
  <c r="R178" i="9"/>
  <c r="E28" i="2"/>
  <c r="K296" i="9"/>
  <c r="M296" i="9"/>
  <c r="K301" i="9"/>
  <c r="M301" i="9"/>
  <c r="L24" i="9"/>
  <c r="N21" i="9"/>
  <c r="N248" i="9"/>
  <c r="N247" i="9"/>
  <c r="K39" i="9"/>
  <c r="N39" i="9"/>
  <c r="K298" i="9"/>
  <c r="M298" i="9"/>
  <c r="K11" i="9"/>
  <c r="M11" i="9"/>
  <c r="K9" i="9"/>
  <c r="M9" i="9"/>
  <c r="N349" i="9"/>
  <c r="K307" i="9"/>
  <c r="M307" i="9"/>
  <c r="K38" i="9"/>
  <c r="N38" i="9"/>
  <c r="K8" i="9"/>
  <c r="M8" i="9"/>
  <c r="K300" i="9"/>
  <c r="M300" i="9"/>
  <c r="K308" i="9"/>
  <c r="M308" i="9"/>
  <c r="N54" i="9"/>
  <c r="N72" i="9"/>
  <c r="N248" i="12"/>
  <c r="K250" i="9"/>
  <c r="M244" i="9"/>
  <c r="K40" i="9"/>
  <c r="N40" i="9"/>
  <c r="N242" i="9"/>
  <c r="AI453" i="9"/>
  <c r="K10" i="9"/>
  <c r="M10" i="9"/>
  <c r="K12" i="9"/>
  <c r="M12" i="9"/>
  <c r="K297" i="9"/>
  <c r="M297" i="9"/>
  <c r="N8" i="9"/>
  <c r="K17" i="9"/>
  <c r="M17" i="9"/>
  <c r="L285" i="9"/>
  <c r="N268" i="9"/>
  <c r="N285" i="9" s="1"/>
  <c r="L176" i="9"/>
  <c r="K177" i="9"/>
  <c r="K185" i="9"/>
  <c r="M185" i="9" s="1"/>
  <c r="L304" i="9"/>
  <c r="K174" i="9"/>
  <c r="J185" i="9"/>
  <c r="L83" i="9"/>
  <c r="C15" i="8" s="1"/>
  <c r="L122" i="9"/>
  <c r="L248" i="9"/>
  <c r="K6" i="9"/>
  <c r="J13" i="9"/>
  <c r="J24" i="9" s="1"/>
  <c r="K82" i="9" s="1"/>
  <c r="J82" i="9" s="1"/>
  <c r="L349" i="9"/>
  <c r="L245" i="9"/>
  <c r="L250" i="9"/>
  <c r="N250" i="9" s="1"/>
  <c r="N251" i="9" s="1"/>
  <c r="K299" i="9"/>
  <c r="L72" i="9"/>
  <c r="L185" i="9"/>
  <c r="N185" i="9" s="1"/>
  <c r="N186" i="9" s="1"/>
  <c r="L173" i="9"/>
  <c r="L163" i="9"/>
  <c r="C32" i="8" s="1"/>
  <c r="K7" i="9"/>
  <c r="L229" i="9"/>
  <c r="N229" i="9" s="1"/>
  <c r="L135" i="9"/>
  <c r="N135" i="9" s="1"/>
  <c r="L54" i="9"/>
  <c r="L266" i="9"/>
  <c r="J304" i="9"/>
  <c r="M304" i="9" s="1"/>
  <c r="K295" i="9"/>
  <c r="K180" i="9"/>
  <c r="L41" i="9"/>
  <c r="N41" i="9" s="1"/>
  <c r="L153" i="9"/>
  <c r="L242" i="9"/>
  <c r="L189" i="9"/>
  <c r="K15" i="9"/>
  <c r="L210" i="9"/>
  <c r="N210" i="9" s="1"/>
  <c r="L330" i="9"/>
  <c r="N330" i="9" s="1"/>
  <c r="L179" i="9"/>
  <c r="N179" i="9" s="1"/>
  <c r="D25" i="8"/>
  <c r="G4" i="11"/>
  <c r="H12" i="11"/>
  <c r="R301" i="9"/>
  <c r="R299" i="9"/>
  <c r="R296" i="9"/>
  <c r="E24" i="8"/>
  <c r="F12" i="11"/>
  <c r="C40" i="8"/>
  <c r="B5" i="11"/>
  <c r="K301" i="12"/>
  <c r="AF413" i="12"/>
  <c r="AN494" i="9"/>
  <c r="AR459" i="12"/>
  <c r="AN456" i="12"/>
  <c r="AR456" i="12"/>
  <c r="AR491" i="12"/>
  <c r="S337" i="9"/>
  <c r="S133" i="9"/>
  <c r="S50" i="9"/>
  <c r="AF429" i="9"/>
  <c r="AH429" i="9" s="1"/>
  <c r="AI429" i="9" s="1"/>
  <c r="B21" i="2"/>
  <c r="S279" i="9"/>
  <c r="R7" i="9"/>
  <c r="S7" i="9"/>
  <c r="S116" i="9"/>
  <c r="S124" i="9"/>
  <c r="S119" i="9"/>
  <c r="S375" i="9"/>
  <c r="D6" i="11"/>
  <c r="S297" i="9"/>
  <c r="K40" i="12"/>
  <c r="S216" i="9"/>
  <c r="S367" i="9"/>
  <c r="S61" i="9"/>
  <c r="AF441" i="9"/>
  <c r="AH441" i="9" s="1"/>
  <c r="AI441" i="9" s="1"/>
  <c r="S383" i="9"/>
  <c r="S44" i="9"/>
  <c r="AF423" i="9"/>
  <c r="AH423" i="9" s="1"/>
  <c r="AI423" i="9" s="1"/>
  <c r="S129" i="9"/>
  <c r="S130" i="9"/>
  <c r="D10" i="11"/>
  <c r="S302" i="9"/>
  <c r="S99" i="12"/>
  <c r="S274" i="9"/>
  <c r="S21" i="9"/>
  <c r="S35" i="9"/>
  <c r="AF413" i="9"/>
  <c r="AH413" i="9" s="1"/>
  <c r="AI413" i="9" s="1"/>
  <c r="S131" i="9"/>
  <c r="S257" i="9"/>
  <c r="K11" i="12"/>
  <c r="L24" i="12"/>
  <c r="S273" i="12"/>
  <c r="AF451" i="9"/>
  <c r="AH451" i="9" s="1"/>
  <c r="AF450" i="9"/>
  <c r="AH450" i="9" s="1"/>
  <c r="AF426" i="9"/>
  <c r="AH426" i="9" s="1"/>
  <c r="S10" i="9"/>
  <c r="AF418" i="9"/>
  <c r="AH418" i="9" s="1"/>
  <c r="AF416" i="9"/>
  <c r="AH416" i="9" s="1"/>
  <c r="AF497" i="9"/>
  <c r="AH497" i="9" s="1"/>
  <c r="AF495" i="9"/>
  <c r="AH495" i="9" s="1"/>
  <c r="AF463" i="9"/>
  <c r="AH463" i="9" s="1"/>
  <c r="AF427" i="9"/>
  <c r="AH427" i="9" s="1"/>
  <c r="AF464" i="9"/>
  <c r="AH464" i="9" s="1"/>
  <c r="AF432" i="9"/>
  <c r="AH432" i="9" s="1"/>
  <c r="AF425" i="9"/>
  <c r="AH425" i="9" s="1"/>
  <c r="AF479" i="9"/>
  <c r="AH479" i="9" s="1"/>
  <c r="AI479" i="9" s="1"/>
  <c r="AF478" i="9"/>
  <c r="AH478" i="9" s="1"/>
  <c r="AI478" i="9" s="1"/>
  <c r="AF417" i="9"/>
  <c r="AH417" i="9" s="1"/>
  <c r="AF477" i="9"/>
  <c r="AH477" i="9" s="1"/>
  <c r="AI477" i="9" s="1"/>
  <c r="AF449" i="9"/>
  <c r="AH449" i="9" s="1"/>
  <c r="AH496" i="9"/>
  <c r="AI496" i="9" s="1"/>
  <c r="AF465" i="9"/>
  <c r="AH465" i="9" s="1"/>
  <c r="S308" i="9"/>
  <c r="D15" i="11"/>
  <c r="S390" i="9"/>
  <c r="S65" i="9"/>
  <c r="AF445" i="9"/>
  <c r="AH445" i="9" s="1"/>
  <c r="AI445" i="9" s="1"/>
  <c r="S138" i="9"/>
  <c r="S146" i="9"/>
  <c r="S199" i="9"/>
  <c r="S303" i="9"/>
  <c r="L176" i="12"/>
  <c r="V176" i="12"/>
  <c r="L72" i="12"/>
  <c r="S146" i="12"/>
  <c r="J185" i="12"/>
  <c r="D6" i="14"/>
  <c r="D8" i="14"/>
  <c r="S265" i="12"/>
  <c r="S337" i="12"/>
  <c r="D21" i="8"/>
  <c r="D27" i="8" s="1"/>
  <c r="D30" i="8"/>
  <c r="R308" i="9"/>
  <c r="R298" i="12"/>
  <c r="E11" i="8"/>
  <c r="D64" i="8"/>
  <c r="E40" i="8"/>
  <c r="E38" i="8"/>
  <c r="R302" i="9"/>
  <c r="R298" i="9"/>
  <c r="AF412" i="12"/>
  <c r="AF415" i="12"/>
  <c r="E44" i="8"/>
  <c r="U51" i="12"/>
  <c r="K39" i="12"/>
  <c r="F16" i="11"/>
  <c r="G16" i="11" s="1"/>
  <c r="B7" i="11"/>
  <c r="K185" i="12"/>
  <c r="K174" i="12"/>
  <c r="AN454" i="9"/>
  <c r="AO454" i="9" s="1"/>
  <c r="AN455" i="9"/>
  <c r="AO455" i="9" s="1"/>
  <c r="AR460" i="12"/>
  <c r="AF466" i="12"/>
  <c r="AR453" i="12"/>
  <c r="S220" i="9"/>
  <c r="E16" i="2"/>
  <c r="S283" i="9"/>
  <c r="S203" i="9"/>
  <c r="E20" i="2"/>
  <c r="K10" i="12"/>
  <c r="R9" i="9"/>
  <c r="S118" i="9"/>
  <c r="S277" i="9"/>
  <c r="S158" i="9"/>
  <c r="AF476" i="9"/>
  <c r="AH476" i="9" s="1"/>
  <c r="AI476" i="9" s="1"/>
  <c r="S161" i="9"/>
  <c r="R10" i="9"/>
  <c r="S331" i="9"/>
  <c r="S264" i="9"/>
  <c r="S380" i="9"/>
  <c r="S126" i="9"/>
  <c r="S388" i="9"/>
  <c r="S60" i="9"/>
  <c r="AF439" i="9"/>
  <c r="AH439" i="9" s="1"/>
  <c r="AI439" i="9" s="1"/>
  <c r="S255" i="9"/>
  <c r="R8" i="9"/>
  <c r="S134" i="9"/>
  <c r="S321" i="9"/>
  <c r="S80" i="9"/>
  <c r="S323" i="9"/>
  <c r="S48" i="9"/>
  <c r="S262" i="9"/>
  <c r="S38" i="9"/>
  <c r="S181" i="9"/>
  <c r="S282" i="9"/>
  <c r="AF411" i="12"/>
  <c r="L41" i="12"/>
  <c r="AF409" i="12"/>
  <c r="L330" i="12"/>
  <c r="S11" i="9"/>
  <c r="S202" i="9"/>
  <c r="S322" i="9"/>
  <c r="S394" i="9"/>
  <c r="S66" i="9"/>
  <c r="AF446" i="9"/>
  <c r="AH446" i="9" s="1"/>
  <c r="AI446" i="9" s="1"/>
  <c r="S139" i="9"/>
  <c r="S147" i="9"/>
  <c r="S200" i="9"/>
  <c r="K15" i="12"/>
  <c r="L185" i="12"/>
  <c r="L173" i="12"/>
  <c r="L179" i="12"/>
  <c r="D15" i="14"/>
  <c r="L189" i="12"/>
  <c r="S281" i="9"/>
  <c r="S149" i="9"/>
  <c r="E51" i="8"/>
  <c r="E57" i="8"/>
  <c r="R295" i="9"/>
  <c r="R300" i="9"/>
  <c r="E53" i="8"/>
  <c r="AO440" i="9"/>
  <c r="K8" i="12"/>
  <c r="L362" i="9"/>
  <c r="S360" i="9"/>
  <c r="B6" i="14"/>
  <c r="K297" i="12"/>
  <c r="AN458" i="9"/>
  <c r="AO458" i="9" s="1"/>
  <c r="AN461" i="9"/>
  <c r="AO461" i="9" s="1"/>
  <c r="AR448" i="12"/>
  <c r="AR461" i="12"/>
  <c r="S373" i="9"/>
  <c r="S36" i="9"/>
  <c r="AF414" i="9"/>
  <c r="AH414" i="9" s="1"/>
  <c r="AI414" i="9" s="1"/>
  <c r="S208" i="9"/>
  <c r="S33" i="9"/>
  <c r="AF411" i="9"/>
  <c r="AH411" i="9" s="1"/>
  <c r="AI411" i="9" s="1"/>
  <c r="S385" i="9"/>
  <c r="S259" i="9"/>
  <c r="S214" i="9"/>
  <c r="S327" i="9"/>
  <c r="S278" i="9"/>
  <c r="S318" i="9"/>
  <c r="S363" i="9"/>
  <c r="E54" i="8"/>
  <c r="R307" i="9"/>
  <c r="U50" i="12"/>
  <c r="E45" i="8"/>
  <c r="S245" i="9"/>
  <c r="D4" i="8"/>
  <c r="D43" i="8"/>
  <c r="D46" i="8" s="1"/>
  <c r="C54" i="8"/>
  <c r="B14" i="11"/>
  <c r="V175" i="12"/>
  <c r="B7" i="14"/>
  <c r="K298" i="12"/>
  <c r="AN493" i="9"/>
  <c r="AO493" i="9" s="1"/>
  <c r="AN492" i="9"/>
  <c r="AN491" i="9"/>
  <c r="AO491" i="9" s="1"/>
  <c r="AR458" i="12"/>
  <c r="AR492" i="12"/>
  <c r="S329" i="9"/>
  <c r="S276" i="9"/>
  <c r="S223" i="9"/>
  <c r="S213" i="9"/>
  <c r="C47" i="8"/>
  <c r="S15" i="9"/>
  <c r="S228" i="9"/>
  <c r="S261" i="9"/>
  <c r="S115" i="9"/>
  <c r="S348" i="9"/>
  <c r="S8" i="9"/>
  <c r="S326" i="9"/>
  <c r="S387" i="9"/>
  <c r="S79" i="9"/>
  <c r="S319" i="9"/>
  <c r="S39" i="9"/>
  <c r="S221" i="9"/>
  <c r="S346" i="9"/>
  <c r="AF480" i="12"/>
  <c r="C28" i="8"/>
  <c r="S113" i="9"/>
  <c r="K17" i="12"/>
  <c r="AF471" i="9"/>
  <c r="AH471" i="9" s="1"/>
  <c r="AI471" i="9" s="1"/>
  <c r="S339" i="9"/>
  <c r="S57" i="9"/>
  <c r="AF436" i="9"/>
  <c r="AH436" i="9" s="1"/>
  <c r="AI436" i="9" s="1"/>
  <c r="S188" i="9"/>
  <c r="S336" i="9"/>
  <c r="AF476" i="12"/>
  <c r="S71" i="12"/>
  <c r="S22" i="9"/>
  <c r="S217" i="9"/>
  <c r="AF440" i="9"/>
  <c r="AH440" i="9" s="1"/>
  <c r="S344" i="9"/>
  <c r="L266" i="12"/>
  <c r="AF448" i="9"/>
  <c r="AH448" i="9" s="1"/>
  <c r="AI448" i="9" s="1"/>
  <c r="S141" i="9"/>
  <c r="S268" i="9"/>
  <c r="K100" i="12"/>
  <c r="K99" i="12"/>
  <c r="S216" i="12"/>
  <c r="V207" i="12"/>
  <c r="D5" i="14"/>
  <c r="S296" i="12"/>
  <c r="R303" i="9"/>
  <c r="S248" i="9"/>
  <c r="E7" i="8"/>
  <c r="U52" i="12"/>
  <c r="B6" i="11"/>
  <c r="C58" i="8"/>
  <c r="C52" i="8"/>
  <c r="B9" i="14"/>
  <c r="K300" i="12"/>
  <c r="B4" i="14"/>
  <c r="J304" i="12"/>
  <c r="K295" i="12"/>
  <c r="AN459" i="9"/>
  <c r="AO459" i="9" s="1"/>
  <c r="S241" i="9"/>
  <c r="S226" i="9"/>
  <c r="S17" i="9"/>
  <c r="S296" i="9"/>
  <c r="D5" i="11"/>
  <c r="S205" i="9"/>
  <c r="C45" i="8"/>
  <c r="S338" i="9"/>
  <c r="D14" i="11"/>
  <c r="S307" i="9"/>
  <c r="S132" i="9"/>
  <c r="AF442" i="9"/>
  <c r="AH442" i="9" s="1"/>
  <c r="AI442" i="9" s="1"/>
  <c r="S62" i="9"/>
  <c r="R12" i="9"/>
  <c r="S335" i="9"/>
  <c r="S58" i="9"/>
  <c r="AF437" i="9"/>
  <c r="AH437" i="9" s="1"/>
  <c r="AI437" i="9" s="1"/>
  <c r="S47" i="9"/>
  <c r="C42" i="8"/>
  <c r="S184" i="9"/>
  <c r="AF414" i="12"/>
  <c r="S12" i="9"/>
  <c r="S212" i="9"/>
  <c r="S332" i="9"/>
  <c r="S276" i="12"/>
  <c r="AF447" i="9"/>
  <c r="AH447" i="9" s="1"/>
  <c r="AI447" i="9" s="1"/>
  <c r="S67" i="9"/>
  <c r="S140" i="9"/>
  <c r="S148" i="9"/>
  <c r="S267" i="9"/>
  <c r="AF470" i="12"/>
  <c r="L210" i="12"/>
  <c r="K95" i="12"/>
  <c r="S201" i="12"/>
  <c r="V206" i="12"/>
  <c r="S206" i="12"/>
  <c r="R360" i="9"/>
  <c r="E58" i="8"/>
  <c r="E52" i="8"/>
  <c r="R297" i="9"/>
  <c r="S6" i="10"/>
  <c r="R172" i="9"/>
  <c r="AO449" i="9"/>
  <c r="AO479" i="9"/>
  <c r="AO425" i="9"/>
  <c r="AO426" i="9"/>
  <c r="AO451" i="9"/>
  <c r="AO478" i="9"/>
  <c r="AO427" i="9"/>
  <c r="AO450" i="9"/>
  <c r="S156" i="9"/>
  <c r="R175" i="9"/>
  <c r="D56" i="8"/>
  <c r="L83" i="12"/>
  <c r="AF471" i="12"/>
  <c r="B8" i="11"/>
  <c r="K250" i="12"/>
  <c r="AN420" i="9"/>
  <c r="AO420" i="9" s="1"/>
  <c r="AN456" i="9"/>
  <c r="AN469" i="9"/>
  <c r="AO469" i="9" s="1"/>
  <c r="AR457" i="12"/>
  <c r="B44" i="2"/>
  <c r="B53" i="2" s="1"/>
  <c r="S34" i="9"/>
  <c r="AF412" i="9"/>
  <c r="AH412" i="9" s="1"/>
  <c r="AI412" i="9" s="1"/>
  <c r="S284" i="9"/>
  <c r="S207" i="9"/>
  <c r="S224" i="9"/>
  <c r="S46" i="9"/>
  <c r="S244" i="9"/>
  <c r="S312" i="9"/>
  <c r="R312" i="9" s="1"/>
  <c r="S128" i="9"/>
  <c r="S379" i="9"/>
  <c r="S37" i="9"/>
  <c r="S328" i="9"/>
  <c r="K12" i="12"/>
  <c r="S219" i="9"/>
  <c r="R11" i="9"/>
  <c r="S81" i="9"/>
  <c r="S384" i="9"/>
  <c r="AF424" i="9"/>
  <c r="AH424" i="9" s="1"/>
  <c r="AI424" i="9" s="1"/>
  <c r="S45" i="9"/>
  <c r="S247" i="9"/>
  <c r="S368" i="9"/>
  <c r="S123" i="9"/>
  <c r="K38" i="12"/>
  <c r="S120" i="9"/>
  <c r="S343" i="9"/>
  <c r="S201" i="9"/>
  <c r="S347" i="9"/>
  <c r="S160" i="12"/>
  <c r="S76" i="9"/>
  <c r="AF472" i="9"/>
  <c r="AH472" i="9" s="1"/>
  <c r="AI472" i="9" s="1"/>
  <c r="S371" i="9"/>
  <c r="U132" i="12"/>
  <c r="S223" i="12"/>
  <c r="S142" i="9"/>
  <c r="S150" i="9"/>
  <c r="S269" i="9"/>
  <c r="AF440" i="12"/>
  <c r="D4" i="14"/>
  <c r="L304" i="12"/>
  <c r="L122" i="12"/>
  <c r="S323" i="12"/>
  <c r="S222" i="12"/>
  <c r="V208" i="12"/>
  <c r="AR474" i="12"/>
  <c r="E41" i="8"/>
  <c r="K6" i="12"/>
  <c r="J13" i="12"/>
  <c r="J24" i="12" s="1"/>
  <c r="AF472" i="12"/>
  <c r="B9" i="11"/>
  <c r="C53" i="8"/>
  <c r="B15" i="14"/>
  <c r="K308" i="12"/>
  <c r="AN460" i="9"/>
  <c r="AO460" i="9" s="1"/>
  <c r="AN457" i="9"/>
  <c r="AO457" i="9" s="1"/>
  <c r="AR420" i="12"/>
  <c r="B30" i="2"/>
  <c r="S366" i="9"/>
  <c r="S51" i="9"/>
  <c r="AF430" i="9"/>
  <c r="AH430" i="9" s="1"/>
  <c r="AI430" i="9" s="1"/>
  <c r="S299" i="9"/>
  <c r="D8" i="11"/>
  <c r="S263" i="9"/>
  <c r="S320" i="9"/>
  <c r="C59" i="8"/>
  <c r="S52" i="9"/>
  <c r="AF431" i="9"/>
  <c r="AH431" i="9" s="1"/>
  <c r="AI431" i="9" s="1"/>
  <c r="S254" i="9"/>
  <c r="S324" i="9"/>
  <c r="S391" i="9"/>
  <c r="S112" i="9"/>
  <c r="C24" i="8"/>
  <c r="S334" i="9"/>
  <c r="S6" i="9"/>
  <c r="S273" i="9"/>
  <c r="S19" i="9"/>
  <c r="K9" i="12"/>
  <c r="S53" i="9"/>
  <c r="S256" i="9"/>
  <c r="S376" i="9"/>
  <c r="D7" i="14"/>
  <c r="S172" i="9"/>
  <c r="S162" i="9"/>
  <c r="S374" i="9"/>
  <c r="S215" i="9"/>
  <c r="S369" i="9"/>
  <c r="D10" i="14"/>
  <c r="S302" i="12"/>
  <c r="L135" i="12"/>
  <c r="L182" i="12"/>
  <c r="S78" i="9"/>
  <c r="AF470" i="9"/>
  <c r="AH470" i="9" s="1"/>
  <c r="AI470" i="9" s="1"/>
  <c r="S258" i="9"/>
  <c r="L395" i="9"/>
  <c r="K395" i="9" s="1"/>
  <c r="S378" i="9"/>
  <c r="S128" i="12"/>
  <c r="L153" i="12"/>
  <c r="S143" i="9"/>
  <c r="S151" i="9"/>
  <c r="S270" i="9"/>
  <c r="S221" i="12"/>
  <c r="D9" i="14"/>
  <c r="U131" i="12"/>
  <c r="S224" i="12"/>
  <c r="L285" i="12"/>
  <c r="K285" i="12" s="1"/>
  <c r="S334" i="12"/>
  <c r="S127" i="12"/>
  <c r="L248" i="12"/>
  <c r="S247" i="12"/>
  <c r="R6" i="10"/>
  <c r="D13" i="8"/>
  <c r="D5" i="8"/>
  <c r="D8" i="8" s="1"/>
  <c r="K7" i="12"/>
  <c r="B4" i="11"/>
  <c r="C51" i="8"/>
  <c r="C57" i="8"/>
  <c r="B15" i="11"/>
  <c r="B5" i="14"/>
  <c r="K296" i="12"/>
  <c r="B8" i="14"/>
  <c r="K299" i="12"/>
  <c r="AN453" i="9"/>
  <c r="AR454" i="12"/>
  <c r="AR469" i="12"/>
  <c r="S175" i="9"/>
  <c r="S23" i="9"/>
  <c r="E42" i="2"/>
  <c r="AF480" i="9"/>
  <c r="S325" i="9"/>
  <c r="S342" i="9"/>
  <c r="S370" i="9"/>
  <c r="S70" i="9"/>
  <c r="S333" i="9"/>
  <c r="S365" i="9"/>
  <c r="L377" i="9"/>
  <c r="S209" i="9"/>
  <c r="L105" i="12"/>
  <c r="S157" i="9"/>
  <c r="AF475" i="9"/>
  <c r="AH475" i="9" s="1"/>
  <c r="AI475" i="9" s="1"/>
  <c r="S341" i="9"/>
  <c r="S43" i="9"/>
  <c r="AF422" i="9"/>
  <c r="AH422" i="9" s="1"/>
  <c r="AI422" i="9" s="1"/>
  <c r="S275" i="9"/>
  <c r="S31" i="9"/>
  <c r="C7" i="8"/>
  <c r="AF409" i="9"/>
  <c r="AH409" i="9" s="1"/>
  <c r="AI409" i="9" s="1"/>
  <c r="S117" i="9"/>
  <c r="AF434" i="9"/>
  <c r="AH434" i="9" s="1"/>
  <c r="S55" i="9"/>
  <c r="S206" i="9"/>
  <c r="R6" i="9"/>
  <c r="S178" i="9"/>
  <c r="L13" i="12"/>
  <c r="S114" i="9"/>
  <c r="S218" i="9"/>
  <c r="S389" i="9"/>
  <c r="AF473" i="12"/>
  <c r="L229" i="12"/>
  <c r="S211" i="12"/>
  <c r="S127" i="9"/>
  <c r="S280" i="9"/>
  <c r="S382" i="9"/>
  <c r="S63" i="9"/>
  <c r="AF443" i="9"/>
  <c r="AH443" i="9" s="1"/>
  <c r="AI443" i="9" s="1"/>
  <c r="S136" i="9"/>
  <c r="S144" i="9"/>
  <c r="S152" i="9"/>
  <c r="S271" i="9"/>
  <c r="U133" i="12"/>
  <c r="S312" i="12"/>
  <c r="R312" i="12" s="1"/>
  <c r="L242" i="12"/>
  <c r="S270" i="12"/>
  <c r="K266" i="12"/>
  <c r="L245" i="12"/>
  <c r="L250" i="12"/>
  <c r="C41" i="8"/>
  <c r="J362" i="9"/>
  <c r="K362" i="9" s="1"/>
  <c r="K360" i="9"/>
  <c r="B14" i="14"/>
  <c r="K307" i="12"/>
  <c r="AR455" i="12"/>
  <c r="AR493" i="12"/>
  <c r="S260" i="9"/>
  <c r="D9" i="11"/>
  <c r="S300" i="9"/>
  <c r="S56" i="9"/>
  <c r="AF435" i="9"/>
  <c r="AH435" i="9" s="1"/>
  <c r="AI435" i="9" s="1"/>
  <c r="S77" i="9"/>
  <c r="AF473" i="9"/>
  <c r="AH473" i="9" s="1"/>
  <c r="AI473" i="9" s="1"/>
  <c r="S40" i="9"/>
  <c r="B16" i="2"/>
  <c r="R15" i="9"/>
  <c r="S340" i="9"/>
  <c r="S393" i="9"/>
  <c r="S381" i="9"/>
  <c r="S49" i="9"/>
  <c r="AF428" i="9"/>
  <c r="AH428" i="9" s="1"/>
  <c r="AI428" i="9" s="1"/>
  <c r="S372" i="9"/>
  <c r="S265" i="9"/>
  <c r="AF410" i="12"/>
  <c r="S204" i="9"/>
  <c r="AF438" i="9"/>
  <c r="AH438" i="9" s="1"/>
  <c r="AI438" i="9" s="1"/>
  <c r="S59" i="9"/>
  <c r="D4" i="11"/>
  <c r="S295" i="9"/>
  <c r="S42" i="9"/>
  <c r="AF421" i="9"/>
  <c r="AH421" i="9" s="1"/>
  <c r="AI421" i="9" s="1"/>
  <c r="S125" i="9"/>
  <c r="S71" i="9"/>
  <c r="S301" i="9"/>
  <c r="S227" i="9"/>
  <c r="R17" i="9"/>
  <c r="S211" i="9"/>
  <c r="C11" i="8"/>
  <c r="S32" i="9"/>
  <c r="AF410" i="9"/>
  <c r="AH410" i="9" s="1"/>
  <c r="AI410" i="9" s="1"/>
  <c r="S121" i="9"/>
  <c r="S222" i="9"/>
  <c r="S392" i="9"/>
  <c r="K94" i="12"/>
  <c r="S9" i="9"/>
  <c r="S160" i="9"/>
  <c r="S298" i="9"/>
  <c r="D7" i="11"/>
  <c r="S386" i="9"/>
  <c r="S64" i="9"/>
  <c r="AF444" i="9"/>
  <c r="AH444" i="9" s="1"/>
  <c r="AI444" i="9" s="1"/>
  <c r="S137" i="9"/>
  <c r="S145" i="9"/>
  <c r="S198" i="9"/>
  <c r="C44" i="8"/>
  <c r="S272" i="9"/>
  <c r="L163" i="12"/>
  <c r="AF475" i="12"/>
  <c r="L54" i="12"/>
  <c r="S162" i="12"/>
  <c r="D14" i="14"/>
  <c r="L349" i="12"/>
  <c r="R99" i="12" l="1"/>
  <c r="J193" i="9"/>
  <c r="L193" i="9" s="1"/>
  <c r="S371" i="12"/>
  <c r="Q192" i="12"/>
  <c r="S390" i="12"/>
  <c r="S94" i="12"/>
  <c r="S97" i="12" s="1"/>
  <c r="Q97" i="12"/>
  <c r="Z480" i="12"/>
  <c r="R301" i="12"/>
  <c r="S244" i="12"/>
  <c r="K23" i="21"/>
  <c r="S370" i="12"/>
  <c r="S386" i="12"/>
  <c r="S380" i="12"/>
  <c r="R302" i="12"/>
  <c r="Q179" i="12"/>
  <c r="S178" i="12"/>
  <c r="S388" i="12"/>
  <c r="S389" i="12"/>
  <c r="R303" i="12"/>
  <c r="S394" i="12"/>
  <c r="S381" i="12"/>
  <c r="J23" i="21"/>
  <c r="L23" i="21" s="1"/>
  <c r="M23" i="21" s="1"/>
  <c r="L6" i="21"/>
  <c r="M6" i="21" s="1"/>
  <c r="J33" i="10"/>
  <c r="J34" i="10" s="1"/>
  <c r="N83" i="9"/>
  <c r="P300" i="12"/>
  <c r="AN496" i="12"/>
  <c r="AO496" i="12" s="1"/>
  <c r="AH480" i="9"/>
  <c r="AI480" i="9" s="1"/>
  <c r="AD480" i="9"/>
  <c r="S368" i="12"/>
  <c r="S217" i="12"/>
  <c r="S372" i="12"/>
  <c r="S391" i="12"/>
  <c r="AL428" i="12"/>
  <c r="S385" i="12"/>
  <c r="S383" i="12"/>
  <c r="S158" i="12"/>
  <c r="Q176" i="12"/>
  <c r="S382" i="12"/>
  <c r="S393" i="12"/>
  <c r="P298" i="12"/>
  <c r="F176" i="12"/>
  <c r="J20" i="21"/>
  <c r="L20" i="21" s="1"/>
  <c r="M20" i="21" s="1"/>
  <c r="J26" i="21"/>
  <c r="J24" i="21"/>
  <c r="S77" i="12"/>
  <c r="P308" i="12"/>
  <c r="P100" i="12"/>
  <c r="S379" i="12"/>
  <c r="Z431" i="12"/>
  <c r="J25" i="21"/>
  <c r="L25" i="21" s="1"/>
  <c r="M25" i="21" s="1"/>
  <c r="AL431" i="12"/>
  <c r="AL445" i="12"/>
  <c r="P296" i="12"/>
  <c r="G10" i="21"/>
  <c r="AJ419" i="9"/>
  <c r="AL468" i="9"/>
  <c r="E15" i="12"/>
  <c r="K115" i="12"/>
  <c r="K116" i="12"/>
  <c r="G16" i="21"/>
  <c r="Z428" i="12"/>
  <c r="E108" i="9"/>
  <c r="O185" i="12"/>
  <c r="R185" i="12" s="1"/>
  <c r="S157" i="12"/>
  <c r="AN495" i="12"/>
  <c r="AO495" i="12" s="1"/>
  <c r="R296" i="12"/>
  <c r="S175" i="12"/>
  <c r="S373" i="12"/>
  <c r="AN494" i="12"/>
  <c r="AH440" i="12"/>
  <c r="AN497" i="12"/>
  <c r="AO497" i="12" s="1"/>
  <c r="S384" i="12"/>
  <c r="K9" i="21"/>
  <c r="K13" i="21"/>
  <c r="L13" i="21" s="1"/>
  <c r="K24" i="21"/>
  <c r="K15" i="21"/>
  <c r="L12" i="21"/>
  <c r="M12" i="21" s="1"/>
  <c r="S367" i="12"/>
  <c r="E296" i="12"/>
  <c r="E298" i="12"/>
  <c r="R12" i="12"/>
  <c r="R100" i="12"/>
  <c r="S369" i="12"/>
  <c r="E153" i="9"/>
  <c r="R10" i="12"/>
  <c r="E300" i="12"/>
  <c r="AL437" i="12"/>
  <c r="S65" i="12"/>
  <c r="S72" i="12" s="1"/>
  <c r="S49" i="12"/>
  <c r="S54" i="12" s="1"/>
  <c r="S374" i="12"/>
  <c r="R9" i="12"/>
  <c r="S76" i="12"/>
  <c r="AL441" i="12"/>
  <c r="R8" i="12"/>
  <c r="R11" i="12"/>
  <c r="S375" i="12"/>
  <c r="E155" i="9"/>
  <c r="N217" i="12"/>
  <c r="Z429" i="12"/>
  <c r="E307" i="12"/>
  <c r="AL436" i="12"/>
  <c r="Z448" i="12"/>
  <c r="S78" i="12"/>
  <c r="S387" i="12"/>
  <c r="E122" i="9"/>
  <c r="AL447" i="12"/>
  <c r="L7" i="21"/>
  <c r="M7" i="21" s="1"/>
  <c r="K118" i="12"/>
  <c r="K114" i="12"/>
  <c r="K117" i="12"/>
  <c r="K112" i="12"/>
  <c r="R97" i="9"/>
  <c r="R98" i="9" s="1"/>
  <c r="R97" i="12"/>
  <c r="E21" i="21"/>
  <c r="G21" i="21" s="1"/>
  <c r="H21" i="21" s="1"/>
  <c r="G8" i="21"/>
  <c r="H8" i="21" s="1"/>
  <c r="N122" i="9"/>
  <c r="K122" i="9"/>
  <c r="J21" i="21"/>
  <c r="AL442" i="12"/>
  <c r="AL444" i="12"/>
  <c r="AL435" i="12"/>
  <c r="P299" i="12"/>
  <c r="P307" i="12"/>
  <c r="P96" i="12"/>
  <c r="R96" i="12"/>
  <c r="Q330" i="12"/>
  <c r="S330" i="12" s="1"/>
  <c r="F24" i="12"/>
  <c r="F182" i="12"/>
  <c r="AL443" i="12"/>
  <c r="AL423" i="12"/>
  <c r="AL446" i="12"/>
  <c r="Z422" i="12"/>
  <c r="P94" i="12"/>
  <c r="E94" i="12"/>
  <c r="P7" i="12"/>
  <c r="Z423" i="12"/>
  <c r="Z436" i="12"/>
  <c r="Z435" i="12"/>
  <c r="Z439" i="12"/>
  <c r="Z437" i="12"/>
  <c r="D10" i="8"/>
  <c r="Z443" i="12"/>
  <c r="E100" i="12"/>
  <c r="P297" i="12"/>
  <c r="AL422" i="12"/>
  <c r="Z424" i="12"/>
  <c r="AL424" i="12"/>
  <c r="Q349" i="12"/>
  <c r="Z438" i="12"/>
  <c r="AL430" i="12"/>
  <c r="Z444" i="12"/>
  <c r="P17" i="12"/>
  <c r="Z445" i="12"/>
  <c r="F153" i="12"/>
  <c r="E17" i="12"/>
  <c r="Z447" i="12"/>
  <c r="F83" i="12"/>
  <c r="Z472" i="12"/>
  <c r="F362" i="12"/>
  <c r="E360" i="12"/>
  <c r="Z474" i="12"/>
  <c r="F163" i="12"/>
  <c r="Z466" i="12"/>
  <c r="E299" i="12"/>
  <c r="AL434" i="12"/>
  <c r="Q72" i="12"/>
  <c r="Q13" i="12"/>
  <c r="AL414" i="12"/>
  <c r="AN414" i="12" s="1"/>
  <c r="AO414" i="12" s="1"/>
  <c r="AL438" i="12"/>
  <c r="AL471" i="12"/>
  <c r="Q83" i="12"/>
  <c r="AL410" i="12"/>
  <c r="Q122" i="12"/>
  <c r="Q266" i="12"/>
  <c r="S266" i="12" s="1"/>
  <c r="O362" i="12"/>
  <c r="R360" i="12"/>
  <c r="S242" i="9"/>
  <c r="E6" i="12"/>
  <c r="F13" i="12"/>
  <c r="F135" i="12"/>
  <c r="F185" i="12"/>
  <c r="F173" i="12"/>
  <c r="AL409" i="12"/>
  <c r="AN409" i="12" s="1"/>
  <c r="AO409" i="12" s="1"/>
  <c r="Q41" i="12"/>
  <c r="S41" i="12" s="1"/>
  <c r="P185" i="12"/>
  <c r="P194" i="12" s="1"/>
  <c r="P174" i="12"/>
  <c r="O304" i="12"/>
  <c r="R304" i="12" s="1"/>
  <c r="P295" i="12"/>
  <c r="Q189" i="12"/>
  <c r="Q182" i="12"/>
  <c r="Q395" i="12"/>
  <c r="P395" i="12" s="1"/>
  <c r="F122" i="12"/>
  <c r="Z411" i="12"/>
  <c r="F97" i="12"/>
  <c r="D112" i="12" s="1"/>
  <c r="AL415" i="12"/>
  <c r="AN415" i="12" s="1"/>
  <c r="AO415" i="12" s="1"/>
  <c r="P19" i="12"/>
  <c r="R19" i="12"/>
  <c r="Q135" i="12"/>
  <c r="S135" i="12" s="1"/>
  <c r="AL474" i="12"/>
  <c r="AO474" i="12" s="1"/>
  <c r="Q163" i="12"/>
  <c r="P250" i="12"/>
  <c r="Z478" i="12"/>
  <c r="Z451" i="12"/>
  <c r="Z426" i="12"/>
  <c r="Z416" i="12"/>
  <c r="Z450" i="12"/>
  <c r="Z425" i="12"/>
  <c r="Z449" i="12"/>
  <c r="Z432" i="12"/>
  <c r="Z418" i="12"/>
  <c r="Z479" i="12"/>
  <c r="Z427" i="12"/>
  <c r="Z417" i="12"/>
  <c r="E7" i="12"/>
  <c r="Z410" i="12"/>
  <c r="E96" i="12"/>
  <c r="F179" i="12"/>
  <c r="E250" i="12"/>
  <c r="F377" i="12"/>
  <c r="F210" i="12"/>
  <c r="E308" i="12"/>
  <c r="P15" i="12"/>
  <c r="Q250" i="12"/>
  <c r="S250" i="12" s="1"/>
  <c r="S251" i="12" s="1"/>
  <c r="Q245" i="12"/>
  <c r="AL413" i="12"/>
  <c r="AN413" i="12" s="1"/>
  <c r="AO413" i="12" s="1"/>
  <c r="Q229" i="12"/>
  <c r="Q185" i="12"/>
  <c r="Q173" i="12"/>
  <c r="Q304" i="12"/>
  <c r="Q309" i="12" s="1"/>
  <c r="Q314" i="12" s="1"/>
  <c r="Q248" i="12"/>
  <c r="Z409" i="12"/>
  <c r="F41" i="12"/>
  <c r="Z413" i="12"/>
  <c r="Z421" i="12"/>
  <c r="F54" i="12"/>
  <c r="F72" i="12"/>
  <c r="Z434" i="12"/>
  <c r="F105" i="12"/>
  <c r="F189" i="12"/>
  <c r="F248" i="12"/>
  <c r="F330" i="12"/>
  <c r="F192" i="12"/>
  <c r="AL439" i="12"/>
  <c r="AL421" i="12"/>
  <c r="Q54" i="12"/>
  <c r="Q285" i="12"/>
  <c r="Z412" i="12"/>
  <c r="F266" i="12"/>
  <c r="F250" i="12"/>
  <c r="F245" i="12"/>
  <c r="F229" i="12"/>
  <c r="P6" i="12"/>
  <c r="O13" i="12"/>
  <c r="Q24" i="12"/>
  <c r="S24" i="12" s="1"/>
  <c r="S25" i="12" s="1"/>
  <c r="Q242" i="12"/>
  <c r="Q105" i="12"/>
  <c r="O113" i="12" s="1"/>
  <c r="Q362" i="12"/>
  <c r="P360" i="12"/>
  <c r="AL466" i="12"/>
  <c r="F304" i="12"/>
  <c r="F309" i="12" s="1"/>
  <c r="F314" i="12" s="1"/>
  <c r="Z441" i="12"/>
  <c r="E95" i="12"/>
  <c r="D97" i="12"/>
  <c r="E121" i="12" s="1"/>
  <c r="F395" i="12"/>
  <c r="E395" i="12" s="1"/>
  <c r="D304" i="12"/>
  <c r="E295" i="12"/>
  <c r="AL412" i="12"/>
  <c r="AL429" i="12"/>
  <c r="Q377" i="12"/>
  <c r="Z414" i="12"/>
  <c r="Z442" i="12"/>
  <c r="Z415" i="12"/>
  <c r="D13" i="12"/>
  <c r="Z446" i="12"/>
  <c r="Z430" i="12"/>
  <c r="D185" i="12"/>
  <c r="E185" i="12"/>
  <c r="E194" i="12" s="1"/>
  <c r="E174" i="12"/>
  <c r="F285" i="12"/>
  <c r="F242" i="12"/>
  <c r="E297" i="12"/>
  <c r="F349" i="12"/>
  <c r="P95" i="12"/>
  <c r="O97" i="12"/>
  <c r="P119" i="12" s="1"/>
  <c r="AL411" i="12"/>
  <c r="Q153" i="12"/>
  <c r="S153" i="12" s="1"/>
  <c r="Q210" i="12"/>
  <c r="S210" i="12" s="1"/>
  <c r="E351" i="9"/>
  <c r="E41" i="9"/>
  <c r="Z407" i="9"/>
  <c r="F165" i="9"/>
  <c r="E27" i="9"/>
  <c r="E74" i="9"/>
  <c r="E54" i="9"/>
  <c r="F399" i="9"/>
  <c r="E210" i="9"/>
  <c r="Y429" i="9"/>
  <c r="Y430" i="9"/>
  <c r="E24" i="9"/>
  <c r="E36" i="9"/>
  <c r="E39" i="9"/>
  <c r="E37" i="9"/>
  <c r="E34" i="9"/>
  <c r="E32" i="9"/>
  <c r="E33" i="9"/>
  <c r="E35" i="9"/>
  <c r="E31" i="9"/>
  <c r="E38" i="9"/>
  <c r="E40" i="9"/>
  <c r="E72" i="9"/>
  <c r="E231" i="9"/>
  <c r="E309" i="9"/>
  <c r="D314" i="9"/>
  <c r="E229" i="9"/>
  <c r="F195" i="9"/>
  <c r="F233" i="9"/>
  <c r="F400" i="9" s="1"/>
  <c r="Z468" i="9"/>
  <c r="F289" i="9"/>
  <c r="M24" i="9"/>
  <c r="F85" i="9"/>
  <c r="M108" i="9"/>
  <c r="M109" i="9" s="1"/>
  <c r="S108" i="9"/>
  <c r="S109" i="9" s="1"/>
  <c r="S105" i="9"/>
  <c r="S106" i="9" s="1"/>
  <c r="M105" i="9"/>
  <c r="L109" i="9"/>
  <c r="N108" i="9"/>
  <c r="N109" i="9" s="1"/>
  <c r="S149" i="12"/>
  <c r="AF422" i="12"/>
  <c r="AF439" i="12"/>
  <c r="S345" i="12"/>
  <c r="S349" i="12" s="1"/>
  <c r="S345" i="9"/>
  <c r="S349" i="9" s="1"/>
  <c r="AF441" i="12"/>
  <c r="AF435" i="12"/>
  <c r="AF436" i="12"/>
  <c r="AF445" i="12"/>
  <c r="AF424" i="12"/>
  <c r="AF429" i="12"/>
  <c r="AF431" i="12"/>
  <c r="AR431" i="12" s="1"/>
  <c r="AF446" i="12"/>
  <c r="AF442" i="12"/>
  <c r="AR442" i="12" s="1"/>
  <c r="AF437" i="12"/>
  <c r="AF430" i="12"/>
  <c r="AF428" i="12"/>
  <c r="AF423" i="12"/>
  <c r="AR423" i="12" s="1"/>
  <c r="AF447" i="12"/>
  <c r="S242" i="12"/>
  <c r="AF432" i="12"/>
  <c r="AR432" i="12" s="1"/>
  <c r="AF451" i="12"/>
  <c r="AR451" i="12" s="1"/>
  <c r="AF443" i="12"/>
  <c r="AR443" i="12" s="1"/>
  <c r="AF426" i="12"/>
  <c r="AR426" i="12" s="1"/>
  <c r="AF479" i="12"/>
  <c r="AF418" i="12"/>
  <c r="AF444" i="12"/>
  <c r="AR444" i="12" s="1"/>
  <c r="AF417" i="12"/>
  <c r="AR417" i="12" s="1"/>
  <c r="AF416" i="12"/>
  <c r="AE416" i="12" s="1"/>
  <c r="AF478" i="12"/>
  <c r="AF425" i="12"/>
  <c r="AF438" i="12"/>
  <c r="AF449" i="12"/>
  <c r="AF427" i="12"/>
  <c r="AR427" i="12" s="1"/>
  <c r="AF450" i="12"/>
  <c r="AR450" i="12" s="1"/>
  <c r="AF477" i="12"/>
  <c r="AN477" i="12" s="1"/>
  <c r="AO477" i="12" s="1"/>
  <c r="L360" i="12"/>
  <c r="K360" i="12"/>
  <c r="J362" i="12"/>
  <c r="K362" i="12" s="1"/>
  <c r="S378" i="12"/>
  <c r="L395" i="12"/>
  <c r="S365" i="12"/>
  <c r="L377" i="12"/>
  <c r="S153" i="9"/>
  <c r="N13" i="9"/>
  <c r="N14" i="9" s="1"/>
  <c r="J31" i="9"/>
  <c r="S225" i="9"/>
  <c r="AH466" i="9"/>
  <c r="AI466" i="9" s="1"/>
  <c r="L27" i="9"/>
  <c r="S68" i="9"/>
  <c r="S72" i="9" s="1"/>
  <c r="B32" i="2"/>
  <c r="B56" i="2" s="1"/>
  <c r="J32" i="12"/>
  <c r="L27" i="12"/>
  <c r="M13" i="9"/>
  <c r="M14" i="9" s="1"/>
  <c r="K186" i="9"/>
  <c r="J113" i="12"/>
  <c r="K31" i="9"/>
  <c r="J32" i="9"/>
  <c r="N24" i="9"/>
  <c r="N25" i="9" s="1"/>
  <c r="AH452" i="9"/>
  <c r="AI452" i="9" s="1"/>
  <c r="AI434" i="9"/>
  <c r="E30" i="2"/>
  <c r="E45" i="2" s="1"/>
  <c r="K34" i="9"/>
  <c r="N153" i="9"/>
  <c r="L287" i="9"/>
  <c r="N287" i="9" s="1"/>
  <c r="N266" i="9"/>
  <c r="K35" i="9"/>
  <c r="L309" i="9"/>
  <c r="N304" i="9"/>
  <c r="N305" i="9" s="1"/>
  <c r="K285" i="9"/>
  <c r="K266" i="9"/>
  <c r="L351" i="9"/>
  <c r="L74" i="9"/>
  <c r="N74" i="9" s="1"/>
  <c r="L155" i="9"/>
  <c r="L231" i="9"/>
  <c r="N231" i="9" s="1"/>
  <c r="K23" i="9"/>
  <c r="R23" i="9" s="1"/>
  <c r="K13" i="9"/>
  <c r="K21" i="9"/>
  <c r="R21" i="9" s="1"/>
  <c r="J27" i="9"/>
  <c r="K22" i="9"/>
  <c r="R22" i="9" s="1"/>
  <c r="K33" i="9"/>
  <c r="K24" i="9"/>
  <c r="K36" i="9"/>
  <c r="K304" i="9"/>
  <c r="J309" i="9"/>
  <c r="M309" i="9" s="1"/>
  <c r="L194" i="9"/>
  <c r="L186" i="9"/>
  <c r="K194" i="9"/>
  <c r="K121" i="9"/>
  <c r="K119" i="9"/>
  <c r="K120" i="9"/>
  <c r="L251" i="9"/>
  <c r="M250" i="9" s="1"/>
  <c r="K32" i="9"/>
  <c r="K37" i="9"/>
  <c r="L10" i="11"/>
  <c r="AF466" i="9"/>
  <c r="AF481" i="9"/>
  <c r="AH481" i="9" s="1"/>
  <c r="AI481" i="9" s="1"/>
  <c r="D31" i="8"/>
  <c r="D23" i="8"/>
  <c r="D72" i="8"/>
  <c r="D6" i="8"/>
  <c r="D14" i="8"/>
  <c r="K24" i="12"/>
  <c r="K34" i="12"/>
  <c r="K35" i="12"/>
  <c r="K33" i="12"/>
  <c r="K31" i="12"/>
  <c r="K36" i="12"/>
  <c r="K37" i="12"/>
  <c r="K32" i="12"/>
  <c r="S229" i="9"/>
  <c r="C43" i="8"/>
  <c r="S210" i="9"/>
  <c r="L108" i="12"/>
  <c r="S54" i="9"/>
  <c r="F7" i="8"/>
  <c r="H7" i="8" s="1"/>
  <c r="G7" i="8"/>
  <c r="I7" i="8" s="1"/>
  <c r="AN422" i="9"/>
  <c r="AO422" i="9" s="1"/>
  <c r="AN466" i="9"/>
  <c r="G51" i="8"/>
  <c r="I51" i="8" s="1"/>
  <c r="F51" i="8"/>
  <c r="H51" i="8" s="1"/>
  <c r="S266" i="9"/>
  <c r="I6" i="10"/>
  <c r="L309" i="12"/>
  <c r="AN424" i="9"/>
  <c r="AO424" i="9" s="1"/>
  <c r="AR471" i="12"/>
  <c r="AN471" i="9"/>
  <c r="R185" i="9"/>
  <c r="AR470" i="12"/>
  <c r="AN470" i="12"/>
  <c r="AO470" i="12" s="1"/>
  <c r="AN437" i="9"/>
  <c r="AO437" i="9" s="1"/>
  <c r="C5" i="11"/>
  <c r="N5" i="11" s="1"/>
  <c r="Q5" i="11"/>
  <c r="J5" i="11"/>
  <c r="E21" i="8"/>
  <c r="AN440" i="9"/>
  <c r="G28" i="8"/>
  <c r="I28" i="8" s="1"/>
  <c r="F28" i="8"/>
  <c r="H28" i="8" s="1"/>
  <c r="L74" i="12"/>
  <c r="R5" i="13"/>
  <c r="K186" i="12"/>
  <c r="AN496" i="9"/>
  <c r="AO496" i="9" s="1"/>
  <c r="AN426" i="9"/>
  <c r="P5" i="11"/>
  <c r="L5" i="11"/>
  <c r="E22" i="8"/>
  <c r="E25" i="8" s="1"/>
  <c r="F11" i="8"/>
  <c r="H11" i="8" s="1"/>
  <c r="G11" i="8"/>
  <c r="I11" i="8" s="1"/>
  <c r="AN421" i="9"/>
  <c r="AO421" i="9" s="1"/>
  <c r="AN438" i="9"/>
  <c r="AO438" i="9" s="1"/>
  <c r="AN473" i="9"/>
  <c r="J9" i="11"/>
  <c r="Q9" i="11"/>
  <c r="C9" i="11"/>
  <c r="N9" i="11" s="1"/>
  <c r="J105" i="12"/>
  <c r="K104" i="12"/>
  <c r="R104" i="12" s="1"/>
  <c r="K119" i="12"/>
  <c r="K120" i="12"/>
  <c r="K121" i="12"/>
  <c r="J108" i="12"/>
  <c r="K103" i="12"/>
  <c r="R103" i="12" s="1"/>
  <c r="K102" i="12"/>
  <c r="R102" i="12" s="1"/>
  <c r="K97" i="12"/>
  <c r="S304" i="9"/>
  <c r="S305" i="9" s="1"/>
  <c r="AN443" i="9"/>
  <c r="AO443" i="9" s="1"/>
  <c r="AF452" i="9"/>
  <c r="AN434" i="9"/>
  <c r="AO434" i="9" s="1"/>
  <c r="B12" i="11"/>
  <c r="P4" i="11"/>
  <c r="L4" i="11"/>
  <c r="C6" i="10"/>
  <c r="E34" i="10"/>
  <c r="S185" i="9"/>
  <c r="S186" i="9" s="1"/>
  <c r="S13" i="9"/>
  <c r="S14" i="9" s="1"/>
  <c r="AN431" i="9"/>
  <c r="AO431" i="9" s="1"/>
  <c r="D12" i="14"/>
  <c r="C4" i="14"/>
  <c r="AO418" i="9"/>
  <c r="AO416" i="9"/>
  <c r="S11" i="10"/>
  <c r="S15" i="10"/>
  <c r="S16" i="10"/>
  <c r="E64" i="8"/>
  <c r="F15" i="8"/>
  <c r="H15" i="8" s="1"/>
  <c r="H6" i="10"/>
  <c r="AN411" i="9"/>
  <c r="AO411" i="9" s="1"/>
  <c r="AE411" i="9"/>
  <c r="AG411" i="9" s="1"/>
  <c r="S362" i="9"/>
  <c r="AN446" i="9"/>
  <c r="AO446" i="9" s="1"/>
  <c r="AN466" i="12"/>
  <c r="P7" i="11"/>
  <c r="L7" i="11"/>
  <c r="D39" i="8"/>
  <c r="E4" i="8"/>
  <c r="AN445" i="9"/>
  <c r="AO445" i="9" s="1"/>
  <c r="AN449" i="9"/>
  <c r="AN427" i="9"/>
  <c r="AN450" i="9"/>
  <c r="AN423" i="9"/>
  <c r="AO423" i="9" s="1"/>
  <c r="F40" i="8"/>
  <c r="H40" i="8" s="1"/>
  <c r="G40" i="8"/>
  <c r="I40" i="8" s="1"/>
  <c r="H18" i="11"/>
  <c r="G12" i="11"/>
  <c r="R13" i="9"/>
  <c r="R14" i="9" s="1"/>
  <c r="AE480" i="9"/>
  <c r="S395" i="9"/>
  <c r="C5" i="8"/>
  <c r="Q8" i="11"/>
  <c r="J8" i="11"/>
  <c r="C8" i="11"/>
  <c r="N8" i="11" s="1"/>
  <c r="AN440" i="12"/>
  <c r="AR440" i="12"/>
  <c r="S250" i="9"/>
  <c r="S251" i="9" s="1"/>
  <c r="L251" i="12"/>
  <c r="M6" i="10"/>
  <c r="M16" i="10" s="1"/>
  <c r="R362" i="9"/>
  <c r="J14" i="11"/>
  <c r="Q14" i="11"/>
  <c r="C14" i="11"/>
  <c r="N14" i="11" s="1"/>
  <c r="D16" i="11"/>
  <c r="AR480" i="12"/>
  <c r="F47" i="8"/>
  <c r="H47" i="8" s="1"/>
  <c r="G47" i="8"/>
  <c r="I47" i="8" s="1"/>
  <c r="R304" i="9"/>
  <c r="L194" i="12"/>
  <c r="L186" i="12"/>
  <c r="L351" i="12"/>
  <c r="AN439" i="9"/>
  <c r="AO439" i="9" s="1"/>
  <c r="E66" i="8"/>
  <c r="AN477" i="9"/>
  <c r="AO477" i="9" s="1"/>
  <c r="AN451" i="9"/>
  <c r="AE413" i="9"/>
  <c r="AG413" i="9" s="1"/>
  <c r="AN413" i="9"/>
  <c r="AO413" i="9" s="1"/>
  <c r="J10" i="11"/>
  <c r="Q10" i="11"/>
  <c r="J6" i="11"/>
  <c r="C6" i="11"/>
  <c r="N6" i="11" s="1"/>
  <c r="Q6" i="11"/>
  <c r="G41" i="8"/>
  <c r="I41" i="8" s="1"/>
  <c r="F41" i="8"/>
  <c r="H41" i="8" s="1"/>
  <c r="AN473" i="12"/>
  <c r="AR473" i="12"/>
  <c r="F53" i="8"/>
  <c r="H53" i="8" s="1"/>
  <c r="G53" i="8"/>
  <c r="I53" i="8" s="1"/>
  <c r="J27" i="12"/>
  <c r="K13" i="12"/>
  <c r="K23" i="12"/>
  <c r="R23" i="12" s="1"/>
  <c r="K21" i="12"/>
  <c r="R21" i="12" s="1"/>
  <c r="K22" i="12"/>
  <c r="R22" i="12" s="1"/>
  <c r="J112" i="12"/>
  <c r="C22" i="8"/>
  <c r="C25" i="8" s="1"/>
  <c r="AO417" i="9"/>
  <c r="AN447" i="9"/>
  <c r="AO447" i="9" s="1"/>
  <c r="AE414" i="12"/>
  <c r="AR414" i="12"/>
  <c r="C26" i="8"/>
  <c r="C29" i="8" s="1"/>
  <c r="F52" i="8"/>
  <c r="H52" i="8" s="1"/>
  <c r="G52" i="8"/>
  <c r="I52" i="8" s="1"/>
  <c r="C5" i="14"/>
  <c r="L287" i="12"/>
  <c r="AR476" i="12"/>
  <c r="AN476" i="12"/>
  <c r="AN436" i="9"/>
  <c r="AO436" i="9" s="1"/>
  <c r="B16" i="11"/>
  <c r="P16" i="11" s="1"/>
  <c r="P14" i="11"/>
  <c r="L14" i="11"/>
  <c r="AE409" i="12"/>
  <c r="AR409" i="12"/>
  <c r="AE411" i="12"/>
  <c r="AR411" i="12"/>
  <c r="AR466" i="12"/>
  <c r="AE412" i="12"/>
  <c r="AR412" i="12"/>
  <c r="J15" i="11"/>
  <c r="Q15" i="11"/>
  <c r="C15" i="11"/>
  <c r="N15" i="11" s="1"/>
  <c r="AE417" i="9"/>
  <c r="AG417" i="9" s="1"/>
  <c r="AN417" i="9"/>
  <c r="AN495" i="9"/>
  <c r="AO495" i="9" s="1"/>
  <c r="AN429" i="9"/>
  <c r="AO429" i="9" s="1"/>
  <c r="AE413" i="12"/>
  <c r="AR413" i="12"/>
  <c r="S5" i="10"/>
  <c r="E30" i="8"/>
  <c r="D16" i="14"/>
  <c r="C14" i="14"/>
  <c r="J7" i="11"/>
  <c r="C7" i="11"/>
  <c r="N7" i="11" s="1"/>
  <c r="Q7" i="11"/>
  <c r="J4" i="11"/>
  <c r="Q4" i="11"/>
  <c r="C4" i="11"/>
  <c r="N4" i="11" s="1"/>
  <c r="D12" i="11"/>
  <c r="AE410" i="12"/>
  <c r="AR410" i="12"/>
  <c r="D70" i="8"/>
  <c r="G59" i="8"/>
  <c r="I59" i="8" s="1"/>
  <c r="F59" i="8"/>
  <c r="H59" i="8" s="1"/>
  <c r="AN430" i="9"/>
  <c r="AO430" i="9" s="1"/>
  <c r="P9" i="11"/>
  <c r="L9" i="11"/>
  <c r="AN472" i="9"/>
  <c r="AO472" i="9" s="1"/>
  <c r="S135" i="9"/>
  <c r="AN448" i="9"/>
  <c r="AO448" i="9" s="1"/>
  <c r="G54" i="8"/>
  <c r="I54" i="8" s="1"/>
  <c r="F54" i="8"/>
  <c r="H54" i="8" s="1"/>
  <c r="S5" i="13"/>
  <c r="K194" i="12"/>
  <c r="E9" i="8"/>
  <c r="E12" i="8" s="1"/>
  <c r="C8" i="14"/>
  <c r="W176" i="12"/>
  <c r="AN478" i="9"/>
  <c r="AN497" i="9"/>
  <c r="AO497" i="9" s="1"/>
  <c r="AR421" i="12"/>
  <c r="AN435" i="9"/>
  <c r="AO435" i="9" s="1"/>
  <c r="AN475" i="12"/>
  <c r="AR475" i="12"/>
  <c r="F44" i="8"/>
  <c r="H44" i="8" s="1"/>
  <c r="G44" i="8"/>
  <c r="I44" i="8" s="1"/>
  <c r="AN444" i="9"/>
  <c r="AO444" i="9" s="1"/>
  <c r="AN428" i="9"/>
  <c r="AO428" i="9" s="1"/>
  <c r="S13" i="12"/>
  <c r="C4" i="8"/>
  <c r="C13" i="8"/>
  <c r="S41" i="9"/>
  <c r="AN475" i="9"/>
  <c r="T6" i="10"/>
  <c r="R16" i="10"/>
  <c r="AR472" i="12"/>
  <c r="AN472" i="12"/>
  <c r="D6" i="10"/>
  <c r="L155" i="12"/>
  <c r="E26" i="8"/>
  <c r="G42" i="8"/>
  <c r="I42" i="8" s="1"/>
  <c r="F42" i="8"/>
  <c r="H42" i="8" s="1"/>
  <c r="AN442" i="9"/>
  <c r="AO442" i="9" s="1"/>
  <c r="G45" i="8"/>
  <c r="I45" i="8" s="1"/>
  <c r="F45" i="8"/>
  <c r="H45" i="8" s="1"/>
  <c r="J309" i="12"/>
  <c r="K304" i="12"/>
  <c r="G58" i="8"/>
  <c r="I58" i="8" s="1"/>
  <c r="F58" i="8"/>
  <c r="H58" i="8" s="1"/>
  <c r="AO453" i="9"/>
  <c r="S330" i="9"/>
  <c r="E43" i="8"/>
  <c r="E46" i="8" s="1"/>
  <c r="R5" i="10"/>
  <c r="AN479" i="9"/>
  <c r="AN416" i="9"/>
  <c r="AE416" i="9"/>
  <c r="AG416" i="9" s="1"/>
  <c r="B16" i="14"/>
  <c r="F32" i="8"/>
  <c r="H32" i="8" s="1"/>
  <c r="K377" i="9"/>
  <c r="L397" i="9"/>
  <c r="S377" i="9"/>
  <c r="P15" i="11"/>
  <c r="L15" i="11"/>
  <c r="G24" i="8"/>
  <c r="I24" i="8" s="1"/>
  <c r="F24" i="8"/>
  <c r="H24" i="8" s="1"/>
  <c r="C21" i="8"/>
  <c r="L8" i="11"/>
  <c r="P8" i="11"/>
  <c r="E5" i="8"/>
  <c r="L231" i="12"/>
  <c r="L6" i="11"/>
  <c r="P6" i="11"/>
  <c r="AE414" i="9"/>
  <c r="AG414" i="9" s="1"/>
  <c r="C64" i="8"/>
  <c r="AN414" i="9"/>
  <c r="AO414" i="9" s="1"/>
  <c r="C15" i="14"/>
  <c r="J31" i="12"/>
  <c r="AN425" i="9"/>
  <c r="AN418" i="9"/>
  <c r="AE418" i="9"/>
  <c r="AG418" i="9" s="1"/>
  <c r="AN441" i="9"/>
  <c r="AO441" i="9" s="1"/>
  <c r="AN410" i="9"/>
  <c r="AO410" i="9" s="1"/>
  <c r="AE410" i="9"/>
  <c r="AG410" i="9" s="1"/>
  <c r="AF419" i="9"/>
  <c r="AH419" i="9" s="1"/>
  <c r="AI419" i="9" s="1"/>
  <c r="AN409" i="9"/>
  <c r="AO409" i="9" s="1"/>
  <c r="AE409" i="9"/>
  <c r="AG409" i="9" s="1"/>
  <c r="F57" i="8"/>
  <c r="H57" i="8" s="1"/>
  <c r="G57" i="8"/>
  <c r="I57" i="8" s="1"/>
  <c r="C9" i="14"/>
  <c r="AN470" i="9"/>
  <c r="AO470" i="9" s="1"/>
  <c r="C7" i="14"/>
  <c r="S122" i="9"/>
  <c r="C30" i="8"/>
  <c r="AN415" i="9"/>
  <c r="AO415" i="9" s="1"/>
  <c r="AE415" i="9"/>
  <c r="AG415" i="9" s="1"/>
  <c r="C66" i="8"/>
  <c r="AN412" i="9"/>
  <c r="AO412" i="9" s="1"/>
  <c r="AE412" i="9"/>
  <c r="AG412" i="9" s="1"/>
  <c r="AF433" i="9"/>
  <c r="AH433" i="9" s="1"/>
  <c r="AI433" i="9" s="1"/>
  <c r="AN474" i="9"/>
  <c r="AO474" i="9" s="1"/>
  <c r="B12" i="14"/>
  <c r="E13" i="8"/>
  <c r="AN476" i="9"/>
  <c r="AE415" i="12"/>
  <c r="AR415" i="12"/>
  <c r="O6" i="10"/>
  <c r="C6" i="14"/>
  <c r="AR434" i="12"/>
  <c r="S24" i="9"/>
  <c r="S25" i="9" s="1"/>
  <c r="C9" i="8"/>
  <c r="C12" i="8" s="1"/>
  <c r="F18" i="11"/>
  <c r="S185" i="12" l="1"/>
  <c r="S186" i="12" s="1"/>
  <c r="Q194" i="12"/>
  <c r="S122" i="12"/>
  <c r="Q155" i="12"/>
  <c r="S155" i="12" s="1"/>
  <c r="AN421" i="12"/>
  <c r="AO421" i="12" s="1"/>
  <c r="AL433" i="12"/>
  <c r="AN428" i="12"/>
  <c r="AO428" i="12" s="1"/>
  <c r="AN479" i="12"/>
  <c r="AO479" i="12" s="1"/>
  <c r="AN446" i="12"/>
  <c r="AO446" i="12" s="1"/>
  <c r="AN424" i="12"/>
  <c r="AO424" i="12" s="1"/>
  <c r="X466" i="9"/>
  <c r="N27" i="9"/>
  <c r="N85" i="9" s="1"/>
  <c r="AN441" i="12"/>
  <c r="AO441" i="12" s="1"/>
  <c r="N6" i="10"/>
  <c r="L24" i="21"/>
  <c r="M24" i="21" s="1"/>
  <c r="S304" i="12"/>
  <c r="S305" i="12" s="1"/>
  <c r="AN425" i="12"/>
  <c r="AO425" i="12" s="1"/>
  <c r="AN418" i="12"/>
  <c r="AO418" i="12" s="1"/>
  <c r="S14" i="12"/>
  <c r="AN445" i="12"/>
  <c r="AO445" i="12" s="1"/>
  <c r="AN435" i="12"/>
  <c r="AO435" i="12" s="1"/>
  <c r="P186" i="12"/>
  <c r="AJ468" i="9"/>
  <c r="AL483" i="9"/>
  <c r="AN436" i="12"/>
  <c r="AO436" i="12" s="1"/>
  <c r="P349" i="12"/>
  <c r="M27" i="9"/>
  <c r="M28" i="9" s="1"/>
  <c r="K78" i="9"/>
  <c r="J78" i="9" s="1"/>
  <c r="R13" i="12"/>
  <c r="R14" i="12" s="1"/>
  <c r="S395" i="12"/>
  <c r="K8" i="21"/>
  <c r="K10" i="21"/>
  <c r="L10" i="21" s="1"/>
  <c r="K22" i="21"/>
  <c r="L22" i="21" s="1"/>
  <c r="M22" i="21" s="1"/>
  <c r="L9" i="21"/>
  <c r="M9" i="21" s="1"/>
  <c r="AO466" i="12"/>
  <c r="Q351" i="12"/>
  <c r="P351" i="12" s="1"/>
  <c r="Q27" i="12"/>
  <c r="AN447" i="12"/>
  <c r="AO447" i="12" s="1"/>
  <c r="P330" i="12"/>
  <c r="AN422" i="12"/>
  <c r="AO422" i="12" s="1"/>
  <c r="AN437" i="12"/>
  <c r="AO437" i="12" s="1"/>
  <c r="F27" i="12"/>
  <c r="E72" i="12" s="1"/>
  <c r="AN439" i="12"/>
  <c r="AO439" i="12" s="1"/>
  <c r="AN438" i="12"/>
  <c r="AO438" i="12" s="1"/>
  <c r="K26" i="21"/>
  <c r="L26" i="21" s="1"/>
  <c r="M26" i="21" s="1"/>
  <c r="K16" i="21"/>
  <c r="L16" i="21" s="1"/>
  <c r="L15" i="21"/>
  <c r="M15" i="21" s="1"/>
  <c r="AN429" i="12"/>
  <c r="AO429" i="12" s="1"/>
  <c r="F108" i="12"/>
  <c r="E153" i="12" s="1"/>
  <c r="AN430" i="12"/>
  <c r="AO430" i="12" s="1"/>
  <c r="S98" i="12"/>
  <c r="S105" i="12"/>
  <c r="S106" i="12" s="1"/>
  <c r="Z481" i="12"/>
  <c r="Z433" i="12"/>
  <c r="E116" i="12"/>
  <c r="P116" i="12"/>
  <c r="AK412" i="12"/>
  <c r="Y415" i="12"/>
  <c r="P117" i="12"/>
  <c r="AK410" i="12"/>
  <c r="R98" i="12"/>
  <c r="AK411" i="12"/>
  <c r="P118" i="12"/>
  <c r="E113" i="12"/>
  <c r="Y413" i="12"/>
  <c r="E119" i="12"/>
  <c r="AN474" i="12"/>
  <c r="AN411" i="12"/>
  <c r="AO411" i="12" s="1"/>
  <c r="AL452" i="12"/>
  <c r="Q231" i="12"/>
  <c r="S231" i="12" s="1"/>
  <c r="AN410" i="12"/>
  <c r="AO410" i="12" s="1"/>
  <c r="E349" i="12"/>
  <c r="D113" i="12"/>
  <c r="Z452" i="12"/>
  <c r="Z419" i="12"/>
  <c r="Y409" i="12"/>
  <c r="Y418" i="12"/>
  <c r="AK415" i="12"/>
  <c r="F155" i="12"/>
  <c r="AK416" i="12"/>
  <c r="Q74" i="12"/>
  <c r="P377" i="12"/>
  <c r="Q397" i="12"/>
  <c r="P397" i="12" s="1"/>
  <c r="P114" i="12"/>
  <c r="F287" i="12"/>
  <c r="E287" i="12" s="1"/>
  <c r="E266" i="12"/>
  <c r="E115" i="12"/>
  <c r="AK413" i="12"/>
  <c r="F231" i="12"/>
  <c r="Q251" i="12"/>
  <c r="R250" i="12" s="1"/>
  <c r="AL419" i="12"/>
  <c r="AK409" i="12"/>
  <c r="AN412" i="12"/>
  <c r="AO412" i="12" s="1"/>
  <c r="O112" i="12"/>
  <c r="Q108" i="12"/>
  <c r="S108" i="12" s="1"/>
  <c r="S109" i="12" s="1"/>
  <c r="D24" i="12"/>
  <c r="D27" i="12"/>
  <c r="E13" i="12"/>
  <c r="P113" i="12"/>
  <c r="E304" i="12"/>
  <c r="D309" i="12"/>
  <c r="O27" i="12"/>
  <c r="P13" i="12"/>
  <c r="E377" i="12"/>
  <c r="F397" i="12"/>
  <c r="E397" i="12" s="1"/>
  <c r="Y410" i="12"/>
  <c r="E114" i="12"/>
  <c r="P362" i="12"/>
  <c r="R362" i="12"/>
  <c r="E120" i="12"/>
  <c r="P121" i="12"/>
  <c r="E118" i="12"/>
  <c r="E330" i="12"/>
  <c r="F351" i="12"/>
  <c r="E351" i="12" s="1"/>
  <c r="AL481" i="12"/>
  <c r="P285" i="12"/>
  <c r="P120" i="12"/>
  <c r="AK417" i="12"/>
  <c r="Q287" i="12"/>
  <c r="P287" i="12" s="1"/>
  <c r="P266" i="12"/>
  <c r="F74" i="12"/>
  <c r="P304" i="12"/>
  <c r="O309" i="12"/>
  <c r="R309" i="12" s="1"/>
  <c r="AN434" i="12"/>
  <c r="AO434" i="12" s="1"/>
  <c r="Y414" i="12"/>
  <c r="D105" i="12"/>
  <c r="E105" i="12" s="1"/>
  <c r="E97" i="12"/>
  <c r="D108" i="12"/>
  <c r="S363" i="12"/>
  <c r="Y412" i="12"/>
  <c r="E117" i="12"/>
  <c r="F194" i="12"/>
  <c r="F186" i="12"/>
  <c r="P112" i="12"/>
  <c r="Y417" i="12"/>
  <c r="Y416" i="12"/>
  <c r="Y411" i="12"/>
  <c r="AK418" i="12"/>
  <c r="AK414" i="12"/>
  <c r="O108" i="12"/>
  <c r="R108" i="12" s="1"/>
  <c r="R109" i="12" s="1"/>
  <c r="P97" i="12"/>
  <c r="O105" i="12"/>
  <c r="P105" i="12" s="1"/>
  <c r="E186" i="12"/>
  <c r="F251" i="12"/>
  <c r="E285" i="12"/>
  <c r="P115" i="12"/>
  <c r="P210" i="12"/>
  <c r="Q186" i="12"/>
  <c r="O24" i="12"/>
  <c r="E112" i="12"/>
  <c r="X419" i="9"/>
  <c r="X452" i="9"/>
  <c r="X433" i="9"/>
  <c r="X468" i="9"/>
  <c r="Z483" i="9"/>
  <c r="X481" i="9"/>
  <c r="E314" i="9"/>
  <c r="Z406" i="9"/>
  <c r="Y448" i="9" s="1"/>
  <c r="R108" i="9"/>
  <c r="R109" i="9" s="1"/>
  <c r="AR446" i="12"/>
  <c r="AR422" i="12"/>
  <c r="AR439" i="12"/>
  <c r="AR441" i="12"/>
  <c r="AR435" i="12"/>
  <c r="AR445" i="12"/>
  <c r="AR429" i="12"/>
  <c r="AN431" i="12"/>
  <c r="AO431" i="12" s="1"/>
  <c r="AN442" i="12"/>
  <c r="AO442" i="12" s="1"/>
  <c r="AR437" i="12"/>
  <c r="AR436" i="12"/>
  <c r="AR424" i="12"/>
  <c r="AN426" i="12"/>
  <c r="AO426" i="12" s="1"/>
  <c r="AR430" i="12"/>
  <c r="AR428" i="12"/>
  <c r="S155" i="9"/>
  <c r="AN423" i="12"/>
  <c r="AO423" i="12" s="1"/>
  <c r="AN443" i="12"/>
  <c r="AO443" i="12" s="1"/>
  <c r="AN451" i="12"/>
  <c r="AO451" i="12" s="1"/>
  <c r="AR447" i="12"/>
  <c r="AR418" i="12"/>
  <c r="AE418" i="12"/>
  <c r="AN416" i="12"/>
  <c r="AO416" i="12" s="1"/>
  <c r="AR438" i="12"/>
  <c r="AF452" i="12"/>
  <c r="AR452" i="12" s="1"/>
  <c r="AN444" i="12"/>
  <c r="AO444" i="12" s="1"/>
  <c r="AN450" i="12"/>
  <c r="AO450" i="12" s="1"/>
  <c r="AN449" i="12"/>
  <c r="AO449" i="12" s="1"/>
  <c r="AR449" i="12"/>
  <c r="AR479" i="12"/>
  <c r="AE417" i="12"/>
  <c r="AR477" i="12"/>
  <c r="AF419" i="12"/>
  <c r="AN417" i="12"/>
  <c r="AO417" i="12" s="1"/>
  <c r="AN427" i="12"/>
  <c r="AO427" i="12" s="1"/>
  <c r="AR416" i="12"/>
  <c r="AF481" i="12"/>
  <c r="AR481" i="12" s="1"/>
  <c r="AR425" i="12"/>
  <c r="AN478" i="12"/>
  <c r="AO478" i="12" s="1"/>
  <c r="AR478" i="12"/>
  <c r="AF433" i="12"/>
  <c r="S377" i="12"/>
  <c r="L397" i="12"/>
  <c r="K377" i="12"/>
  <c r="K395" i="12"/>
  <c r="L362" i="12"/>
  <c r="S362" i="12" s="1"/>
  <c r="S360" i="12"/>
  <c r="S229" i="12"/>
  <c r="D73" i="8"/>
  <c r="L233" i="9"/>
  <c r="N233" i="9" s="1"/>
  <c r="L28" i="9"/>
  <c r="K72" i="12"/>
  <c r="S285" i="12"/>
  <c r="E72" i="8"/>
  <c r="E31" i="8"/>
  <c r="E23" i="8"/>
  <c r="K54" i="9"/>
  <c r="K41" i="9"/>
  <c r="E6" i="8"/>
  <c r="K72" i="9"/>
  <c r="AO466" i="9"/>
  <c r="K287" i="9"/>
  <c r="L289" i="9"/>
  <c r="N289" i="9" s="1"/>
  <c r="K135" i="9"/>
  <c r="K210" i="12"/>
  <c r="K41" i="12"/>
  <c r="R250" i="9"/>
  <c r="K54" i="12"/>
  <c r="K135" i="12"/>
  <c r="K153" i="12"/>
  <c r="N10" i="11"/>
  <c r="B18" i="14"/>
  <c r="X18" i="12"/>
  <c r="K122" i="12"/>
  <c r="L85" i="12"/>
  <c r="C67" i="8"/>
  <c r="F67" i="8" s="1"/>
  <c r="H67" i="8" s="1"/>
  <c r="D5" i="13"/>
  <c r="D10" i="13" s="1"/>
  <c r="K155" i="9"/>
  <c r="N155" i="9"/>
  <c r="K229" i="12"/>
  <c r="L314" i="9"/>
  <c r="K351" i="9" s="1"/>
  <c r="N309" i="9"/>
  <c r="N310" i="9" s="1"/>
  <c r="K210" i="9"/>
  <c r="N194" i="9"/>
  <c r="N195" i="9" s="1"/>
  <c r="N351" i="9"/>
  <c r="K153" i="9"/>
  <c r="J314" i="9"/>
  <c r="AF406" i="9" s="1"/>
  <c r="K309" i="9"/>
  <c r="L165" i="9"/>
  <c r="N165" i="9" s="1"/>
  <c r="K231" i="9"/>
  <c r="K74" i="9"/>
  <c r="L85" i="9"/>
  <c r="L195" i="9"/>
  <c r="M194" i="9" s="1"/>
  <c r="K27" i="9"/>
  <c r="K229" i="9"/>
  <c r="E14" i="8"/>
  <c r="J16" i="11"/>
  <c r="D71" i="8"/>
  <c r="T16" i="10"/>
  <c r="J12" i="11"/>
  <c r="N12" i="11"/>
  <c r="F29" i="8"/>
  <c r="H29" i="8" s="1"/>
  <c r="G12" i="8"/>
  <c r="I12" i="8" s="1"/>
  <c r="F12" i="8"/>
  <c r="H12" i="8" s="1"/>
  <c r="S159" i="12"/>
  <c r="S163" i="12" s="1"/>
  <c r="G64" i="8"/>
  <c r="I64" i="8" s="1"/>
  <c r="F64" i="8"/>
  <c r="H64" i="8" s="1"/>
  <c r="S10" i="13"/>
  <c r="C16" i="14"/>
  <c r="C5" i="13"/>
  <c r="K27" i="12"/>
  <c r="O5" i="13"/>
  <c r="L195" i="12"/>
  <c r="L233" i="12"/>
  <c r="S17" i="10"/>
  <c r="AM414" i="9"/>
  <c r="E8" i="8"/>
  <c r="E27" i="8"/>
  <c r="E29" i="8"/>
  <c r="G29" i="8" s="1"/>
  <c r="I29" i="8" s="1"/>
  <c r="K155" i="12"/>
  <c r="S74" i="9"/>
  <c r="E10" i="8"/>
  <c r="N16" i="11"/>
  <c r="K287" i="12"/>
  <c r="L12" i="11"/>
  <c r="AN452" i="9"/>
  <c r="AO452" i="9" s="1"/>
  <c r="AN433" i="9"/>
  <c r="AO433" i="9" s="1"/>
  <c r="AM412" i="9"/>
  <c r="K231" i="12"/>
  <c r="K397" i="9"/>
  <c r="S397" i="9"/>
  <c r="AM417" i="9"/>
  <c r="AM411" i="9"/>
  <c r="S287" i="9"/>
  <c r="C39" i="8"/>
  <c r="O5" i="10"/>
  <c r="S194" i="9"/>
  <c r="S195" i="9" s="1"/>
  <c r="C65" i="8"/>
  <c r="S309" i="9"/>
  <c r="S310" i="9" s="1"/>
  <c r="H5" i="13"/>
  <c r="K108" i="12"/>
  <c r="S159" i="9"/>
  <c r="S163" i="9" s="1"/>
  <c r="E32" i="8"/>
  <c r="G32" i="8" s="1"/>
  <c r="I32" i="8" s="1"/>
  <c r="AN471" i="12"/>
  <c r="AO471" i="12" s="1"/>
  <c r="L289" i="12"/>
  <c r="I5" i="13"/>
  <c r="L165" i="12"/>
  <c r="AM410" i="9"/>
  <c r="AM418" i="9"/>
  <c r="C27" i="8"/>
  <c r="G26" i="8"/>
  <c r="I26" i="8" s="1"/>
  <c r="F26" i="8"/>
  <c r="H26" i="8" s="1"/>
  <c r="C16" i="11"/>
  <c r="Q16" i="11"/>
  <c r="H16" i="10"/>
  <c r="J6" i="10"/>
  <c r="K105" i="12"/>
  <c r="G21" i="8"/>
  <c r="I21" i="8" s="1"/>
  <c r="F21" i="8"/>
  <c r="H21" i="8" s="1"/>
  <c r="H5" i="10"/>
  <c r="F25" i="8"/>
  <c r="H25" i="8" s="1"/>
  <c r="G25" i="8"/>
  <c r="I25" i="8" s="1"/>
  <c r="F9" i="8"/>
  <c r="H9" i="8" s="1"/>
  <c r="C10" i="8"/>
  <c r="G9" i="8"/>
  <c r="I9" i="8" s="1"/>
  <c r="G30" i="8"/>
  <c r="I30" i="8" s="1"/>
  <c r="C31" i="8"/>
  <c r="F30" i="8"/>
  <c r="H30" i="8" s="1"/>
  <c r="E39" i="8"/>
  <c r="R20" i="10"/>
  <c r="R11" i="10"/>
  <c r="T11" i="10" s="1"/>
  <c r="R15" i="10"/>
  <c r="R7" i="10"/>
  <c r="R8" i="10" s="1"/>
  <c r="R22" i="10"/>
  <c r="T5" i="10"/>
  <c r="R10" i="10"/>
  <c r="E65" i="8"/>
  <c r="P12" i="11"/>
  <c r="B18" i="11"/>
  <c r="T5" i="13"/>
  <c r="R15" i="13"/>
  <c r="R11" i="13"/>
  <c r="R10" i="13"/>
  <c r="I15" i="10"/>
  <c r="I11" i="10"/>
  <c r="I16" i="10"/>
  <c r="S231" i="9"/>
  <c r="AM416" i="9"/>
  <c r="N15" i="10"/>
  <c r="N11" i="10"/>
  <c r="N16" i="10"/>
  <c r="O16" i="10" s="1"/>
  <c r="G66" i="8"/>
  <c r="I66" i="8" s="1"/>
  <c r="F66" i="8"/>
  <c r="H66" i="8" s="1"/>
  <c r="AM409" i="9"/>
  <c r="S351" i="9"/>
  <c r="K309" i="12"/>
  <c r="J314" i="12"/>
  <c r="C5" i="10"/>
  <c r="R27" i="9"/>
  <c r="R28" i="9" s="1"/>
  <c r="I5" i="10"/>
  <c r="AM413" i="9"/>
  <c r="R309" i="9"/>
  <c r="G5" i="8"/>
  <c r="I5" i="8" s="1"/>
  <c r="F5" i="8"/>
  <c r="H5" i="8" s="1"/>
  <c r="C6" i="8"/>
  <c r="G18" i="11"/>
  <c r="L399" i="9"/>
  <c r="C12" i="14"/>
  <c r="D18" i="14"/>
  <c r="M5" i="13"/>
  <c r="M5" i="10"/>
  <c r="C38" i="8"/>
  <c r="C46" i="8" s="1"/>
  <c r="F22" i="8"/>
  <c r="H22" i="8" s="1"/>
  <c r="C23" i="8"/>
  <c r="G22" i="8"/>
  <c r="I22" i="8" s="1"/>
  <c r="D62" i="8"/>
  <c r="D5" i="10"/>
  <c r="S27" i="9"/>
  <c r="C16" i="10"/>
  <c r="E6" i="10"/>
  <c r="C72" i="8"/>
  <c r="AO471" i="9"/>
  <c r="E70" i="8"/>
  <c r="G4" i="8"/>
  <c r="I4" i="8" s="1"/>
  <c r="F4" i="8"/>
  <c r="H4" i="8" s="1"/>
  <c r="AM415" i="9"/>
  <c r="AF468" i="9"/>
  <c r="AH468" i="9" s="1"/>
  <c r="AI468" i="9" s="1"/>
  <c r="C70" i="8"/>
  <c r="AN419" i="9"/>
  <c r="AO419" i="9" s="1"/>
  <c r="D50" i="8"/>
  <c r="D55" i="8" s="1"/>
  <c r="D15" i="10"/>
  <c r="D11" i="10"/>
  <c r="D16" i="10"/>
  <c r="G13" i="8"/>
  <c r="I13" i="8" s="1"/>
  <c r="C14" i="8"/>
  <c r="F13" i="8"/>
  <c r="H13" i="8" s="1"/>
  <c r="C12" i="11"/>
  <c r="D18" i="11"/>
  <c r="Q12" i="11"/>
  <c r="S7" i="10"/>
  <c r="S8" i="10" s="1"/>
  <c r="S22" i="10"/>
  <c r="S20" i="10"/>
  <c r="S10" i="10"/>
  <c r="S12" i="10" s="1"/>
  <c r="L16" i="11"/>
  <c r="S285" i="9"/>
  <c r="K74" i="12"/>
  <c r="S309" i="12"/>
  <c r="S310" i="12" s="1"/>
  <c r="L314" i="12"/>
  <c r="C8" i="8"/>
  <c r="F43" i="8"/>
  <c r="H43" i="8" s="1"/>
  <c r="G43" i="8"/>
  <c r="I43" i="8" s="1"/>
  <c r="AL407" i="12" l="1"/>
  <c r="AJ433" i="12" s="1"/>
  <c r="P54" i="12"/>
  <c r="AL468" i="12"/>
  <c r="S351" i="12"/>
  <c r="Q353" i="12"/>
  <c r="P27" i="12"/>
  <c r="N28" i="9"/>
  <c r="E108" i="12"/>
  <c r="P72" i="12"/>
  <c r="X407" i="9"/>
  <c r="AF407" i="9"/>
  <c r="AD407" i="9" s="1"/>
  <c r="P41" i="12"/>
  <c r="S27" i="12"/>
  <c r="S28" i="12" s="1"/>
  <c r="Q85" i="12"/>
  <c r="S85" i="12" s="1"/>
  <c r="S74" i="12"/>
  <c r="F399" i="12"/>
  <c r="P135" i="12"/>
  <c r="AL489" i="9"/>
  <c r="AL488" i="9" s="1"/>
  <c r="AK488" i="9" s="1"/>
  <c r="AK483" i="9"/>
  <c r="E27" i="12"/>
  <c r="E135" i="12"/>
  <c r="P74" i="12"/>
  <c r="E54" i="12"/>
  <c r="E122" i="12"/>
  <c r="R27" i="12"/>
  <c r="R28" i="12" s="1"/>
  <c r="E41" i="12"/>
  <c r="E74" i="12"/>
  <c r="Z468" i="12"/>
  <c r="E155" i="12"/>
  <c r="Z407" i="12"/>
  <c r="X452" i="12" s="1"/>
  <c r="K21" i="21"/>
  <c r="L21" i="21" s="1"/>
  <c r="M21" i="21" s="1"/>
  <c r="L8" i="21"/>
  <c r="M8" i="21" s="1"/>
  <c r="AN433" i="12"/>
  <c r="AO433" i="12" s="1"/>
  <c r="Q399" i="12"/>
  <c r="F165" i="12"/>
  <c r="F353" i="12"/>
  <c r="E210" i="12"/>
  <c r="E231" i="12"/>
  <c r="S194" i="12"/>
  <c r="S195" i="12" s="1"/>
  <c r="F289" i="12"/>
  <c r="E229" i="12"/>
  <c r="P122" i="12"/>
  <c r="F85" i="12"/>
  <c r="P155" i="12"/>
  <c r="P309" i="12"/>
  <c r="O314" i="12"/>
  <c r="R314" i="12" s="1"/>
  <c r="E24" i="12"/>
  <c r="E31" i="12"/>
  <c r="E40" i="12"/>
  <c r="E33" i="12"/>
  <c r="E35" i="12"/>
  <c r="E37" i="12"/>
  <c r="E36" i="12"/>
  <c r="E34" i="12"/>
  <c r="E38" i="12"/>
  <c r="E32" i="12"/>
  <c r="E39" i="12"/>
  <c r="Q165" i="12"/>
  <c r="S165" i="12" s="1"/>
  <c r="F233" i="12"/>
  <c r="F195" i="12"/>
  <c r="Q289" i="12"/>
  <c r="S289" i="12" s="1"/>
  <c r="P231" i="12"/>
  <c r="D314" i="12"/>
  <c r="E309" i="12"/>
  <c r="P153" i="12"/>
  <c r="P24" i="12"/>
  <c r="P32" i="12"/>
  <c r="P34" i="12"/>
  <c r="P40" i="12"/>
  <c r="P33" i="12"/>
  <c r="P36" i="12"/>
  <c r="P39" i="12"/>
  <c r="P31" i="12"/>
  <c r="P38" i="12"/>
  <c r="P35" i="12"/>
  <c r="P37" i="12"/>
  <c r="P229" i="12"/>
  <c r="Q233" i="12"/>
  <c r="S233" i="12" s="1"/>
  <c r="Q195" i="12"/>
  <c r="R194" i="12" s="1"/>
  <c r="P108" i="12"/>
  <c r="Z489" i="9"/>
  <c r="Z488" i="9" s="1"/>
  <c r="Y488" i="9" s="1"/>
  <c r="Y483" i="9"/>
  <c r="S287" i="12"/>
  <c r="AN452" i="12"/>
  <c r="AO452" i="12" s="1"/>
  <c r="AF468" i="12"/>
  <c r="AR468" i="12" s="1"/>
  <c r="AR419" i="12"/>
  <c r="AR433" i="12"/>
  <c r="AN419" i="12"/>
  <c r="AO419" i="12" s="1"/>
  <c r="L399" i="12"/>
  <c r="S397" i="12"/>
  <c r="K397" i="12"/>
  <c r="E62" i="8"/>
  <c r="L353" i="9"/>
  <c r="L400" i="9" s="1"/>
  <c r="C18" i="14"/>
  <c r="K314" i="9"/>
  <c r="M314" i="9"/>
  <c r="N314" i="9"/>
  <c r="N315" i="9" s="1"/>
  <c r="L315" i="9"/>
  <c r="K349" i="9"/>
  <c r="K330" i="9"/>
  <c r="AF406" i="12"/>
  <c r="AR406" i="12" s="1"/>
  <c r="K351" i="12"/>
  <c r="S165" i="9"/>
  <c r="S23" i="10"/>
  <c r="J18" i="11"/>
  <c r="I17" i="10"/>
  <c r="G46" i="8"/>
  <c r="I46" i="8" s="1"/>
  <c r="F46" i="8"/>
  <c r="H46" i="8" s="1"/>
  <c r="M15" i="10"/>
  <c r="M11" i="10"/>
  <c r="O11" i="10" s="1"/>
  <c r="M10" i="10"/>
  <c r="M22" i="10"/>
  <c r="M20" i="10"/>
  <c r="M7" i="10"/>
  <c r="M8" i="10" s="1"/>
  <c r="AN468" i="9"/>
  <c r="AO468" i="9" s="1"/>
  <c r="N17" i="10"/>
  <c r="T10" i="13"/>
  <c r="R12" i="13"/>
  <c r="S82" i="9"/>
  <c r="S83" i="9" s="1"/>
  <c r="S85" i="9" s="1"/>
  <c r="N5" i="13"/>
  <c r="S82" i="12"/>
  <c r="S83" i="12" s="1"/>
  <c r="Q18" i="11"/>
  <c r="C18" i="11"/>
  <c r="F6" i="8"/>
  <c r="H6" i="8" s="1"/>
  <c r="G6" i="8"/>
  <c r="I6" i="8" s="1"/>
  <c r="G14" i="8"/>
  <c r="I14" i="8" s="1"/>
  <c r="F14" i="8"/>
  <c r="H14" i="8" s="1"/>
  <c r="T20" i="10"/>
  <c r="T25" i="10" s="1"/>
  <c r="R23" i="10"/>
  <c r="I10" i="13"/>
  <c r="C10" i="13"/>
  <c r="E5" i="13"/>
  <c r="C15" i="13"/>
  <c r="C11" i="13"/>
  <c r="C50" i="8"/>
  <c r="F65" i="8"/>
  <c r="H65" i="8" s="1"/>
  <c r="G65" i="8"/>
  <c r="I65" i="8" s="1"/>
  <c r="G8" i="8"/>
  <c r="I8" i="8" s="1"/>
  <c r="F8" i="8"/>
  <c r="H8" i="8" s="1"/>
  <c r="F72" i="8"/>
  <c r="H72" i="8" s="1"/>
  <c r="G72" i="8"/>
  <c r="I72" i="8" s="1"/>
  <c r="S399" i="9"/>
  <c r="T10" i="10"/>
  <c r="T12" i="10" s="1"/>
  <c r="R12" i="10"/>
  <c r="H10" i="10"/>
  <c r="H15" i="10"/>
  <c r="H20" i="10"/>
  <c r="J5" i="10"/>
  <c r="H22" i="10"/>
  <c r="H11" i="10"/>
  <c r="J11" i="10" s="1"/>
  <c r="H7" i="10"/>
  <c r="H8" i="10" s="1"/>
  <c r="H15" i="13"/>
  <c r="H11" i="13"/>
  <c r="H10" i="13"/>
  <c r="J5" i="13"/>
  <c r="S289" i="9"/>
  <c r="E56" i="8"/>
  <c r="D74" i="8"/>
  <c r="D75" i="8" s="1"/>
  <c r="F23" i="8"/>
  <c r="H23" i="8" s="1"/>
  <c r="G23" i="8"/>
  <c r="I23" i="8" s="1"/>
  <c r="I7" i="10"/>
  <c r="I8" i="10" s="1"/>
  <c r="I22" i="10"/>
  <c r="I20" i="10"/>
  <c r="I10" i="10"/>
  <c r="I12" i="10" s="1"/>
  <c r="S28" i="9"/>
  <c r="T7" i="10"/>
  <c r="L18" i="11"/>
  <c r="E50" i="8"/>
  <c r="E55" i="8" s="1"/>
  <c r="R314" i="9"/>
  <c r="D7" i="10"/>
  <c r="D8" i="10" s="1"/>
  <c r="D10" i="10"/>
  <c r="D12" i="10" s="1"/>
  <c r="D22" i="10"/>
  <c r="D20" i="10"/>
  <c r="C20" i="10"/>
  <c r="C11" i="10"/>
  <c r="E11" i="10" s="1"/>
  <c r="C15" i="10"/>
  <c r="C22" i="10"/>
  <c r="E5" i="10"/>
  <c r="C10" i="10"/>
  <c r="C7" i="10"/>
  <c r="C8" i="10" s="1"/>
  <c r="L353" i="12"/>
  <c r="S314" i="12"/>
  <c r="S315" i="12" s="1"/>
  <c r="K349" i="12"/>
  <c r="AF407" i="12"/>
  <c r="K330" i="12"/>
  <c r="D17" i="10"/>
  <c r="E16" i="10"/>
  <c r="F20" i="11"/>
  <c r="P18" i="11"/>
  <c r="T22" i="10"/>
  <c r="T27" i="10" s="1"/>
  <c r="C56" i="8"/>
  <c r="S314" i="9"/>
  <c r="S315" i="9" s="1"/>
  <c r="N5" i="10"/>
  <c r="O7" i="10"/>
  <c r="N18" i="11"/>
  <c r="G70" i="8"/>
  <c r="I70" i="8" s="1"/>
  <c r="F70" i="8"/>
  <c r="H70" i="8" s="1"/>
  <c r="G38" i="8"/>
  <c r="I38" i="8" s="1"/>
  <c r="F38" i="8"/>
  <c r="H38" i="8" s="1"/>
  <c r="M10" i="13"/>
  <c r="M15" i="13"/>
  <c r="M11" i="13"/>
  <c r="K314" i="12"/>
  <c r="F31" i="8"/>
  <c r="H31" i="8" s="1"/>
  <c r="G31" i="8"/>
  <c r="I31" i="8" s="1"/>
  <c r="G10" i="8"/>
  <c r="I10" i="8" s="1"/>
  <c r="F10" i="8"/>
  <c r="H10" i="8" s="1"/>
  <c r="F27" i="8"/>
  <c r="H27" i="8" s="1"/>
  <c r="G27" i="8"/>
  <c r="I27" i="8" s="1"/>
  <c r="S233" i="9"/>
  <c r="X19" i="12"/>
  <c r="R17" i="10"/>
  <c r="T15" i="10"/>
  <c r="T17" i="10" s="1"/>
  <c r="J16" i="10"/>
  <c r="F39" i="8"/>
  <c r="H39" i="8" s="1"/>
  <c r="G39" i="8"/>
  <c r="I39" i="8" s="1"/>
  <c r="AL483" i="12" l="1"/>
  <c r="AL489" i="12" s="1"/>
  <c r="AH407" i="9"/>
  <c r="AI407" i="9" s="1"/>
  <c r="X419" i="12"/>
  <c r="X468" i="12"/>
  <c r="X466" i="12"/>
  <c r="AL498" i="9"/>
  <c r="AK489" i="9"/>
  <c r="Z483" i="12"/>
  <c r="Z489" i="12" s="1"/>
  <c r="U27" i="12"/>
  <c r="X433" i="12"/>
  <c r="S399" i="12"/>
  <c r="X481" i="12"/>
  <c r="AJ468" i="12"/>
  <c r="AJ419" i="12"/>
  <c r="AJ466" i="12"/>
  <c r="AJ452" i="12"/>
  <c r="E314" i="12"/>
  <c r="Z406" i="12"/>
  <c r="P314" i="12"/>
  <c r="AL406" i="12"/>
  <c r="Z498" i="9"/>
  <c r="Y489" i="9"/>
  <c r="N353" i="9"/>
  <c r="AN468" i="12"/>
  <c r="AO468" i="12" s="1"/>
  <c r="E71" i="8"/>
  <c r="E73" i="8"/>
  <c r="AD433" i="9"/>
  <c r="C71" i="8"/>
  <c r="F71" i="8" s="1"/>
  <c r="H71" i="8" s="1"/>
  <c r="AD481" i="9"/>
  <c r="AD452" i="9"/>
  <c r="AD466" i="9"/>
  <c r="C62" i="8"/>
  <c r="F62" i="8" s="1"/>
  <c r="H62" i="8" s="1"/>
  <c r="C73" i="8"/>
  <c r="F73" i="8" s="1"/>
  <c r="H73" i="8" s="1"/>
  <c r="AN407" i="9"/>
  <c r="AO407" i="9" s="1"/>
  <c r="AD468" i="9"/>
  <c r="AD419" i="9"/>
  <c r="AF483" i="9"/>
  <c r="AH483" i="9" s="1"/>
  <c r="AI483" i="9" s="1"/>
  <c r="AD468" i="12"/>
  <c r="I23" i="10"/>
  <c r="T29" i="10"/>
  <c r="N20" i="11"/>
  <c r="D23" i="10"/>
  <c r="AN480" i="9"/>
  <c r="AO480" i="9" s="1"/>
  <c r="J22" i="10"/>
  <c r="J27" i="10" s="1"/>
  <c r="C12" i="13"/>
  <c r="E10" i="13"/>
  <c r="T23" i="10"/>
  <c r="T21" i="10"/>
  <c r="T26" i="10" s="1"/>
  <c r="N10" i="13"/>
  <c r="O10" i="13" s="1"/>
  <c r="S353" i="9"/>
  <c r="S353" i="12"/>
  <c r="E10" i="10"/>
  <c r="E12" i="10" s="1"/>
  <c r="C12" i="10"/>
  <c r="J10" i="13"/>
  <c r="H12" i="13"/>
  <c r="J7" i="10"/>
  <c r="E7" i="10"/>
  <c r="T18" i="10"/>
  <c r="H23" i="10"/>
  <c r="J20" i="10"/>
  <c r="M23" i="10"/>
  <c r="G56" i="8"/>
  <c r="I56" i="8" s="1"/>
  <c r="F56" i="8"/>
  <c r="H56" i="8" s="1"/>
  <c r="E22" i="10"/>
  <c r="E27" i="10" s="1"/>
  <c r="H17" i="10"/>
  <c r="H33" i="10" s="1"/>
  <c r="I33" i="10" s="1"/>
  <c r="J15" i="10"/>
  <c r="J17" i="10" s="1"/>
  <c r="AN480" i="12"/>
  <c r="AO480" i="12" s="1"/>
  <c r="M12" i="13"/>
  <c r="E15" i="10"/>
  <c r="E17" i="10" s="1"/>
  <c r="C17" i="10"/>
  <c r="H12" i="10"/>
  <c r="J10" i="10"/>
  <c r="J12" i="10" s="1"/>
  <c r="C55" i="8"/>
  <c r="F50" i="8"/>
  <c r="H50" i="8" s="1"/>
  <c r="G50" i="8"/>
  <c r="I50" i="8" s="1"/>
  <c r="M12" i="10"/>
  <c r="N22" i="10"/>
  <c r="O22" i="10" s="1"/>
  <c r="O27" i="10" s="1"/>
  <c r="N20" i="10"/>
  <c r="N7" i="10"/>
  <c r="N8" i="10" s="1"/>
  <c r="N10" i="10"/>
  <c r="N12" i="10" s="1"/>
  <c r="E15" i="8"/>
  <c r="G15" i="8" s="1"/>
  <c r="I15" i="8" s="1"/>
  <c r="AR407" i="12"/>
  <c r="AN407" i="12"/>
  <c r="AO407" i="12" s="1"/>
  <c r="AF483" i="12"/>
  <c r="AD407" i="12"/>
  <c r="AD433" i="12"/>
  <c r="AD466" i="12"/>
  <c r="AD419" i="12"/>
  <c r="AD452" i="12"/>
  <c r="AD481" i="12"/>
  <c r="C23" i="10"/>
  <c r="E20" i="10"/>
  <c r="E25" i="10" s="1"/>
  <c r="M17" i="10"/>
  <c r="O15" i="10"/>
  <c r="O17" i="10" s="1"/>
  <c r="Z488" i="12" l="1"/>
  <c r="Z498" i="12"/>
  <c r="Y488" i="12"/>
  <c r="AL498" i="12"/>
  <c r="AK498" i="12" s="1"/>
  <c r="AL488" i="12"/>
  <c r="AK488" i="12" s="1"/>
  <c r="AK498" i="9"/>
  <c r="Y498" i="9"/>
  <c r="Y483" i="12"/>
  <c r="AK483" i="12"/>
  <c r="AJ407" i="12"/>
  <c r="Y489" i="12"/>
  <c r="AK489" i="12"/>
  <c r="G73" i="8"/>
  <c r="I73" i="8" s="1"/>
  <c r="AF489" i="9"/>
  <c r="AF498" i="9" s="1"/>
  <c r="G71" i="8"/>
  <c r="I71" i="8" s="1"/>
  <c r="G62" i="8"/>
  <c r="I62" i="8" s="1"/>
  <c r="AE483" i="9"/>
  <c r="C74" i="8"/>
  <c r="N23" i="10"/>
  <c r="O20" i="10"/>
  <c r="AF489" i="12"/>
  <c r="AN483" i="12"/>
  <c r="AO483" i="12" s="1"/>
  <c r="AR483" i="12"/>
  <c r="AE483" i="12"/>
  <c r="G55" i="8"/>
  <c r="I55" i="8" s="1"/>
  <c r="F55" i="8"/>
  <c r="H55" i="8" s="1"/>
  <c r="AN481" i="12"/>
  <c r="AO481" i="12" s="1"/>
  <c r="E29" i="10"/>
  <c r="C33" i="10"/>
  <c r="D33" i="10" s="1"/>
  <c r="C32" i="10"/>
  <c r="D32" i="10" s="1"/>
  <c r="J23" i="10"/>
  <c r="J21" i="10"/>
  <c r="J26" i="10" s="1"/>
  <c r="E18" i="10"/>
  <c r="J25" i="10"/>
  <c r="J29" i="10" s="1"/>
  <c r="N339" i="12"/>
  <c r="D76" i="8"/>
  <c r="N297" i="12"/>
  <c r="J18" i="10"/>
  <c r="E67" i="8"/>
  <c r="G67" i="8" s="1"/>
  <c r="I67" i="8" s="1"/>
  <c r="AN481" i="9"/>
  <c r="AO481" i="9" s="1"/>
  <c r="E21" i="10"/>
  <c r="E26" i="10" s="1"/>
  <c r="E23" i="10"/>
  <c r="O10" i="10"/>
  <c r="O12" i="10" s="1"/>
  <c r="O18" i="10" s="1"/>
  <c r="N151" i="12"/>
  <c r="N307" i="12"/>
  <c r="N11" i="12"/>
  <c r="N139" i="12"/>
  <c r="N128" i="12"/>
  <c r="N211" i="12"/>
  <c r="N81" i="12"/>
  <c r="N38" i="12"/>
  <c r="N207" i="12"/>
  <c r="N342" i="12"/>
  <c r="N146" i="12"/>
  <c r="N241" i="12"/>
  <c r="M7" i="12"/>
  <c r="N52" i="12"/>
  <c r="N150" i="12"/>
  <c r="N344" i="12"/>
  <c r="N223" i="12"/>
  <c r="M175" i="12"/>
  <c r="N103" i="12"/>
  <c r="N42" i="12"/>
  <c r="N22" i="12"/>
  <c r="N255" i="12"/>
  <c r="AH493" i="12"/>
  <c r="AI493" i="12" s="1"/>
  <c r="N19" i="12"/>
  <c r="N17" i="12"/>
  <c r="N117" i="12"/>
  <c r="N283" i="12"/>
  <c r="N225" i="12"/>
  <c r="F74" i="8" l="1"/>
  <c r="H74" i="8" s="1"/>
  <c r="C81" i="8"/>
  <c r="AF488" i="9"/>
  <c r="AN488" i="9" s="1"/>
  <c r="AO488" i="9" s="1"/>
  <c r="AF498" i="12"/>
  <c r="AF488" i="12"/>
  <c r="Y498" i="12"/>
  <c r="AH489" i="9"/>
  <c r="AI489" i="9" s="1"/>
  <c r="AH496" i="12"/>
  <c r="AI496" i="12" s="1"/>
  <c r="AH476" i="12"/>
  <c r="AI476" i="12" s="1"/>
  <c r="N158" i="12"/>
  <c r="AH472" i="12"/>
  <c r="AI472" i="12" s="1"/>
  <c r="N76" i="12"/>
  <c r="AH473" i="12"/>
  <c r="AI473" i="12" s="1"/>
  <c r="N77" i="12"/>
  <c r="C75" i="8"/>
  <c r="F75" i="8" s="1"/>
  <c r="H75" i="8" s="1"/>
  <c r="AE489" i="9"/>
  <c r="N341" i="12"/>
  <c r="N319" i="12"/>
  <c r="N49" i="12"/>
  <c r="N63" i="12"/>
  <c r="N40" i="12"/>
  <c r="N12" i="12"/>
  <c r="N113" i="12"/>
  <c r="N336" i="12"/>
  <c r="N296" i="12"/>
  <c r="N48" i="12"/>
  <c r="N302" i="12"/>
  <c r="N82" i="12"/>
  <c r="E33" i="13" s="1"/>
  <c r="AH460" i="12"/>
  <c r="AI460" i="12" s="1"/>
  <c r="N340" i="12"/>
  <c r="N281" i="12"/>
  <c r="N67" i="12"/>
  <c r="N39" i="12"/>
  <c r="N124" i="12"/>
  <c r="N181" i="12"/>
  <c r="N276" i="12"/>
  <c r="N61" i="12"/>
  <c r="N308" i="12"/>
  <c r="H15" i="14"/>
  <c r="F4" i="14"/>
  <c r="N272" i="12"/>
  <c r="H10" i="14"/>
  <c r="N222" i="12"/>
  <c r="N323" i="12"/>
  <c r="N156" i="12"/>
  <c r="N47" i="12"/>
  <c r="F7" i="14"/>
  <c r="M300" i="12"/>
  <c r="N199" i="12"/>
  <c r="H9" i="14"/>
  <c r="N140" i="12"/>
  <c r="N332" i="12"/>
  <c r="N69" i="12"/>
  <c r="H7" i="14"/>
  <c r="N131" i="12"/>
  <c r="AH458" i="12"/>
  <c r="AI458" i="12" s="1"/>
  <c r="N327" i="12"/>
  <c r="N9" i="12"/>
  <c r="N218" i="12"/>
  <c r="M6" i="12"/>
  <c r="N188" i="12"/>
  <c r="N32" i="12"/>
  <c r="N37" i="12"/>
  <c r="N119" i="12"/>
  <c r="N70" i="12"/>
  <c r="N184" i="12"/>
  <c r="N8" i="12"/>
  <c r="N43" i="12"/>
  <c r="N130" i="12"/>
  <c r="R6" i="13"/>
  <c r="N254" i="12"/>
  <c r="AH461" i="12"/>
  <c r="AI461" i="12" s="1"/>
  <c r="AH469" i="12"/>
  <c r="AI469" i="12" s="1"/>
  <c r="N10" i="12"/>
  <c r="C88" i="8"/>
  <c r="D77" i="8"/>
  <c r="N204" i="12"/>
  <c r="F9" i="14"/>
  <c r="N79" i="12"/>
  <c r="N329" i="12"/>
  <c r="N125" i="12"/>
  <c r="N36" i="12"/>
  <c r="N267" i="12"/>
  <c r="N147" i="12"/>
  <c r="N203" i="12"/>
  <c r="N318" i="12"/>
  <c r="N152" i="12"/>
  <c r="N345" i="12"/>
  <c r="N149" i="12"/>
  <c r="N31" i="12"/>
  <c r="N143" i="12"/>
  <c r="N326" i="12"/>
  <c r="N205" i="12"/>
  <c r="N335" i="12"/>
  <c r="N65" i="12"/>
  <c r="N338" i="12"/>
  <c r="M247" i="12"/>
  <c r="N227" i="12"/>
  <c r="N114" i="12"/>
  <c r="N59" i="12"/>
  <c r="N7" i="12"/>
  <c r="N303" i="12"/>
  <c r="N348" i="12"/>
  <c r="N216" i="12"/>
  <c r="M299" i="12"/>
  <c r="N126" i="12"/>
  <c r="N57" i="12"/>
  <c r="N301" i="12"/>
  <c r="N268" i="12"/>
  <c r="N68" i="12"/>
  <c r="N200" i="12"/>
  <c r="N324" i="12"/>
  <c r="N247" i="12"/>
  <c r="N112" i="12"/>
  <c r="N279" i="12"/>
  <c r="N298" i="12"/>
  <c r="N121" i="12"/>
  <c r="N138" i="12"/>
  <c r="N209" i="12"/>
  <c r="N295" i="12"/>
  <c r="M172" i="12"/>
  <c r="M181" i="12"/>
  <c r="N71" i="12"/>
  <c r="N321" i="12"/>
  <c r="N215" i="12"/>
  <c r="N333" i="12"/>
  <c r="AH491" i="12"/>
  <c r="AI491" i="12" s="1"/>
  <c r="N226" i="12"/>
  <c r="N133" i="12"/>
  <c r="N104" i="12"/>
  <c r="N198" i="12"/>
  <c r="N162" i="12"/>
  <c r="N102" i="12"/>
  <c r="N257" i="12"/>
  <c r="N60" i="12"/>
  <c r="N34" i="12"/>
  <c r="N80" i="12"/>
  <c r="N95" i="12"/>
  <c r="N161" i="12"/>
  <c r="N208" i="12"/>
  <c r="N320" i="12"/>
  <c r="N280" i="12"/>
  <c r="N50" i="12"/>
  <c r="H6" i="14"/>
  <c r="N62" i="12"/>
  <c r="N259" i="12"/>
  <c r="M95" i="12"/>
  <c r="N148" i="12"/>
  <c r="N262" i="12"/>
  <c r="N261" i="12"/>
  <c r="N347" i="12"/>
  <c r="N263" i="12"/>
  <c r="N15" i="12"/>
  <c r="N278" i="12"/>
  <c r="M188" i="12"/>
  <c r="M298" i="12"/>
  <c r="N145" i="12"/>
  <c r="N299" i="12"/>
  <c r="N116" i="12"/>
  <c r="AH455" i="12"/>
  <c r="AI455" i="12" s="1"/>
  <c r="N274" i="12"/>
  <c r="N202" i="12"/>
  <c r="N282" i="12"/>
  <c r="N219" i="12"/>
  <c r="H5" i="14"/>
  <c r="F5" i="14"/>
  <c r="N132" i="12"/>
  <c r="H8" i="14"/>
  <c r="N322" i="12"/>
  <c r="N328" i="12"/>
  <c r="N260" i="12"/>
  <c r="N53" i="12"/>
  <c r="N213" i="12"/>
  <c r="N75" i="12"/>
  <c r="M295" i="12"/>
  <c r="N134" i="12"/>
  <c r="AR489" i="12"/>
  <c r="AE489" i="12"/>
  <c r="AN489" i="12"/>
  <c r="AO489" i="12" s="1"/>
  <c r="N228" i="12"/>
  <c r="N346" i="12"/>
  <c r="M100" i="12"/>
  <c r="AH454" i="12"/>
  <c r="AI454" i="12" s="1"/>
  <c r="M178" i="12"/>
  <c r="F8" i="14"/>
  <c r="F15" i="14"/>
  <c r="N58" i="12"/>
  <c r="AH457" i="12"/>
  <c r="AI457" i="12" s="1"/>
  <c r="N244" i="12"/>
  <c r="N245" i="12" s="1"/>
  <c r="N35" i="12"/>
  <c r="M15" i="12"/>
  <c r="N144" i="12"/>
  <c r="N21" i="12"/>
  <c r="N33" i="12"/>
  <c r="N201" i="12"/>
  <c r="N264" i="12"/>
  <c r="N136" i="12"/>
  <c r="F14" i="14"/>
  <c r="E74" i="8"/>
  <c r="AN483" i="9"/>
  <c r="AO483" i="9" s="1"/>
  <c r="N221" i="12"/>
  <c r="N118" i="12"/>
  <c r="N214" i="12"/>
  <c r="N277" i="12"/>
  <c r="N64" i="12"/>
  <c r="AH420" i="12"/>
  <c r="AI420" i="12" s="1"/>
  <c r="N127" i="12"/>
  <c r="M94" i="12"/>
  <c r="N137" i="12"/>
  <c r="N224" i="12"/>
  <c r="O23" i="10"/>
  <c r="O21" i="10"/>
  <c r="O26" i="10" s="1"/>
  <c r="O25" i="10"/>
  <c r="O29" i="10" s="1"/>
  <c r="N269" i="12"/>
  <c r="AH459" i="12"/>
  <c r="AI459" i="12" s="1"/>
  <c r="N300" i="12"/>
  <c r="N325" i="12"/>
  <c r="N123" i="12"/>
  <c r="H14" i="14"/>
  <c r="N44" i="12"/>
  <c r="N115" i="12"/>
  <c r="N331" i="12"/>
  <c r="H4" i="14"/>
  <c r="N45" i="12"/>
  <c r="N120" i="12"/>
  <c r="N258" i="12"/>
  <c r="N334" i="12"/>
  <c r="N220" i="12"/>
  <c r="N275" i="12"/>
  <c r="N141" i="12"/>
  <c r="N66" i="12"/>
  <c r="N100" i="12"/>
  <c r="N129" i="12"/>
  <c r="N178" i="12"/>
  <c r="N160" i="12"/>
  <c r="N206" i="12"/>
  <c r="F6" i="14"/>
  <c r="N284" i="12"/>
  <c r="N142" i="12"/>
  <c r="N55" i="12"/>
  <c r="N270" i="12"/>
  <c r="N212" i="12"/>
  <c r="N23" i="12"/>
  <c r="N46" i="12"/>
  <c r="N56" i="12"/>
  <c r="N172" i="12"/>
  <c r="N271" i="12"/>
  <c r="N51" i="12"/>
  <c r="N343" i="12"/>
  <c r="N256" i="12"/>
  <c r="AE488" i="9" l="1"/>
  <c r="AH488" i="9"/>
  <c r="AI488" i="9" s="1"/>
  <c r="AN488" i="12"/>
  <c r="AO488" i="12" s="1"/>
  <c r="AE488" i="12"/>
  <c r="AH488" i="12"/>
  <c r="AI488" i="12" s="1"/>
  <c r="AH498" i="9"/>
  <c r="AI498" i="9" s="1"/>
  <c r="N54" i="12"/>
  <c r="AH480" i="12"/>
  <c r="AI480" i="12" s="1"/>
  <c r="N159" i="12"/>
  <c r="J33" i="13" s="1"/>
  <c r="J34" i="13" s="1"/>
  <c r="M11" i="12"/>
  <c r="AI456" i="12"/>
  <c r="AH456" i="12"/>
  <c r="M296" i="12"/>
  <c r="M12" i="12"/>
  <c r="AI494" i="12"/>
  <c r="AH494" i="12"/>
  <c r="AI492" i="12"/>
  <c r="AH492" i="12"/>
  <c r="N175" i="12"/>
  <c r="M307" i="12"/>
  <c r="AH470" i="12"/>
  <c r="AI470" i="12" s="1"/>
  <c r="N78" i="12"/>
  <c r="E32" i="13" s="1"/>
  <c r="E34" i="13" s="1"/>
  <c r="M241" i="12"/>
  <c r="N242" i="12" s="1"/>
  <c r="AH475" i="12"/>
  <c r="AI475" i="12" s="1"/>
  <c r="N157" i="12"/>
  <c r="AI495" i="12"/>
  <c r="AH495" i="12"/>
  <c r="M9" i="12"/>
  <c r="M308" i="12"/>
  <c r="M244" i="12"/>
  <c r="M297" i="12"/>
  <c r="M312" i="12"/>
  <c r="N312" i="12"/>
  <c r="N97" i="12"/>
  <c r="N98" i="12" s="1"/>
  <c r="N94" i="12"/>
  <c r="AH453" i="12"/>
  <c r="M17" i="12"/>
  <c r="M8" i="12"/>
  <c r="M301" i="12"/>
  <c r="N285" i="12"/>
  <c r="N72" i="12"/>
  <c r="N349" i="12"/>
  <c r="N6" i="12"/>
  <c r="N13" i="12" s="1"/>
  <c r="M10" i="12"/>
  <c r="C76" i="8"/>
  <c r="AE498" i="9"/>
  <c r="D89" i="8"/>
  <c r="D87" i="8"/>
  <c r="AH430" i="12"/>
  <c r="AI430" i="12" s="1"/>
  <c r="AH448" i="12"/>
  <c r="AI448" i="12" s="1"/>
  <c r="N229" i="12"/>
  <c r="AH431" i="12"/>
  <c r="AI431" i="12" s="1"/>
  <c r="AH443" i="12"/>
  <c r="AI443" i="12" s="1"/>
  <c r="AH446" i="12"/>
  <c r="AI446" i="12" s="1"/>
  <c r="AH428" i="12"/>
  <c r="AI428" i="12" s="1"/>
  <c r="AH447" i="12"/>
  <c r="AI447" i="12" s="1"/>
  <c r="F16" i="14"/>
  <c r="N185" i="12"/>
  <c r="N186" i="12" s="1"/>
  <c r="AH411" i="12"/>
  <c r="AI411" i="12" s="1"/>
  <c r="AH442" i="12"/>
  <c r="AI442" i="12" s="1"/>
  <c r="AH412" i="12"/>
  <c r="AI412" i="12" s="1"/>
  <c r="R16" i="13"/>
  <c r="R22" i="13"/>
  <c r="R20" i="13"/>
  <c r="R7" i="13"/>
  <c r="R8" i="13" s="1"/>
  <c r="G15" i="14"/>
  <c r="N15" i="14" s="1"/>
  <c r="J15" i="14"/>
  <c r="H16" i="14"/>
  <c r="G14" i="14"/>
  <c r="N14" i="14" s="1"/>
  <c r="J14" i="14"/>
  <c r="N330" i="12"/>
  <c r="G9" i="14"/>
  <c r="N9" i="14" s="1"/>
  <c r="J9" i="14"/>
  <c r="N179" i="12"/>
  <c r="G4" i="14"/>
  <c r="N4" i="14" s="1"/>
  <c r="H12" i="14"/>
  <c r="J4" i="14"/>
  <c r="AH439" i="12"/>
  <c r="AI439" i="12" s="1"/>
  <c r="AH436" i="12"/>
  <c r="AI436" i="12" s="1"/>
  <c r="AH414" i="12"/>
  <c r="AI414" i="12" s="1"/>
  <c r="AH474" i="12"/>
  <c r="AI474" i="12" s="1"/>
  <c r="M304" i="12"/>
  <c r="AH445" i="12"/>
  <c r="AI445" i="12" s="1"/>
  <c r="N41" i="12"/>
  <c r="AH409" i="12"/>
  <c r="AI409" i="12" s="1"/>
  <c r="AH441" i="12"/>
  <c r="AI441" i="12" s="1"/>
  <c r="AH424" i="12"/>
  <c r="AI424" i="12" s="1"/>
  <c r="G5" i="14"/>
  <c r="N5" i="14" s="1"/>
  <c r="J5" i="14"/>
  <c r="AH471" i="12"/>
  <c r="AI471" i="12" s="1"/>
  <c r="G6" i="14"/>
  <c r="N6" i="14" s="1"/>
  <c r="J6" i="14"/>
  <c r="N266" i="12"/>
  <c r="AH422" i="12"/>
  <c r="AI422" i="12" s="1"/>
  <c r="AH415" i="12"/>
  <c r="AI415" i="12" s="1"/>
  <c r="M24" i="12"/>
  <c r="U41" i="12"/>
  <c r="AH413" i="12"/>
  <c r="AI413" i="12" s="1"/>
  <c r="AH437" i="12"/>
  <c r="AI437" i="12" s="1"/>
  <c r="AH429" i="12"/>
  <c r="AI429" i="12" s="1"/>
  <c r="AH438" i="12"/>
  <c r="AI438" i="12" s="1"/>
  <c r="AH421" i="12"/>
  <c r="AI421" i="12" s="1"/>
  <c r="AH410" i="12"/>
  <c r="AI410" i="12" s="1"/>
  <c r="E75" i="8"/>
  <c r="G75" i="8" s="1"/>
  <c r="I75" i="8" s="1"/>
  <c r="G74" i="8"/>
  <c r="I74" i="8" s="1"/>
  <c r="S6" i="13"/>
  <c r="T6" i="13" s="1"/>
  <c r="T7" i="13" s="1"/>
  <c r="AR498" i="12"/>
  <c r="AE498" i="12"/>
  <c r="AN498" i="12"/>
  <c r="AO498" i="12" s="1"/>
  <c r="E50" i="2"/>
  <c r="E53" i="2" s="1"/>
  <c r="E56" i="2" s="1"/>
  <c r="E65" i="2" s="1"/>
  <c r="G8" i="14"/>
  <c r="N8" i="14" s="1"/>
  <c r="J8" i="14"/>
  <c r="N210" i="12"/>
  <c r="N122" i="12"/>
  <c r="AH478" i="12"/>
  <c r="AI478" i="12" s="1"/>
  <c r="AH477" i="12"/>
  <c r="AI477" i="12" s="1"/>
  <c r="AH479" i="12"/>
  <c r="AI479" i="12" s="1"/>
  <c r="L10" i="14"/>
  <c r="J10" i="14"/>
  <c r="F12" i="14"/>
  <c r="AH435" i="12"/>
  <c r="AI435" i="12" s="1"/>
  <c r="AH423" i="12"/>
  <c r="AI423" i="12" s="1"/>
  <c r="AH444" i="12"/>
  <c r="AI444" i="12" s="1"/>
  <c r="AN489" i="9"/>
  <c r="AO489" i="9" s="1"/>
  <c r="N250" i="12"/>
  <c r="N251" i="12" s="1"/>
  <c r="G7" i="14"/>
  <c r="N7" i="14" s="1"/>
  <c r="J7" i="14"/>
  <c r="C87" i="8" l="1"/>
  <c r="C84" i="8"/>
  <c r="L28" i="12"/>
  <c r="N108" i="12"/>
  <c r="N109" i="12" s="1"/>
  <c r="N14" i="12"/>
  <c r="F18" i="14"/>
  <c r="F20" i="14" s="1"/>
  <c r="AH466" i="12"/>
  <c r="AI466" i="12" s="1"/>
  <c r="N163" i="12"/>
  <c r="M13" i="12"/>
  <c r="M14" i="12" s="1"/>
  <c r="AI453" i="12"/>
  <c r="AI449" i="12"/>
  <c r="AH449" i="12"/>
  <c r="AI416" i="12"/>
  <c r="AH416" i="12"/>
  <c r="AI417" i="12"/>
  <c r="AH417" i="12"/>
  <c r="AI450" i="12"/>
  <c r="AH450" i="12"/>
  <c r="N135" i="12"/>
  <c r="N24" i="12"/>
  <c r="N25" i="12" s="1"/>
  <c r="AH434" i="12"/>
  <c r="AI434" i="12" s="1"/>
  <c r="AI426" i="12"/>
  <c r="AH426" i="12"/>
  <c r="AI432" i="12"/>
  <c r="AH432" i="12"/>
  <c r="AI425" i="12"/>
  <c r="AH425" i="12"/>
  <c r="N83" i="12"/>
  <c r="M97" i="12"/>
  <c r="M98" i="12" s="1"/>
  <c r="AI418" i="12"/>
  <c r="AH418" i="12"/>
  <c r="N153" i="12"/>
  <c r="M185" i="12"/>
  <c r="N304" i="12"/>
  <c r="N305" i="12" s="1"/>
  <c r="AI451" i="12"/>
  <c r="AH451" i="12"/>
  <c r="AI427" i="12"/>
  <c r="AH427" i="12"/>
  <c r="N105" i="12"/>
  <c r="N106" i="12" s="1"/>
  <c r="F76" i="8"/>
  <c r="H76" i="8" s="1"/>
  <c r="C77" i="8"/>
  <c r="F77" i="8" s="1"/>
  <c r="H77" i="8" s="1"/>
  <c r="L7" i="14"/>
  <c r="G16" i="14"/>
  <c r="L9" i="14"/>
  <c r="J16" i="14"/>
  <c r="L4" i="14"/>
  <c r="AH433" i="12"/>
  <c r="AI433" i="12" s="1"/>
  <c r="AH481" i="12"/>
  <c r="AI481" i="12" s="1"/>
  <c r="N16" i="14"/>
  <c r="L15" i="14"/>
  <c r="N10" i="14"/>
  <c r="N12" i="14" s="1"/>
  <c r="M6" i="13"/>
  <c r="I6" i="13"/>
  <c r="L6" i="14"/>
  <c r="N351" i="12"/>
  <c r="S15" i="13"/>
  <c r="S11" i="13"/>
  <c r="S16" i="13"/>
  <c r="T16" i="13" s="1"/>
  <c r="S7" i="13"/>
  <c r="S8" i="13" s="1"/>
  <c r="S22" i="13"/>
  <c r="T22" i="13" s="1"/>
  <c r="T27" i="13" s="1"/>
  <c r="S20" i="13"/>
  <c r="T20" i="13" s="1"/>
  <c r="R17" i="13"/>
  <c r="H6" i="13"/>
  <c r="N231" i="12"/>
  <c r="R23" i="13"/>
  <c r="M309" i="12"/>
  <c r="L5" i="14"/>
  <c r="L14" i="14"/>
  <c r="L16" i="14" s="1"/>
  <c r="M250" i="12"/>
  <c r="D6" i="13"/>
  <c r="W18" i="12"/>
  <c r="Y18" i="12" s="1"/>
  <c r="O6" i="13"/>
  <c r="E76" i="8"/>
  <c r="AN498" i="9"/>
  <c r="AO498" i="9" s="1"/>
  <c r="L8" i="14"/>
  <c r="AH419" i="12"/>
  <c r="AI419" i="12" s="1"/>
  <c r="J12" i="14"/>
  <c r="N155" i="12"/>
  <c r="C6" i="13"/>
  <c r="H18" i="14"/>
  <c r="G12" i="14"/>
  <c r="G18" i="14" l="1"/>
  <c r="L109" i="12"/>
  <c r="N27" i="12"/>
  <c r="N28" i="12" s="1"/>
  <c r="M108" i="12"/>
  <c r="M109" i="12" s="1"/>
  <c r="AM416" i="12"/>
  <c r="AG416" i="12"/>
  <c r="M27" i="12"/>
  <c r="M28" i="12" s="1"/>
  <c r="M105" i="12"/>
  <c r="N194" i="12"/>
  <c r="N195" i="12" s="1"/>
  <c r="N74" i="12"/>
  <c r="AM409" i="12"/>
  <c r="AG409" i="12"/>
  <c r="AM415" i="12"/>
  <c r="AG415" i="12"/>
  <c r="AM413" i="12"/>
  <c r="AG413" i="12"/>
  <c r="AM410" i="12"/>
  <c r="AG410" i="12"/>
  <c r="N287" i="12"/>
  <c r="AM418" i="12"/>
  <c r="AG418" i="12"/>
  <c r="AM411" i="12"/>
  <c r="AG411" i="12"/>
  <c r="N353" i="12"/>
  <c r="N309" i="12"/>
  <c r="N310" i="12" s="1"/>
  <c r="AM412" i="12"/>
  <c r="AG412" i="12"/>
  <c r="AH452" i="12"/>
  <c r="AI452" i="12" s="1"/>
  <c r="AM414" i="12"/>
  <c r="AG414" i="12"/>
  <c r="AM417" i="12"/>
  <c r="AG417" i="12"/>
  <c r="J18" i="14"/>
  <c r="L12" i="14"/>
  <c r="L18" i="14" s="1"/>
  <c r="N18" i="14"/>
  <c r="N289" i="12"/>
  <c r="E77" i="8"/>
  <c r="G77" i="8" s="1"/>
  <c r="I77" i="8" s="1"/>
  <c r="C89" i="8"/>
  <c r="G76" i="8"/>
  <c r="I76" i="8" s="1"/>
  <c r="S17" i="13"/>
  <c r="T15" i="13"/>
  <c r="T17" i="13" s="1"/>
  <c r="C16" i="13"/>
  <c r="E6" i="13"/>
  <c r="E7" i="13" s="1"/>
  <c r="C22" i="13"/>
  <c r="C20" i="13"/>
  <c r="C7" i="13"/>
  <c r="C8" i="13" s="1"/>
  <c r="W19" i="12"/>
  <c r="Y19" i="12" s="1"/>
  <c r="J6" i="13"/>
  <c r="J7" i="13" s="1"/>
  <c r="H16" i="13"/>
  <c r="H20" i="13"/>
  <c r="H7" i="13"/>
  <c r="H8" i="13" s="1"/>
  <c r="H22" i="13"/>
  <c r="S23" i="13"/>
  <c r="N233" i="12"/>
  <c r="M194" i="12"/>
  <c r="I15" i="13"/>
  <c r="I11" i="13"/>
  <c r="I16" i="13"/>
  <c r="I20" i="13"/>
  <c r="I7" i="13"/>
  <c r="I8" i="13" s="1"/>
  <c r="I22" i="13"/>
  <c r="D15" i="13"/>
  <c r="D11" i="13"/>
  <c r="D16" i="13"/>
  <c r="D22" i="13"/>
  <c r="D20" i="13"/>
  <c r="D7" i="13"/>
  <c r="D8" i="13" s="1"/>
  <c r="N165" i="12"/>
  <c r="N6" i="13"/>
  <c r="O7" i="13"/>
  <c r="M314" i="12"/>
  <c r="T23" i="13"/>
  <c r="T21" i="13"/>
  <c r="T26" i="13" s="1"/>
  <c r="T25" i="13"/>
  <c r="T29" i="13" s="1"/>
  <c r="M16" i="13"/>
  <c r="M20" i="13"/>
  <c r="M7" i="13"/>
  <c r="M8" i="13" s="1"/>
  <c r="M22" i="13"/>
  <c r="T11" i="13"/>
  <c r="T12" i="13" s="1"/>
  <c r="S12" i="13"/>
  <c r="N85" i="12" l="1"/>
  <c r="AH468" i="12"/>
  <c r="AI468" i="12" s="1"/>
  <c r="N314" i="12"/>
  <c r="N315" i="12" s="1"/>
  <c r="T18" i="13"/>
  <c r="N20" i="14"/>
  <c r="M17" i="13"/>
  <c r="D12" i="13"/>
  <c r="E11" i="13"/>
  <c r="E12" i="13" s="1"/>
  <c r="I23" i="13"/>
  <c r="J22" i="13"/>
  <c r="J27" i="13" s="1"/>
  <c r="J11" i="13"/>
  <c r="J12" i="13" s="1"/>
  <c r="I12" i="13"/>
  <c r="H23" i="13"/>
  <c r="J20" i="13"/>
  <c r="C23" i="13"/>
  <c r="E20" i="13"/>
  <c r="D17" i="13"/>
  <c r="E15" i="13"/>
  <c r="I17" i="13"/>
  <c r="J15" i="13"/>
  <c r="J16" i="13"/>
  <c r="H17" i="13"/>
  <c r="H33" i="13" s="1"/>
  <c r="I33" i="13" s="1"/>
  <c r="E22" i="13"/>
  <c r="E27" i="13" s="1"/>
  <c r="D23" i="13"/>
  <c r="E16" i="13"/>
  <c r="C17" i="13"/>
  <c r="M23" i="13"/>
  <c r="N16" i="13"/>
  <c r="O16" i="13" s="1"/>
  <c r="N15" i="13"/>
  <c r="N11" i="13"/>
  <c r="N20" i="13"/>
  <c r="O20" i="13" s="1"/>
  <c r="N7" i="13"/>
  <c r="N8" i="13" s="1"/>
  <c r="N22" i="13"/>
  <c r="O22" i="13" s="1"/>
  <c r="O27" i="13" s="1"/>
  <c r="AH489" i="12" l="1"/>
  <c r="AI489" i="12" s="1"/>
  <c r="AH483" i="12"/>
  <c r="AI483" i="12" s="1"/>
  <c r="AH407" i="12"/>
  <c r="AI407" i="12" s="1"/>
  <c r="E17" i="13"/>
  <c r="E18" i="13" s="1"/>
  <c r="E23" i="13"/>
  <c r="E21" i="13"/>
  <c r="E26" i="13" s="1"/>
  <c r="E25" i="13"/>
  <c r="E29" i="13" s="1"/>
  <c r="J23" i="13"/>
  <c r="J21" i="13"/>
  <c r="J26" i="13" s="1"/>
  <c r="J25" i="13"/>
  <c r="J29" i="13" s="1"/>
  <c r="C32" i="13"/>
  <c r="D32" i="13" s="1"/>
  <c r="C33" i="13"/>
  <c r="D33" i="13" s="1"/>
  <c r="O11" i="13"/>
  <c r="O12" i="13" s="1"/>
  <c r="N12" i="13"/>
  <c r="O23" i="13"/>
  <c r="O21" i="13"/>
  <c r="O26" i="13" s="1"/>
  <c r="O25" i="13"/>
  <c r="O29" i="13" s="1"/>
  <c r="J17" i="13"/>
  <c r="J18" i="13" s="1"/>
  <c r="N23" i="13"/>
  <c r="N17" i="13"/>
  <c r="O15" i="13"/>
  <c r="O17" i="13" s="1"/>
  <c r="D88" i="8" l="1"/>
  <c r="O18" i="13"/>
  <c r="AH498" i="12" l="1"/>
  <c r="AI498" i="12" s="1"/>
  <c r="Z500" i="12"/>
  <c r="Z501"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C12" authorId="0" shapeId="0" xr:uid="{73A7D56A-4952-4B82-9D6C-F9225954A3E5}">
      <text>
        <r>
          <rPr>
            <sz val="9"/>
            <color indexed="81"/>
            <rFont val="Tahoma"/>
            <family val="2"/>
          </rPr>
          <t>Balance avec $ profit du réalisé</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A00-000001000000}">
      <text>
        <r>
          <rPr>
            <sz val="11"/>
            <color theme="1"/>
            <rFont val="Arial"/>
            <family val="2"/>
            <scheme val="minor"/>
          </rPr>
          <t xml:space="preserve">(Qtés Réelles Moins Qtés Budget) X Taux Budget.
(Qr-Qb)xTb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D00-000001000000}">
      <text>
        <r>
          <rPr>
            <sz val="11"/>
            <color theme="1"/>
            <rFont val="Arial"/>
            <family val="2"/>
            <scheme val="minor"/>
          </rPr>
          <t xml:space="preserve">(Qtés Réelles Moins Qtés Budget) X Taux Budget.
(Qr-Qb)xTb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E00-000001000000}">
      <text>
        <r>
          <rPr>
            <sz val="11"/>
            <color theme="1"/>
            <rFont val="Arial"/>
            <family val="2"/>
            <scheme val="minor"/>
          </rPr>
          <t>SI #N/A compte non intégré = erreur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1000-000001000000}">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<sst xmlns="http://schemas.openxmlformats.org/spreadsheetml/2006/main" count="18449" uniqueCount="3954">
  <si>
    <t>Compagnie</t>
  </si>
  <si>
    <t>Volks</t>
  </si>
  <si>
    <t>1-Mémo</t>
  </si>
  <si>
    <t>Mois</t>
  </si>
  <si>
    <t>YTD</t>
  </si>
  <si>
    <t>Mois Courant</t>
  </si>
  <si>
    <t>Décembre</t>
  </si>
  <si>
    <t>10-Compte compteur</t>
  </si>
  <si>
    <t>Janvier</t>
  </si>
  <si>
    <t>Année</t>
  </si>
  <si>
    <t>Février</t>
  </si>
  <si>
    <t>Mars</t>
  </si>
  <si>
    <t>Avril</t>
  </si>
  <si>
    <t>Mai</t>
  </si>
  <si>
    <t>Juin</t>
  </si>
  <si>
    <t>Sélectionner le mois en B3</t>
  </si>
  <si>
    <t>Juillet</t>
  </si>
  <si>
    <t>Coller les balances de vérification respectives en cellule A1 dans les onglets BV_Data_An_Cour et BV_Data_An_Prec</t>
  </si>
  <si>
    <t>Août</t>
  </si>
  <si>
    <t>Vérifier s'il y a des #N/A dans les colonnes T à X des onlgets de BV</t>
  </si>
  <si>
    <t>Septembre</t>
  </si>
  <si>
    <t>Vérifier les chiffres avec l'état financier et les réalisés an passé pour les résultat net mois et aad</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</si>
  <si>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</si>
  <si>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</si>
  <si>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</si>
  <si>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</si>
  <si>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</si>
  <si>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</si>
  <si>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</si>
  <si>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</si>
  <si>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</si>
  <si>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</si>
  <si>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</si>
  <si>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</si>
  <si>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</si>
  <si>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</si>
  <si>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</si>
  <si>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</si>
  <si>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</si>
  <si>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</si>
  <si>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</si>
  <si>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</si>
  <si>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</si>
  <si>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</si>
  <si>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</si>
  <si>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</si>
  <si>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</si>
  <si>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</si>
  <si>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</si>
  <si>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</si>
  <si>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</si>
  <si>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</si>
  <si>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</si>
  <si>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</si>
  <si>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</si>
  <si>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</si>
  <si>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</si>
  <si>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</si>
  <si>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</si>
  <si>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</si>
  <si>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</si>
  <si>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</si>
  <si>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</si>
  <si>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</si>
  <si>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</si>
  <si>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</si>
  <si>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</si>
  <si>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</si>
  <si>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</si>
  <si>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</si>
  <si>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</si>
  <si>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</si>
  <si>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</si>
  <si>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</si>
  <si>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</si>
  <si>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</si>
  <si>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</si>
  <si>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</si>
  <si>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</si>
  <si>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</si>
  <si>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</si>
  <si>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</si>
  <si>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</si>
  <si>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</si>
  <si>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</si>
  <si>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</si>
  <si>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</si>
  <si>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</si>
  <si>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</si>
  <si>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</si>
  <si>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</si>
  <si>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</si>
  <si>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</si>
  <si>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</si>
  <si>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</si>
  <si>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</si>
  <si>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</si>
  <si>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</si>
  <si>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</si>
  <si>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</si>
  <si>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</si>
  <si>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</si>
  <si>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</si>
  <si>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</si>
  <si>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</si>
  <si>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</si>
  <si>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</si>
  <si>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</si>
  <si>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</si>
  <si>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</si>
  <si>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</si>
  <si>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</si>
  <si>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</si>
  <si>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</si>
  <si>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</si>
  <si>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</si>
  <si>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</si>
  <si>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</si>
  <si>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</si>
  <si>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</si>
  <si>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</si>
  <si>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</si>
  <si>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</si>
  <si>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</si>
  <si>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</si>
  <si>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</si>
  <si>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</si>
  <si>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</si>
  <si>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</si>
  <si>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</si>
  <si>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</si>
  <si>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</si>
  <si>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</si>
  <si>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</si>
  <si>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</si>
  <si>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</si>
  <si>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</si>
  <si>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</si>
  <si>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</si>
  <si>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</si>
  <si>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</si>
  <si>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</si>
  <si>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</si>
  <si>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</si>
  <si>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</si>
  <si>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</si>
  <si>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</si>
  <si>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</si>
  <si>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</si>
  <si>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</si>
  <si>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</si>
  <si>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</si>
  <si>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</si>
  <si>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</si>
  <si>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</si>
  <si>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</si>
  <si>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</si>
  <si>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</si>
  <si>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</si>
  <si>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</si>
  <si>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</si>
  <si>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</si>
  <si>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</si>
  <si>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</si>
  <si>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</si>
  <si>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</si>
  <si>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</si>
  <si>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</si>
  <si>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</si>
  <si>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</si>
  <si>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</si>
  <si>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</si>
  <si>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</si>
  <si>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</si>
  <si>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</si>
  <si>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</si>
  <si>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</si>
  <si>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</si>
  <si>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</si>
  <si>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</si>
  <si>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</si>
  <si>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</si>
  <si>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</si>
  <si>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</si>
  <si>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</si>
  <si>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</si>
  <si>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</si>
  <si>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</si>
  <si>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</si>
  <si>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</si>
  <si>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</si>
  <si>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</si>
  <si>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</si>
  <si>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</si>
  <si>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</si>
  <si>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</si>
  <si>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</si>
  <si>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</si>
  <si>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</si>
  <si>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</si>
  <si>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</si>
  <si>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</si>
  <si>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</si>
  <si>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</si>
  <si>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</si>
  <si>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</si>
  <si>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</si>
  <si>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</si>
  <si>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</si>
  <si>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</si>
  <si>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</si>
  <si>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</si>
  <si>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</si>
  <si>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</si>
  <si>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</si>
  <si>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</si>
  <si>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</si>
  <si>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</si>
  <si>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</si>
  <si>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</si>
  <si>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</si>
  <si>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</si>
  <si>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</si>
  <si>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</si>
  <si>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</si>
  <si>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</si>
  <si>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</si>
  <si>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</si>
  <si>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</si>
  <si>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</si>
  <si>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</si>
  <si>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</si>
  <si>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</si>
  <si>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</si>
  <si>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</si>
  <si>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</si>
  <si>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</si>
  <si>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</si>
  <si>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</si>
  <si>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</si>
  <si>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</si>
  <si>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</si>
  <si>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</si>
  <si>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</si>
  <si>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</si>
  <si>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</si>
  <si>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</si>
  <si>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</si>
  <si>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</si>
  <si>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</si>
  <si>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</si>
  <si>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</si>
  <si>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</si>
  <si>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</si>
  <si>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</si>
  <si>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</si>
  <si>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</si>
  <si>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</si>
  <si>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</si>
  <si>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</si>
  <si>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</si>
  <si>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</si>
  <si>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</si>
  <si>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</si>
  <si>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</si>
  <si>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</si>
  <si>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</si>
  <si>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</si>
  <si>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</si>
  <si>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</si>
  <si>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</si>
  <si>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</si>
  <si>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</si>
  <si>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</si>
  <si>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</si>
  <si>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</si>
  <si>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</si>
  <si>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</si>
  <si>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</si>
  <si>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</si>
  <si>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</si>
  <si>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</si>
  <si>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</si>
  <si>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</si>
  <si>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</si>
  <si>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</si>
  <si>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</si>
  <si>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</si>
  <si>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</si>
  <si>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</si>
  <si>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</si>
  <si>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</si>
  <si>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</si>
  <si>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</si>
  <si>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</si>
  <si>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</si>
  <si>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</si>
  <si>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</si>
  <si>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</si>
  <si>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</si>
  <si>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</si>
  <si>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</si>
  <si>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</si>
  <si>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</si>
  <si>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</si>
  <si>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</si>
  <si>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</si>
  <si>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</si>
  <si>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</si>
  <si>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</si>
  <si>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</si>
  <si>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</si>
  <si>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</si>
  <si>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</si>
  <si>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</si>
  <si>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</si>
  <si>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</si>
  <si>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</si>
  <si>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</si>
  <si>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</si>
  <si>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</si>
  <si>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</si>
  <si>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</si>
  <si>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</si>
  <si>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</si>
  <si>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</si>
  <si>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</si>
  <si>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</si>
  <si>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</si>
  <si>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</si>
  <si>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</si>
  <si>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</si>
  <si>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</si>
  <si>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</si>
  <si>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</si>
  <si>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</si>
  <si>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</si>
  <si>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</si>
  <si>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</si>
  <si>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</si>
  <si>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</si>
  <si>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</si>
  <si>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</si>
  <si>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</si>
  <si>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</si>
  <si>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</si>
  <si>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</si>
  <si>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</si>
  <si>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</si>
  <si>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</si>
  <si>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</si>
  <si>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</si>
  <si>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</si>
  <si>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</si>
  <si>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</si>
  <si>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</si>
  <si>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</si>
  <si>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</si>
  <si>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</si>
  <si>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</si>
  <si>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</si>
  <si>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</si>
  <si>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</si>
  <si>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</si>
  <si>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</si>
  <si>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</si>
  <si>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</si>
  <si>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</si>
  <si>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</si>
  <si>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</si>
  <si>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</si>
  <si>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</si>
  <si>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</si>
  <si>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</si>
  <si>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</si>
  <si>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</si>
  <si>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</si>
  <si>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</si>
  <si>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</si>
  <si>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</si>
  <si>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</si>
  <si>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</si>
  <si>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</si>
  <si>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</si>
  <si>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</si>
  <si>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</si>
  <si>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</si>
  <si>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</si>
  <si>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</si>
  <si>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</si>
  <si>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</si>
  <si>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</si>
  <si>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</si>
  <si>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</si>
  <si>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</si>
  <si>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</si>
  <si>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</si>
  <si>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</si>
  <si>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</si>
  <si>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</si>
  <si>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</si>
  <si>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</si>
  <si>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</si>
  <si>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</si>
  <si>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</si>
  <si>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</si>
  <si>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</si>
  <si>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</si>
  <si>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</si>
  <si>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</si>
  <si>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</si>
  <si>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</si>
  <si>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</si>
  <si>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</si>
  <si>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</si>
  <si>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</si>
  <si>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</si>
  <si>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</si>
  <si>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</si>
  <si>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</si>
  <si>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</si>
  <si>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</si>
  <si>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</si>
  <si>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</si>
  <si>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</si>
  <si>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</si>
  <si>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</si>
  <si>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</si>
  <si>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</si>
  <si>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</si>
  <si>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</si>
  <si>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</si>
  <si>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</si>
  <si>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</si>
  <si>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</si>
  <si>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</si>
  <si>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</si>
  <si>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</si>
  <si>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</si>
  <si>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</si>
  <si>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</si>
  <si>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</si>
  <si>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</si>
  <si>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</si>
  <si>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</si>
  <si>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</si>
  <si>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</si>
  <si>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</si>
  <si>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</si>
  <si>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</si>
  <si>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</si>
  <si>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</si>
  <si>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</si>
  <si>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</si>
  <si>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</si>
  <si>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</si>
  <si>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</si>
  <si>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</si>
  <si>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</si>
  <si>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</si>
  <si>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</si>
  <si>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</si>
  <si>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Garantie (M.O. + Pièces)</t>
  </si>
  <si>
    <t>Marge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</si>
  <si>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</si>
  <si>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</si>
  <si>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</si>
  <si>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</si>
  <si>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</si>
  <si>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</si>
  <si>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</si>
  <si>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</si>
  <si>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</si>
  <si>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</si>
  <si>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</si>
  <si>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</si>
  <si>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</si>
  <si>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</si>
  <si>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</si>
  <si>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</si>
  <si>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</si>
  <si>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</si>
  <si>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</si>
  <si>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</si>
  <si>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</si>
  <si>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</si>
  <si>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</si>
  <si>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</si>
  <si>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</si>
  <si>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</si>
  <si>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</si>
  <si>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</si>
  <si>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</si>
  <si>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</si>
  <si>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</si>
  <si>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</si>
  <si>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</si>
  <si>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</si>
  <si>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</si>
  <si>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</si>
  <si>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</si>
  <si>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</si>
  <si>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</si>
  <si>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</si>
  <si>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</si>
  <si>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</si>
  <si>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</si>
  <si>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</si>
  <si>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</si>
  <si>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</si>
  <si>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</si>
  <si>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</si>
  <si>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</si>
  <si>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</si>
  <si>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</si>
  <si>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</si>
  <si>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</si>
  <si>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</si>
  <si>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</si>
  <si>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</si>
  <si>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</si>
  <si>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</si>
  <si>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</si>
  <si>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</si>
  <si>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</si>
  <si>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</si>
  <si>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</si>
  <si>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</si>
  <si>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</si>
  <si>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</si>
  <si>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</si>
  <si>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</si>
  <si>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</si>
  <si>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</si>
  <si>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</si>
  <si>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</si>
  <si>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</si>
  <si>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</si>
  <si>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</si>
  <si>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</si>
  <si>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</si>
  <si>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</si>
  <si>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</si>
  <si>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</si>
  <si>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</si>
  <si>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</si>
  <si>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</si>
  <si>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</si>
  <si>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</si>
  <si>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</si>
  <si>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</si>
  <si>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</si>
  <si>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</si>
  <si>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</si>
  <si>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</si>
  <si>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</si>
  <si>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</si>
  <si>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</si>
  <si>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</si>
  <si>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</si>
  <si>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</si>
  <si>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</si>
  <si>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</si>
  <si>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</si>
  <si>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</si>
  <si>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</si>
  <si>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</si>
  <si>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</si>
  <si>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</si>
  <si>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</si>
  <si>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</si>
  <si>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</si>
  <si>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</si>
  <si>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</si>
  <si>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</si>
  <si>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</si>
  <si>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</si>
  <si>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</si>
  <si>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</si>
  <si>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</si>
  <si>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</si>
  <si>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</si>
  <si>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</si>
  <si>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</si>
  <si>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</si>
  <si>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</si>
  <si>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</si>
  <si>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</si>
  <si>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</si>
  <si>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</si>
  <si>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</si>
  <si>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</si>
  <si>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</si>
  <si>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</si>
  <si>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</si>
  <si>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</si>
  <si>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</si>
  <si>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</si>
  <si>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</si>
  <si>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</si>
  <si>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</si>
  <si>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</si>
  <si>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</si>
  <si>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</si>
  <si>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</si>
  <si>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</si>
  <si>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</si>
  <si>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</si>
  <si>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</si>
  <si>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</si>
  <si>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</si>
  <si>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</si>
  <si>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</si>
  <si>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</si>
  <si>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</si>
  <si>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</si>
  <si>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</si>
  <si>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</si>
  <si>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</si>
  <si>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</si>
  <si>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</si>
  <si>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</si>
  <si>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</si>
  <si>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</si>
  <si>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</si>
  <si>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</si>
  <si>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</si>
  <si>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</si>
  <si>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</si>
  <si>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</si>
  <si>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</si>
  <si>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</si>
  <si>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</si>
  <si>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</si>
  <si>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</si>
  <si>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</si>
  <si>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</si>
  <si>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</si>
  <si>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</si>
  <si>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</si>
  <si>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</si>
  <si>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</si>
  <si>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</si>
  <si>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Écart</t>
  </si>
  <si>
    <t>Park Avenue Volkswagen - Analyse des écarts "Volume &amp; Taux - Mois courant"</t>
  </si>
  <si>
    <t>Neufs</t>
  </si>
  <si>
    <t>Volume #</t>
  </si>
  <si>
    <t>Marge $</t>
  </si>
  <si>
    <t>Brut</t>
  </si>
  <si>
    <t>Usagés</t>
  </si>
  <si>
    <t>Volume $</t>
  </si>
  <si>
    <t>Marge %</t>
  </si>
  <si>
    <t>Service #B.T.</t>
  </si>
  <si>
    <t>$/B.T.</t>
  </si>
  <si>
    <t>Ventes</t>
  </si>
  <si>
    <t>Écart Total</t>
  </si>
  <si>
    <t>Réel</t>
  </si>
  <si>
    <t>Écart Marge</t>
  </si>
  <si>
    <t>Écart $/B.T.</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</si>
  <si>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</si>
  <si>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</si>
  <si>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</si>
  <si>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</si>
  <si>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t>Marge Budget</t>
  </si>
  <si>
    <t>$/B.T. Budget</t>
  </si>
  <si>
    <t>Écart Volume</t>
  </si>
  <si>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</si>
  <si>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</si>
  <si>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</si>
  <si>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</si>
  <si>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Volume Budget</t>
  </si>
  <si>
    <t>Variabilité Max-Min</t>
  </si>
  <si>
    <t>Max Vol &amp; Marge</t>
  </si>
  <si>
    <t>Min Vol &amp; Marge</t>
  </si>
  <si>
    <t>Fourchette</t>
  </si>
  <si>
    <t>Réel VS Max</t>
  </si>
  <si>
    <t>Réel VS Moyenne</t>
  </si>
  <si>
    <t>Réel VS Min</t>
  </si>
  <si>
    <t>Fourchette Variabilité</t>
  </si>
  <si>
    <t>Autres Revenus Budgétés non-réalisé</t>
  </si>
  <si>
    <t>Holdback</t>
  </si>
  <si>
    <t>Frais d'Admin.</t>
  </si>
  <si>
    <t>Mix Réalisé</t>
  </si>
  <si>
    <t>Mix Budget</t>
  </si>
  <si>
    <t>Écart Mix</t>
  </si>
  <si>
    <t>Écart Taux</t>
  </si>
  <si>
    <t>Atteinte Cible</t>
  </si>
  <si>
    <t>$Profits</t>
  </si>
  <si>
    <t>Total Pièces</t>
  </si>
  <si>
    <t>Delta Ventes &gt;&gt;</t>
  </si>
  <si>
    <t>Pour Rapport T1</t>
  </si>
  <si>
    <t>Réalisé T1</t>
  </si>
  <si>
    <t>Profit Brut Ventes</t>
  </si>
  <si>
    <t>Profit Brut Op. Fixes</t>
  </si>
  <si>
    <t>P-12</t>
  </si>
  <si>
    <t>VAR</t>
  </si>
  <si>
    <t>Solde des Maladies 2022 reportés à 2023</t>
  </si>
  <si>
    <t>Prov Av. Soc. Bonis VPDG</t>
  </si>
  <si>
    <t>Prov Tx sur Av. Autos 2019@2022</t>
  </si>
  <si>
    <t>Correction Taxes Payées d'Avance</t>
  </si>
  <si>
    <t>Park Avenue Volkswagen - Analyse des écarts "Volume &amp; Taux - AAJ"</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</si>
  <si>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</si>
  <si>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</si>
  <si>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</si>
  <si>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</si>
  <si>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</si>
  <si>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</si>
  <si>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</si>
  <si>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</si>
  <si>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#Compte</t>
  </si>
  <si>
    <t>Type compte</t>
  </si>
  <si>
    <t>#Groupe</t>
  </si>
  <si>
    <t>Préfixe</t>
  </si>
  <si>
    <t>Solde d'ouverture</t>
  </si>
  <si>
    <t>Solde courant</t>
  </si>
  <si>
    <t>Solde de fin</t>
  </si>
  <si>
    <t>Valid GL #</t>
  </si>
  <si>
    <t>Debits</t>
  </si>
  <si>
    <t>Classification</t>
  </si>
  <si>
    <t>$ / NB</t>
  </si>
  <si>
    <t>PROFIT/PERTES JANVIER</t>
  </si>
  <si>
    <t>PROFIT/PERTES FEVRIER</t>
  </si>
  <si>
    <t>PROFIT/PERTES MARS</t>
  </si>
  <si>
    <t>PROFIT/PERTES AVRIL</t>
  </si>
  <si>
    <t>PROFIT/PERTES MAI</t>
  </si>
  <si>
    <t>PROFIT/PERTES JUIN</t>
  </si>
  <si>
    <t>PROFIT/PERTES JUILLET</t>
  </si>
  <si>
    <t>PROFIT/PERTES AOUT</t>
  </si>
  <si>
    <t>PROFIT/PERTES SEPTEMBRE</t>
  </si>
  <si>
    <t>PROFIT/PERTES OCTOBRE</t>
  </si>
  <si>
    <t>PROFIT/PERTES NOVEMBRE</t>
  </si>
  <si>
    <t>PROFIT/PERTES DECEMBRE</t>
  </si>
  <si>
    <t>CUMUL. VIS. CARR. VW</t>
  </si>
  <si>
    <t>CUMUL. VIS. VEH. SERV. VW</t>
  </si>
  <si>
    <t>TOTAL HRES PROD. SERVICE</t>
  </si>
  <si>
    <t>HEURES VENDU VW - SERVICE</t>
  </si>
  <si>
    <t>TOT. HEURES DISP. SERVICE</t>
  </si>
  <si>
    <t>TAUX M/O CLIENT VW</t>
  </si>
  <si>
    <t>TAUX M/O GARANTIE VW</t>
  </si>
  <si>
    <t>TAUX M/O INTERNE VW</t>
  </si>
  <si>
    <t>TAUX M/O CARR. VW</t>
  </si>
  <si>
    <t>BAIES TRAVAIL PRODUCTIVES - SERVICE VW</t>
  </si>
  <si>
    <t>255</t>
  </si>
  <si>
    <t>HEURES VENDUES - SERVICE - CLIENT VW</t>
  </si>
  <si>
    <t>257</t>
  </si>
  <si>
    <t>HEURES VENDUES - SERVICE - GARANTIE VW</t>
  </si>
  <si>
    <t>HEURES VENDUES - SERVICE - INTERNE VW</t>
  </si>
  <si>
    <t>REC VEH PASSE DU 30-60</t>
  </si>
  <si>
    <t>30</t>
  </si>
  <si>
    <t>CLIENT S P ET A PASSE DU 30-60</t>
  </si>
  <si>
    <t>RECLAM GARANTIE VW PASSE DU 30-60</t>
  </si>
  <si>
    <t>AUTRE REC MANUFACTURIER VW PASSE DU 30-60</t>
  </si>
  <si>
    <t>CLIENT VEH PLUS DE 60</t>
  </si>
  <si>
    <t>CLIENT S P ET A PLUS DE 60</t>
  </si>
  <si>
    <t>RECLAMATIONS DE GARATIE VW PLUS DE 60</t>
  </si>
  <si>
    <t>AUTRE REC MANUFACTURIER VW PLUS DE 60</t>
  </si>
  <si>
    <t>UNITES USAGES +30JRS</t>
  </si>
  <si>
    <t>OCCASION VW + 60 JRS</t>
  </si>
  <si>
    <t>AVOIR DU PROP. MIM. REQUIS</t>
  </si>
  <si>
    <t>FONDS DE ROULEMENT/MIN. REQUIS</t>
  </si>
  <si>
    <t>UNITES NEUVES VENDUES JANVIER</t>
  </si>
  <si>
    <t>40</t>
  </si>
  <si>
    <t>UNITES NEUVES VENDUES FEVRIER</t>
  </si>
  <si>
    <t>UNITES NEUVES VENDUES MARS</t>
  </si>
  <si>
    <t>UNITES NEUVES VENDUES AVRIL</t>
  </si>
  <si>
    <t>UNITES NEUVES VENDUES MAI</t>
  </si>
  <si>
    <t>UNITES NEUVES VENDUES JUIN</t>
  </si>
  <si>
    <t>UNITES NEUVES VENDUES JUILLET</t>
  </si>
  <si>
    <t>UNITES NEUVES VENDUES AOUT</t>
  </si>
  <si>
    <t>UNITES NEUVES VENDUES SEPTEMBRE</t>
  </si>
  <si>
    <t>UNITES NEUVES VENDUES OCTOBRE</t>
  </si>
  <si>
    <t>UNITES NEUVES VENDUES NOVEMBRE</t>
  </si>
  <si>
    <t>UNITES NEUVES VENDUES DECEMBRE</t>
  </si>
  <si>
    <t>UNITES USAGES DET./ JANV.</t>
  </si>
  <si>
    <t>UNITES USAGES DET./ FEVR.</t>
  </si>
  <si>
    <t>UNITES USAGES DET./ MARS</t>
  </si>
  <si>
    <t>UNITES USAGES DET./ AVRIL</t>
  </si>
  <si>
    <t>UNITES USAGES DET./ MAI</t>
  </si>
  <si>
    <t>UNITES USAGES DET./ JUIN</t>
  </si>
  <si>
    <t>UNITES USAGES DET./ JUILLET</t>
  </si>
  <si>
    <t>UNITES USAGES DET./ AOUT</t>
  </si>
  <si>
    <t>UNITES USAGES DET./ SEPT.</t>
  </si>
  <si>
    <t>UNITES USAGES DET./ OCT.</t>
  </si>
  <si>
    <t>UNITES USAGES DET./ NOV.</t>
  </si>
  <si>
    <t>PROPRIETAIRES</t>
  </si>
  <si>
    <t>50</t>
  </si>
  <si>
    <t>DIR. GENERAL NEUFS</t>
  </si>
  <si>
    <t>DIR. GENERAL USAGES</t>
  </si>
  <si>
    <t>DIR. GENERAL SERVICE</t>
  </si>
  <si>
    <t>DIR. GENERAL PIECES</t>
  </si>
  <si>
    <t>DIR. SERVICE NEUFS</t>
  </si>
  <si>
    <t>DIR. SERVICE USAGES</t>
  </si>
  <si>
    <t>DIR. SERVICE SERVICE</t>
  </si>
  <si>
    <t>DIR. SERVICE PIECES</t>
  </si>
  <si>
    <t>VW REP. DES VENTES - NEUF</t>
  </si>
  <si>
    <t>VW REP. DES VENTES - OCC.</t>
  </si>
  <si>
    <t>DIR. COMMERCIAL NEUFS</t>
  </si>
  <si>
    <t>DIR. COMMERCIAL USAGES</t>
  </si>
  <si>
    <t>CONTREMAITRE SERVICE</t>
  </si>
  <si>
    <t>VW CONSEILLERS SERVICE -SERVICE</t>
  </si>
  <si>
    <t>VW CONSEILLERS SERVICE - PIEC. &amp; CARR.&lt;</t>
  </si>
  <si>
    <t>LAVEURS NEUFS</t>
  </si>
  <si>
    <t>LAVEURS USAGES</t>
  </si>
  <si>
    <t>LAVEURS SERVICE</t>
  </si>
  <si>
    <t>VW TECHNICIENS - SERVICE</t>
  </si>
  <si>
    <t>DIR. ADMINIS. NEUFS</t>
  </si>
  <si>
    <t>DIR. ADMINIS. USAGES</t>
  </si>
  <si>
    <t>DIR. ADMINIS. SERVICE</t>
  </si>
  <si>
    <t>DIR. ADMINIS. CARROSS.</t>
  </si>
  <si>
    <t>DIR. ADMINIS. PIECES</t>
  </si>
  <si>
    <t>PERSONELS CLER. NEUFS</t>
  </si>
  <si>
    <t>PERSONELS CLER. USAGES</t>
  </si>
  <si>
    <t>PERSONELS CLER. SERVICE</t>
  </si>
  <si>
    <t>PERSONELS CLER. PIECES</t>
  </si>
  <si>
    <t>VW PIECES</t>
  </si>
  <si>
    <t>BANQUE DE COMMERCE C/C</t>
  </si>
  <si>
    <t>2-Actifs</t>
  </si>
  <si>
    <t>1102</t>
  </si>
  <si>
    <t>MASTER CARD (CANADA TRUST)</t>
  </si>
  <si>
    <t>REMBOURSEMENTS FLOORPLAN</t>
  </si>
  <si>
    <t>PETITE CAISSE</t>
  </si>
  <si>
    <t>1382</t>
  </si>
  <si>
    <t>CONTRATS EN TRANSIT</t>
  </si>
  <si>
    <t>1202</t>
  </si>
  <si>
    <t>RECEVABLE-CLIENT-VEHICULE</t>
  </si>
  <si>
    <t>1302</t>
  </si>
  <si>
    <t>RECEVABLES LPA ET AU GROS</t>
  </si>
  <si>
    <t>RECEVABLES PIECES &amp; SERVICE</t>
  </si>
  <si>
    <t>1304</t>
  </si>
  <si>
    <t>RECEVABLES CARROSSERIE</t>
  </si>
  <si>
    <t>RECEVABLES INTERCO</t>
  </si>
  <si>
    <t>RECEVABLES INTERCO VEHICULE</t>
  </si>
  <si>
    <t>RESEVE VOLKS</t>
  </si>
  <si>
    <t>1314</t>
  </si>
  <si>
    <t>RECLAM. RECEVABLE-GARANTIE</t>
  </si>
  <si>
    <t>1332</t>
  </si>
  <si>
    <t>GARANTIE PPM</t>
  </si>
  <si>
    <t>RECEV. MANUFACTURIER VOLKS</t>
  </si>
  <si>
    <t>RESERVE CREANCE DOUTEUSES</t>
  </si>
  <si>
    <t>1399</t>
  </si>
  <si>
    <t>VEHIC. NEUFS VOLKS</t>
  </si>
  <si>
    <t>1402</t>
  </si>
  <si>
    <t># DE INVENTAIRE VEH.NEUFS VW</t>
  </si>
  <si>
    <t>1402@</t>
  </si>
  <si>
    <t>BRUISING VOLKS VEH. NEUFS</t>
  </si>
  <si>
    <t>BRUISING USED CAR</t>
  </si>
  <si>
    <t>1413</t>
  </si>
  <si>
    <t>INV. VEH. USAGE VW</t>
  </si>
  <si>
    <t>1416</t>
  </si>
  <si>
    <t># DE INV. VEH. USAGE VW</t>
  </si>
  <si>
    <t>1416@</t>
  </si>
  <si>
    <t>RESERVE DEMO</t>
  </si>
  <si>
    <t>1423</t>
  </si>
  <si>
    <t>RESERVE COURTOISIE</t>
  </si>
  <si>
    <t>143</t>
  </si>
  <si>
    <t>PIECES &amp; ACCESSOIRES NEUFS</t>
  </si>
  <si>
    <t>1442</t>
  </si>
  <si>
    <t>AUTRES MARQUES P&amp;A</t>
  </si>
  <si>
    <t>PNEUS</t>
  </si>
  <si>
    <t>PIECES VW NON ORIGINE</t>
  </si>
  <si>
    <t>1456</t>
  </si>
  <si>
    <t>WIP M-O VW</t>
  </si>
  <si>
    <t>1472</t>
  </si>
  <si>
    <t>INVENTAIRE SOUS-TRAITANTS</t>
  </si>
  <si>
    <t>CARBURANT, HUILE, GRAISSE</t>
  </si>
  <si>
    <t>AUTRES INVENTAIRES</t>
  </si>
  <si>
    <t>1498</t>
  </si>
  <si>
    <t>FPA PUB.VEHICULES NEUFS</t>
  </si>
  <si>
    <t>1500</t>
  </si>
  <si>
    <t>PUBLICITE VEH USAGES</t>
  </si>
  <si>
    <t>FPA PUBLICITE SERVICE</t>
  </si>
  <si>
    <t>DIAMOND KOTE (NANO)</t>
  </si>
  <si>
    <t>FPA IMMATRICULATION</t>
  </si>
  <si>
    <t>FPA C.C.A.M.Q.</t>
  </si>
  <si>
    <t>FPA FOURNITURES LAVAGE</t>
  </si>
  <si>
    <t>FPA CONTRATS DE SERVICES</t>
  </si>
  <si>
    <t>FPA GAZ METROPOLITAIN</t>
  </si>
  <si>
    <t>FPA ELECTRICITE HYDRO-QUEBEC</t>
  </si>
  <si>
    <t>FPA C.S.S.T.</t>
  </si>
  <si>
    <t>CSST A PAYER OU RECEVOIR</t>
  </si>
  <si>
    <t>FPA TAXES MUNICIPALES</t>
  </si>
  <si>
    <t>FPA TAXES SCOLAIRES</t>
  </si>
  <si>
    <t>FPA PAYABLES</t>
  </si>
  <si>
    <t>FPA AUTRES</t>
  </si>
  <si>
    <t>AMELIOR. LOCATIVES</t>
  </si>
  <si>
    <t>1700</t>
  </si>
  <si>
    <t>AMORT. CUM. AMEL. LOCAT.</t>
  </si>
  <si>
    <t>MACHINERIE &amp; EQUIPEMENT</t>
  </si>
  <si>
    <t>AMORTISS.MACHINERIE &amp; EQUIP.</t>
  </si>
  <si>
    <t>EQUIPEMENT PIECES</t>
  </si>
  <si>
    <t>AMORTISS.EQUIPEMENTS PIECES</t>
  </si>
  <si>
    <t>AMEUBLEMENT &amp; INSTR.</t>
  </si>
  <si>
    <t>AMORTISS.AMEUBL.INSTR.</t>
  </si>
  <si>
    <t>VEHICULES DE CIE</t>
  </si>
  <si>
    <t>DEPRECIATION &amp; AMORT.</t>
  </si>
  <si>
    <t>EQUIPEMENT INFORMATIQUE</t>
  </si>
  <si>
    <t>AMORTISS.EQUIP.INFORMATIQUES</t>
  </si>
  <si>
    <t>ENSEIGNES</t>
  </si>
  <si>
    <t>AMORT. CUM. ENSEIGNES</t>
  </si>
  <si>
    <t>1804</t>
  </si>
  <si>
    <t>FINANCEMENT RECEVABLE</t>
  </si>
  <si>
    <t>NOTE A PAYER VEH. NEUFS VOLKS</t>
  </si>
  <si>
    <t>3-Passifs</t>
  </si>
  <si>
    <t>2101</t>
  </si>
  <si>
    <t>NOTE PAYABLE-FIN. VEH. USAG.</t>
  </si>
  <si>
    <t>2103</t>
  </si>
  <si>
    <t>PORTION COURANTE PRET</t>
  </si>
  <si>
    <t>2131</t>
  </si>
  <si>
    <t>TPA A PAYER</t>
  </si>
  <si>
    <t>2220</t>
  </si>
  <si>
    <t>TVQ A PAYER</t>
  </si>
  <si>
    <t>2221</t>
  </si>
  <si>
    <t>TVQ A RECEVOIR</t>
  </si>
  <si>
    <t>TPS A PAYER</t>
  </si>
  <si>
    <t>2223</t>
  </si>
  <si>
    <t>TPS A RECEVOIR</t>
  </si>
  <si>
    <t>DROIT SUR PNEUS</t>
  </si>
  <si>
    <t>LIEN A PAYER</t>
  </si>
  <si>
    <t>2283</t>
  </si>
  <si>
    <t>PLAQUE A PAYER</t>
  </si>
  <si>
    <t>PROTECTIONS A PAYER</t>
  </si>
  <si>
    <t>A PAYER INVAPLAN</t>
  </si>
  <si>
    <t>COMPTES FOURNISSEURS</t>
  </si>
  <si>
    <t>2291</t>
  </si>
  <si>
    <t>ECHANGE ENTRE CONCESSIONNAIRES</t>
  </si>
  <si>
    <t>PROVISIONS GARANTIES USAGEES</t>
  </si>
  <si>
    <t>Volks RESERVE PROMO SAISONNIERE</t>
  </si>
  <si>
    <t>RESERVE ESSENCE</t>
  </si>
  <si>
    <t>2293</t>
  </si>
  <si>
    <t>COMPTE FOURNISSEURS INTERCO</t>
  </si>
  <si>
    <t>RESERVE RENOUVELLEMENT</t>
  </si>
  <si>
    <t>PRIME ASSURANCE GROUPE</t>
  </si>
  <si>
    <t>2315</t>
  </si>
  <si>
    <t>COMITE SOCIAL</t>
  </si>
  <si>
    <t>REER STANDARD LIFE</t>
  </si>
  <si>
    <t>COMITE PARITAIRE</t>
  </si>
  <si>
    <t>CENTRAIDE</t>
  </si>
  <si>
    <t>DEPOTS FIDUCIE-VENTE CLIENTS</t>
  </si>
  <si>
    <t>2401</t>
  </si>
  <si>
    <t>COMMISSION A PAYER</t>
  </si>
  <si>
    <t>2501</t>
  </si>
  <si>
    <t>Compte de depense a payer</t>
  </si>
  <si>
    <t>250</t>
  </si>
  <si>
    <t>SALAIRES DES EMPLOYES</t>
  </si>
  <si>
    <t>2503</t>
  </si>
  <si>
    <t>JOURS FERIES</t>
  </si>
  <si>
    <t>SALAIRES DE VACANCES</t>
  </si>
  <si>
    <t>JOURNEE MALADIE</t>
  </si>
  <si>
    <t>REVENUE HOLDBACK DIFFERE</t>
  </si>
  <si>
    <t>2561</t>
  </si>
  <si>
    <t>PROVISIONS QG</t>
  </si>
  <si>
    <t>256</t>
  </si>
  <si>
    <t>PRET CIBC</t>
  </si>
  <si>
    <t>2801</t>
  </si>
  <si>
    <t>RESERVE CARTES PRIVILEGE</t>
  </si>
  <si>
    <t>2901</t>
  </si>
  <si>
    <t>ACTIONS CATEGORIE 1</t>
  </si>
  <si>
    <t>4-Valeur nette</t>
  </si>
  <si>
    <t>3001</t>
  </si>
  <si>
    <t>APPORT / RETRAIT</t>
  </si>
  <si>
    <t>ACTIONS PARTICIPANTES</t>
  </si>
  <si>
    <t>BENEFICES NON-REPARTIS</t>
  </si>
  <si>
    <t>VTE - RACHAT BAIL VW</t>
  </si>
  <si>
    <t>5-Ventes</t>
  </si>
  <si>
    <t>4100</t>
  </si>
  <si>
    <t>RESERVE</t>
  </si>
  <si>
    <t>4100@</t>
  </si>
  <si>
    <t>VTE - GOLF R</t>
  </si>
  <si>
    <t>4109</t>
  </si>
  <si>
    <t># DE VENTE - GOLF R</t>
  </si>
  <si>
    <t>4109@</t>
  </si>
  <si>
    <t>JETTA/ JETTA GLI</t>
  </si>
  <si>
    <t>4111</t>
  </si>
  <si>
    <t>4111@</t>
  </si>
  <si>
    <t>VTES -TAOS</t>
  </si>
  <si>
    <t>4117</t>
  </si>
  <si>
    <t>TAOS</t>
  </si>
  <si>
    <t>4118@</t>
  </si>
  <si>
    <t>411</t>
  </si>
  <si>
    <t>VTE - ATLAS</t>
  </si>
  <si>
    <t>4119</t>
  </si>
  <si>
    <t># DE VTE - ATLAS</t>
  </si>
  <si>
    <t>4119@</t>
  </si>
  <si>
    <t>VTES -VTE - ATLAS CROSS SPORT</t>
  </si>
  <si>
    <t># DE VTE - ATLAS CROSS SPORT</t>
  </si>
  <si>
    <t>4121@</t>
  </si>
  <si>
    <t>VTE - GOLF GTI</t>
  </si>
  <si>
    <t>4127</t>
  </si>
  <si>
    <t># DE VENTE - GOLF GTI</t>
  </si>
  <si>
    <t>4127@</t>
  </si>
  <si>
    <t>VTE - TIGUAN LWB</t>
  </si>
  <si>
    <t>4131</t>
  </si>
  <si>
    <t># DE VTE - TIGUAN LWB</t>
  </si>
  <si>
    <t>4131@</t>
  </si>
  <si>
    <t>VTE - VW-FLOTTE/VENTES ENTR/EMPLOYE/VEH DEMON</t>
  </si>
  <si>
    <t>4137</t>
  </si>
  <si>
    <t>VW FLOTTE/VENTE ENTR/EMPLOYE/VEH DEMONST</t>
  </si>
  <si>
    <t>4137@</t>
  </si>
  <si>
    <t>VTE - VW FLOTTE/VENTE ENTR/EMPLOYE/VEH DEMONS</t>
  </si>
  <si>
    <t>4139</t>
  </si>
  <si>
    <t>VENTES A PARK AVENUE LOCATION</t>
  </si>
  <si>
    <t>4139@</t>
  </si>
  <si>
    <t>VTES -JETTA GLI</t>
  </si>
  <si>
    <t>414</t>
  </si>
  <si>
    <t># OF VTES -JETTA GLI</t>
  </si>
  <si>
    <t>4144@</t>
  </si>
  <si>
    <t>VTE - VEH.USAGE VW DETAIL CERTIFIE</t>
  </si>
  <si>
    <t>4201</t>
  </si>
  <si>
    <t># DE VTE - VEH.USAGE VW DET.CERT.</t>
  </si>
  <si>
    <t>4201@</t>
  </si>
  <si>
    <t>VTE - VW USAGES DETAIL</t>
  </si>
  <si>
    <t>4211</t>
  </si>
  <si>
    <t>VENTES USED DET. CHAMBLY</t>
  </si>
  <si>
    <t>4211@</t>
  </si>
  <si>
    <t>VEH. D'OCC. AUTRE DETAIL</t>
  </si>
  <si>
    <t>4261</t>
  </si>
  <si>
    <t>AUTRE MARQUES DETAIL - USAGE</t>
  </si>
  <si>
    <t>4285@</t>
  </si>
  <si>
    <t>VEH. D'OCC. AU GROS</t>
  </si>
  <si>
    <t>4281</t>
  </si>
  <si>
    <t>VENTE AU GROS - USAGES</t>
  </si>
  <si>
    <t>4291@</t>
  </si>
  <si>
    <t>M.O. MECANIQUE-VENTE CLIENTS</t>
  </si>
  <si>
    <t>4401</t>
  </si>
  <si>
    <t>4401@</t>
  </si>
  <si>
    <t>VTE - M.O. ESTHETIQUE CLIENT</t>
  </si>
  <si>
    <t>4402</t>
  </si>
  <si>
    <t>M.O. MECANIQUE-VENTE GAR. MANU</t>
  </si>
  <si>
    <t>4403</t>
  </si>
  <si>
    <t>4403@</t>
  </si>
  <si>
    <t>M.O. MECANIQUE-VENTE INTERNE</t>
  </si>
  <si>
    <t>4405</t>
  </si>
  <si>
    <t>4405@</t>
  </si>
  <si>
    <t>CARBURANT/HUILE/GRAISSE</t>
  </si>
  <si>
    <t>4782</t>
  </si>
  <si>
    <t>4451@</t>
  </si>
  <si>
    <t>REPARATION SOUS-LOC. - GENERAL</t>
  </si>
  <si>
    <t>4491</t>
  </si>
  <si>
    <t>4491@</t>
  </si>
  <si>
    <t>VTE - SOUS-TRAITANCE GARANTIE</t>
  </si>
  <si>
    <t>4493</t>
  </si>
  <si>
    <t># DE VTE - SOUS-TRAITANCE GARANTIE</t>
  </si>
  <si>
    <t>4493@</t>
  </si>
  <si>
    <t>VTE - S-TRAITANCE MEC.INTERNE VW</t>
  </si>
  <si>
    <t>4495</t>
  </si>
  <si>
    <t># DE VTE - S-TRAITANCE MEC.INTERNE VW</t>
  </si>
  <si>
    <t>4495@</t>
  </si>
  <si>
    <t>VTE - M.O. CARROSSERIE GARANTIE</t>
  </si>
  <si>
    <t># DE VTE - M.O. CARROS.GARANTIE</t>
  </si>
  <si>
    <t>4503@</t>
  </si>
  <si>
    <t>VTE - S-TRAIT. CARR.</t>
  </si>
  <si>
    <t>4591</t>
  </si>
  <si>
    <t>REPARATION SOUS-LOC.-PEINT/DEB</t>
  </si>
  <si>
    <t>4591@</t>
  </si>
  <si>
    <t>VTE - SOUS-TRAITANCE GARANTIE CARR.</t>
  </si>
  <si>
    <t>4593</t>
  </si>
  <si>
    <t># DE VTE - S-TRAITANCE GAR.CARR.</t>
  </si>
  <si>
    <t>4593@</t>
  </si>
  <si>
    <t>VTE - SOUS-TRAITANCE INTERNE CARR.</t>
  </si>
  <si>
    <t>4595</t>
  </si>
  <si>
    <t># DE VTE - S-TRAIT.INTERNE CARR.</t>
  </si>
  <si>
    <t>4595@</t>
  </si>
  <si>
    <t>VTE - PIECE/ACC B.R. CLIENT VW</t>
  </si>
  <si>
    <t>4701</t>
  </si>
  <si>
    <t>PIECES-BON REPARATION- CLIENTS</t>
  </si>
  <si>
    <t>4701@</t>
  </si>
  <si>
    <t>VTE - SHOP SUPPLY VW</t>
  </si>
  <si>
    <t>4702</t>
  </si>
  <si>
    <t>VTE - PIECE/ACC B.R. GARANTIE VW</t>
  </si>
  <si>
    <t>4703</t>
  </si>
  <si>
    <t>PIECES-BON REPARATION-GAR. MAN</t>
  </si>
  <si>
    <t>4703@</t>
  </si>
  <si>
    <t>VTE - PIECE/ACC B.R. INTERNE VW</t>
  </si>
  <si>
    <t>4705</t>
  </si>
  <si>
    <t>PIECES-BON REPARATION - INTERN</t>
  </si>
  <si>
    <t>4705@</t>
  </si>
  <si>
    <t>4706</t>
  </si>
  <si>
    <t>VTE - AUTRE PIECE/ACC/CARR B.R. CLIENT</t>
  </si>
  <si>
    <t>84711</t>
  </si>
  <si>
    <t># DE VTE - P&amp;A B.T. CLIENT AUDI</t>
  </si>
  <si>
    <t>4711@</t>
  </si>
  <si>
    <t>VTE - AUTRE PIECE/ACC/CARR B.R. INTERNE</t>
  </si>
  <si>
    <t># DE VTE - P&amp;A B.T. INTERNE AUDI</t>
  </si>
  <si>
    <t>4715@</t>
  </si>
  <si>
    <t>84715</t>
  </si>
  <si>
    <t>VTE - PIECES-BON REPAR.-PEINT/DEBOS</t>
  </si>
  <si>
    <t>4731</t>
  </si>
  <si>
    <t>PIECES-BON REPAR. PEINT/DEBOS</t>
  </si>
  <si>
    <t>4731@</t>
  </si>
  <si>
    <t>VTE - P&amp;A B.T. GARANTIE CAR.</t>
  </si>
  <si>
    <t>4733</t>
  </si>
  <si>
    <t># DE VTE - P&amp;A B.T. GARANTIE CARR.</t>
  </si>
  <si>
    <t>4733@</t>
  </si>
  <si>
    <t>VTE - P&amp;A B.T. INTERNE CARROS.</t>
  </si>
  <si>
    <t>4735</t>
  </si>
  <si>
    <t># DE VTE - P&amp;A B.T. INTERNE CARROS.</t>
  </si>
  <si>
    <t>4735@</t>
  </si>
  <si>
    <t>VTE - P&amp;A VW COMPTOIR - DETAIL</t>
  </si>
  <si>
    <t>4761</t>
  </si>
  <si>
    <t>PIECES-COMPTOIR-DETAIL</t>
  </si>
  <si>
    <t>4761@</t>
  </si>
  <si>
    <t>VTE - P&amp;A VW COMPTOIR GROS - ECHANGE</t>
  </si>
  <si>
    <t>4763</t>
  </si>
  <si>
    <t>PIECES-COMPTOIR-COMM. GROS</t>
  </si>
  <si>
    <t>4763@</t>
  </si>
  <si>
    <t>VENTES PNEUS</t>
  </si>
  <si>
    <t>4781</t>
  </si>
  <si>
    <t>4781@</t>
  </si>
  <si>
    <t>VTE - VW PNEUS</t>
  </si>
  <si>
    <t>C/V - RACHAT DE BAIL</t>
  </si>
  <si>
    <t>6-Coût des ventes</t>
  </si>
  <si>
    <t>C/V - GOLF R</t>
  </si>
  <si>
    <t>C/V - TAOS</t>
  </si>
  <si>
    <t>511</t>
  </si>
  <si>
    <t>C/V - ATLAS</t>
  </si>
  <si>
    <t>C/V - ATLAS CROSS SPORT</t>
  </si>
  <si>
    <t>C/V - GOLF GTI</t>
  </si>
  <si>
    <t>C/V - TIGUAN LWB</t>
  </si>
  <si>
    <t>C/V - VW FLOTTE/VENTE ENTR/EMPLOYE/VEH DEMONS</t>
  </si>
  <si>
    <t>C/V - JETTA GLI</t>
  </si>
  <si>
    <t>514</t>
  </si>
  <si>
    <t>C/V - VEH.USAGE VW DETAIL CERTIFIE</t>
  </si>
  <si>
    <t>C/V - RECOND USAGE VW CERT.</t>
  </si>
  <si>
    <t>C/V - VW USAGES DETAIL</t>
  </si>
  <si>
    <t>C/V - RECOND. USAGE VW DETAIL</t>
  </si>
  <si>
    <t>RECOND. AUTRE DETAIL</t>
  </si>
  <si>
    <t>COUT M.O. MECANIQUE CLIENTS</t>
  </si>
  <si>
    <t>C/V - M.O. ESTHETIQUE CLIENT</t>
  </si>
  <si>
    <t>COUT MEC VENTE GARANTIE MANUF</t>
  </si>
  <si>
    <t>C D V VENTES M OINTERNE</t>
  </si>
  <si>
    <t>C/V - TEMPS MORT M.O. SERVICE</t>
  </si>
  <si>
    <t>4416</t>
  </si>
  <si>
    <t>C/V - SOUS-TRAITANCE GARANTIE</t>
  </si>
  <si>
    <t>C/V - SOUS-TRAITANCE INTERNE</t>
  </si>
  <si>
    <t>C/V - S-TRAIT. CARR.</t>
  </si>
  <si>
    <t>C/V - S-TRAIT.GARANTIE CARROS.</t>
  </si>
  <si>
    <t>C/V - S-TRAIT.INTERNE CARROS.</t>
  </si>
  <si>
    <t>C/V - PIECE/ACC B.R. CLIENT VW</t>
  </si>
  <si>
    <t>C/V - SHOP SUPPLY VW</t>
  </si>
  <si>
    <t>C/V - PIECE/ACC B.R. GARANTIE VW</t>
  </si>
  <si>
    <t>C/V - PIECE/ACC B.R. INTERNE VW</t>
  </si>
  <si>
    <t>C/V - AUTRE PIECE/ACC/CARR B.R. CLIENT</t>
  </si>
  <si>
    <t>4711</t>
  </si>
  <si>
    <t>C/V - AUTRE PIECE/ACC/CARR B.R. INTERNE</t>
  </si>
  <si>
    <t>C/V - PIECES-BON REPAR.-PEINT/DEBOS</t>
  </si>
  <si>
    <t>C/V - P&amp;A B.T. GAR.CARR.VW</t>
  </si>
  <si>
    <t>C/V - P&amp;A B.T.INTERNE CARR.VW</t>
  </si>
  <si>
    <t>C/V - P&amp;A VW COMPTOIR - DETAIL</t>
  </si>
  <si>
    <t>C/V - P&amp;A VW COMPTOIR GROS - ECHANGE</t>
  </si>
  <si>
    <t>COUT PNEUS</t>
  </si>
  <si>
    <t>C/V - VW PNEUS</t>
  </si>
  <si>
    <t>C/V - BONI / ESCPTE PI VW</t>
  </si>
  <si>
    <t>5792</t>
  </si>
  <si>
    <t>COMMISSION VENDEUR NEUFS</t>
  </si>
  <si>
    <t>7-Dépenses</t>
  </si>
  <si>
    <t>6101</t>
  </si>
  <si>
    <t>RENUMERATION F &amp; I</t>
  </si>
  <si>
    <t>6102</t>
  </si>
  <si>
    <t>RELAT. A LA CLIENTELE &amp; AJUST.</t>
  </si>
  <si>
    <t>6103</t>
  </si>
  <si>
    <t>ENTRETIEN DES STOCKS</t>
  </si>
  <si>
    <t>6106</t>
  </si>
  <si>
    <t>INTERET-PLAN DE FINANCEMENT</t>
  </si>
  <si>
    <t>6107</t>
  </si>
  <si>
    <t>FRAIS DE LIVRAISON</t>
  </si>
  <si>
    <t>6108</t>
  </si>
  <si>
    <t>PUBLICITE</t>
  </si>
  <si>
    <t>6114</t>
  </si>
  <si>
    <t>CREDIT PUBLICITE NEUF</t>
  </si>
  <si>
    <t>SALAIRES - PROPRIETAIRES</t>
  </si>
  <si>
    <t>6121</t>
  </si>
  <si>
    <t>SAL SUPERVISION / GERANT</t>
  </si>
  <si>
    <t>6122</t>
  </si>
  <si>
    <t>SAL. &amp; RENUM. - CLERICAL</t>
  </si>
  <si>
    <t>6123</t>
  </si>
  <si>
    <t>SALAIRES &amp; RENUM. - AUTRES</t>
  </si>
  <si>
    <t>6124</t>
  </si>
  <si>
    <t>ABS., VACANCE &amp; SAL. JOURS FER</t>
  </si>
  <si>
    <t>6129</t>
  </si>
  <si>
    <t>CSST</t>
  </si>
  <si>
    <t>6131</t>
  </si>
  <si>
    <t>RRQ RAMQ AC</t>
  </si>
  <si>
    <t>6132</t>
  </si>
  <si>
    <t>FOND PENSION - NEUF</t>
  </si>
  <si>
    <t>6133</t>
  </si>
  <si>
    <t>ASSURANCE GROUPS</t>
  </si>
  <si>
    <t>6139</t>
  </si>
  <si>
    <t>FOURNITURES &amp; PETITS OUTILS</t>
  </si>
  <si>
    <t>6142</t>
  </si>
  <si>
    <t>UNIFORMES &amp; LESSIVE</t>
  </si>
  <si>
    <t>6143</t>
  </si>
  <si>
    <t>FORMATION</t>
  </si>
  <si>
    <t>6144</t>
  </si>
  <si>
    <t>VEHICULE DE COMPAGNIE - DEPENS</t>
  </si>
  <si>
    <t>6145</t>
  </si>
  <si>
    <t>FRET/EXPRESS/TRANS. PAR CAMION</t>
  </si>
  <si>
    <t>6147</t>
  </si>
  <si>
    <t>DEP. DU TRAITEMENT DES DONNEES</t>
  </si>
  <si>
    <t>6151</t>
  </si>
  <si>
    <t>PAPETERIE</t>
  </si>
  <si>
    <t>6152</t>
  </si>
  <si>
    <t>TELEPHONE ET TELEX</t>
  </si>
  <si>
    <t>6153</t>
  </si>
  <si>
    <t>DEPENSES DIVERS</t>
  </si>
  <si>
    <t>6155</t>
  </si>
  <si>
    <t>FRAIS REPRESENTATION - NEUF</t>
  </si>
  <si>
    <t>6156</t>
  </si>
  <si>
    <t>FRAIS BANCAIRES - NEUF</t>
  </si>
  <si>
    <t>615</t>
  </si>
  <si>
    <t>SERVICE EXTERIEUR</t>
  </si>
  <si>
    <t>6159</t>
  </si>
  <si>
    <t>DEPRECIATION EQUIP. &amp; FIXTURES</t>
  </si>
  <si>
    <t>6161</t>
  </si>
  <si>
    <t>ELECTRICITE CHAUFFAGE</t>
  </si>
  <si>
    <t>6181</t>
  </si>
  <si>
    <t>LOYER NEUFS</t>
  </si>
  <si>
    <t>6182</t>
  </si>
  <si>
    <t>ASSURANCE BATIMENT</t>
  </si>
  <si>
    <t>6186</t>
  </si>
  <si>
    <t>TAXE SUR PROPRIETE</t>
  </si>
  <si>
    <t>6187</t>
  </si>
  <si>
    <t>TAXES AUTRES PERMIS LICENCE</t>
  </si>
  <si>
    <t>6193</t>
  </si>
  <si>
    <t>HONORAIRES PROFESSIONNELS</t>
  </si>
  <si>
    <t>6194</t>
  </si>
  <si>
    <t>COMMISSION USAGES</t>
  </si>
  <si>
    <t>RELAT. A LA CLIENTELLE &amp; AJUST</t>
  </si>
  <si>
    <t>CREDIT PUBLICITE USAGES</t>
  </si>
  <si>
    <t>SALAIRE &amp; RENUM. - AUTRES</t>
  </si>
  <si>
    <t>ABS.,VACANCES &amp; SAL. JOURS FER</t>
  </si>
  <si>
    <t>FOND PENSION - USAGE</t>
  </si>
  <si>
    <t>ASSURANCE GROUPE</t>
  </si>
  <si>
    <t>FRAIS REPRESENTATION - USAGE</t>
  </si>
  <si>
    <t>FRAIS BANCAIRES - USAGE</t>
  </si>
  <si>
    <t>625</t>
  </si>
  <si>
    <t>CHAUFFAGE,ELECTRICITE,EAU-USAGE</t>
  </si>
  <si>
    <t>LOYER - USAGE</t>
  </si>
  <si>
    <t>ASSURANCE BATISSE &amp; AMEL.-USAGE</t>
  </si>
  <si>
    <t>TAXES FONCIERES - USAGE</t>
  </si>
  <si>
    <t>AUTRE TAXES - USAGES</t>
  </si>
  <si>
    <t>FRAIS PROFESSIONNEL-USAGE</t>
  </si>
  <si>
    <t>RELAT. A LA CLIENTELE &amp; AJUST</t>
  </si>
  <si>
    <t>6112</t>
  </si>
  <si>
    <t>AUTORISATION &amp; GAR./VEH. USA</t>
  </si>
  <si>
    <t>SAL. &amp; RENUM. CLERICAL</t>
  </si>
  <si>
    <t>SALAIRE SPECIALISTES</t>
  </si>
  <si>
    <t>6125</t>
  </si>
  <si>
    <t>SAL.,VACANCE, &amp; SAL. JOURS FER</t>
  </si>
  <si>
    <t>FOND PENSION - SERVICE</t>
  </si>
  <si>
    <t>RETOURS</t>
  </si>
  <si>
    <t>LOCATION COURTOISIE</t>
  </si>
  <si>
    <t>FRAIS REPRESENTATION - SERVICE</t>
  </si>
  <si>
    <t>FRAIS BANCAIRES - SERVICE</t>
  </si>
  <si>
    <t>645</t>
  </si>
  <si>
    <t>REPARATION &amp; ENT. - EQUIP.</t>
  </si>
  <si>
    <t>6163</t>
  </si>
  <si>
    <t>CHAUFFAGE,ELECTRICITE,EAU-SERVICE</t>
  </si>
  <si>
    <t>LOYER - SERVICE</t>
  </si>
  <si>
    <t>ASSURANCE BATISSE &amp; AMEL.-SERVICE</t>
  </si>
  <si>
    <t>TAXES FONCIERES - SERVICE</t>
  </si>
  <si>
    <t>AUTRE TAXES-SERVICE</t>
  </si>
  <si>
    <t>FRAIS PROFESSIONNEL-SERVICE</t>
  </si>
  <si>
    <t>MAUVAISES CREANCES - SERVICE</t>
  </si>
  <si>
    <t>6196</t>
  </si>
  <si>
    <t>FOND PENSION - CARROSSERIE</t>
  </si>
  <si>
    <t>FRAIS REPRESENTATION</t>
  </si>
  <si>
    <t>FRAIS BANCAIRES - CARROSSERIE</t>
  </si>
  <si>
    <t>655</t>
  </si>
  <si>
    <t>CHAUFFAGE,ELECTRICITE,EAU-CARROS.</t>
  </si>
  <si>
    <t>LOYER - CARROSSERIE</t>
  </si>
  <si>
    <t>ASSURANCE BATISSE &amp; AMEL.-CARROS.</t>
  </si>
  <si>
    <t>TAXES FONCIERES - CAROSSERIE</t>
  </si>
  <si>
    <t>AUTRES TAXES -CARROSSERIE</t>
  </si>
  <si>
    <t>FRAIS PROFESSIONNEL-CARROS.</t>
  </si>
  <si>
    <t>SALAIRES - PROPRIEATIRES</t>
  </si>
  <si>
    <t>ABSENCES, VACANCES, ETC</t>
  </si>
  <si>
    <t>FOND PENSION - PIECES</t>
  </si>
  <si>
    <t>FRAIS REPRESENTATION - PIECES</t>
  </si>
  <si>
    <t>FRAIS BANCAIRES - PIECES</t>
  </si>
  <si>
    <t>CHAUFFAGE,ELECTRICITE,EAU-PIECES</t>
  </si>
  <si>
    <t>LOYER - PIECES</t>
  </si>
  <si>
    <t>ASSURANCE BATISSE &amp; AMEL.-PIECES</t>
  </si>
  <si>
    <t>TAXES FONCIERES - PIECES</t>
  </si>
  <si>
    <t>AUTRES TAXES - PIECES</t>
  </si>
  <si>
    <t>FRAIS PROFESSIONNEL-PIECES</t>
  </si>
  <si>
    <t>8-Autres revenus</t>
  </si>
  <si>
    <t>9101</t>
  </si>
  <si>
    <t>REVENU RESERVE VOLKS</t>
  </si>
  <si>
    <t>ESCOMPTES SUR ACHAT PIECES</t>
  </si>
  <si>
    <t>9152</t>
  </si>
  <si>
    <t>REVENU FIN ET ASS NEUF</t>
  </si>
  <si>
    <t>9161</t>
  </si>
  <si>
    <t>REV FINANCE ET ASS NEUF</t>
  </si>
  <si>
    <t>9161@</t>
  </si>
  <si>
    <t>RESERVE FIN ET ASS VEH OCCASION</t>
  </si>
  <si>
    <t>9163</t>
  </si>
  <si>
    <t>9163@</t>
  </si>
  <si>
    <t>REV. ASSURANCES NEUF</t>
  </si>
  <si>
    <t>REV ASSURANCE USAGE</t>
  </si>
  <si>
    <t>ASSURANCE VIE USAGE</t>
  </si>
  <si>
    <t>9167@</t>
  </si>
  <si>
    <t>REV GARANTIE PROLONGEE NEUF</t>
  </si>
  <si>
    <t>PROFIT PROTECTIONS - NEUFS</t>
  </si>
  <si>
    <t>REV GARANTIE PROLONGEE USAGE</t>
  </si>
  <si>
    <t>VENTE CHIMIQUE USAGE</t>
  </si>
  <si>
    <t>9171@</t>
  </si>
  <si>
    <t>PROFIT PROTECTIONS - USAGES</t>
  </si>
  <si>
    <t># DE PROFIT PROTECTIONS - USAGES</t>
  </si>
  <si>
    <t>9172@</t>
  </si>
  <si>
    <t>FRAIS ADMIN. VOLKS</t>
  </si>
  <si>
    <t>9191</t>
  </si>
  <si>
    <t>FRAIS ADMIN. VW USAGE</t>
  </si>
  <si>
    <t>REVENUS DIVERS</t>
  </si>
  <si>
    <t>DEPENSE D'INTERETS</t>
  </si>
  <si>
    <t>9-Autres déductions</t>
  </si>
  <si>
    <t>9402</t>
  </si>
  <si>
    <t>INTERETS SUR PRET</t>
  </si>
  <si>
    <t>Account</t>
  </si>
  <si>
    <t>Dept</t>
  </si>
  <si>
    <t>Comptes de ventes</t>
  </si>
  <si>
    <t>Type de compte</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</si>
  <si>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</si>
  <si>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</si>
  <si>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</si>
  <si>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</si>
  <si>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</si>
  <si>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</si>
  <si>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</si>
  <si>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</si>
  <si>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</si>
  <si>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</si>
  <si>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</si>
  <si>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</si>
  <si>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UNITES USAGES DET./ DEC.</t>
  </si>
  <si>
    <t xml:space="preserve">Frais de représentation </t>
  </si>
  <si>
    <t>DIR. GENERAL CARROSS.</t>
  </si>
  <si>
    <t>Frais professionnel</t>
  </si>
  <si>
    <t>Fret/Express/Transport</t>
  </si>
  <si>
    <t>VISA</t>
  </si>
  <si>
    <t xml:space="preserve">Matériel </t>
  </si>
  <si>
    <t>TELE DEBIT</t>
  </si>
  <si>
    <t>American Express</t>
  </si>
  <si>
    <t>ARGENT IN TRUST</t>
  </si>
  <si>
    <t>Vte Comptant Service</t>
  </si>
  <si>
    <t>recevables Autres</t>
  </si>
  <si>
    <t>RECEV. INTERCO</t>
  </si>
  <si>
    <t>A RECEVOIR LAR</t>
  </si>
  <si>
    <t>TAXES DE VENTES A RECEVOIR</t>
  </si>
  <si>
    <t>Retours</t>
  </si>
  <si>
    <t>INV. VEH. USAGE Audi</t>
  </si>
  <si>
    <t>MATERIAUX DE PEINTURE/ DEBOSSE</t>
  </si>
  <si>
    <t>FPA PUBLICITE PIECES</t>
  </si>
  <si>
    <t>ASSURANCE DALE PARIZEAU</t>
  </si>
  <si>
    <t>FPS ASSURANCE DEMO</t>
  </si>
  <si>
    <t>FPA DEDUCTIBLE ASSURANCE</t>
  </si>
  <si>
    <t>FPA PAPETERIE</t>
  </si>
  <si>
    <t>FPA HONORAIRES PROFESSIONNELS</t>
  </si>
  <si>
    <t>FPA FORMATION</t>
  </si>
  <si>
    <t>FPA TAXES AFFAIRES</t>
  </si>
  <si>
    <t>FRAIS REPAS ET REPRESENTATION 50%</t>
  </si>
  <si>
    <t>FRAIS VOYAGE 100%</t>
  </si>
  <si>
    <t>FRAIS REP NON DEDUCTIBLE 0%</t>
  </si>
  <si>
    <t>EQUIPEMENT TELEPHONIQUE</t>
  </si>
  <si>
    <t>AMORTISS.EQUIP.TELEPHONIQUES</t>
  </si>
  <si>
    <t>RECEVABLE-PROP. &amp; EMPL.</t>
  </si>
  <si>
    <t>Réserve Promo Saisonnière</t>
  </si>
  <si>
    <t>COMPTES FOURNISSEURS INTERCO</t>
  </si>
  <si>
    <t>BONIS - EMPLOYES</t>
  </si>
  <si>
    <t>Oui</t>
  </si>
  <si>
    <t>VTE - NEW BEETLE</t>
  </si>
  <si>
    <t>VTES -VTE - ARTEON</t>
  </si>
  <si>
    <t>VTE - GOLF A6</t>
  </si>
  <si>
    <t>VTE - JETTA</t>
  </si>
  <si>
    <t>VTE - GOLF (FAMILIALE)</t>
  </si>
  <si>
    <t>VTE - PASSAT BERLINE</t>
  </si>
  <si>
    <t>VTE - TAOS</t>
  </si>
  <si>
    <t>VTE - EGOLF</t>
  </si>
  <si>
    <t>VTE - JETTA GLI</t>
  </si>
  <si>
    <t>VTE - RACHAT BAIL AUDI</t>
  </si>
  <si>
    <t>VTE - M.O. MECANIQUE CLIENT AUDI</t>
  </si>
  <si>
    <t>C/V - NEW BEETLE</t>
  </si>
  <si>
    <t>C/V - ARTEON</t>
  </si>
  <si>
    <t>C/V - GOLF</t>
  </si>
  <si>
    <t>C/V - JETTA</t>
  </si>
  <si>
    <t>C/V - GOLF (FAMILIALE)</t>
  </si>
  <si>
    <t>C/V - PASSAT BERLINE</t>
  </si>
  <si>
    <t>C/V - EGOLF</t>
  </si>
  <si>
    <t>C/V - AJUST. INVENT. PI. VW</t>
  </si>
  <si>
    <t>Fonds Pension Neuf</t>
  </si>
  <si>
    <t>LOCATION D'EQUIPEMENTS</t>
  </si>
  <si>
    <t>CONTRIBUTION DONS</t>
  </si>
  <si>
    <t>Fonds Pension Usagé</t>
  </si>
  <si>
    <t>CONTRIBUTIONS - USAGE</t>
  </si>
  <si>
    <t>CONTRIBUTION - SERVICE</t>
  </si>
  <si>
    <t>Fonds Pension Carross</t>
  </si>
  <si>
    <t>UNIFORME &amp; BUANDERIE-CARROS.</t>
  </si>
  <si>
    <t>CONTRIBUTION - CARROSSERIE</t>
  </si>
  <si>
    <t>AUTORISATION &amp; GAR. /VEH. USAG</t>
  </si>
  <si>
    <t>CONRIBUTION - PIECES</t>
  </si>
  <si>
    <t>Prime Performance</t>
  </si>
  <si>
    <t>PRIMES DE RENDEMENT (ToT)- BONUS EXPERIENCE +</t>
  </si>
  <si>
    <t>FRAIS ADMIN. VOLKS Neuf</t>
  </si>
  <si>
    <t>FRAIS ADMIN. VOLKS Usagé</t>
  </si>
  <si>
    <t>AJUSTEMENTS QG</t>
  </si>
  <si>
    <t>INTERETS SUR MARGE CREDIT</t>
  </si>
  <si>
    <t>FRAIS BANCAIRES</t>
  </si>
  <si>
    <t>1418@</t>
  </si>
  <si>
    <t># DE INV.VEH.USAGE AUDI</t>
  </si>
  <si>
    <t>4101@</t>
  </si>
  <si>
    <t>VTES NEW BEETLE</t>
  </si>
  <si>
    <t>4105@</t>
  </si>
  <si>
    <t>ROUTAN</t>
  </si>
  <si>
    <t>4107@</t>
  </si>
  <si>
    <t>UNITES VENDUES GOLF</t>
  </si>
  <si>
    <t>UNITES VENDUES - JETTA</t>
  </si>
  <si>
    <t>4113@</t>
  </si>
  <si>
    <t>UNITES VENDUES - GOLF (FAMILIALE)</t>
  </si>
  <si>
    <t>4115@</t>
  </si>
  <si>
    <t>PASSAT SEDAN</t>
  </si>
  <si>
    <t># DE VTE - TAOS</t>
  </si>
  <si>
    <t>4135@</t>
  </si>
  <si>
    <t>UNITES VENDUES - EGOLF</t>
  </si>
  <si>
    <t>UNITES VENDUES - JETTA GLI</t>
  </si>
  <si>
    <t>4402@</t>
  </si>
  <si>
    <t># DE SLS - M.O. ESTHETIQUE CLIENT</t>
  </si>
  <si>
    <t>4411@</t>
  </si>
  <si>
    <t># DE VTE - M.O. MEC.CLIENT AUDI</t>
  </si>
  <si>
    <t>4721@</t>
  </si>
  <si>
    <t>AUTRES PIECES&amp;ACCESSOIRE</t>
  </si>
  <si>
    <t>1372</t>
  </si>
  <si>
    <t>1418</t>
  </si>
  <si>
    <t>4105</t>
  </si>
  <si>
    <t>4107</t>
  </si>
  <si>
    <t>4135</t>
  </si>
  <si>
    <t>84411</t>
  </si>
  <si>
    <t>4115</t>
  </si>
  <si>
    <t>121</t>
  </si>
  <si>
    <t># INV NEUF 31-60</t>
  </si>
  <si>
    <t>10</t>
  </si>
  <si>
    <t>125</t>
  </si>
  <si>
    <t># INV USED 31-60</t>
  </si>
  <si>
    <t>100</t>
  </si>
  <si>
    <t>131</t>
  </si>
  <si>
    <t>$ INV NEUF 31-60</t>
  </si>
  <si>
    <t>110</t>
  </si>
  <si>
    <t>135</t>
  </si>
  <si>
    <t>$ INV USED 31-60</t>
  </si>
  <si>
    <t>141</t>
  </si>
  <si>
    <t># INV NEUF 61-90</t>
  </si>
  <si>
    <t>1142</t>
  </si>
  <si>
    <t>145</t>
  </si>
  <si>
    <t># INV USED 61-90</t>
  </si>
  <si>
    <t>1182</t>
  </si>
  <si>
    <t>151</t>
  </si>
  <si>
    <t>$ INV NEUF 61-90</t>
  </si>
  <si>
    <t>155</t>
  </si>
  <si>
    <t>$ INV USED 61-90</t>
  </si>
  <si>
    <t>161</t>
  </si>
  <si>
    <t># INV NEUF 91-120</t>
  </si>
  <si>
    <t>1303</t>
  </si>
  <si>
    <t>165</t>
  </si>
  <si>
    <t># INV USED 91-120</t>
  </si>
  <si>
    <t>171</t>
  </si>
  <si>
    <t>$ INV NEUF 91-120</t>
  </si>
  <si>
    <t>1305</t>
  </si>
  <si>
    <t>175</t>
  </si>
  <si>
    <t>$ INV USED 91-120</t>
  </si>
  <si>
    <t>1312</t>
  </si>
  <si>
    <t>181</t>
  </si>
  <si>
    <t># INV NEUF 120+</t>
  </si>
  <si>
    <t>185</t>
  </si>
  <si>
    <t># INV USED 120+</t>
  </si>
  <si>
    <t>1340</t>
  </si>
  <si>
    <t>191</t>
  </si>
  <si>
    <t>$ INV NEUF 120+</t>
  </si>
  <si>
    <t>1352</t>
  </si>
  <si>
    <t>195</t>
  </si>
  <si>
    <t>$ INV USED 120+</t>
  </si>
  <si>
    <t>1364</t>
  </si>
  <si>
    <t>721</t>
  </si>
  <si>
    <t>REC VEH 31-60</t>
  </si>
  <si>
    <t>722</t>
  </si>
  <si>
    <t>REC P-S 31-60</t>
  </si>
  <si>
    <t>723</t>
  </si>
  <si>
    <t>REC GARANTIE 31-60</t>
  </si>
  <si>
    <t>728</t>
  </si>
  <si>
    <t>REC MANUF 31-60</t>
  </si>
  <si>
    <t>1403</t>
  </si>
  <si>
    <t>741</t>
  </si>
  <si>
    <t>REC VEH 61-90</t>
  </si>
  <si>
    <t>742</t>
  </si>
  <si>
    <t>REC P-S 61-90</t>
  </si>
  <si>
    <t>743</t>
  </si>
  <si>
    <t>REC GARANTIE 61-90</t>
  </si>
  <si>
    <t>748</t>
  </si>
  <si>
    <t>REC MANUF 61-90</t>
  </si>
  <si>
    <t>761</t>
  </si>
  <si>
    <t>REC VEH 91-120</t>
  </si>
  <si>
    <t>1452</t>
  </si>
  <si>
    <t>762</t>
  </si>
  <si>
    <t>REC P-S 91-120</t>
  </si>
  <si>
    <t>763</t>
  </si>
  <si>
    <t>REC GARANTIE 91-120</t>
  </si>
  <si>
    <t>768</t>
  </si>
  <si>
    <t>REC MANUF 91-120</t>
  </si>
  <si>
    <t>1474</t>
  </si>
  <si>
    <t>781</t>
  </si>
  <si>
    <t>REC VEH +120</t>
  </si>
  <si>
    <t>1492</t>
  </si>
  <si>
    <t>782</t>
  </si>
  <si>
    <t>REC P-S 120+</t>
  </si>
  <si>
    <t>783</t>
  </si>
  <si>
    <t>REC GARANTIE 120+</t>
  </si>
  <si>
    <t>1502</t>
  </si>
  <si>
    <t>788</t>
  </si>
  <si>
    <t>REC MANUF 120+</t>
  </si>
  <si>
    <t>1504</t>
  </si>
  <si>
    <t>80010</t>
  </si>
  <si>
    <t>AUDI PROFIT JANVIER</t>
  </si>
  <si>
    <t>1506</t>
  </si>
  <si>
    <t>80020</t>
  </si>
  <si>
    <t>AUDI PROFIT FEVRIER</t>
  </si>
  <si>
    <t>1508</t>
  </si>
  <si>
    <t>80030</t>
  </si>
  <si>
    <t>AUDI PROFIT MARS</t>
  </si>
  <si>
    <t>1510</t>
  </si>
  <si>
    <t>80040</t>
  </si>
  <si>
    <t>AUDI PROFIT AVRIL</t>
  </si>
  <si>
    <t>1520</t>
  </si>
  <si>
    <t>80050</t>
  </si>
  <si>
    <t>AUDI PROFIT MAI</t>
  </si>
  <si>
    <t>1522</t>
  </si>
  <si>
    <t>80060</t>
  </si>
  <si>
    <t>AUDI PROFIT JUIN</t>
  </si>
  <si>
    <t>1528</t>
  </si>
  <si>
    <t>80070</t>
  </si>
  <si>
    <t>AUDI PROFIT JUILLET</t>
  </si>
  <si>
    <t>1530</t>
  </si>
  <si>
    <t>80080</t>
  </si>
  <si>
    <t>AUDI PROFIT AOUT</t>
  </si>
  <si>
    <t>1532</t>
  </si>
  <si>
    <t>80234</t>
  </si>
  <si>
    <t>AUDI TOT. HRS PROD. SERV.</t>
  </si>
  <si>
    <t>1534</t>
  </si>
  <si>
    <t>80236</t>
  </si>
  <si>
    <t>AUDI TOT. TAUX FIXES SERV.</t>
  </si>
  <si>
    <t>1536</t>
  </si>
  <si>
    <t>80238</t>
  </si>
  <si>
    <t>AUDI TOT. HRS DISPO. SERV.</t>
  </si>
  <si>
    <t>1538</t>
  </si>
  <si>
    <t>80243</t>
  </si>
  <si>
    <t>AUDI TAUX M.O. CLIENT</t>
  </si>
  <si>
    <t>1540</t>
  </si>
  <si>
    <t>80244</t>
  </si>
  <si>
    <t>AUDI TAUX M.O. GARANTIE</t>
  </si>
  <si>
    <t>1544</t>
  </si>
  <si>
    <t>80245</t>
  </si>
  <si>
    <t>AUDI TAUX M.O. INTERNE</t>
  </si>
  <si>
    <t>1546</t>
  </si>
  <si>
    <t>80246</t>
  </si>
  <si>
    <t>AUDI TAUS M.O. CARROSS.</t>
  </si>
  <si>
    <t>1552</t>
  </si>
  <si>
    <t>80249</t>
  </si>
  <si>
    <t>BAIE DE SERVICE</t>
  </si>
  <si>
    <t>1582</t>
  </si>
  <si>
    <t>80257</t>
  </si>
  <si>
    <t>HEURES VENDUES-CLIENT AUDI</t>
  </si>
  <si>
    <t>1584</t>
  </si>
  <si>
    <t>80258</t>
  </si>
  <si>
    <t>HEURES VENDUES-GARANTIE AUDI</t>
  </si>
  <si>
    <t>1586</t>
  </si>
  <si>
    <t>80259</t>
  </si>
  <si>
    <t>HRES VENDUES AVANTAGE AUDI / SERVICE +</t>
  </si>
  <si>
    <t>1592</t>
  </si>
  <si>
    <t>80260</t>
  </si>
  <si>
    <t>HEURES VENDUES-INTERNE AUDI</t>
  </si>
  <si>
    <t>1593</t>
  </si>
  <si>
    <t>80300</t>
  </si>
  <si>
    <t>AUDI REC. VEH. +30JRS</t>
  </si>
  <si>
    <t>1594</t>
  </si>
  <si>
    <t>80301</t>
  </si>
  <si>
    <t>AUDI REC. PI/SERV +30JRS</t>
  </si>
  <si>
    <t>1595</t>
  </si>
  <si>
    <t>80302</t>
  </si>
  <si>
    <t>RECLAMATION GAR ADVANTAGE AUDI EXCEDENT</t>
  </si>
  <si>
    <t>1732</t>
  </si>
  <si>
    <t>80309</t>
  </si>
  <si>
    <t>AUDI REC. MANUF. +30JRS</t>
  </si>
  <si>
    <t>1733</t>
  </si>
  <si>
    <t>80350</t>
  </si>
  <si>
    <t>AUDI USAGE # +60 JRS</t>
  </si>
  <si>
    <t>1742</t>
  </si>
  <si>
    <t>80360</t>
  </si>
  <si>
    <t>AUDI USAGE $$ + 60 JRS</t>
  </si>
  <si>
    <t>1743</t>
  </si>
  <si>
    <t>80370</t>
  </si>
  <si>
    <t>AUDI MIN. REQUIS AVOIR PROP.</t>
  </si>
  <si>
    <t>1744</t>
  </si>
  <si>
    <t>80372</t>
  </si>
  <si>
    <t>AUDI MIN. REQUIS FDS ROULEMENT</t>
  </si>
  <si>
    <t>1745</t>
  </si>
  <si>
    <t>80401</t>
  </si>
  <si>
    <t>AUDI # VENTE NEUFS JANV.</t>
  </si>
  <si>
    <t>1760</t>
  </si>
  <si>
    <t>80402</t>
  </si>
  <si>
    <t>AUDI # VENTE NEUFS FEV.</t>
  </si>
  <si>
    <t>1761</t>
  </si>
  <si>
    <t>80403</t>
  </si>
  <si>
    <t>AUDI # VENTE NEUF MARS</t>
  </si>
  <si>
    <t>1762</t>
  </si>
  <si>
    <t>80404</t>
  </si>
  <si>
    <t>AUDI # VENTE NEUF AVRIL</t>
  </si>
  <si>
    <t>1763</t>
  </si>
  <si>
    <t>80405</t>
  </si>
  <si>
    <t>AUDI # VENTE NEUF MAI</t>
  </si>
  <si>
    <t>1772</t>
  </si>
  <si>
    <t>80406</t>
  </si>
  <si>
    <t>AUDI # VENTE NEUF JUIN</t>
  </si>
  <si>
    <t>1773</t>
  </si>
  <si>
    <t>80407</t>
  </si>
  <si>
    <t>AUDI # VENTE NEUF JUILL.</t>
  </si>
  <si>
    <t>1786</t>
  </si>
  <si>
    <t>80408</t>
  </si>
  <si>
    <t>AUDI # VENTE NEUF AOUT</t>
  </si>
  <si>
    <t>1787</t>
  </si>
  <si>
    <t>80421</t>
  </si>
  <si>
    <t>AUDI # VENTE USED DET. JANV.</t>
  </si>
  <si>
    <t>1792</t>
  </si>
  <si>
    <t>80422</t>
  </si>
  <si>
    <t>AUDI # VENTE USED DET. FEV.</t>
  </si>
  <si>
    <t>1793</t>
  </si>
  <si>
    <t>80423</t>
  </si>
  <si>
    <t>AUDI # VENTE USED DET. MARS</t>
  </si>
  <si>
    <t>80424</t>
  </si>
  <si>
    <t>AUDI # VENTE USED DET. AVRIL</t>
  </si>
  <si>
    <t>1806</t>
  </si>
  <si>
    <t>80425</t>
  </si>
  <si>
    <t>AUDI # VENTE USED DET. MAI</t>
  </si>
  <si>
    <t>20</t>
  </si>
  <si>
    <t>80426</t>
  </si>
  <si>
    <t>AUDI # VENTE USED DET JUIN</t>
  </si>
  <si>
    <t>80427</t>
  </si>
  <si>
    <t>AUDI # VENTE USED DET JUILL.</t>
  </si>
  <si>
    <t>80428</t>
  </si>
  <si>
    <t>AUDI # VENTE USED DET. AOUT</t>
  </si>
  <si>
    <t>80461</t>
  </si>
  <si>
    <t># VTE AU GROS JANVIER</t>
  </si>
  <si>
    <t>Véhicules au gros</t>
  </si>
  <si>
    <t>80462</t>
  </si>
  <si>
    <t># VTE AU GROS FEVRIER</t>
  </si>
  <si>
    <t>80463</t>
  </si>
  <si>
    <t># VTE AU GROS MARS</t>
  </si>
  <si>
    <t>2222</t>
  </si>
  <si>
    <t>80464</t>
  </si>
  <si>
    <t># VTE AU GROS AVRIL</t>
  </si>
  <si>
    <t>80465</t>
  </si>
  <si>
    <t># VTE AU GROS MAI</t>
  </si>
  <si>
    <t>2224</t>
  </si>
  <si>
    <t>80466</t>
  </si>
  <si>
    <t># VTE AU GROS JUIN</t>
  </si>
  <si>
    <t>2225</t>
  </si>
  <si>
    <t>80467</t>
  </si>
  <si>
    <t># VTE AU GROS JUILLET</t>
  </si>
  <si>
    <t>2281</t>
  </si>
  <si>
    <t>80468</t>
  </si>
  <si>
    <t># VTE AU GROS AOUT</t>
  </si>
  <si>
    <t>80511</t>
  </si>
  <si>
    <t>AUDI # DIR. GENERAL NEUF</t>
  </si>
  <si>
    <t>2285</t>
  </si>
  <si>
    <t>80512</t>
  </si>
  <si>
    <t>AUDI # DIR. GENERAL USED</t>
  </si>
  <si>
    <t>2287</t>
  </si>
  <si>
    <t>80514</t>
  </si>
  <si>
    <t>AUDI # DIR. GENERAL SERVICE</t>
  </si>
  <si>
    <t>229</t>
  </si>
  <si>
    <t>80515</t>
  </si>
  <si>
    <t>AUDI # DIR. GENERAL CARROSS.</t>
  </si>
  <si>
    <t>80517</t>
  </si>
  <si>
    <t>AUDI # DIR. GENERAL PIECE</t>
  </si>
  <si>
    <t>2292</t>
  </si>
  <si>
    <t>80521</t>
  </si>
  <si>
    <t>AUDI DIR. VENTE NEUF</t>
  </si>
  <si>
    <t>80522</t>
  </si>
  <si>
    <t>AUDI DIR. VENTE USAGE</t>
  </si>
  <si>
    <t>2295</t>
  </si>
  <si>
    <t>80524</t>
  </si>
  <si>
    <t>AUDI DIR. SERVICE</t>
  </si>
  <si>
    <t>2297</t>
  </si>
  <si>
    <t>80527</t>
  </si>
  <si>
    <t>AUDI DIR. PIECES</t>
  </si>
  <si>
    <t>230</t>
  </si>
  <si>
    <t>80532</t>
  </si>
  <si>
    <t>REPRES.AUTRE MARQUE-USAGE</t>
  </si>
  <si>
    <t>80536</t>
  </si>
  <si>
    <t># NETTOYAGE / ESTHETIQUE NEUF</t>
  </si>
  <si>
    <t>2335</t>
  </si>
  <si>
    <t>80541</t>
  </si>
  <si>
    <t>PERSONNEL-REP.VENTES AUDI NEUF</t>
  </si>
  <si>
    <t>234</t>
  </si>
  <si>
    <t>80542</t>
  </si>
  <si>
    <t>REP. DES VENTES AUDI USAGE</t>
  </si>
  <si>
    <t>2342</t>
  </si>
  <si>
    <t>80551</t>
  </si>
  <si>
    <t>AUDI DIR. COMMERCIAL NEUF</t>
  </si>
  <si>
    <t>2343</t>
  </si>
  <si>
    <t>80552</t>
  </si>
  <si>
    <t>AUDI DIR. COMMERCIAL USED</t>
  </si>
  <si>
    <t>2344</t>
  </si>
  <si>
    <t>80614</t>
  </si>
  <si>
    <t>PERSONNEL-CONSEILLER SERVICE AUDI-SERVICE</t>
  </si>
  <si>
    <t>236</t>
  </si>
  <si>
    <t>80615</t>
  </si>
  <si>
    <t>PERSONNEL-CONSEILLER SERVICE AUDI-P&amp;C</t>
  </si>
  <si>
    <t>238</t>
  </si>
  <si>
    <t>80621</t>
  </si>
  <si>
    <t>AUDI # LAVEUR NEUFS</t>
  </si>
  <si>
    <t>80622</t>
  </si>
  <si>
    <t>AUDI # LAVEUR USED</t>
  </si>
  <si>
    <t>243</t>
  </si>
  <si>
    <t>80624</t>
  </si>
  <si>
    <t>AUDI # LAVEUR SERVICE</t>
  </si>
  <si>
    <t>244</t>
  </si>
  <si>
    <t>80634</t>
  </si>
  <si>
    <t># NETTOYAGE / ESTHETIQUE SERV</t>
  </si>
  <si>
    <t>245</t>
  </si>
  <si>
    <t>80644</t>
  </si>
  <si>
    <t>PERSONNEL-TECHNICIEN AUDI SERVICE</t>
  </si>
  <si>
    <t>246</t>
  </si>
  <si>
    <t>80651</t>
  </si>
  <si>
    <t>AUDI DIR. ADMIN. NEUF</t>
  </si>
  <si>
    <t>80652</t>
  </si>
  <si>
    <t>AUDI DIR. ADMIN. USED</t>
  </si>
  <si>
    <t>80654</t>
  </si>
  <si>
    <t>AUDI DIR. ADMIN. SERVICE</t>
  </si>
  <si>
    <t>2505</t>
  </si>
  <si>
    <t>80655</t>
  </si>
  <si>
    <t>AUDI DIR. ADMIN. CARROSS.</t>
  </si>
  <si>
    <t>2507</t>
  </si>
  <si>
    <t>80657</t>
  </si>
  <si>
    <t>AUDI DIR. ADMIN. PIECE</t>
  </si>
  <si>
    <t>2509</t>
  </si>
  <si>
    <t>80661</t>
  </si>
  <si>
    <t>AUDI # CLERICAL NEUF</t>
  </si>
  <si>
    <t>2511</t>
  </si>
  <si>
    <t>80662</t>
  </si>
  <si>
    <t>AUDI # CLERICAL USED</t>
  </si>
  <si>
    <t>80664</t>
  </si>
  <si>
    <t>AUDI # CLERICAL SERVICE</t>
  </si>
  <si>
    <t>80665</t>
  </si>
  <si>
    <t>AUDI # CLERICAL CARROSS.</t>
  </si>
  <si>
    <t>258</t>
  </si>
  <si>
    <t>80667</t>
  </si>
  <si>
    <t>AUDI # CLERICAL PIECES</t>
  </si>
  <si>
    <t>259</t>
  </si>
  <si>
    <t>80677</t>
  </si>
  <si>
    <t>PERSONNEL-PIECES AUDI-P&amp;A</t>
  </si>
  <si>
    <t>81102</t>
  </si>
  <si>
    <t>AUDI BANQUE</t>
  </si>
  <si>
    <t>81103</t>
  </si>
  <si>
    <t>AUDI VISA</t>
  </si>
  <si>
    <t>81110</t>
  </si>
  <si>
    <t>SHOPIFY</t>
  </si>
  <si>
    <t>encaisse</t>
  </si>
  <si>
    <t>300</t>
  </si>
  <si>
    <t>81142</t>
  </si>
  <si>
    <t>AUDI ARGENT IN TRUST</t>
  </si>
  <si>
    <t>81182</t>
  </si>
  <si>
    <t>AUDI PETITE CAISSE</t>
  </si>
  <si>
    <t>3003</t>
  </si>
  <si>
    <t>81188</t>
  </si>
  <si>
    <t>AUDI VENTE COMPTANT SERVICE</t>
  </si>
  <si>
    <t>3007</t>
  </si>
  <si>
    <t>81189</t>
  </si>
  <si>
    <t>AUDI VENTE COMPTANT PIECES</t>
  </si>
  <si>
    <t>301</t>
  </si>
  <si>
    <t>81202</t>
  </si>
  <si>
    <t>AUDI CONTRATS EN TRANSIT</t>
  </si>
  <si>
    <t>302</t>
  </si>
  <si>
    <t>81302</t>
  </si>
  <si>
    <t>AUDI RECEV. VEHICULES</t>
  </si>
  <si>
    <t>307</t>
  </si>
  <si>
    <t>81303</t>
  </si>
  <si>
    <t>AUDI RECEV. LPA ET AU GROS</t>
  </si>
  <si>
    <t>311</t>
  </si>
  <si>
    <t>81304</t>
  </si>
  <si>
    <t>AUDI RECEV. SERVICE PIECES</t>
  </si>
  <si>
    <t>312</t>
  </si>
  <si>
    <t>81305</t>
  </si>
  <si>
    <t>AUDI RECEV. CARROSSERIE</t>
  </si>
  <si>
    <t>313</t>
  </si>
  <si>
    <t>81314</t>
  </si>
  <si>
    <t>AUDI RECEV. RESERVE</t>
  </si>
  <si>
    <t>316</t>
  </si>
  <si>
    <t>81334</t>
  </si>
  <si>
    <t>RECLAMATIONS GAR. ADVANTAGE AUDI</t>
  </si>
  <si>
    <t>3201</t>
  </si>
  <si>
    <t>81340</t>
  </si>
  <si>
    <t>RECEV GARANTIE NATIONALE</t>
  </si>
  <si>
    <t>350</t>
  </si>
  <si>
    <t>81342</t>
  </si>
  <si>
    <t>RECEV. GARANTIE LGM</t>
  </si>
  <si>
    <t>360</t>
  </si>
  <si>
    <t>81346</t>
  </si>
  <si>
    <t>AUDI RESERVE VALET</t>
  </si>
  <si>
    <t>370</t>
  </si>
  <si>
    <t>81354</t>
  </si>
  <si>
    <t>AUDI RECEV. MANUFACTURIER</t>
  </si>
  <si>
    <t>372</t>
  </si>
  <si>
    <t>81364</t>
  </si>
  <si>
    <t>AUDI RECEV. LAR</t>
  </si>
  <si>
    <t>81372</t>
  </si>
  <si>
    <t>AUDI RECEV. TAXES DE VENTES</t>
  </si>
  <si>
    <t>401</t>
  </si>
  <si>
    <t>81382</t>
  </si>
  <si>
    <t>AUDI AUTRES RECEV.</t>
  </si>
  <si>
    <t>402</t>
  </si>
  <si>
    <t>81404</t>
  </si>
  <si>
    <t>AUDI VEHIC. NEUFS</t>
  </si>
  <si>
    <t>403</t>
  </si>
  <si>
    <t>81404@</t>
  </si>
  <si>
    <t># DE AUDI VEHIC. NEUFS</t>
  </si>
  <si>
    <t>404</t>
  </si>
  <si>
    <t>81405</t>
  </si>
  <si>
    <t>AUDI BRUISING VEH. NEUFS</t>
  </si>
  <si>
    <t>405</t>
  </si>
  <si>
    <t>81415</t>
  </si>
  <si>
    <t>AUDI BRUISING VEH. USED</t>
  </si>
  <si>
    <t>406</t>
  </si>
  <si>
    <t>81418</t>
  </si>
  <si>
    <t>AUDI VEH. USAGE NON-CERTIFIE</t>
  </si>
  <si>
    <t>407</t>
  </si>
  <si>
    <t>81418@</t>
  </si>
  <si>
    <t># DE AUDI VEH. USAGE NON-CERTIFIE</t>
  </si>
  <si>
    <t>408</t>
  </si>
  <si>
    <t>81422</t>
  </si>
  <si>
    <t>INV DEMO</t>
  </si>
  <si>
    <t>409</t>
  </si>
  <si>
    <t>81422@</t>
  </si>
  <si>
    <t># DE VEHICULE DEMO</t>
  </si>
  <si>
    <t>410</t>
  </si>
  <si>
    <t>81432</t>
  </si>
  <si>
    <t>VEHICULE COURTOISIE</t>
  </si>
  <si>
    <t>81432@</t>
  </si>
  <si>
    <t># DE VEHICULE COURTOISIE</t>
  </si>
  <si>
    <t>81442</t>
  </si>
  <si>
    <t>AUDI INVENT. PIECES</t>
  </si>
  <si>
    <t>4101</t>
  </si>
  <si>
    <t>81448</t>
  </si>
  <si>
    <t>AUDI INVENT. PNEUS</t>
  </si>
  <si>
    <t>81450</t>
  </si>
  <si>
    <t>PIECES APRES VENTES</t>
  </si>
  <si>
    <t>81472</t>
  </si>
  <si>
    <t>WIP M-O AUDI</t>
  </si>
  <si>
    <t>81474</t>
  </si>
  <si>
    <t>AUDI SOUS-TRAITANT</t>
  </si>
  <si>
    <t>81492</t>
  </si>
  <si>
    <t>AUDI INVENT. HUILE</t>
  </si>
  <si>
    <t>81498</t>
  </si>
  <si>
    <t>AUDI INVENT. JOBBER PIECES</t>
  </si>
  <si>
    <t>81502</t>
  </si>
  <si>
    <t>FPA PUB. NEUFS AUDI</t>
  </si>
  <si>
    <t>81504</t>
  </si>
  <si>
    <t>FPA PUB USAGES AUDI</t>
  </si>
  <si>
    <t>81506</t>
  </si>
  <si>
    <t>FPA PUB PIECES SERVICE AUDI</t>
  </si>
  <si>
    <t>81520</t>
  </si>
  <si>
    <t>FPA PLAQUES AUDI</t>
  </si>
  <si>
    <t>81522</t>
  </si>
  <si>
    <t>FPA ASS. GARAGE AUDI</t>
  </si>
  <si>
    <t>4113</t>
  </si>
  <si>
    <t>81528</t>
  </si>
  <si>
    <t>AUDI FPA DEDUCTIBLE ASSUR.</t>
  </si>
  <si>
    <t>81530</t>
  </si>
  <si>
    <t>FPA PAPETERIE AUDI</t>
  </si>
  <si>
    <t>81532</t>
  </si>
  <si>
    <t>FPA CCAM</t>
  </si>
  <si>
    <t>81534</t>
  </si>
  <si>
    <t>FPA FOURNITURES ATELIER AUDI</t>
  </si>
  <si>
    <t>81536</t>
  </si>
  <si>
    <t>FPA HONORAIRE PROFESS. AUDI</t>
  </si>
  <si>
    <t>81538</t>
  </si>
  <si>
    <t>FPA FORMATION AUDI</t>
  </si>
  <si>
    <t>81540</t>
  </si>
  <si>
    <t>FPA CONTRAT DE SERVICE AUDI</t>
  </si>
  <si>
    <t>81544</t>
  </si>
  <si>
    <t>FPA GAZ METRO AUDI</t>
  </si>
  <si>
    <t>81546</t>
  </si>
  <si>
    <t>FPA HYDRO QUEBEC</t>
  </si>
  <si>
    <t>81552</t>
  </si>
  <si>
    <t>CSST AUDI</t>
  </si>
  <si>
    <t>81582</t>
  </si>
  <si>
    <t>FPA TAXES MUNICIPALES AUDI</t>
  </si>
  <si>
    <t>81586</t>
  </si>
  <si>
    <t>FPA TAXES SCOLAIRES AUDI</t>
  </si>
  <si>
    <t>81592</t>
  </si>
  <si>
    <t>FPA AUTRES AUDI</t>
  </si>
  <si>
    <t>81593</t>
  </si>
  <si>
    <t>81594</t>
  </si>
  <si>
    <t>FRAIS VOYAGE</t>
  </si>
  <si>
    <t>81595</t>
  </si>
  <si>
    <t>FRAIS REP NON DEDUCTIBLE</t>
  </si>
  <si>
    <t>81732</t>
  </si>
  <si>
    <t>AMEL. LOCATIVES AUDI</t>
  </si>
  <si>
    <t>81733</t>
  </si>
  <si>
    <t>AM. CUM. AMEL. LOCATIVES AUDI</t>
  </si>
  <si>
    <t>421</t>
  </si>
  <si>
    <t>81738</t>
  </si>
  <si>
    <t>AMEL LOCATIVES CPO</t>
  </si>
  <si>
    <t>81739</t>
  </si>
  <si>
    <t>AMORT AMEL LOCATIVE CPO</t>
  </si>
  <si>
    <t>81742</t>
  </si>
  <si>
    <t>EQUIP. SERVICE AUDI</t>
  </si>
  <si>
    <t>422</t>
  </si>
  <si>
    <t>81743</t>
  </si>
  <si>
    <t>AM. CUM. EQUIP. SERVICE AUDI</t>
  </si>
  <si>
    <t>423</t>
  </si>
  <si>
    <t>81744</t>
  </si>
  <si>
    <t>EQUIP. PIECES AUDI</t>
  </si>
  <si>
    <t>424</t>
  </si>
  <si>
    <t>81745</t>
  </si>
  <si>
    <t>AM. CUM. EQUIP. PIECES AUDI</t>
  </si>
  <si>
    <t>425</t>
  </si>
  <si>
    <t>81748</t>
  </si>
  <si>
    <t>EQUIP PIECE SERVICE CPO</t>
  </si>
  <si>
    <t>426</t>
  </si>
  <si>
    <t>81749</t>
  </si>
  <si>
    <t>AMORT EQUIP SERV/PIECE CPO</t>
  </si>
  <si>
    <t>427</t>
  </si>
  <si>
    <t>81760</t>
  </si>
  <si>
    <t>EQUIP. TELEPHONIQUE AUDI</t>
  </si>
  <si>
    <t>428</t>
  </si>
  <si>
    <t>81761</t>
  </si>
  <si>
    <t>AM. CUM. EQ. TELEPHONIQUE AUDI</t>
  </si>
  <si>
    <t>4285</t>
  </si>
  <si>
    <t>81762</t>
  </si>
  <si>
    <t>MOBILIER ET FIXTURE</t>
  </si>
  <si>
    <t>mobilier</t>
  </si>
  <si>
    <t>81763</t>
  </si>
  <si>
    <t>AM. CUM. MOBILIER ET FIXTURE AUDI</t>
  </si>
  <si>
    <t>429</t>
  </si>
  <si>
    <t>81768</t>
  </si>
  <si>
    <t>EQUIP TELEPHONIQUE CPO</t>
  </si>
  <si>
    <t>4291</t>
  </si>
  <si>
    <t>81769</t>
  </si>
  <si>
    <t>AMORT EQUIP TELEPHONE CPO</t>
  </si>
  <si>
    <t>81778</t>
  </si>
  <si>
    <t>MOBILIER FIXTURE CPO</t>
  </si>
  <si>
    <t>430</t>
  </si>
  <si>
    <t>81779</t>
  </si>
  <si>
    <t>AMORT MOBILIER FIXTURE CPO</t>
  </si>
  <si>
    <t>431</t>
  </si>
  <si>
    <t>81786</t>
  </si>
  <si>
    <t>EQUIP. INFORMATIQUE AUDI</t>
  </si>
  <si>
    <t>81787</t>
  </si>
  <si>
    <t>AM. CUM. EQ. INFORMATIQUE AUDI</t>
  </si>
  <si>
    <t>81788</t>
  </si>
  <si>
    <t>EQUIP INFORMATIQUE CPO</t>
  </si>
  <si>
    <t>81789</t>
  </si>
  <si>
    <t>AMORT EQUIP INFO CPO</t>
  </si>
  <si>
    <t>81792</t>
  </si>
  <si>
    <t>81793</t>
  </si>
  <si>
    <t>AM. CUM. ENSEIGNES AUDI</t>
  </si>
  <si>
    <t>enseigne</t>
  </si>
  <si>
    <t>81806</t>
  </si>
  <si>
    <t>AUDI RECEV. FINANCE</t>
  </si>
  <si>
    <t>82101</t>
  </si>
  <si>
    <t>NOTE A PAYER VEH. NEUFS AUDI</t>
  </si>
  <si>
    <t>82220</t>
  </si>
  <si>
    <t>AUDI TPA A PAYER</t>
  </si>
  <si>
    <t>4411</t>
  </si>
  <si>
    <t>82221</t>
  </si>
  <si>
    <t>AUDI TVQ A PAYER</t>
  </si>
  <si>
    <t>82222</t>
  </si>
  <si>
    <t>AUDI RTI A RECEVOIR</t>
  </si>
  <si>
    <t>4451</t>
  </si>
  <si>
    <t>82223</t>
  </si>
  <si>
    <t>AUDI TPS A PAYER</t>
  </si>
  <si>
    <t>82224</t>
  </si>
  <si>
    <t>AUDI CTI A RECEVOIR</t>
  </si>
  <si>
    <t>82225</t>
  </si>
  <si>
    <t>AUDI DROIT SUR PNEUS A PAYER</t>
  </si>
  <si>
    <t>82281</t>
  </si>
  <si>
    <t>AUDI LIEN A PAYER</t>
  </si>
  <si>
    <t>82283</t>
  </si>
  <si>
    <t>AUDI PLAQUES A PAYER</t>
  </si>
  <si>
    <t>82285</t>
  </si>
  <si>
    <t>AUDI PROTECTIONS A PAYER</t>
  </si>
  <si>
    <t>82287</t>
  </si>
  <si>
    <t>AUDI INVAPLAN A PAYER</t>
  </si>
  <si>
    <t>82291</t>
  </si>
  <si>
    <t>AUDI COMPTES A PAYER</t>
  </si>
  <si>
    <t>82292</t>
  </si>
  <si>
    <t>AUDI ECHANGE CONCESSIONNAIRE</t>
  </si>
  <si>
    <t>82293</t>
  </si>
  <si>
    <t>AUDI RESERVE GARANTIE USAGE</t>
  </si>
  <si>
    <t>82297</t>
  </si>
  <si>
    <t>AUDI RESERVE RENOUVELLEMENT</t>
  </si>
  <si>
    <t>82310</t>
  </si>
  <si>
    <t>AUDI PRET CIBC COURT TERME</t>
  </si>
  <si>
    <t>82315</t>
  </si>
  <si>
    <t>AUDI ASS. GROUPE A PAYER</t>
  </si>
  <si>
    <t>82335</t>
  </si>
  <si>
    <t>AUDI COMITE SOCIAL</t>
  </si>
  <si>
    <t>82342</t>
  </si>
  <si>
    <t>AUDI REER STANDARD LIFE</t>
  </si>
  <si>
    <t>82343</t>
  </si>
  <si>
    <t>AUDI COMITE PARITAIRE A PAYER</t>
  </si>
  <si>
    <t>82344</t>
  </si>
  <si>
    <t>82401</t>
  </si>
  <si>
    <t>AUDI DEPOTS DE CLIENTS</t>
  </si>
  <si>
    <t>82501</t>
  </si>
  <si>
    <t>AUDI COMMISSIONS A PAYER</t>
  </si>
  <si>
    <t>82503</t>
  </si>
  <si>
    <t>AUDI SALAIRE COURU A PAYER</t>
  </si>
  <si>
    <t>82505</t>
  </si>
  <si>
    <t>AUDI FERIES A PAYER</t>
  </si>
  <si>
    <t>82509</t>
  </si>
  <si>
    <t>AUDI VACANCES A PAYER</t>
  </si>
  <si>
    <t>82511</t>
  </si>
  <si>
    <t>AUDI JOURS MALADIE A PAYER</t>
  </si>
  <si>
    <t>82801</t>
  </si>
  <si>
    <t>AUDI PRET EN CAPITAUX CIBC</t>
  </si>
  <si>
    <t>4721</t>
  </si>
  <si>
    <t>82901</t>
  </si>
  <si>
    <t>83007</t>
  </si>
  <si>
    <t>AUDI ACTIONS ORDINAIRES</t>
  </si>
  <si>
    <t>83201</t>
  </si>
  <si>
    <t>AUDI B.N.R.</t>
  </si>
  <si>
    <t>84041</t>
  </si>
  <si>
    <t>VTE - A3 2.0 TFSI SURALLOCATION ESCOMPTE</t>
  </si>
  <si>
    <t>84043</t>
  </si>
  <si>
    <t>VTE - A4 2.0 TFSI BERLINE FRONT TRAK SURALLOCATIO</t>
  </si>
  <si>
    <t>84044</t>
  </si>
  <si>
    <t>VTE - A4 2.0 TSFI BERLINE QUATTRO</t>
  </si>
  <si>
    <t>84046</t>
  </si>
  <si>
    <t>VTE - A6 2.0 TFSI SURALLOCATION/ESCOMPTE</t>
  </si>
  <si>
    <t>84047</t>
  </si>
  <si>
    <t>VTE - S7 SURALLOCATION/ESCOMPTE</t>
  </si>
  <si>
    <t>84054</t>
  </si>
  <si>
    <t>VTE - RS4 BERLINE - SURALLOCATION ESCOMPTE</t>
  </si>
  <si>
    <t>84058</t>
  </si>
  <si>
    <t>VTE - ALLOC. REMISE A6 4.2 BERLINE</t>
  </si>
  <si>
    <t>84059</t>
  </si>
  <si>
    <t>VTE - A6 3.0 TFSI AVANT SURALLOC ESC</t>
  </si>
  <si>
    <t>84063</t>
  </si>
  <si>
    <t>VTE - Q7 3.0 TFSI SURALLOC ESC</t>
  </si>
  <si>
    <t>84064</t>
  </si>
  <si>
    <t>VTE - Q7 3.0 TFSI SPORT SURALLOC ESC</t>
  </si>
  <si>
    <t>84075</t>
  </si>
  <si>
    <t>VTE - R8 GT SURALLOCATION/ESCOMPTE</t>
  </si>
  <si>
    <t>4785</t>
  </si>
  <si>
    <t>84090</t>
  </si>
  <si>
    <t>VTE - Q7 3.0 TDI</t>
  </si>
  <si>
    <t>84106</t>
  </si>
  <si>
    <t>VTE - A3 SPORTBACK E-TRON</t>
  </si>
  <si>
    <t>500</t>
  </si>
  <si>
    <t>84109</t>
  </si>
  <si>
    <t>C/V - RS5 COUPE</t>
  </si>
  <si>
    <t>5100</t>
  </si>
  <si>
    <t>84110</t>
  </si>
  <si>
    <t>VTE - RS5 SPORTBACK</t>
  </si>
  <si>
    <t>5101</t>
  </si>
  <si>
    <t>84110@</t>
  </si>
  <si>
    <t># DE VTE - RS5 SPORTBACK</t>
  </si>
  <si>
    <t>5105</t>
  </si>
  <si>
    <t>84112</t>
  </si>
  <si>
    <t>VTE - Q8</t>
  </si>
  <si>
    <t>5107</t>
  </si>
  <si>
    <t>84112@</t>
  </si>
  <si>
    <t># DE VTE - Q8</t>
  </si>
  <si>
    <t>5109</t>
  </si>
  <si>
    <t>84113</t>
  </si>
  <si>
    <t>VTES -VTE- E-TRON C-SUV</t>
  </si>
  <si>
    <t>84113@</t>
  </si>
  <si>
    <t># DE VTES  E-TRON C-SUV</t>
  </si>
  <si>
    <t>5111</t>
  </si>
  <si>
    <t>84114</t>
  </si>
  <si>
    <t>VTES -VTE - A8 3.0 LWB</t>
  </si>
  <si>
    <t>5113</t>
  </si>
  <si>
    <t>84114@</t>
  </si>
  <si>
    <t># OF VTES -VTE - A8 3.0 LWB</t>
  </si>
  <si>
    <t>5115</t>
  </si>
  <si>
    <t>84117</t>
  </si>
  <si>
    <t>VTE - Q3 2.0 TFSI QUATTRO</t>
  </si>
  <si>
    <t>5119</t>
  </si>
  <si>
    <t>84117@</t>
  </si>
  <si>
    <t># DE VTE - Q3 2.0 TFSI QUATTRO</t>
  </si>
  <si>
    <t>512</t>
  </si>
  <si>
    <t>84118</t>
  </si>
  <si>
    <t>VTES -E-TRON SPORTBACK</t>
  </si>
  <si>
    <t>5127</t>
  </si>
  <si>
    <t>84118@</t>
  </si>
  <si>
    <t># OF VTES -E-TRON SPORTBACK</t>
  </si>
  <si>
    <t>5131</t>
  </si>
  <si>
    <t>84120</t>
  </si>
  <si>
    <t>VTES -VTE- A5 SPORTBACK</t>
  </si>
  <si>
    <t>5135</t>
  </si>
  <si>
    <t>84120@</t>
  </si>
  <si>
    <t># OF VTES -VTE- A5 SPORTBACK</t>
  </si>
  <si>
    <t>5137</t>
  </si>
  <si>
    <t>84121</t>
  </si>
  <si>
    <t>VTES -VTE- S5 SPORTBACK</t>
  </si>
  <si>
    <t>5139</t>
  </si>
  <si>
    <t>84121@</t>
  </si>
  <si>
    <t># OF VTES -VTE- S5 SPORTBACK</t>
  </si>
  <si>
    <t>84123</t>
  </si>
  <si>
    <t>VTE - RS3 BERLINE</t>
  </si>
  <si>
    <t>515</t>
  </si>
  <si>
    <t>84123@</t>
  </si>
  <si>
    <t># DE VTE - RS3 BERLINE</t>
  </si>
  <si>
    <t>517</t>
  </si>
  <si>
    <t>84124</t>
  </si>
  <si>
    <t>VTE - TTRS COUPE</t>
  </si>
  <si>
    <t>5201</t>
  </si>
  <si>
    <t>84124@</t>
  </si>
  <si>
    <t># DE VTE - TTRS COUPE</t>
  </si>
  <si>
    <t>5203</t>
  </si>
  <si>
    <t>84140</t>
  </si>
  <si>
    <t>VTE - A3 2.0 TDI</t>
  </si>
  <si>
    <t>521</t>
  </si>
  <si>
    <t>84141</t>
  </si>
  <si>
    <t>VTE - A3 2.0 TFSI</t>
  </si>
  <si>
    <t>5211</t>
  </si>
  <si>
    <t>84141@</t>
  </si>
  <si>
    <t># DE VTE - A3 2.0 TFSI</t>
  </si>
  <si>
    <t>5213</t>
  </si>
  <si>
    <t>84142</t>
  </si>
  <si>
    <t>VTE - RS5 CABRIOLET</t>
  </si>
  <si>
    <t>522</t>
  </si>
  <si>
    <t>84143</t>
  </si>
  <si>
    <t>VTES -VTE - A4 2.0 TSFI BERLINE QUATTRO</t>
  </si>
  <si>
    <t>524</t>
  </si>
  <si>
    <t>84144</t>
  </si>
  <si>
    <t>527</t>
  </si>
  <si>
    <t>84144@</t>
  </si>
  <si>
    <t># DE VTE - A4 2.0 TFSI BERLINE QUATTRO</t>
  </si>
  <si>
    <t>5285</t>
  </si>
  <si>
    <t>84145</t>
  </si>
  <si>
    <t>VTE - RS5</t>
  </si>
  <si>
    <t>5286</t>
  </si>
  <si>
    <t>84146</t>
  </si>
  <si>
    <t>VTE - A6 2.0 TFSI</t>
  </si>
  <si>
    <t>5291</t>
  </si>
  <si>
    <t>84146@</t>
  </si>
  <si>
    <t># DE VTE - A6 2.0 TFSI</t>
  </si>
  <si>
    <t>5401</t>
  </si>
  <si>
    <t>84147</t>
  </si>
  <si>
    <t>VTE - S7</t>
  </si>
  <si>
    <t>5402</t>
  </si>
  <si>
    <t>84148</t>
  </si>
  <si>
    <t>VTE - Q5 3.0 TDI</t>
  </si>
  <si>
    <t>5403</t>
  </si>
  <si>
    <t>84149</t>
  </si>
  <si>
    <t>VTE - RS7</t>
  </si>
  <si>
    <t>5405</t>
  </si>
  <si>
    <t>84150</t>
  </si>
  <si>
    <t>VTE - A3 2.0 TFSI QUATTRO</t>
  </si>
  <si>
    <t>541</t>
  </si>
  <si>
    <t>84151</t>
  </si>
  <si>
    <t>VTE - A4 AVANT 2.0 TFSI QUATTRO</t>
  </si>
  <si>
    <t>5416</t>
  </si>
  <si>
    <t>84151@</t>
  </si>
  <si>
    <t># DE VTE - A4 AV 2.0 TFSI QUATTRO</t>
  </si>
  <si>
    <t>542</t>
  </si>
  <si>
    <t>84152</t>
  </si>
  <si>
    <t>VTE - S5 CABRIOLET</t>
  </si>
  <si>
    <t>5451</t>
  </si>
  <si>
    <t>84153</t>
  </si>
  <si>
    <t>VTE - S4 BERLINE</t>
  </si>
  <si>
    <t>5491</t>
  </si>
  <si>
    <t>84153@</t>
  </si>
  <si>
    <t>S4 BERLINE AVANT CABRIOLET</t>
  </si>
  <si>
    <t>5493</t>
  </si>
  <si>
    <t>84154</t>
  </si>
  <si>
    <t>VTE - A8 3.0 TDI NWB &amp; LWB</t>
  </si>
  <si>
    <t>5495</t>
  </si>
  <si>
    <t>84155</t>
  </si>
  <si>
    <t>VTES -VTE - A3  2.0 FWD TFSI</t>
  </si>
  <si>
    <t>551</t>
  </si>
  <si>
    <t>84155@</t>
  </si>
  <si>
    <t># DE VTE - A3 2.0 TFSI FWD</t>
  </si>
  <si>
    <t>552</t>
  </si>
  <si>
    <t>84156</t>
  </si>
  <si>
    <t>VTE - A8 4.0 TFSI NWB &amp; LWB</t>
  </si>
  <si>
    <t>5591</t>
  </si>
  <si>
    <t>84157</t>
  </si>
  <si>
    <t>VTE - Q3 2.0 TFSI</t>
  </si>
  <si>
    <t>5593</t>
  </si>
  <si>
    <t>84158</t>
  </si>
  <si>
    <t>VTE - A6 3.0 TDI</t>
  </si>
  <si>
    <t>5595</t>
  </si>
  <si>
    <t>84159</t>
  </si>
  <si>
    <t>VTE - A7 3.0 TDI</t>
  </si>
  <si>
    <t>5701</t>
  </si>
  <si>
    <t>84160</t>
  </si>
  <si>
    <t>VTE - S6 - TOUTES</t>
  </si>
  <si>
    <t>5702</t>
  </si>
  <si>
    <t>84160@</t>
  </si>
  <si>
    <t># DE VTE - S6</t>
  </si>
  <si>
    <t>5703</t>
  </si>
  <si>
    <t>84161</t>
  </si>
  <si>
    <t>VTE - A5 2.0 TFSI CABRIOLET</t>
  </si>
  <si>
    <t>5705</t>
  </si>
  <si>
    <t>84161@</t>
  </si>
  <si>
    <t># DE VTE - A5 2.0 TFSI CABRIOLET</t>
  </si>
  <si>
    <t>5706</t>
  </si>
  <si>
    <t>84162</t>
  </si>
  <si>
    <t>VTE - Q5 2.0 TFSIE</t>
  </si>
  <si>
    <t>5711</t>
  </si>
  <si>
    <t>84162@</t>
  </si>
  <si>
    <t># DE VTE - Q5 2.0 TFSI</t>
  </si>
  <si>
    <t>5721</t>
  </si>
  <si>
    <t>84163</t>
  </si>
  <si>
    <t>VTE - Q7 3.0 TFSI</t>
  </si>
  <si>
    <t>5731</t>
  </si>
  <si>
    <t>84163@</t>
  </si>
  <si>
    <t># VTE - Q7 3.0 TFSI</t>
  </si>
  <si>
    <t>5733</t>
  </si>
  <si>
    <t>84164</t>
  </si>
  <si>
    <t>VTE - Q7 3.0 TFSI SPORT</t>
  </si>
  <si>
    <t>5735</t>
  </si>
  <si>
    <t>84165</t>
  </si>
  <si>
    <t>VTE - A8 NWB ALL</t>
  </si>
  <si>
    <t>5761</t>
  </si>
  <si>
    <t>84166</t>
  </si>
  <si>
    <t>VTE - A8 LWB</t>
  </si>
  <si>
    <t>5763</t>
  </si>
  <si>
    <t>84167</t>
  </si>
  <si>
    <t>VTE - S8 - TOUTES</t>
  </si>
  <si>
    <t>5781</t>
  </si>
  <si>
    <t>84168</t>
  </si>
  <si>
    <t>VTE - TT COUPE 2.0 TFSI</t>
  </si>
  <si>
    <t>5785</t>
  </si>
  <si>
    <t>84168@</t>
  </si>
  <si>
    <t># DE VTE - TT COUPE 2.0 TFSI</t>
  </si>
  <si>
    <t>84169</t>
  </si>
  <si>
    <t>VTE - TT ROADSTER 2.0 TSFI</t>
  </si>
  <si>
    <t>5796</t>
  </si>
  <si>
    <t>84169@</t>
  </si>
  <si>
    <t># DE VTE - TT ROADSTER 2.0 TSFI</t>
  </si>
  <si>
    <t>60</t>
  </si>
  <si>
    <t>84170</t>
  </si>
  <si>
    <t>VTE - A8 W12 LWB</t>
  </si>
  <si>
    <t>84171</t>
  </si>
  <si>
    <t>VTE - R8 COUPE</t>
  </si>
  <si>
    <t>84172</t>
  </si>
  <si>
    <t>VTE - R8 5.2 SPYDER</t>
  </si>
  <si>
    <t>84173</t>
  </si>
  <si>
    <t>VTE - A7 3.0 TFSI</t>
  </si>
  <si>
    <t>84173@</t>
  </si>
  <si>
    <t># DE VTE - A7 3.0 TFSI</t>
  </si>
  <si>
    <t>84174</t>
  </si>
  <si>
    <t>VTE - A5 2.0 TFSI COUPE</t>
  </si>
  <si>
    <t>84174@</t>
  </si>
  <si>
    <t># DE VTE - A5 2.0 TSFI COUPE</t>
  </si>
  <si>
    <t>84175</t>
  </si>
  <si>
    <t>VTE - R8 GT</t>
  </si>
  <si>
    <t>6115</t>
  </si>
  <si>
    <t>84176</t>
  </si>
  <si>
    <t>VTE - S5 COUPE</t>
  </si>
  <si>
    <t>84176@</t>
  </si>
  <si>
    <t># DE VTE - S5 TOUTES</t>
  </si>
  <si>
    <t>84177</t>
  </si>
  <si>
    <t>VTE - SQ5</t>
  </si>
  <si>
    <t>84177@</t>
  </si>
  <si>
    <t># DE VTE - SQ5</t>
  </si>
  <si>
    <t>84178</t>
  </si>
  <si>
    <t>VTE - Q5 3.0 TFSI</t>
  </si>
  <si>
    <t>84179</t>
  </si>
  <si>
    <t>VTE - Q5 2.0 TFSI HYBRIDE</t>
  </si>
  <si>
    <t>84180</t>
  </si>
  <si>
    <t>VTE - A6 3.0T BERLINE</t>
  </si>
  <si>
    <t>84180@</t>
  </si>
  <si>
    <t># DE VTE - A6 3.0 TFSI</t>
  </si>
  <si>
    <t>84182</t>
  </si>
  <si>
    <t>VTE - AUDI CARE - AUDI NEUF</t>
  </si>
  <si>
    <t>614</t>
  </si>
  <si>
    <t>84182@</t>
  </si>
  <si>
    <t># DE VTE - CONTRATS AUDI SERVICE PLUS - AUDI</t>
  </si>
  <si>
    <t>84183</t>
  </si>
  <si>
    <t>VTE - TT S COUPE</t>
  </si>
  <si>
    <t>84184</t>
  </si>
  <si>
    <t>VTE - TT S ROADSTER</t>
  </si>
  <si>
    <t>84186</t>
  </si>
  <si>
    <t>VTE - S3 2.0 TSFI</t>
  </si>
  <si>
    <t>84186@</t>
  </si>
  <si>
    <t># DE VTE - S3 2.0 TSFI</t>
  </si>
  <si>
    <t>84187</t>
  </si>
  <si>
    <t>VTE - AUDI NEUVE FLOTTE</t>
  </si>
  <si>
    <t>84187@</t>
  </si>
  <si>
    <t># DE VTE - AUDI FLOTTES</t>
  </si>
  <si>
    <t>84188</t>
  </si>
  <si>
    <t>VTE - DEMO AUTO NEUVE</t>
  </si>
  <si>
    <t>84188@</t>
  </si>
  <si>
    <t># DE VTE - DEMO AUTO NEUVE</t>
  </si>
  <si>
    <t>84189</t>
  </si>
  <si>
    <t>VTE - DEMOS CAMION NEUF</t>
  </si>
  <si>
    <t>84189@</t>
  </si>
  <si>
    <t># DE VTE - DEMO CAM NEUF</t>
  </si>
  <si>
    <t>84190</t>
  </si>
  <si>
    <t>84192</t>
  </si>
  <si>
    <t>VTE - R8 4.2</t>
  </si>
  <si>
    <t>84194</t>
  </si>
  <si>
    <t>VTES -VTE - R8 5.2 FSI COUP SPYDER V10 PERFOR</t>
  </si>
  <si>
    <t>6162</t>
  </si>
  <si>
    <t>84197</t>
  </si>
  <si>
    <t>VTE - A3 2.0 TFSI CABRIO</t>
  </si>
  <si>
    <t>84197@</t>
  </si>
  <si>
    <t># DE VTE - A3 2.0 TFSI CABRIO</t>
  </si>
  <si>
    <t>84199</t>
  </si>
  <si>
    <t>VTE - Q7 2.0 TFSI</t>
  </si>
  <si>
    <t>84199@</t>
  </si>
  <si>
    <t># DE VTE - Q7 2.0 TFSI</t>
  </si>
  <si>
    <t>84200</t>
  </si>
  <si>
    <t>VTE - AUDI RACHAT DE BAIL</t>
  </si>
  <si>
    <t>84200@</t>
  </si>
  <si>
    <t># DE VTE - AUDI RACHAT DE BAIL</t>
  </si>
  <si>
    <t>84250</t>
  </si>
  <si>
    <t>VTE - AUDI USAGE CERTIFIE</t>
  </si>
  <si>
    <t>6201</t>
  </si>
  <si>
    <t>84285</t>
  </si>
  <si>
    <t>VTE - USAGE AUTRES MARQUES</t>
  </si>
  <si>
    <t>6202</t>
  </si>
  <si>
    <t>84285@</t>
  </si>
  <si>
    <t># DE VTE - USAGE AUTRES MARQUES</t>
  </si>
  <si>
    <t>6203</t>
  </si>
  <si>
    <t>84289</t>
  </si>
  <si>
    <t>VTE - AUDI CARE - AUDI USAGE</t>
  </si>
  <si>
    <t>6206</t>
  </si>
  <si>
    <t>84289@</t>
  </si>
  <si>
    <t># DE VTE - CONTRAT SERVICE PLUS AUDI USAGEE D</t>
  </si>
  <si>
    <t>6207</t>
  </si>
  <si>
    <t>84291</t>
  </si>
  <si>
    <t>VTE - AUDI USAGE AU GROS</t>
  </si>
  <si>
    <t>6208</t>
  </si>
  <si>
    <t>84291@</t>
  </si>
  <si>
    <t># DE VTE - AUDI USAGE AU GROS</t>
  </si>
  <si>
    <t>621</t>
  </si>
  <si>
    <t>84293</t>
  </si>
  <si>
    <t>VTE - VENTES AU GROS - AUTRES MARQUES</t>
  </si>
  <si>
    <t>6214</t>
  </si>
  <si>
    <t>84293@</t>
  </si>
  <si>
    <t># DE VTE - VENTES AU GROS - AUTRES MARQUES</t>
  </si>
  <si>
    <t>6215</t>
  </si>
  <si>
    <t>84301</t>
  </si>
  <si>
    <t>VTE - A3 AUDI CERTIFIE</t>
  </si>
  <si>
    <t>622</t>
  </si>
  <si>
    <t>84303</t>
  </si>
  <si>
    <t>VTE - A4 AUDI CERTIFIE</t>
  </si>
  <si>
    <t>6221</t>
  </si>
  <si>
    <t>84307</t>
  </si>
  <si>
    <t>VTE - A6 AUDI CERTIFIE</t>
  </si>
  <si>
    <t>6222</t>
  </si>
  <si>
    <t>84315</t>
  </si>
  <si>
    <t>VTE - TT AUDI CERTIFIE</t>
  </si>
  <si>
    <t>6223</t>
  </si>
  <si>
    <t>84317</t>
  </si>
  <si>
    <t>VTE - AUTRE AUDI CERTIFIE</t>
  </si>
  <si>
    <t>6224</t>
  </si>
  <si>
    <t>6229</t>
  </si>
  <si>
    <t>84351</t>
  </si>
  <si>
    <t>VTE - A3 USAGEE DETAIL</t>
  </si>
  <si>
    <t>6231</t>
  </si>
  <si>
    <t>84353</t>
  </si>
  <si>
    <t>VTE - A4 USAGEE DETAIL</t>
  </si>
  <si>
    <t>6232</t>
  </si>
  <si>
    <t>84357</t>
  </si>
  <si>
    <t>VTE - A6 USAGEE DETAIL</t>
  </si>
  <si>
    <t>6239</t>
  </si>
  <si>
    <t>84365</t>
  </si>
  <si>
    <t>VTE - TT USAGEE DETAIL</t>
  </si>
  <si>
    <t>624</t>
  </si>
  <si>
    <t>84367</t>
  </si>
  <si>
    <t>VTE - AUTRE USAGEE AUDI DETAIL</t>
  </si>
  <si>
    <t>6242</t>
  </si>
  <si>
    <t>VTE - AUDI M.O. CLIENT</t>
  </si>
  <si>
    <t>6243</t>
  </si>
  <si>
    <t>84411@</t>
  </si>
  <si>
    <t># DE VTE - AUDI M.O. CLIENT</t>
  </si>
  <si>
    <t>6244</t>
  </si>
  <si>
    <t>84412</t>
  </si>
  <si>
    <t>VTE - AUDI ESTHETIQUE CLIENT</t>
  </si>
  <si>
    <t>6245</t>
  </si>
  <si>
    <t>84412@</t>
  </si>
  <si>
    <t># DE SLS - AUDI ESTHETIQUE CLIENT</t>
  </si>
  <si>
    <t>6247</t>
  </si>
  <si>
    <t>84413</t>
  </si>
  <si>
    <t>VTE - AUDI M.O. GARANTIE</t>
  </si>
  <si>
    <t>6251</t>
  </si>
  <si>
    <t>84413@</t>
  </si>
  <si>
    <t># DE VTE - AUDI M.O. GARANTIE</t>
  </si>
  <si>
    <t>6252</t>
  </si>
  <si>
    <t>84415</t>
  </si>
  <si>
    <t>VTE - AUDI M.O. INTERNE</t>
  </si>
  <si>
    <t>6253</t>
  </si>
  <si>
    <t>84415@</t>
  </si>
  <si>
    <t># DE VTE - AUDI M.O. INTERNE</t>
  </si>
  <si>
    <t>6255</t>
  </si>
  <si>
    <t>84417</t>
  </si>
  <si>
    <t>VTE - M.O. MEC. AVANTAGE AUDI / SERVICE +</t>
  </si>
  <si>
    <t>6256</t>
  </si>
  <si>
    <t>84417@</t>
  </si>
  <si>
    <t># DE B.R. M.O. MEC. AVANTAGE AUDI</t>
  </si>
  <si>
    <t>6259</t>
  </si>
  <si>
    <t>84431</t>
  </si>
  <si>
    <t>VTE - RECOND LAPRAIRIE</t>
  </si>
  <si>
    <t>6261</t>
  </si>
  <si>
    <t>84451</t>
  </si>
  <si>
    <t>VTE - AUDI HUILE ET GRAISSE</t>
  </si>
  <si>
    <t>6262</t>
  </si>
  <si>
    <t>84451@</t>
  </si>
  <si>
    <t># DE VTE - AUDI HUILE ET GRAISSE</t>
  </si>
  <si>
    <t>6281</t>
  </si>
  <si>
    <t>84461</t>
  </si>
  <si>
    <t>VTE - MATERIEL ATELIER LAPRAIRIE</t>
  </si>
  <si>
    <t>6282</t>
  </si>
  <si>
    <t>84491</t>
  </si>
  <si>
    <t>VTE - AUDI SOUS-TRAIT. CLIENT</t>
  </si>
  <si>
    <t>6286</t>
  </si>
  <si>
    <t>84491@</t>
  </si>
  <si>
    <t># DE VTE - AUDI SOUS-TRAIT. CLIENT</t>
  </si>
  <si>
    <t>6287</t>
  </si>
  <si>
    <t>84493</t>
  </si>
  <si>
    <t>VTE - AUDI SOUS-TRAIT. GARANTIE</t>
  </si>
  <si>
    <t>6293</t>
  </si>
  <si>
    <t>84493@</t>
  </si>
  <si>
    <t># DE VTE - AUDI SOUS-TRAIT. GARANTIE</t>
  </si>
  <si>
    <t>6294</t>
  </si>
  <si>
    <t>84495</t>
  </si>
  <si>
    <t>VTE - AUDI SOUS-TRAIT. INTERNE</t>
  </si>
  <si>
    <t>6403</t>
  </si>
  <si>
    <t>84495@</t>
  </si>
  <si>
    <t># DE VTE - AUDI SOUS-TRAIT. INTERNE</t>
  </si>
  <si>
    <t>6412</t>
  </si>
  <si>
    <t>84591</t>
  </si>
  <si>
    <t>VTE - S-TRAIT. CARROSS. CLIENT</t>
  </si>
  <si>
    <t>6414</t>
  </si>
  <si>
    <t>84591@</t>
  </si>
  <si>
    <t># DE VTE - S-TRAIT. CARROSS. CLIENT</t>
  </si>
  <si>
    <t>6421</t>
  </si>
  <si>
    <t>84593</t>
  </si>
  <si>
    <t>VTE - S-TRAIT. CARROSS. GARANTIE</t>
  </si>
  <si>
    <t>6422</t>
  </si>
  <si>
    <t>84593@</t>
  </si>
  <si>
    <t># DE VTE - S-TRAIT. CARROSS. GARANTIE</t>
  </si>
  <si>
    <t>6423</t>
  </si>
  <si>
    <t>84595</t>
  </si>
  <si>
    <t>VTE - S-TRAIT. CARROSS. INTERNE</t>
  </si>
  <si>
    <t>6424</t>
  </si>
  <si>
    <t>84595@</t>
  </si>
  <si>
    <t># DE VTE - S-TRAIT. CARROSS. INTERNE</t>
  </si>
  <si>
    <t>6425</t>
  </si>
  <si>
    <t>84600</t>
  </si>
  <si>
    <t>VTE - A3 S3 RS3 CERTIFIE</t>
  </si>
  <si>
    <t>6429</t>
  </si>
  <si>
    <t>84600@</t>
  </si>
  <si>
    <t># DE VTE - A3 S3 RS3 CERTIFIE</t>
  </si>
  <si>
    <t>6431</t>
  </si>
  <si>
    <t>84601</t>
  </si>
  <si>
    <t>VTE - A4 S4 CERTIFIE</t>
  </si>
  <si>
    <t>6432</t>
  </si>
  <si>
    <t>84601@</t>
  </si>
  <si>
    <t># DE VTE - A4 S4 CERTIFIE</t>
  </si>
  <si>
    <t>6433</t>
  </si>
  <si>
    <t>84602</t>
  </si>
  <si>
    <t>VTE - Q3 CERTIFIE</t>
  </si>
  <si>
    <t>6439</t>
  </si>
  <si>
    <t>84602@</t>
  </si>
  <si>
    <t># DE VTE - Q3 CERTIFIE</t>
  </si>
  <si>
    <t>644</t>
  </si>
  <si>
    <t>84603</t>
  </si>
  <si>
    <t>VTE - ALLROAD CERTIFIE</t>
  </si>
  <si>
    <t>6441</t>
  </si>
  <si>
    <t>84604</t>
  </si>
  <si>
    <t>VTE - A5 S5 RS5 CAB CERTIFIE</t>
  </si>
  <si>
    <t>6442</t>
  </si>
  <si>
    <t>84604@</t>
  </si>
  <si>
    <t># DE VTE - A5 S5 RS5 CAB CERTIFIE</t>
  </si>
  <si>
    <t>6443</t>
  </si>
  <si>
    <t>84605</t>
  </si>
  <si>
    <t>VTE - A5 S5 RS5 COUPE CERTIFIE</t>
  </si>
  <si>
    <t>6444</t>
  </si>
  <si>
    <t>84605@</t>
  </si>
  <si>
    <t># DE VTE - A5 S5 RS5 COUPE CERTIFIE</t>
  </si>
  <si>
    <t>6445</t>
  </si>
  <si>
    <t>84606</t>
  </si>
  <si>
    <t>VTE - A5 S5 SPORTBACK CERTIFIE</t>
  </si>
  <si>
    <t>6447</t>
  </si>
  <si>
    <t>84606@</t>
  </si>
  <si>
    <t># DE VTE - A5 S5 SPORTBACK CERTIFIE</t>
  </si>
  <si>
    <t>6451</t>
  </si>
  <si>
    <t>84607</t>
  </si>
  <si>
    <t>VTE - Q5 SQ5 CERTIFIE</t>
  </si>
  <si>
    <t>6452</t>
  </si>
  <si>
    <t>84607@</t>
  </si>
  <si>
    <t># DE VTE - Q5 SQ5 CERTIFIE</t>
  </si>
  <si>
    <t>6453</t>
  </si>
  <si>
    <t>84608</t>
  </si>
  <si>
    <t>VTES -VTE - A6/ S6/ A6 ALLROAD CERTFIEI</t>
  </si>
  <si>
    <t>6455</t>
  </si>
  <si>
    <t>84609</t>
  </si>
  <si>
    <t>VTE - A7 S7 RS7 CERTIFIE</t>
  </si>
  <si>
    <t>6456</t>
  </si>
  <si>
    <t>84609@</t>
  </si>
  <si>
    <t># DE VTE - A7 S7 RS7 CERTIFIE</t>
  </si>
  <si>
    <t>6459</t>
  </si>
  <si>
    <t>84610</t>
  </si>
  <si>
    <t>VTE - Q7 CERTIFIE</t>
  </si>
  <si>
    <t>6461</t>
  </si>
  <si>
    <t>84610@</t>
  </si>
  <si>
    <t># DE VTE - Q7 CERTIFIE</t>
  </si>
  <si>
    <t>6462</t>
  </si>
  <si>
    <t>84611</t>
  </si>
  <si>
    <t>VTE - A8 S8 CERTIFIE</t>
  </si>
  <si>
    <t>6463</t>
  </si>
  <si>
    <t>84613</t>
  </si>
  <si>
    <t>VTE - R8 SPYDER CERTIFIE</t>
  </si>
  <si>
    <t>6481</t>
  </si>
  <si>
    <t>84614</t>
  </si>
  <si>
    <t>VTE - TT TTS TTRS COUPE CERTIFIE</t>
  </si>
  <si>
    <t>6482</t>
  </si>
  <si>
    <t>84614@</t>
  </si>
  <si>
    <t># DE VTE - TT TTS TTRS COUPE CERTIFIE</t>
  </si>
  <si>
    <t>6486</t>
  </si>
  <si>
    <t>84615</t>
  </si>
  <si>
    <t>VTE - TT TTS TTRS ROADSTER CERTIFIE</t>
  </si>
  <si>
    <t>6487</t>
  </si>
  <si>
    <t>84616</t>
  </si>
  <si>
    <t>VTE - AUDI AUTRE CERTIFIE</t>
  </si>
  <si>
    <t>6493</t>
  </si>
  <si>
    <t>84620</t>
  </si>
  <si>
    <t>VTE - A3 S3 RS3 NON-CERT</t>
  </si>
  <si>
    <t>6494</t>
  </si>
  <si>
    <t>84620@</t>
  </si>
  <si>
    <t># DE VTE - A3 S3 RS3 NON-CERT</t>
  </si>
  <si>
    <t>6503</t>
  </si>
  <si>
    <t>84621</t>
  </si>
  <si>
    <t>VTE - A4 S4 NON-CERT</t>
  </si>
  <si>
    <t>651</t>
  </si>
  <si>
    <t>84622</t>
  </si>
  <si>
    <t>VTE - Q3 NON-CERT</t>
  </si>
  <si>
    <t>6514</t>
  </si>
  <si>
    <t>84622@</t>
  </si>
  <si>
    <t># DE VTE - Q3 NON-CERT</t>
  </si>
  <si>
    <t>652</t>
  </si>
  <si>
    <t>84623</t>
  </si>
  <si>
    <t>VTE - ALLROAD NON-CERT</t>
  </si>
  <si>
    <t>6521</t>
  </si>
  <si>
    <t>84624</t>
  </si>
  <si>
    <t>VTE - A4 S5 RS5 CABRIOLET NON-CERT</t>
  </si>
  <si>
    <t>6522</t>
  </si>
  <si>
    <t>84625</t>
  </si>
  <si>
    <t>VTE - A5 S5 RS5 COUPE NON-CERT</t>
  </si>
  <si>
    <t>6523</t>
  </si>
  <si>
    <t>84626</t>
  </si>
  <si>
    <t>VTE - A5 S5 SPORTBACK NON-CERT</t>
  </si>
  <si>
    <t>6524</t>
  </si>
  <si>
    <t>84627</t>
  </si>
  <si>
    <t>VTE - Q5 SQ5 NON-CERT</t>
  </si>
  <si>
    <t>6525</t>
  </si>
  <si>
    <t>84627@</t>
  </si>
  <si>
    <t># DE VTE - Q5 SQ5 NON-CERT</t>
  </si>
  <si>
    <t>6529</t>
  </si>
  <si>
    <t>84628</t>
  </si>
  <si>
    <t>VTES -VTE - A6/ S6/ A6 ALLROAD NON-CERT</t>
  </si>
  <si>
    <t>6531</t>
  </si>
  <si>
    <t>84629</t>
  </si>
  <si>
    <t>VTE - A7 S7 RS7 NON-CERT</t>
  </si>
  <si>
    <t>6532</t>
  </si>
  <si>
    <t>84630</t>
  </si>
  <si>
    <t>VTE - Q7 NON-CERT</t>
  </si>
  <si>
    <t>6539</t>
  </si>
  <si>
    <t>84632</t>
  </si>
  <si>
    <t>VTE - R8 COUPE NON-CERT</t>
  </si>
  <si>
    <t>654</t>
  </si>
  <si>
    <t>84634</t>
  </si>
  <si>
    <t>VTE - TT TTS TTRS COUPE NON-CERT</t>
  </si>
  <si>
    <t>6542</t>
  </si>
  <si>
    <t>84634@</t>
  </si>
  <si>
    <t># DE VTE - TT TTS TTRS COUPE NON-CERT</t>
  </si>
  <si>
    <t>6543</t>
  </si>
  <si>
    <t>84635</t>
  </si>
  <si>
    <t>VTE - TT TTS TTRS ROADSTER NON-CERT</t>
  </si>
  <si>
    <t>6544</t>
  </si>
  <si>
    <t>84636</t>
  </si>
  <si>
    <t>VTE - AUDI AUTRE NON-CERT</t>
  </si>
  <si>
    <t>6545</t>
  </si>
  <si>
    <t>84642</t>
  </si>
  <si>
    <t>VTES -A4 / S4 / A4 ALLROAD CERTIFIE</t>
  </si>
  <si>
    <t>6547</t>
  </si>
  <si>
    <t>84642@</t>
  </si>
  <si>
    <t>A4 / S4 / A4 ALLROAD CERTIFIE</t>
  </si>
  <si>
    <t>84643</t>
  </si>
  <si>
    <t>VTES -E-TRON SPORTBACK CERTIFIE</t>
  </si>
  <si>
    <t>6551</t>
  </si>
  <si>
    <t>84643@</t>
  </si>
  <si>
    <t>E-TRON SPORTBACK CERTIFIE</t>
  </si>
  <si>
    <t>6552</t>
  </si>
  <si>
    <t>84652</t>
  </si>
  <si>
    <t>VTES -A4 / S4 /A4 ALLROAD NON CERTIFIE</t>
  </si>
  <si>
    <t>6553</t>
  </si>
  <si>
    <t>84652@</t>
  </si>
  <si>
    <t>A4/ S4 / A4 ALLROAD NON CERTIFIE</t>
  </si>
  <si>
    <t>6555</t>
  </si>
  <si>
    <t>84653</t>
  </si>
  <si>
    <t>VTES -E-TRON SPORTBACK NON CERTIFIE</t>
  </si>
  <si>
    <t>6556</t>
  </si>
  <si>
    <t>84653@</t>
  </si>
  <si>
    <t>E-TRON SPORTBACK NON CERTIFIE</t>
  </si>
  <si>
    <t>6559</t>
  </si>
  <si>
    <t>VTE - PIECES R.O. CLIENTS</t>
  </si>
  <si>
    <t>6561</t>
  </si>
  <si>
    <t>84711@</t>
  </si>
  <si>
    <t># DE VTE - PIECES R.O. CLIENTS</t>
  </si>
  <si>
    <t>6562</t>
  </si>
  <si>
    <t>84712</t>
  </si>
  <si>
    <t>VTE - FOURNITURE ATELIER</t>
  </si>
  <si>
    <t>657</t>
  </si>
  <si>
    <t>84713</t>
  </si>
  <si>
    <t>VTE - PIECES R.O.GARANTIE</t>
  </si>
  <si>
    <t>6581</t>
  </si>
  <si>
    <t>84713@</t>
  </si>
  <si>
    <t># DE VTE - PIECES R.O.GARANTIE</t>
  </si>
  <si>
    <t>6582</t>
  </si>
  <si>
    <t>84714</t>
  </si>
  <si>
    <t>6586</t>
  </si>
  <si>
    <t>VTE - PIECES R.O. INTERNE</t>
  </si>
  <si>
    <t>6587</t>
  </si>
  <si>
    <t>84715@</t>
  </si>
  <si>
    <t># DE VTE - PIECES R.O. INTERNE</t>
  </si>
  <si>
    <t>6593</t>
  </si>
  <si>
    <t>84716</t>
  </si>
  <si>
    <t>6594</t>
  </si>
  <si>
    <t>84717</t>
  </si>
  <si>
    <t>VTE - PIECES AUDI AVANTAGE / SERVICE +</t>
  </si>
  <si>
    <t>661</t>
  </si>
  <si>
    <t>84717@</t>
  </si>
  <si>
    <t># DE B.R. PIECES AVANTAGE / SERVICE +</t>
  </si>
  <si>
    <t>662</t>
  </si>
  <si>
    <t>84718</t>
  </si>
  <si>
    <t>VTE - PIECES RO CLIENT JOBBER</t>
  </si>
  <si>
    <t>664</t>
  </si>
  <si>
    <t>84721</t>
  </si>
  <si>
    <t>VTE - AUTOSTOCK</t>
  </si>
  <si>
    <t>667</t>
  </si>
  <si>
    <t>84721@</t>
  </si>
  <si>
    <t># DE VTE - AUTOSTOCK</t>
  </si>
  <si>
    <t>6703</t>
  </si>
  <si>
    <t>84731</t>
  </si>
  <si>
    <t>VTE - PIECES RECOND LAPRAIRIE</t>
  </si>
  <si>
    <t>6712</t>
  </si>
  <si>
    <t>84741</t>
  </si>
  <si>
    <t>VTE - PIECES CARROSS. CLIENT</t>
  </si>
  <si>
    <t>6714</t>
  </si>
  <si>
    <t>84741@</t>
  </si>
  <si>
    <t># DE VTE - PIECES CARROSS. CLIENT</t>
  </si>
  <si>
    <t>6721</t>
  </si>
  <si>
    <t>84743</t>
  </si>
  <si>
    <t>VTE - PIECES CARROSS. GARANTIE</t>
  </si>
  <si>
    <t>6722</t>
  </si>
  <si>
    <t>84743@</t>
  </si>
  <si>
    <t># DE VTE - PIECES CARROSS. GARANTIE</t>
  </si>
  <si>
    <t>6723</t>
  </si>
  <si>
    <t>84745</t>
  </si>
  <si>
    <t>VTE - PIECES CARROSS. INTERNE</t>
  </si>
  <si>
    <t>6724</t>
  </si>
  <si>
    <t>84745@</t>
  </si>
  <si>
    <t># DE VTE - PIECES CARROSS. INTERNE</t>
  </si>
  <si>
    <t>6729</t>
  </si>
  <si>
    <t>84771</t>
  </si>
  <si>
    <t>VTE - PIECES AUDI DETAIL</t>
  </si>
  <si>
    <t>6731</t>
  </si>
  <si>
    <t>84771@</t>
  </si>
  <si>
    <t># DE VTE - PIECES AUDI DETAIL</t>
  </si>
  <si>
    <t>6732</t>
  </si>
  <si>
    <t>84772</t>
  </si>
  <si>
    <t>VTE - BOUTIQUES</t>
  </si>
  <si>
    <t>6733</t>
  </si>
  <si>
    <t>84772@</t>
  </si>
  <si>
    <t># DE VTE - BOUTIQUES</t>
  </si>
  <si>
    <t>6739</t>
  </si>
  <si>
    <t>84773</t>
  </si>
  <si>
    <t>VTE - PIECES AUDI AU GROS</t>
  </si>
  <si>
    <t>ventes de gros</t>
  </si>
  <si>
    <t>6742</t>
  </si>
  <si>
    <t>84773@</t>
  </si>
  <si>
    <t># DE VTE - PIECES AUDI AU GROS</t>
  </si>
  <si>
    <t>6743</t>
  </si>
  <si>
    <t>84781</t>
  </si>
  <si>
    <t>VTE - AUDI PNEUS</t>
  </si>
  <si>
    <t>6744</t>
  </si>
  <si>
    <t>84781@</t>
  </si>
  <si>
    <t># DE VTE - AUDI PNEUS</t>
  </si>
  <si>
    <t>6745</t>
  </si>
  <si>
    <t>85106</t>
  </si>
  <si>
    <t>C/V - A3 SPORTBACK E-TRON</t>
  </si>
  <si>
    <t>6747</t>
  </si>
  <si>
    <t>85109</t>
  </si>
  <si>
    <t>6751</t>
  </si>
  <si>
    <t>85110</t>
  </si>
  <si>
    <t>C/V - RS5 SPORTBACK</t>
  </si>
  <si>
    <t>6752</t>
  </si>
  <si>
    <t>85112</t>
  </si>
  <si>
    <t>C/V - Q8</t>
  </si>
  <si>
    <t>6753</t>
  </si>
  <si>
    <t>85113</t>
  </si>
  <si>
    <t>C/V - E-TRON C-SUV</t>
  </si>
  <si>
    <t>6755</t>
  </si>
  <si>
    <t>85114</t>
  </si>
  <si>
    <t>C/V - A8 3.0 LWB</t>
  </si>
  <si>
    <t>6756</t>
  </si>
  <si>
    <t>85117</t>
  </si>
  <si>
    <t>C/V - Q3 2.0 TFSI QUATTRO</t>
  </si>
  <si>
    <t>6759</t>
  </si>
  <si>
    <t>85118</t>
  </si>
  <si>
    <t>C/V - E-TRON SPORTBACK</t>
  </si>
  <si>
    <t>6761</t>
  </si>
  <si>
    <t>85120</t>
  </si>
  <si>
    <t>C/V - A5 SPORTBACK</t>
  </si>
  <si>
    <t>6762</t>
  </si>
  <si>
    <t>85121</t>
  </si>
  <si>
    <t>C/V S5 SPORTBACK</t>
  </si>
  <si>
    <t>677</t>
  </si>
  <si>
    <t>85123</t>
  </si>
  <si>
    <t>C/V - RS3 BERLINE</t>
  </si>
  <si>
    <t>6781</t>
  </si>
  <si>
    <t>85124</t>
  </si>
  <si>
    <t>C/V - TTRS COUPE</t>
  </si>
  <si>
    <t>6782</t>
  </si>
  <si>
    <t>85140</t>
  </si>
  <si>
    <t>C/V - A3 2.0 TDI</t>
  </si>
  <si>
    <t>6786</t>
  </si>
  <si>
    <t>85141</t>
  </si>
  <si>
    <t>C/V - A3 2.0 TFSI</t>
  </si>
  <si>
    <t>6787</t>
  </si>
  <si>
    <t>85142</t>
  </si>
  <si>
    <t>C/V - RS5 CABRIOLET</t>
  </si>
  <si>
    <t>6793</t>
  </si>
  <si>
    <t>85143</t>
  </si>
  <si>
    <t>C/V - A4 2.0 TFSI BERLINE QUATTRO</t>
  </si>
  <si>
    <t>6794</t>
  </si>
  <si>
    <t>85144</t>
  </si>
  <si>
    <t>70</t>
  </si>
  <si>
    <t>85145</t>
  </si>
  <si>
    <t>C/V - RS5</t>
  </si>
  <si>
    <t>80</t>
  </si>
  <si>
    <t>85146</t>
  </si>
  <si>
    <t>C/V - A6 2.0 TFSI</t>
  </si>
  <si>
    <t>90</t>
  </si>
  <si>
    <t>85147</t>
  </si>
  <si>
    <t>C/V - S7</t>
  </si>
  <si>
    <t>9149</t>
  </si>
  <si>
    <t>85148</t>
  </si>
  <si>
    <t>C/V - Q5 3.0 TDI</t>
  </si>
  <si>
    <t>85149</t>
  </si>
  <si>
    <t>C/V - RS7</t>
  </si>
  <si>
    <t>9157</t>
  </si>
  <si>
    <t>85150</t>
  </si>
  <si>
    <t>C/V - A3 2.0 TFSI QUATTRO</t>
  </si>
  <si>
    <t>85151</t>
  </si>
  <si>
    <t>C/V - A4 AVANT 2.0 TFSI QUATTRO</t>
  </si>
  <si>
    <t>85152</t>
  </si>
  <si>
    <t>C/V - S5 CABRIOLET</t>
  </si>
  <si>
    <t>9165</t>
  </si>
  <si>
    <t>85153</t>
  </si>
  <si>
    <t>C/V - S4 BERLINE</t>
  </si>
  <si>
    <t>9167</t>
  </si>
  <si>
    <t>85154</t>
  </si>
  <si>
    <t>C/V - A8 3.0 TDI NWB &amp; LWB</t>
  </si>
  <si>
    <t>9169</t>
  </si>
  <si>
    <t>85155</t>
  </si>
  <si>
    <t>C/V - A3 2.0 FWD TFSI</t>
  </si>
  <si>
    <t>9170</t>
  </si>
  <si>
    <t>85156</t>
  </si>
  <si>
    <t>C/V - A8 4.0 TFSI NWB &amp; LWB</t>
  </si>
  <si>
    <t>9171</t>
  </si>
  <si>
    <t>85157</t>
  </si>
  <si>
    <t>C/V - Q3 2.0 TFSI FWD</t>
  </si>
  <si>
    <t>9172</t>
  </si>
  <si>
    <t>85158</t>
  </si>
  <si>
    <t>C/V - A6 3.0 TDI</t>
  </si>
  <si>
    <t>9173</t>
  </si>
  <si>
    <t>85159</t>
  </si>
  <si>
    <t>C/V - A7 3.0 TDI</t>
  </si>
  <si>
    <t>85160</t>
  </si>
  <si>
    <t>C/V - S6 TOUTES</t>
  </si>
  <si>
    <t>85161</t>
  </si>
  <si>
    <t>C/V - A5 2.0 TFSI CABRIOLET</t>
  </si>
  <si>
    <t>9403</t>
  </si>
  <si>
    <t>85162</t>
  </si>
  <si>
    <t>C/V - Q5 2.0 TFSI</t>
  </si>
  <si>
    <t>9404</t>
  </si>
  <si>
    <t>85163</t>
  </si>
  <si>
    <t>C/V - Q7 3.0 TFSI</t>
  </si>
  <si>
    <t>9406</t>
  </si>
  <si>
    <t>85164</t>
  </si>
  <si>
    <t>C/V - Q7 3.0 TFSI SPORT</t>
  </si>
  <si>
    <t>85165</t>
  </si>
  <si>
    <t>C/V - A8 NWB ALL</t>
  </si>
  <si>
    <t>85166</t>
  </si>
  <si>
    <t>C/V - A8 LWB</t>
  </si>
  <si>
    <t>85167</t>
  </si>
  <si>
    <t>C/V - S8 - TOUTES</t>
  </si>
  <si>
    <t>85168</t>
  </si>
  <si>
    <t>C/V - TT COUPE 2.0 TFSI</t>
  </si>
  <si>
    <t>85169</t>
  </si>
  <si>
    <t>C/V - TT ROADSTER 2.0 TSFI</t>
  </si>
  <si>
    <t>85170</t>
  </si>
  <si>
    <t>C/V - A8 W12 LWB</t>
  </si>
  <si>
    <t>85171</t>
  </si>
  <si>
    <t>C/V - R8 5.2 V10 PLUS</t>
  </si>
  <si>
    <t>85172</t>
  </si>
  <si>
    <t>C/V - R8 5.2 SPYDER</t>
  </si>
  <si>
    <t>85173</t>
  </si>
  <si>
    <t>C/V - A7 3.0 TFSI</t>
  </si>
  <si>
    <t>85174</t>
  </si>
  <si>
    <t>C/V - A5 2.0 TSFI COUPE</t>
  </si>
  <si>
    <t>85175</t>
  </si>
  <si>
    <t>C/V - R8 GT</t>
  </si>
  <si>
    <t>85176</t>
  </si>
  <si>
    <t>C/V - S5 COUPE</t>
  </si>
  <si>
    <t>85177</t>
  </si>
  <si>
    <t>C/V - SQ5</t>
  </si>
  <si>
    <t>85178</t>
  </si>
  <si>
    <t>C/V - Q5 3.0 TFSI</t>
  </si>
  <si>
    <t>85179</t>
  </si>
  <si>
    <t>C/V - Q5 2.0 TFSI HYBRIDE</t>
  </si>
  <si>
    <t>85180</t>
  </si>
  <si>
    <t>C/V - A6 3.0 TFSI</t>
  </si>
  <si>
    <t>85182</t>
  </si>
  <si>
    <t>C/V - AUDI CARE - AUDI NEUF</t>
  </si>
  <si>
    <t>85183</t>
  </si>
  <si>
    <t>C/V - TT S COUPE</t>
  </si>
  <si>
    <t>85184</t>
  </si>
  <si>
    <t>C/V - TT S ROADSTER</t>
  </si>
  <si>
    <t>85186</t>
  </si>
  <si>
    <t>C/V - S3 2.0 TFSI</t>
  </si>
  <si>
    <t>85187</t>
  </si>
  <si>
    <t>C/V - AUDI NEUVE FLOTTE</t>
  </si>
  <si>
    <t>85188</t>
  </si>
  <si>
    <t>C/V - DEMO AUTO NEUVE</t>
  </si>
  <si>
    <t>85189</t>
  </si>
  <si>
    <t>C/V - DEMO CAMION NEUF</t>
  </si>
  <si>
    <t>85190</t>
  </si>
  <si>
    <t>C/V - Q7 3.0 TDI</t>
  </si>
  <si>
    <t>85192</t>
  </si>
  <si>
    <t>C/V - R8 4.2</t>
  </si>
  <si>
    <t>85194</t>
  </si>
  <si>
    <t>C/V - R8 5.2 FST COUP SPYDER V10 PERFORMENCE</t>
  </si>
  <si>
    <t>85197</t>
  </si>
  <si>
    <t>C/V - A3 2.0 TFSI CABRIO</t>
  </si>
  <si>
    <t>85199</t>
  </si>
  <si>
    <t>C/V - Q7 2.0 TFSI</t>
  </si>
  <si>
    <t>85250</t>
  </si>
  <si>
    <t>C/V - AUDI USAGE CERTIFIE</t>
  </si>
  <si>
    <t>85285</t>
  </si>
  <si>
    <t>C/V - USAGE AUTRES MARQUES</t>
  </si>
  <si>
    <t>85286</t>
  </si>
  <si>
    <t>C/V - AUTRES MARQUES REMISE A NEUF DETAIL</t>
  </si>
  <si>
    <t>85289</t>
  </si>
  <si>
    <t>C/V - AUDI CARE - AUDI USAGE</t>
  </si>
  <si>
    <t>85291</t>
  </si>
  <si>
    <t>C/V - AUDI USAGE AU GROS</t>
  </si>
  <si>
    <t>85293</t>
  </si>
  <si>
    <t>C/V - VENTES AU GROS - AUTRES MARQUES</t>
  </si>
  <si>
    <t>85301</t>
  </si>
  <si>
    <t>C/V - A3 AUDI CERTIFIE</t>
  </si>
  <si>
    <t>85302</t>
  </si>
  <si>
    <t>C/V - A3 AUDI CERTIFIE REMISE A NEUF</t>
  </si>
  <si>
    <t>85303</t>
  </si>
  <si>
    <t>C/V - A4 AUDI CERTIFIE</t>
  </si>
  <si>
    <t>85304</t>
  </si>
  <si>
    <t>C/V - A4 AUDI CERTIFIE REMISE A NEUF</t>
  </si>
  <si>
    <t>85307</t>
  </si>
  <si>
    <t>C/V - A6 AUDI CERTIFIE</t>
  </si>
  <si>
    <t>85308</t>
  </si>
  <si>
    <t>C/V - A6 AUDI CERTIFIE REMISE A NEUF</t>
  </si>
  <si>
    <t>85315</t>
  </si>
  <si>
    <t>C/V - TT AUDI CERTIFIE</t>
  </si>
  <si>
    <t>85316</t>
  </si>
  <si>
    <t>C/V - TT AUDI CERTIFIE REMISE A NEUF</t>
  </si>
  <si>
    <t>85317</t>
  </si>
  <si>
    <t>C/V - AUTRE AUDI CERTIFIE</t>
  </si>
  <si>
    <t>85318</t>
  </si>
  <si>
    <t>C/V - AUTRE AUDI CERTIFIE REMISE A NEUF</t>
  </si>
  <si>
    <t>85350</t>
  </si>
  <si>
    <t>C/V - AUDI USED CERTIFIE RECOND.</t>
  </si>
  <si>
    <t>85351</t>
  </si>
  <si>
    <t>C/V - A3 USAGEE DETAIL</t>
  </si>
  <si>
    <t>85352</t>
  </si>
  <si>
    <t>C/V - A3 USAGEE DETAIL REMISE A NEUF</t>
  </si>
  <si>
    <t>85353</t>
  </si>
  <si>
    <t>C/V - A4 USAGEE DETAIL</t>
  </si>
  <si>
    <t>85354</t>
  </si>
  <si>
    <t>C/V - A4 USAGEE DETAIL REMISE A NEUF</t>
  </si>
  <si>
    <t>85357</t>
  </si>
  <si>
    <t>C/V - A6 USAGEE DETAIL</t>
  </si>
  <si>
    <t>85358</t>
  </si>
  <si>
    <t>C/V - A6 USAGEE DETAIL REMISE A NEUF</t>
  </si>
  <si>
    <t>85365</t>
  </si>
  <si>
    <t>C/V - TT USAGEE DETAIL</t>
  </si>
  <si>
    <t>85366</t>
  </si>
  <si>
    <t>C/V - TT USAGEE DETAIL REMISE A NEUF</t>
  </si>
  <si>
    <t>85367</t>
  </si>
  <si>
    <t>C/V - AUTRE AUDI USAGEE DETAIL</t>
  </si>
  <si>
    <t>85368</t>
  </si>
  <si>
    <t>C/V - AUTRE USAGEE AUDI DETAIL REMISE A NEUF</t>
  </si>
  <si>
    <t>85411</t>
  </si>
  <si>
    <t>C/V - AUDI M.O. CLIENT</t>
  </si>
  <si>
    <t>85412</t>
  </si>
  <si>
    <t>C/V - AUDI ESTHETIQUE CLIENT</t>
  </si>
  <si>
    <t>85413</t>
  </si>
  <si>
    <t>C/V - AUDI M.O. GARANTIE</t>
  </si>
  <si>
    <t>85415</t>
  </si>
  <si>
    <t>C/V - AUDI M.O. INTERNE.</t>
  </si>
  <si>
    <t>85416</t>
  </si>
  <si>
    <t>C/V - AUDI TEMPS MORT M.O.</t>
  </si>
  <si>
    <t>85417</t>
  </si>
  <si>
    <t>C/V - M.O. MEC. - AVANTAGE AUDI SERVICE +</t>
  </si>
  <si>
    <t>85431</t>
  </si>
  <si>
    <t>C/V - RECOND LAPRAIRIE</t>
  </si>
  <si>
    <t>85451</t>
  </si>
  <si>
    <t>C/V - AUDI HUILE ET GRAISSE</t>
  </si>
  <si>
    <t>85461</t>
  </si>
  <si>
    <t>C/V - MATERIEL ATELIER LAPRAIRIE</t>
  </si>
  <si>
    <t>85491</t>
  </si>
  <si>
    <t>C/V - AUDI SOUS-TRAIT. CLIENT</t>
  </si>
  <si>
    <t>85493</t>
  </si>
  <si>
    <t>C/V - AUDI SOUS-TRAIT. GARANTIE</t>
  </si>
  <si>
    <t>85495</t>
  </si>
  <si>
    <t>C/V - AUDI SOUS-TRAIT. INTERNE</t>
  </si>
  <si>
    <t>85591</t>
  </si>
  <si>
    <t>C/V - S-TRAIT. CARROSS. CLIENT</t>
  </si>
  <si>
    <t>85593</t>
  </si>
  <si>
    <t>C/V - S-TRAIT. CARROSS. GARANTIE</t>
  </si>
  <si>
    <t>85595</t>
  </si>
  <si>
    <t>C/V - S-TRAIT. CARROSS. INTERNE</t>
  </si>
  <si>
    <t>85600</t>
  </si>
  <si>
    <t>C/V - A3 S3 RS3 CERTIFIE</t>
  </si>
  <si>
    <t>85601</t>
  </si>
  <si>
    <t>C/V - A4 S4 CERTIFIE</t>
  </si>
  <si>
    <t>85602</t>
  </si>
  <si>
    <t>C/V - Q3 CERTIFIE</t>
  </si>
  <si>
    <t>85603</t>
  </si>
  <si>
    <t>C/V - ALLROAD CERTIFIE</t>
  </si>
  <si>
    <t>85604</t>
  </si>
  <si>
    <t>C/V - A5 S5 RS5 CAB CERTIFIE</t>
  </si>
  <si>
    <t>85605</t>
  </si>
  <si>
    <t>C/V - A5 S5 RS5 COUPE CERTIFIE</t>
  </si>
  <si>
    <t>85606</t>
  </si>
  <si>
    <t>C/V - A5 S5 SPORTBACK CERTIFIE</t>
  </si>
  <si>
    <t>85607</t>
  </si>
  <si>
    <t>C/V - Q5 SQ5 CERTIFIE</t>
  </si>
  <si>
    <t>85608</t>
  </si>
  <si>
    <t>C/V - A6/ S6/ A6 ALLROAD CERTIFIE</t>
  </si>
  <si>
    <t>85609</t>
  </si>
  <si>
    <t>C/V - A7 S7 RS7 CERTIFIE</t>
  </si>
  <si>
    <t>85610</t>
  </si>
  <si>
    <t>C/V - Q7 CERTIFIE</t>
  </si>
  <si>
    <t>85611</t>
  </si>
  <si>
    <t>C/V - A8 S8 CERTIFIE</t>
  </si>
  <si>
    <t>85613</t>
  </si>
  <si>
    <t>C/V - R8 SPYDER CERTIFIE</t>
  </si>
  <si>
    <t>85614</t>
  </si>
  <si>
    <t>C/V - TT TTS TTRS COUPE CERTIFIE</t>
  </si>
  <si>
    <t>85615</t>
  </si>
  <si>
    <t>C/V - TT TTS TTRS ROADSTER CERTIFIE</t>
  </si>
  <si>
    <t>85616</t>
  </si>
  <si>
    <t>C/V - AUDI AUTRE CERTIFIE</t>
  </si>
  <si>
    <t>85620</t>
  </si>
  <si>
    <t>C/V - A3 S3 RS3 NON-CERT</t>
  </si>
  <si>
    <t>85621</t>
  </si>
  <si>
    <t>C/V - A4 S4 NON-CERT</t>
  </si>
  <si>
    <t>85622</t>
  </si>
  <si>
    <t>C/V - Q3 NON-CERT</t>
  </si>
  <si>
    <t>85623</t>
  </si>
  <si>
    <t>C/V - ALLROAD NON-CERT</t>
  </si>
  <si>
    <t>85624</t>
  </si>
  <si>
    <t>C/V - A5 S5 RS5 CABRIOLET NON-CERT</t>
  </si>
  <si>
    <t>85625</t>
  </si>
  <si>
    <t>C/V - A5 S5 RS5 COUPE NON-CERT</t>
  </si>
  <si>
    <t>85626</t>
  </si>
  <si>
    <t>C/V - A5 S5 SPORTBACK NON-CERT</t>
  </si>
  <si>
    <t>85627</t>
  </si>
  <si>
    <t>C/V - Q5 SQ5 NON-CERT</t>
  </si>
  <si>
    <t>85629</t>
  </si>
  <si>
    <t>C/V - A7 S7 RS7 NON-CERT</t>
  </si>
  <si>
    <t>85630</t>
  </si>
  <si>
    <t>C/V - Q7 NON-CERT</t>
  </si>
  <si>
    <t>85634</t>
  </si>
  <si>
    <t>C/V - TT TTS TTRS COUPE NON-CERT</t>
  </si>
  <si>
    <t>85635</t>
  </si>
  <si>
    <t>C/V - TT TTS TTRS ROADSTER NON-CERT</t>
  </si>
  <si>
    <t>85636</t>
  </si>
  <si>
    <t>C/V - AUDI AUTRE NON-CERT</t>
  </si>
  <si>
    <t>85642</t>
  </si>
  <si>
    <t>C/V - A4 / S4 / A4 ALLROAD CERTIFIE</t>
  </si>
  <si>
    <t>85643</t>
  </si>
  <si>
    <t>C/V - E-TRON SPORTBACK CERTIFIE</t>
  </si>
  <si>
    <t>85653</t>
  </si>
  <si>
    <t>C/V - E-TRON SPORTBACK NON CERTIFIE</t>
  </si>
  <si>
    <t>85711</t>
  </si>
  <si>
    <t>C/V - PIECES R.O. CLIENT</t>
  </si>
  <si>
    <t>85712</t>
  </si>
  <si>
    <t>C/V - FOURNITURE ATELIER</t>
  </si>
  <si>
    <t>85713</t>
  </si>
  <si>
    <t>C/V - PIECES R.O. GARANTIE</t>
  </si>
  <si>
    <t>85714</t>
  </si>
  <si>
    <t>85715</t>
  </si>
  <si>
    <t>C/V - PIECES R.O. INTERNE</t>
  </si>
  <si>
    <t>85716</t>
  </si>
  <si>
    <t>85717</t>
  </si>
  <si>
    <t>C/V - PIECES AUDI AVANTAGE / SERVICE +</t>
  </si>
  <si>
    <t>85718</t>
  </si>
  <si>
    <t>C/V - PIECES RO CLIENT JOBBER</t>
  </si>
  <si>
    <t>85721</t>
  </si>
  <si>
    <t>C/V - AUTOSTOCK</t>
  </si>
  <si>
    <t>85731</t>
  </si>
  <si>
    <t>85741</t>
  </si>
  <si>
    <t>C/V - PIECES CARROSS. CLIENT</t>
  </si>
  <si>
    <t>85743</t>
  </si>
  <si>
    <t>C/V - PIECES CARROSS. GARANTIE</t>
  </si>
  <si>
    <t>85745</t>
  </si>
  <si>
    <t>C/V - PIECES CARROSS. INTERNE</t>
  </si>
  <si>
    <t>85771</t>
  </si>
  <si>
    <t>C/V - PIECES AUDI DETAIL</t>
  </si>
  <si>
    <t>85772</t>
  </si>
  <si>
    <t>C/V - BOUTIQUES</t>
  </si>
  <si>
    <t>85773</t>
  </si>
  <si>
    <t>C/V - PIECES AUDI AU GROS</t>
  </si>
  <si>
    <t>85781</t>
  </si>
  <si>
    <t>C/V - AUDI PNEUS</t>
  </si>
  <si>
    <t>85792</t>
  </si>
  <si>
    <t>C/V - AUDI AJUST. INVENTAIRE PIECES</t>
  </si>
  <si>
    <t>85796</t>
  </si>
  <si>
    <t>C/V - ESCOMPTE PIECES AUDI</t>
  </si>
  <si>
    <t>85800</t>
  </si>
  <si>
    <t>85801</t>
  </si>
  <si>
    <t>85802</t>
  </si>
  <si>
    <t>85803</t>
  </si>
  <si>
    <t>85804</t>
  </si>
  <si>
    <t>85805</t>
  </si>
  <si>
    <t>85806</t>
  </si>
  <si>
    <t>85807</t>
  </si>
  <si>
    <t>85808</t>
  </si>
  <si>
    <t>85809</t>
  </si>
  <si>
    <t>85810</t>
  </si>
  <si>
    <t>85811</t>
  </si>
  <si>
    <t>85813</t>
  </si>
  <si>
    <t>85814</t>
  </si>
  <si>
    <t>85815</t>
  </si>
  <si>
    <t>85827</t>
  </si>
  <si>
    <t>85828</t>
  </si>
  <si>
    <t>C/V - A6/ S6/ A6 ALLRAOD  NON-CERT</t>
  </si>
  <si>
    <t>85832</t>
  </si>
  <si>
    <t>C/V - R8 COUPE NON-CERT</t>
  </si>
  <si>
    <t>85842</t>
  </si>
  <si>
    <t>C/V - A4 / S4 / A4 ALLROAD</t>
  </si>
  <si>
    <t>85843</t>
  </si>
  <si>
    <t>85852</t>
  </si>
  <si>
    <t>C/V - A4 /S4 /A4 ALLROAD NON CERTIFIE</t>
  </si>
  <si>
    <t>85853</t>
  </si>
  <si>
    <t>86101</t>
  </si>
  <si>
    <t>86102</t>
  </si>
  <si>
    <t>86103</t>
  </si>
  <si>
    <t>86106</t>
  </si>
  <si>
    <t>ENTRETIEN DES STOCK</t>
  </si>
  <si>
    <t>86107</t>
  </si>
  <si>
    <t>86108</t>
  </si>
  <si>
    <t>86114</t>
  </si>
  <si>
    <t>86115</t>
  </si>
  <si>
    <t>CREDIT PUB VENTE NEUF</t>
  </si>
  <si>
    <t>86116</t>
  </si>
  <si>
    <t>REMBOURSEMENT PUBLICITE - NEUFS AUDI</t>
  </si>
  <si>
    <t>86121</t>
  </si>
  <si>
    <t>86122</t>
  </si>
  <si>
    <t>SALAIRE SUPERVISION</t>
  </si>
  <si>
    <t>86123</t>
  </si>
  <si>
    <t>86124</t>
  </si>
  <si>
    <t>86129</t>
  </si>
  <si>
    <t>86131</t>
  </si>
  <si>
    <t>86132</t>
  </si>
  <si>
    <t>86139</t>
  </si>
  <si>
    <t>86142</t>
  </si>
  <si>
    <t>86143</t>
  </si>
  <si>
    <t>86144</t>
  </si>
  <si>
    <t>86145</t>
  </si>
  <si>
    <t>86147</t>
  </si>
  <si>
    <t>86151</t>
  </si>
  <si>
    <t>86152</t>
  </si>
  <si>
    <t>86153</t>
  </si>
  <si>
    <t>86155</t>
  </si>
  <si>
    <t>86156</t>
  </si>
  <si>
    <t>86159</t>
  </si>
  <si>
    <t>86161</t>
  </si>
  <si>
    <t>86162</t>
  </si>
  <si>
    <t>86181</t>
  </si>
  <si>
    <t>86182</t>
  </si>
  <si>
    <t>86186</t>
  </si>
  <si>
    <t>86187</t>
  </si>
  <si>
    <t>86189</t>
  </si>
  <si>
    <t>TAXE CAPITAL NEUF</t>
  </si>
  <si>
    <t>86193</t>
  </si>
  <si>
    <t>86194</t>
  </si>
  <si>
    <t>86195</t>
  </si>
  <si>
    <t>86201</t>
  </si>
  <si>
    <t>86202</t>
  </si>
  <si>
    <t>86203</t>
  </si>
  <si>
    <t>86206</t>
  </si>
  <si>
    <t>86207</t>
  </si>
  <si>
    <t>86208</t>
  </si>
  <si>
    <t>86214</t>
  </si>
  <si>
    <t>86215</t>
  </si>
  <si>
    <t>CREDIT PUB VENTE USED</t>
  </si>
  <si>
    <t>86221</t>
  </si>
  <si>
    <t>86222</t>
  </si>
  <si>
    <t>86223</t>
  </si>
  <si>
    <t>86224</t>
  </si>
  <si>
    <t>86229</t>
  </si>
  <si>
    <t>86231</t>
  </si>
  <si>
    <t>86232</t>
  </si>
  <si>
    <t>86239</t>
  </si>
  <si>
    <t>86242</t>
  </si>
  <si>
    <t>86243</t>
  </si>
  <si>
    <t>86244</t>
  </si>
  <si>
    <t>86245</t>
  </si>
  <si>
    <t>86247</t>
  </si>
  <si>
    <t>86251</t>
  </si>
  <si>
    <t>86252</t>
  </si>
  <si>
    <t>86253</t>
  </si>
  <si>
    <t>86255</t>
  </si>
  <si>
    <t>véhicules usagés</t>
  </si>
  <si>
    <t>86256</t>
  </si>
  <si>
    <t>86259</t>
  </si>
  <si>
    <t>86261</t>
  </si>
  <si>
    <t>86262</t>
  </si>
  <si>
    <t>86281</t>
  </si>
  <si>
    <t>86282</t>
  </si>
  <si>
    <t>86286</t>
  </si>
  <si>
    <t>86287</t>
  </si>
  <si>
    <t>86289</t>
  </si>
  <si>
    <t>TAXE CAPITAL USAGE</t>
  </si>
  <si>
    <t>86293</t>
  </si>
  <si>
    <t>86294</t>
  </si>
  <si>
    <t>86295</t>
  </si>
  <si>
    <t>86403</t>
  </si>
  <si>
    <t>86412</t>
  </si>
  <si>
    <t>86414</t>
  </si>
  <si>
    <t>86421</t>
  </si>
  <si>
    <t>86422</t>
  </si>
  <si>
    <t>86423</t>
  </si>
  <si>
    <t>86424</t>
  </si>
  <si>
    <t>86425</t>
  </si>
  <si>
    <t>86429</t>
  </si>
  <si>
    <t>86431</t>
  </si>
  <si>
    <t>86432</t>
  </si>
  <si>
    <t>86433</t>
  </si>
  <si>
    <t>86439</t>
  </si>
  <si>
    <t>86441</t>
  </si>
  <si>
    <t>86442</t>
  </si>
  <si>
    <t>86443</t>
  </si>
  <si>
    <t>86444</t>
  </si>
  <si>
    <t>86445</t>
  </si>
  <si>
    <t>86447</t>
  </si>
  <si>
    <t>86451</t>
  </si>
  <si>
    <t>86452</t>
  </si>
  <si>
    <t>86453</t>
  </si>
  <si>
    <t>86455</t>
  </si>
  <si>
    <t>86456</t>
  </si>
  <si>
    <t>86459</t>
  </si>
  <si>
    <t>86461</t>
  </si>
  <si>
    <t>86462</t>
  </si>
  <si>
    <t>86463</t>
  </si>
  <si>
    <t>86481</t>
  </si>
  <si>
    <t>86482</t>
  </si>
  <si>
    <t>86486</t>
  </si>
  <si>
    <t>86487</t>
  </si>
  <si>
    <t>86489</t>
  </si>
  <si>
    <t>TAXE CAPITAL SERVICE</t>
  </si>
  <si>
    <t>86493</t>
  </si>
  <si>
    <t>86494</t>
  </si>
  <si>
    <t>86495</t>
  </si>
  <si>
    <t>86503</t>
  </si>
  <si>
    <t>86512</t>
  </si>
  <si>
    <t>86521</t>
  </si>
  <si>
    <t>86522</t>
  </si>
  <si>
    <t>86523</t>
  </si>
  <si>
    <t>86524</t>
  </si>
  <si>
    <t>86525</t>
  </si>
  <si>
    <t>86529</t>
  </si>
  <si>
    <t>86531</t>
  </si>
  <si>
    <t>86532</t>
  </si>
  <si>
    <t>86539</t>
  </si>
  <si>
    <t>86541</t>
  </si>
  <si>
    <t>86542</t>
  </si>
  <si>
    <t>86543</t>
  </si>
  <si>
    <t>86544</t>
  </si>
  <si>
    <t>86545</t>
  </si>
  <si>
    <t>86547</t>
  </si>
  <si>
    <t>86551</t>
  </si>
  <si>
    <t>86552</t>
  </si>
  <si>
    <t>86553</t>
  </si>
  <si>
    <t>86555</t>
  </si>
  <si>
    <t>86556</t>
  </si>
  <si>
    <t>86559</t>
  </si>
  <si>
    <t>86561</t>
  </si>
  <si>
    <t>86562</t>
  </si>
  <si>
    <t>86581</t>
  </si>
  <si>
    <t>86582</t>
  </si>
  <si>
    <t>86586</t>
  </si>
  <si>
    <t>86587</t>
  </si>
  <si>
    <t>86589</t>
  </si>
  <si>
    <t>TAXE CAPITAL CARROSSERIE</t>
  </si>
  <si>
    <t>86593</t>
  </si>
  <si>
    <t>86594</t>
  </si>
  <si>
    <t>86595</t>
  </si>
  <si>
    <t>86703</t>
  </si>
  <si>
    <t>86712</t>
  </si>
  <si>
    <t>86714</t>
  </si>
  <si>
    <t>86721</t>
  </si>
  <si>
    <t>86722</t>
  </si>
  <si>
    <t>86723</t>
  </si>
  <si>
    <t>86724</t>
  </si>
  <si>
    <t>86729</t>
  </si>
  <si>
    <t>86731</t>
  </si>
  <si>
    <t>86732</t>
  </si>
  <si>
    <t>86733</t>
  </si>
  <si>
    <t>86739</t>
  </si>
  <si>
    <t>86742</t>
  </si>
  <si>
    <t>86743</t>
  </si>
  <si>
    <t>86744</t>
  </si>
  <si>
    <t>86745</t>
  </si>
  <si>
    <t>86747</t>
  </si>
  <si>
    <t>86751</t>
  </si>
  <si>
    <t>86752</t>
  </si>
  <si>
    <t>86753</t>
  </si>
  <si>
    <t>86755</t>
  </si>
  <si>
    <t>86756</t>
  </si>
  <si>
    <t>86759</t>
  </si>
  <si>
    <t>86761</t>
  </si>
  <si>
    <t>86762</t>
  </si>
  <si>
    <t>86781</t>
  </si>
  <si>
    <t>86782</t>
  </si>
  <si>
    <t>86786</t>
  </si>
  <si>
    <t>86787</t>
  </si>
  <si>
    <t>86789</t>
  </si>
  <si>
    <t>TAXE CAPITAL PIECES</t>
  </si>
  <si>
    <t>86793</t>
  </si>
  <si>
    <t>86794</t>
  </si>
  <si>
    <t>86795</t>
  </si>
  <si>
    <t>89101</t>
  </si>
  <si>
    <t>AUDI INTERETS GAGNES</t>
  </si>
  <si>
    <t>89131</t>
  </si>
  <si>
    <t>AUDI ESCOMPTE GANEE</t>
  </si>
  <si>
    <t>89144</t>
  </si>
  <si>
    <t>AUTRE REVENU AUDI SPORT</t>
  </si>
  <si>
    <t>Revenus Autres</t>
  </si>
  <si>
    <t>89145</t>
  </si>
  <si>
    <t>AUDI BONUS PERFORMANCE VARIABLE (TOT)</t>
  </si>
  <si>
    <t>89147</t>
  </si>
  <si>
    <t>REVENU RESERVE AUDI</t>
  </si>
  <si>
    <t>89148</t>
  </si>
  <si>
    <t>REV. SOUTIEN FINANCIER BBP</t>
  </si>
  <si>
    <t>89160</t>
  </si>
  <si>
    <t>REV FINANCE AUDI NEUF</t>
  </si>
  <si>
    <t>89161</t>
  </si>
  <si>
    <t>REV FINANCE VEH NEUF AUTRES MARQUES</t>
  </si>
  <si>
    <t>89161@</t>
  </si>
  <si>
    <t>REV FINANCE VEH NEUF AUTRE MARQUE</t>
  </si>
  <si>
    <t>89163</t>
  </si>
  <si>
    <t>REV. FINANCE VEH. USAGE</t>
  </si>
  <si>
    <t>89163@</t>
  </si>
  <si>
    <t># DE REV. FINANCE VEH. USAGE</t>
  </si>
  <si>
    <t>89164</t>
  </si>
  <si>
    <t>REVENU FINANCE USAGEE DETAIL</t>
  </si>
  <si>
    <t>89165</t>
  </si>
  <si>
    <t>REV. ASSURANCE NEUF AUDI</t>
  </si>
  <si>
    <t>89165@</t>
  </si>
  <si>
    <t># DE REV. ASSURANCE NEUF AUDI</t>
  </si>
  <si>
    <t>89167</t>
  </si>
  <si>
    <t>REV. ASSURANCE VEH. USAGE</t>
  </si>
  <si>
    <t>89167@</t>
  </si>
  <si>
    <t># DE REV. ASSURANCE VEH. USAGE</t>
  </si>
  <si>
    <t>89169</t>
  </si>
  <si>
    <t>GAR. PROLONGEE NEUF AUDI</t>
  </si>
  <si>
    <t>89169@</t>
  </si>
  <si>
    <t># DE GAR. PROLONGEE NEUF AUDI</t>
  </si>
  <si>
    <t>89170</t>
  </si>
  <si>
    <t>REV. PROTECTIONS NEUF AUDI</t>
  </si>
  <si>
    <t>89170@</t>
  </si>
  <si>
    <t># DE REV. PROTECTIONS NEUF AUDI</t>
  </si>
  <si>
    <t>89171</t>
  </si>
  <si>
    <t>GAR. PROLONGEE VEH. USAGE</t>
  </si>
  <si>
    <t>89171@</t>
  </si>
  <si>
    <t># DE GAR. PROLONGEE VEH. USAGE</t>
  </si>
  <si>
    <t>89172</t>
  </si>
  <si>
    <t>REV. PROTECTION USED CPO</t>
  </si>
  <si>
    <t>89172@</t>
  </si>
  <si>
    <t># DE REV. PROTECTIONS VEH. USAGE</t>
  </si>
  <si>
    <t>89173</t>
  </si>
  <si>
    <t>FRAIS ADMIN. AUDI</t>
  </si>
  <si>
    <t>89191</t>
  </si>
  <si>
    <t>AUTRES REVENUS AUDI</t>
  </si>
  <si>
    <t>89402</t>
  </si>
  <si>
    <t>DEPENSES D'INTERETS</t>
  </si>
  <si>
    <t>89403</t>
  </si>
  <si>
    <t>INTERET SUR MARGE</t>
  </si>
  <si>
    <t>89404</t>
  </si>
  <si>
    <t>89406</t>
  </si>
  <si>
    <t>TOTAL DES REVENUS ET DÉPENSES</t>
  </si>
  <si>
    <t>ÉCART réel / Budget</t>
  </si>
  <si>
    <t>$PROFFTS</t>
  </si>
  <si>
    <t>ECART (réel/ Ann.Préc.)</t>
  </si>
  <si>
    <t>Intérêts à payer</t>
  </si>
  <si>
    <t>Frais banque à payer</t>
  </si>
  <si>
    <t>Mauvaise créances usagé</t>
  </si>
  <si>
    <t>Mauvaise créances Carrosse</t>
  </si>
  <si>
    <t>Pacing du 30</t>
  </si>
  <si>
    <t>UNITÉS</t>
  </si>
  <si>
    <t>Plus de 90 jrs</t>
  </si>
  <si>
    <t>Avances Complexe</t>
  </si>
  <si>
    <t>Avances GPA</t>
  </si>
  <si>
    <t>1</t>
  </si>
  <si>
    <t>23</t>
  </si>
  <si>
    <t>24</t>
  </si>
  <si>
    <t>31</t>
  </si>
  <si>
    <t>35</t>
  </si>
  <si>
    <t>36</t>
  </si>
  <si>
    <t>37</t>
  </si>
  <si>
    <t>42</t>
  </si>
  <si>
    <t>54</t>
  </si>
  <si>
    <t>61</t>
  </si>
  <si>
    <t>64</t>
  </si>
  <si>
    <t>67</t>
  </si>
  <si>
    <t>4503</t>
  </si>
  <si>
    <t>AVANCES COMPLEXE INTERCO</t>
  </si>
  <si>
    <t>FUTA ASSURANCE EMPLOYE</t>
  </si>
  <si>
    <t>2305</t>
  </si>
  <si>
    <t>FUTA Assurances Employés</t>
  </si>
  <si>
    <t>675</t>
  </si>
  <si>
    <t>2015</t>
  </si>
  <si>
    <t>230251A</t>
  </si>
  <si>
    <t>WVWPR7AU0LW907198</t>
  </si>
  <si>
    <t>Plus de 180 jrs</t>
  </si>
  <si>
    <t>1360</t>
  </si>
  <si>
    <t>VENTES PEINTURE</t>
  </si>
  <si>
    <t>9169@</t>
  </si>
  <si>
    <t># DE PROFIT PROTECTIONS - NEUFS</t>
  </si>
  <si>
    <t>9170@</t>
  </si>
  <si>
    <t>4121</t>
  </si>
  <si>
    <t>AMELIOR. LOCATIVES CPO</t>
  </si>
  <si>
    <t>AUDI</t>
  </si>
  <si>
    <t>120</t>
  </si>
  <si>
    <t>412</t>
  </si>
  <si>
    <t>432</t>
  </si>
  <si>
    <t>564</t>
  </si>
  <si>
    <t>1103</t>
  </si>
  <si>
    <t>1104</t>
  </si>
  <si>
    <t>1105</t>
  </si>
  <si>
    <t>1107</t>
  </si>
  <si>
    <t>1111</t>
  </si>
  <si>
    <t>1188</t>
  </si>
  <si>
    <t>1189</t>
  </si>
  <si>
    <t>1306</t>
  </si>
  <si>
    <t>1307</t>
  </si>
  <si>
    <t>1362</t>
  </si>
  <si>
    <t>1433</t>
  </si>
  <si>
    <t>1448</t>
  </si>
  <si>
    <t>1496</t>
  </si>
  <si>
    <t>1524</t>
  </si>
  <si>
    <t>1553</t>
  </si>
  <si>
    <t>1591</t>
  </si>
  <si>
    <t>1734</t>
  </si>
  <si>
    <t>1805</t>
  </si>
  <si>
    <t>2105</t>
  </si>
  <si>
    <t>2113</t>
  </si>
  <si>
    <t>2294</t>
  </si>
  <si>
    <t>2296</t>
  </si>
  <si>
    <t>2502</t>
  </si>
  <si>
    <t>2562</t>
  </si>
  <si>
    <t>4118</t>
  </si>
  <si>
    <t>4144</t>
  </si>
  <si>
    <t>4200</t>
  </si>
  <si>
    <t>4715</t>
  </si>
  <si>
    <t>5118</t>
  </si>
  <si>
    <t>5121</t>
  </si>
  <si>
    <t>5144</t>
  </si>
  <si>
    <t>5715</t>
  </si>
  <si>
    <t>6157</t>
  </si>
  <si>
    <t>6195</t>
  </si>
  <si>
    <t>6233</t>
  </si>
  <si>
    <t>6257</t>
  </si>
  <si>
    <t>6295</t>
  </si>
  <si>
    <t>6296</t>
  </si>
  <si>
    <t>6457</t>
  </si>
  <si>
    <t>6495</t>
  </si>
  <si>
    <t>6496</t>
  </si>
  <si>
    <t>6533</t>
  </si>
  <si>
    <t>6557</t>
  </si>
  <si>
    <t>6595</t>
  </si>
  <si>
    <t>6596</t>
  </si>
  <si>
    <t>6757</t>
  </si>
  <si>
    <t>6795</t>
  </si>
  <si>
    <t>9143</t>
  </si>
  <si>
    <t>9174</t>
  </si>
  <si>
    <t>9192</t>
  </si>
  <si>
    <t>PROJET VOLKS - RENOVATION</t>
  </si>
  <si>
    <t>1740</t>
  </si>
  <si>
    <t>BEETLE CONVERTI</t>
  </si>
  <si>
    <t>5407P</t>
  </si>
  <si>
    <t>GMC</t>
  </si>
  <si>
    <t>1GTW7BFP1K1340423</t>
  </si>
  <si>
    <t>CUC/Mémo solde début</t>
  </si>
  <si>
    <t>CUC/Mémo solde actuel</t>
  </si>
  <si>
    <t>CUC/Mémo solde fin</t>
  </si>
  <si>
    <t>BONUS EXPERIENCE + - NV</t>
  </si>
  <si>
    <t>915</t>
  </si>
  <si>
    <t>4704</t>
  </si>
  <si>
    <t>5704</t>
  </si>
  <si>
    <t>230425A</t>
  </si>
  <si>
    <t>1V2LC2CAXMC211536</t>
  </si>
  <si>
    <t>230365A</t>
  </si>
  <si>
    <t>3VW5DAAT2JM518129</t>
  </si>
  <si>
    <t>"Pacing" du 30</t>
  </si>
  <si>
    <t>VTE - M.O. MECANIQUE INTERNE AUDI</t>
  </si>
  <si>
    <t>4415</t>
  </si>
  <si>
    <t>VTE - M.O. INTERNE CARROSSERIE</t>
  </si>
  <si>
    <t>4505</t>
  </si>
  <si>
    <t>C/V - M.O. INTERNE CARROSSERIE</t>
  </si>
  <si>
    <t>5505</t>
  </si>
  <si>
    <t># DE VTE - M.O. INTERNE CARROSSERIE</t>
  </si>
  <si>
    <t>4505@</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</si>
  <si>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</si>
  <si>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</si>
  <si>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</si>
  <si>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</si>
  <si>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</si>
  <si>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</si>
  <si>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</si>
  <si>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</si>
  <si>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</si>
  <si>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</si>
  <si>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</si>
  <si>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</si>
  <si>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</si>
  <si>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</si>
  <si>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</si>
  <si>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</si>
  <si>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</si>
  <si>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</si>
  <si>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</si>
  <si>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</si>
  <si>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</si>
  <si>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</si>
  <si>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</si>
  <si>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</si>
  <si>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</si>
  <si>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</si>
  <si>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</si>
  <si>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</si>
  <si>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</si>
  <si>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</si>
  <si>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</si>
  <si>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</si>
  <si>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</si>
  <si>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</si>
  <si>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</si>
  <si>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</si>
  <si>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</si>
  <si>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</si>
  <si>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</si>
  <si>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</si>
  <si>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</si>
  <si>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</si>
  <si>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</si>
  <si>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</si>
  <si>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</si>
  <si>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</si>
  <si>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</si>
  <si>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</si>
  <si>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</si>
  <si>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</si>
  <si>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</si>
  <si>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</si>
  <si>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</si>
  <si>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</si>
  <si>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</si>
  <si>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</si>
  <si>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</si>
  <si>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</si>
  <si>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</si>
  <si>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</si>
  <si>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</si>
  <si>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</si>
  <si>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</si>
  <si>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</si>
  <si>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</si>
  <si>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</si>
  <si>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</si>
  <si>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</si>
  <si>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</si>
  <si>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</si>
  <si>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</si>
  <si>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</si>
  <si>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</si>
  <si>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</si>
  <si>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</si>
  <si>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</si>
  <si>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</si>
  <si>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</si>
  <si>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</si>
  <si>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</si>
  <si>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</si>
  <si>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</si>
  <si>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</si>
  <si>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</si>
  <si>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</si>
  <si>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</si>
  <si>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</si>
  <si>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</si>
  <si>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</si>
  <si>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</si>
  <si>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</si>
  <si>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</si>
  <si>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</si>
  <si>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</si>
  <si>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</si>
  <si>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</si>
  <si>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</si>
  <si>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</si>
  <si>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</si>
  <si>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</si>
  <si>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</si>
  <si>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</si>
  <si>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</si>
  <si>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</si>
  <si>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</si>
  <si>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</si>
  <si>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</si>
  <si>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</si>
  <si>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</si>
  <si>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</si>
  <si>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</si>
  <si>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</si>
  <si>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</si>
  <si>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</si>
  <si>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</si>
  <si>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</si>
  <si>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</si>
  <si>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</si>
  <si>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</si>
  <si>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C/V - M.O. CARROSSERIE GARANTIE</t>
  </si>
  <si>
    <t>5503</t>
  </si>
  <si>
    <t>SOLDE PAR DECALAGE SOURCE</t>
  </si>
  <si>
    <t>99999</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</si>
  <si>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</si>
  <si>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</si>
  <si>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</si>
  <si>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</si>
  <si>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</si>
  <si>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</si>
  <si>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</si>
  <si>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</si>
  <si>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</si>
  <si>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</si>
  <si>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</si>
  <si>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</si>
  <si>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</si>
  <si>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</si>
  <si>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</si>
  <si>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</si>
  <si>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</si>
  <si>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</si>
  <si>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</si>
  <si>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</si>
  <si>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</si>
  <si>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</si>
  <si>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</si>
  <si>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</si>
  <si>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</si>
  <si>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</si>
  <si>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</si>
  <si>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</si>
  <si>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</si>
  <si>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</si>
  <si>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</si>
  <si>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</si>
  <si>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</si>
  <si>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</si>
  <si>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</si>
  <si>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</si>
  <si>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</si>
  <si>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</si>
  <si>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</si>
  <si>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</si>
  <si>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</si>
  <si>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</si>
  <si>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</si>
  <si>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</si>
  <si>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</si>
  <si>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</si>
  <si>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</si>
  <si>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</si>
  <si>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</si>
  <si>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</si>
  <si>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</si>
  <si>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</si>
  <si>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</si>
  <si>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</si>
  <si>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</si>
  <si>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</si>
  <si>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</si>
  <si>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</si>
  <si>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</si>
  <si>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</si>
  <si>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</si>
  <si>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</si>
  <si>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</si>
  <si>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</si>
  <si>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</si>
  <si>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</si>
  <si>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</si>
  <si>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</si>
  <si>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</si>
  <si>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</si>
  <si>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</si>
  <si>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</si>
  <si>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</si>
  <si>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</si>
  <si>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</si>
  <si>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</si>
  <si>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</si>
  <si>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</si>
  <si>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</si>
  <si>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</si>
  <si>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</si>
  <si>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</si>
  <si>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</si>
  <si>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</si>
  <si>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</si>
  <si>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</si>
  <si>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</si>
  <si>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</si>
  <si>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</si>
  <si>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</si>
  <si>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</si>
  <si>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</si>
  <si>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</si>
  <si>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</si>
  <si>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</si>
  <si>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</si>
  <si>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</si>
  <si>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</si>
  <si>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</si>
  <si>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</si>
  <si>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</si>
  <si>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</si>
  <si>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</si>
  <si>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TAUX MAIN D'OEUVRE - VW - MCI - CLIENT</t>
  </si>
  <si>
    <t>TAUX MAIN D'OEUVRE - VW - MCI - GARANTIE</t>
  </si>
  <si>
    <t>TAUX MAIN D'OEUVRE - VW - MCI - INTERNE</t>
  </si>
  <si>
    <t>TAUX MAIN D'OEUVRE - VW - MCI - CARROSSERIE</t>
  </si>
  <si>
    <t>HEURES VENDUES - SVC - VW - MCI - CLIENT</t>
  </si>
  <si>
    <t>HEURES VENDUES - SVC - VW - MCI - GARANTIE</t>
  </si>
  <si>
    <t>HEURES VENDUES - SVC - VW - MCI - INTERNE</t>
  </si>
  <si>
    <t>UNITES USAGES DET./ DEC</t>
  </si>
  <si>
    <t>VENTE AU COMPTANT (PIECES)</t>
  </si>
  <si>
    <t>INTERET FP A PAYER</t>
  </si>
  <si>
    <t>210</t>
  </si>
  <si>
    <t>FRAIS BANCAIRE A PAYER</t>
  </si>
  <si>
    <t>211</t>
  </si>
  <si>
    <t>MAIN-D'OEUVRE - CLIENT VW - MCI</t>
  </si>
  <si>
    <t>MAIN-D'OEUVRE - GARANTIE VW - MCI</t>
  </si>
  <si>
    <t>MAIN-D'OEUVRE - INTERNE VW - MCI</t>
  </si>
  <si>
    <t>VW P&amp;A - BR - CLIENT - MCI</t>
  </si>
  <si>
    <t>VW P&amp;A - BR - GARANTIE - MCI</t>
  </si>
  <si>
    <t>VW P&amp;A - BR - INTERNE - MCI</t>
  </si>
  <si>
    <t>VW P&amp;A - BR - CLIENT - VEB</t>
  </si>
  <si>
    <t>VW-P&amp;A-P&amp;BRO-CLIENT - MCI</t>
  </si>
  <si>
    <t>VW-P&amp;A-P&amp;BRO-GARANTIE - MCI</t>
  </si>
  <si>
    <t>VW-P&amp;A-P&amp;BRO-INTERNE - MCI</t>
  </si>
  <si>
    <t>C/V - MAIN D'OEUVRE SVC NON APP - TOUS</t>
  </si>
  <si>
    <t>PRIMES DE PERFORMANCE VW</t>
  </si>
  <si>
    <t>C/V - P&amp;A - COMPTOIR - ENGROS - AUDI</t>
  </si>
  <si>
    <t>5773</t>
  </si>
  <si>
    <t>4773</t>
  </si>
  <si>
    <t>6541</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</si>
  <si>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</si>
  <si>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</si>
  <si>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</si>
  <si>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</si>
  <si>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</si>
  <si>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</si>
  <si>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</si>
  <si>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</si>
  <si>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</si>
  <si>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</si>
  <si>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</si>
  <si>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</si>
  <si>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</si>
  <si>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</si>
  <si>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</si>
  <si>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</si>
  <si>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</si>
  <si>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</si>
  <si>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</si>
  <si>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</si>
  <si>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</si>
  <si>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</si>
  <si>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</si>
  <si>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</si>
  <si>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</si>
  <si>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</si>
  <si>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</si>
  <si>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</si>
  <si>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</si>
  <si>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</si>
  <si>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</si>
  <si>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</si>
  <si>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</si>
  <si>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</si>
  <si>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</si>
  <si>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</si>
  <si>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</si>
  <si>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</si>
  <si>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</si>
  <si>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</si>
  <si>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</si>
  <si>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</si>
  <si>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</si>
  <si>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</si>
  <si>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</si>
  <si>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</si>
  <si>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</si>
  <si>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</si>
  <si>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</si>
  <si>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</si>
  <si>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</si>
  <si>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</si>
  <si>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</si>
  <si>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</si>
  <si>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</si>
  <si>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</si>
  <si>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</si>
  <si>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</si>
  <si>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</si>
  <si>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</si>
  <si>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</si>
  <si>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</si>
  <si>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</si>
  <si>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</si>
  <si>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</si>
  <si>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</si>
  <si>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</si>
  <si>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</si>
  <si>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</si>
  <si>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</si>
  <si>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</si>
  <si>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</si>
  <si>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</si>
  <si>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</si>
  <si>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</si>
  <si>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</si>
  <si>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</si>
  <si>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</si>
  <si>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</si>
  <si>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</si>
  <si>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</si>
  <si>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</si>
  <si>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</si>
  <si>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</si>
  <si>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</si>
  <si>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</si>
  <si>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</si>
  <si>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</si>
  <si>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</si>
  <si>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</si>
  <si>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</si>
  <si>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</si>
  <si>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</si>
  <si>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</si>
  <si>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</si>
  <si>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</si>
  <si>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</si>
  <si>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</si>
  <si>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</si>
  <si>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</si>
  <si>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</si>
  <si>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</si>
  <si>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</si>
  <si>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</si>
  <si>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</si>
  <si>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</si>
  <si>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</si>
  <si>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</si>
  <si>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</si>
  <si>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</si>
  <si>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</si>
  <si>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</si>
  <si>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</si>
  <si>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</si>
  <si>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</si>
  <si>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</si>
  <si>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</si>
  <si>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</si>
  <si>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</si>
  <si>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</si>
  <si>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</si>
  <si>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</si>
  <si>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</si>
  <si>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</si>
  <si>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</si>
  <si>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</si>
  <si>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</si>
  <si>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</si>
  <si>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</si>
  <si>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</si>
  <si>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</si>
  <si>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</si>
  <si>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</si>
  <si>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</si>
  <si>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</si>
  <si>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</si>
  <si>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</si>
  <si>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</si>
  <si>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</si>
  <si>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</si>
  <si>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</si>
  <si>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</si>
  <si>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</si>
  <si>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</si>
  <si>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</si>
  <si>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</si>
  <si>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</si>
  <si>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</si>
  <si>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</si>
  <si>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</si>
  <si>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</si>
  <si>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</si>
  <si>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</si>
  <si>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</si>
  <si>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</si>
  <si>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</si>
  <si>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</si>
  <si>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</si>
  <si>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</si>
  <si>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</si>
  <si>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</si>
  <si>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</si>
  <si>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</si>
  <si>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</si>
  <si>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</si>
  <si>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</si>
  <si>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</si>
  <si>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</si>
  <si>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</si>
  <si>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</si>
  <si>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</si>
  <si>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</si>
  <si>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</si>
  <si>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</si>
  <si>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</si>
  <si>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</si>
  <si>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</si>
  <si>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 xml:space="preserve">Budget </t>
  </si>
  <si>
    <t>▲ $</t>
  </si>
  <si>
    <t>▲ %</t>
  </si>
  <si>
    <t>NB de livraisons</t>
  </si>
  <si>
    <t>pièces</t>
  </si>
  <si>
    <t>Coûts</t>
  </si>
  <si>
    <t>% avant redevances</t>
  </si>
  <si>
    <t>Coûts de redevance</t>
  </si>
  <si>
    <t>Profit</t>
  </si>
  <si>
    <t>Coûts de livraison</t>
  </si>
  <si>
    <t>Profit net</t>
  </si>
  <si>
    <t>% net</t>
  </si>
  <si>
    <t>Inscrire les GL</t>
  </si>
  <si>
    <t>Couts de redevance</t>
  </si>
  <si>
    <t>Contrôle mois</t>
  </si>
  <si>
    <t>frais de livraison doit être de 25$ / livraison</t>
  </si>
  <si>
    <t>Contrôle YTD</t>
  </si>
  <si>
    <t>GL livraison</t>
  </si>
  <si>
    <t>Coût / livraison</t>
  </si>
  <si>
    <t>NB de livraison</t>
  </si>
  <si>
    <t>Budgeté</t>
  </si>
  <si>
    <t>Coûts de redevance budgeté</t>
  </si>
  <si>
    <t>Outils Spécialisés Volks</t>
  </si>
  <si>
    <t>KIMOBY</t>
  </si>
  <si>
    <t>1109</t>
  </si>
  <si>
    <t>FRAIS DE LIVRAISON PIECES</t>
  </si>
  <si>
    <t>6758</t>
  </si>
  <si>
    <t>Revenus d'interets floor plan</t>
  </si>
  <si>
    <t>9405</t>
  </si>
  <si>
    <t>VTES -VTE - ID4</t>
  </si>
  <si>
    <t>4141</t>
  </si>
  <si>
    <t>C/V - ID4</t>
  </si>
  <si>
    <t>5141</t>
  </si>
  <si>
    <t># DE VTW - ID4</t>
  </si>
  <si>
    <t>4141@</t>
  </si>
  <si>
    <t>Suivi de Démo</t>
  </si>
  <si>
    <t># Stock</t>
  </si>
  <si>
    <t>$ Valeur</t>
  </si>
  <si>
    <t xml:space="preserve">Nom </t>
  </si>
  <si>
    <t>Prénom</t>
  </si>
  <si>
    <t>Titre / Fonction</t>
  </si>
  <si>
    <t>C/V - BONI CPO</t>
  </si>
  <si>
    <t>5208</t>
  </si>
  <si>
    <t>6512</t>
  </si>
  <si>
    <t>FREDERIC</t>
  </si>
  <si>
    <t>BEAUVAIS</t>
  </si>
  <si>
    <t>CONSEILLER VENTE</t>
  </si>
  <si>
    <t>DG</t>
  </si>
  <si>
    <t>JUAN ANDRES</t>
  </si>
  <si>
    <t>CABALLERO</t>
  </si>
  <si>
    <t>940</t>
  </si>
  <si>
    <t>BAIIA Corpo</t>
  </si>
  <si>
    <t>PARADIS</t>
  </si>
  <si>
    <t>ALEXANDRE</t>
  </si>
  <si>
    <t>DIRECTEUR ADJ VENTE</t>
  </si>
  <si>
    <t>C/V - AUTRES PNEUS</t>
  </si>
  <si>
    <t>5786</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</si>
  <si>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</si>
  <si>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</si>
  <si>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</si>
  <si>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</si>
  <si>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</si>
  <si>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AMORT. CUM. AMEL. LOCAT. CPO</t>
  </si>
  <si>
    <t>1735</t>
  </si>
  <si>
    <t>AMORT.CUMUL.PROJET VOLKS</t>
  </si>
  <si>
    <t>1741</t>
  </si>
  <si>
    <t>Forecast Immobilisation 2025</t>
  </si>
  <si>
    <t>Équipement informatique</t>
  </si>
  <si>
    <t>Budget 2025</t>
  </si>
  <si>
    <t>Budget 2025 Mensuel VOLKS</t>
  </si>
  <si>
    <t>Intérêts sur hypothèque</t>
  </si>
  <si>
    <t>Réel 2024</t>
  </si>
  <si>
    <t>Revenus d'intérêts Floor plan</t>
  </si>
  <si>
    <t>FPA FLOORPLAN</t>
  </si>
  <si>
    <t>Nouveau building</t>
  </si>
  <si>
    <t xml:space="preserve"> AAJ</t>
  </si>
  <si>
    <t>TAUX MAIN D'OEUVRE - CLIENT - VW - VEB</t>
  </si>
  <si>
    <t>266</t>
  </si>
  <si>
    <t>26</t>
  </si>
  <si>
    <t>TAUX MAIN D'OEUVRE - GARANTIE - VW - VEB</t>
  </si>
  <si>
    <t>267</t>
  </si>
  <si>
    <t>TAUX MAIN D'OEUVRE - INTERNE - VW - VEB</t>
  </si>
  <si>
    <t>268</t>
  </si>
  <si>
    <t>TAUX MAIN D'OEUVRE - BODY - VW - VEB</t>
  </si>
  <si>
    <t>269</t>
  </si>
  <si>
    <t>FPA recours coll</t>
  </si>
  <si>
    <t>_</t>
  </si>
  <si>
    <t>Repris bcp d'auto</t>
  </si>
  <si>
    <t>Plaques + Depreciation</t>
  </si>
  <si>
    <t>BT demande a Tommy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</si>
</sst>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6" formatCode="&quot;$&quot;#,##0_);[Red]\(&quot;$&quot;#,##0\)"/>
    <numFmt numFmtId="44" formatCode="_(&quot;$&quot;* #,##0.00_);_(&quot;$&quot;* \(#,##0.00\);_(&quot;$&quot;* &quot;-&quot;??_);_(@_)"/>
    <numFmt numFmtId="43" formatCode="_(* #,##0.00_);_(* \(#,##0.00\);_(* &quot;-&quot;??_);_(@_)"/>
    <numFmt numFmtId="164" formatCode="_-&quot;$&quot;* #,##0.00_-;\-&quot;$&quot;* #,##0.00_-;_-&quot;$&quot;* &quot;-&quot;??_-;_-@_-"/>
    <numFmt numFmtId="165" formatCode="_-* #,##0.00_-;\-* #,##0.00_-;_-* &quot;-&quot;??_-;_-@_-"/>
    <numFmt numFmtId="166" formatCode="#,##0\ &quot;$&quot;_);[Red]\(#,##0\ &quot;$&quot;\)"/>
    <numFmt numFmtId="167" formatCode="#,##0.00\ &quot;$&quot;_);[Red]\(#,##0.00\ &quot;$&quot;\)"/>
    <numFmt numFmtId="168" formatCode="_ * #,##0.00_)\ &quot;$&quot;_ ;_ * \(#,##0.00\)\ &quot;$&quot;_ ;_ * &quot;-&quot;??_)\ &quot;$&quot;_ ;_ @_ "/>
    <numFmt numFmtId="169" formatCode="&quot;$&quot;#,##0"/>
    <numFmt numFmtId="170" formatCode="_ * #,##0_)\ _$_ ;_ * \(#,##0\)\ _$_ ;_ * &quot;-&quot;_)\ _$_ ;_ @_ "/>
    <numFmt numFmtId="171" formatCode="_-* #,##0\ _$_-;_-* #,##0\ _$\-;_-* &quot;-&quot;??\ _$_-;_-@"/>
    <numFmt numFmtId="172" formatCode="_(* #,##0_);_(* \(#,##0\);_(* &quot;-&quot;??_);_(@_)"/>
    <numFmt numFmtId="173" formatCode="dd\/mm\/yy_)"/>
    <numFmt numFmtId="174" formatCode="0_)"/>
    <numFmt numFmtId="175" formatCode="0.0%"/>
    <numFmt numFmtId="176" formatCode="0.00_)"/>
    <numFmt numFmtId="177" formatCode="_ * #,##0.00_)\ _$_ ;_ * \(#,##0.00\)\ _$_ ;_ * &quot;-&quot;??_)\ _$_ ;_ @_ "/>
    <numFmt numFmtId="178" formatCode="d/m/yyyy"/>
    <numFmt numFmtId="179" formatCode="_ * #,##0_)\ _$_ ;_ * \(#,##0\)\ _$_ ;_ * &quot;-&quot;??_)\ _$_ ;_ @_ "/>
    <numFmt numFmtId="180" formatCode="0.00000000000000%"/>
    <numFmt numFmtId="181" formatCode="#,###.00;\-#,###.00;.00"/>
    <numFmt numFmtId="182" formatCode="[$-F400]h:mm:ss\ AM/PM"/>
    <numFmt numFmtId="183" formatCode="#.00;\-#.00;.00"/>
    <numFmt numFmtId="184" formatCode="_ * #,##0_)\ &quot;$&quot;_ ;_ * \(#,##0\)\ &quot;$&quot;_ ;_ * &quot;-&quot;??_)\ &quot;$&quot;_ ;_ @_ "/>
    <numFmt numFmtId="185" formatCode="#,###.00;\-#,###.00;.00;@"/>
    <numFmt numFmtId="186" formatCode="#;#;0;@"/>
    <numFmt numFmtId="187" formatCode="&quot;$&quot;#,##0.00"/>
  </numFmts>
  <fonts count="197">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b/>
      <sz val="11"/>
      <color theme="0"/>
      <name val="Calibri"/>
      <family val="2"/>
    </font>
    <font>
      <b/>
      <sz val="11"/>
      <color rgb="FF000000"/>
      <name val="Calibri"/>
      <family val="2"/>
    </font>
    <font>
      <sz val="8"/>
      <color theme="1"/>
      <name val="Calibri"/>
      <family val="2"/>
    </font>
    <font>
      <sz val="9"/>
      <color theme="1"/>
      <name val="Calibri"/>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u/>
      <sz val="11"/>
      <color theme="1"/>
      <name val="Calibri"/>
      <family val="2"/>
    </font>
    <font>
      <sz val="8"/>
      <color theme="1"/>
      <name val="Verdana"/>
      <family val="2"/>
    </font>
    <font>
      <sz val="8"/>
      <color rgb="FF000000"/>
      <name val="Verdana"/>
      <family val="2"/>
    </font>
    <font>
      <b/>
      <sz val="11"/>
      <color theme="1"/>
      <name val="Arial"/>
      <family val="2"/>
    </font>
    <font>
      <u/>
      <sz val="8"/>
      <color theme="1"/>
      <name val="Verdana"/>
      <family val="2"/>
    </font>
    <font>
      <u/>
      <sz val="8"/>
      <color rgb="FF000000"/>
      <name val="Verdana"/>
      <family val="2"/>
    </font>
    <font>
      <u/>
      <sz val="8"/>
      <color rgb="FF0066F4"/>
      <name val="Verdana"/>
      <family val="2"/>
    </font>
    <font>
      <u/>
      <sz val="8"/>
      <color rgb="FF0066F4"/>
      <name val="Verdana"/>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14"/>
      <color rgb="FFFF0000"/>
      <name val="Arial"/>
      <family val="2"/>
    </font>
    <font>
      <sz val="11"/>
      <color rgb="FFFF0000"/>
      <name val="Arial"/>
      <family val="2"/>
      <scheme val="minor"/>
    </font>
    <font>
      <b/>
      <sz val="11"/>
      <color theme="1"/>
      <name val="Arial"/>
      <family val="2"/>
      <scheme val="minor"/>
    </font>
    <font>
      <sz val="11"/>
      <color theme="0"/>
      <name val="Arial"/>
      <family val="2"/>
      <scheme val="minor"/>
    </font>
    <font>
      <b/>
      <sz val="16"/>
      <color theme="1"/>
      <name val="Arial"/>
      <family val="2"/>
      <scheme val="minor"/>
    </font>
    <font>
      <sz val="11"/>
      <name val="Arial"/>
      <family val="2"/>
      <scheme val="minor"/>
    </font>
    <font>
      <b/>
      <sz val="11"/>
      <name val="Arial"/>
      <family val="2"/>
      <scheme val="minor"/>
    </font>
    <font>
      <sz val="9"/>
      <color indexed="81"/>
      <name val="Tahoma"/>
      <family val="2"/>
    </font>
    <font>
      <u/>
      <sz val="11"/>
      <color theme="10"/>
      <name val="Arial"/>
      <family val="2"/>
      <scheme val="minor"/>
    </font>
    <font>
      <sz val="12"/>
      <color theme="1"/>
      <name val="Arial"/>
      <family val="2"/>
      <scheme val="minor"/>
    </font>
  </fonts>
  <fills count="42">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rgb="FF00B0F0"/>
        <bgColor rgb="FF00B0F0"/>
      </patternFill>
    </fill>
    <fill>
      <patternFill patternType="solid">
        <fgColor rgb="FFFABF8F"/>
        <bgColor rgb="FFFABF8F"/>
      </patternFill>
    </fill>
    <fill>
      <patternFill patternType="solid">
        <fgColor theme="4"/>
        <bgColor theme="4"/>
      </patternFill>
    </fill>
    <fill>
      <patternFill patternType="solid">
        <fgColor rgb="FFF9F9F9"/>
        <bgColor rgb="FFF9F9F9"/>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FF00"/>
        <bgColor rgb="FFFBD4B4"/>
      </patternFill>
    </fill>
    <fill>
      <patternFill patternType="solid">
        <fgColor theme="4" tint="0.59999389629810485"/>
        <bgColor indexed="64"/>
      </patternFill>
    </fill>
    <fill>
      <patternFill patternType="solid">
        <fgColor rgb="FF92D050"/>
        <bgColor rgb="FFDBE5F1"/>
      </patternFill>
    </fill>
    <fill>
      <patternFill patternType="solid">
        <fgColor rgb="FFFF0000"/>
        <bgColor indexed="64"/>
      </patternFill>
    </fill>
    <fill>
      <patternFill patternType="solid">
        <fgColor rgb="FFFF0000"/>
        <bgColor rgb="FFC0C0C0"/>
      </patternFill>
    </fill>
  </fills>
  <borders count="237">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right/>
      <top style="thin">
        <color rgb="FF000000"/>
      </top>
      <bottom style="double">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right/>
      <top style="thin">
        <color rgb="FF95B3D7"/>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DDDDDD"/>
      </left>
      <right style="thin">
        <color rgb="FFDDDDDD"/>
      </right>
      <top style="thin">
        <color rgb="FFDDDDDD"/>
      </top>
      <bottom style="thin">
        <color rgb="FFDDDDDD"/>
      </bottom>
      <diagonal/>
    </border>
    <border>
      <left/>
      <right/>
      <top style="thin">
        <color rgb="FF95B3D7"/>
      </top>
      <bottom style="thin">
        <color rgb="FFDDDDDD"/>
      </bottom>
      <diagonal/>
    </border>
    <border>
      <left/>
      <right/>
      <top style="thin">
        <color rgb="FFDDDDDD"/>
      </top>
      <bottom style="thin">
        <color rgb="FFDDDDDD"/>
      </bottom>
      <diagonal/>
    </border>
    <border>
      <left style="thin">
        <color rgb="FFDDDDDD"/>
      </left>
      <right/>
      <top style="thin">
        <color rgb="FFDDDDDD"/>
      </top>
      <bottom style="thin">
        <color rgb="FFDDDDDD"/>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right style="thick">
        <color indexed="8"/>
      </right>
      <top style="thin">
        <color indexed="8"/>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style="thick">
        <color indexed="8"/>
      </left>
      <right/>
      <top style="thin">
        <color indexed="8"/>
      </top>
      <bottom style="thin">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n">
        <color indexed="64"/>
      </top>
      <bottom/>
      <diagonal/>
    </border>
    <border>
      <left/>
      <right/>
      <top style="thin">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1341">
    <xf numFmtId="0" fontId="0" fillId="0" borderId="0"/>
    <xf numFmtId="43" fontId="123" fillId="0" borderId="0" applyFont="0" applyFill="0" applyBorder="0" applyAlignment="0" applyProtection="0"/>
    <xf numFmtId="9" fontId="123" fillId="0" borderId="0" applyFont="0" applyFill="0" applyBorder="0" applyAlignment="0" applyProtection="0"/>
    <xf numFmtId="168" fontId="185" fillId="0" borderId="0" applyFont="0" applyFill="0" applyBorder="0" applyAlignment="0" applyProtection="0"/>
    <xf numFmtId="0" fontId="119" fillId="0" borderId="1"/>
    <xf numFmtId="165" fontId="119" fillId="0" borderId="1" applyFont="0" applyFill="0" applyBorder="0" applyAlignment="0" applyProtection="0"/>
    <xf numFmtId="0" fontId="118" fillId="0" borderId="1"/>
    <xf numFmtId="165" fontId="118" fillId="0" borderId="1" applyFont="0" applyFill="0" applyBorder="0" applyAlignment="0" applyProtection="0"/>
    <xf numFmtId="0" fontId="117" fillId="0" borderId="1"/>
    <xf numFmtId="165" fontId="117" fillId="0" borderId="1" applyFont="0" applyFill="0" applyBorder="0" applyAlignment="0" applyProtection="0"/>
    <xf numFmtId="0" fontId="116" fillId="0" borderId="1"/>
    <xf numFmtId="0" fontId="115" fillId="0" borderId="1"/>
    <xf numFmtId="165" fontId="115" fillId="0" borderId="1" applyFont="0" applyFill="0" applyBorder="0" applyAlignment="0" applyProtection="0"/>
    <xf numFmtId="0" fontId="114" fillId="0" borderId="1"/>
    <xf numFmtId="165" fontId="114" fillId="0" borderId="1" applyFont="0" applyFill="0" applyBorder="0" applyAlignment="0" applyProtection="0"/>
    <xf numFmtId="168" fontId="114" fillId="0" borderId="1" applyFont="0" applyFill="0" applyBorder="0" applyAlignment="0" applyProtection="0"/>
    <xf numFmtId="0" fontId="114" fillId="0" borderId="1"/>
    <xf numFmtId="165" fontId="114" fillId="0" borderId="1" applyFont="0" applyFill="0" applyBorder="0" applyAlignment="0" applyProtection="0"/>
    <xf numFmtId="0" fontId="114" fillId="0" borderId="1"/>
    <xf numFmtId="165" fontId="114" fillId="0" borderId="1" applyFont="0" applyFill="0" applyBorder="0" applyAlignment="0" applyProtection="0"/>
    <xf numFmtId="0" fontId="114" fillId="0" borderId="1"/>
    <xf numFmtId="165" fontId="114" fillId="0" borderId="1" applyFont="0" applyFill="0" applyBorder="0" applyAlignment="0" applyProtection="0"/>
    <xf numFmtId="0" fontId="114" fillId="0" borderId="1"/>
    <xf numFmtId="0" fontId="114" fillId="0" borderId="1"/>
    <xf numFmtId="165" fontId="114" fillId="0" borderId="1" applyFont="0" applyFill="0" applyBorder="0" applyAlignment="0" applyProtection="0"/>
    <xf numFmtId="168" fontId="114" fillId="0" borderId="1" applyFont="0" applyFill="0" applyBorder="0" applyAlignment="0" applyProtection="0"/>
    <xf numFmtId="0" fontId="113" fillId="0" borderId="1"/>
    <xf numFmtId="165" fontId="113" fillId="0" borderId="1" applyFont="0" applyFill="0" applyBorder="0" applyAlignment="0" applyProtection="0"/>
    <xf numFmtId="0" fontId="112" fillId="0" borderId="1"/>
    <xf numFmtId="165" fontId="112" fillId="0" borderId="1" applyFont="0" applyFill="0" applyBorder="0" applyAlignment="0" applyProtection="0"/>
    <xf numFmtId="0" fontId="111" fillId="0" borderId="1"/>
    <xf numFmtId="165" fontId="111" fillId="0" borderId="1" applyFont="0" applyFill="0" applyBorder="0" applyAlignment="0" applyProtection="0"/>
    <xf numFmtId="0" fontId="110" fillId="0" borderId="1"/>
    <xf numFmtId="165" fontId="110"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5" fontId="109" fillId="0" borderId="1" applyFont="0" applyFill="0" applyBorder="0" applyAlignment="0" applyProtection="0"/>
    <xf numFmtId="0" fontId="109" fillId="0" borderId="1"/>
    <xf numFmtId="165" fontId="109" fillId="0" borderId="1" applyFont="0" applyFill="0" applyBorder="0" applyAlignment="0" applyProtection="0"/>
    <xf numFmtId="0" fontId="109" fillId="0" borderId="1"/>
    <xf numFmtId="165" fontId="109" fillId="0" borderId="1" applyFont="0" applyFill="0" applyBorder="0" applyAlignment="0" applyProtection="0"/>
    <xf numFmtId="0" fontId="109" fillId="0" borderId="1"/>
    <xf numFmtId="0" fontId="109" fillId="0" borderId="1"/>
    <xf numFmtId="165" fontId="109" fillId="0" borderId="1" applyFont="0" applyFill="0" applyBorder="0" applyAlignment="0" applyProtection="0"/>
    <xf numFmtId="0" fontId="109" fillId="0" borderId="1"/>
    <xf numFmtId="165" fontId="109" fillId="0" borderId="1" applyFont="0" applyFill="0" applyBorder="0" applyAlignment="0" applyProtection="0"/>
    <xf numFmtId="168" fontId="109" fillId="0" borderId="1" applyFont="0" applyFill="0" applyBorder="0" applyAlignment="0" applyProtection="0"/>
    <xf numFmtId="0" fontId="109" fillId="0" borderId="1"/>
    <xf numFmtId="165" fontId="109" fillId="0" borderId="1" applyFont="0" applyFill="0" applyBorder="0" applyAlignment="0" applyProtection="0"/>
    <xf numFmtId="0" fontId="109" fillId="0" borderId="1"/>
    <xf numFmtId="165" fontId="109" fillId="0" borderId="1" applyFont="0" applyFill="0" applyBorder="0" applyAlignment="0" applyProtection="0"/>
    <xf numFmtId="0" fontId="109" fillId="0" borderId="1"/>
    <xf numFmtId="165" fontId="109" fillId="0" borderId="1" applyFont="0" applyFill="0" applyBorder="0" applyAlignment="0" applyProtection="0"/>
    <xf numFmtId="0" fontId="109" fillId="0" borderId="1"/>
    <xf numFmtId="0" fontId="109" fillId="0" borderId="1"/>
    <xf numFmtId="165" fontId="109" fillId="0" borderId="1" applyFont="0" applyFill="0" applyBorder="0" applyAlignment="0" applyProtection="0"/>
    <xf numFmtId="168" fontId="109" fillId="0" borderId="1" applyFont="0" applyFill="0" applyBorder="0" applyAlignment="0" applyProtection="0"/>
    <xf numFmtId="0" fontId="109" fillId="0" borderId="1"/>
    <xf numFmtId="165" fontId="109" fillId="0" borderId="1" applyFont="0" applyFill="0" applyBorder="0" applyAlignment="0" applyProtection="0"/>
    <xf numFmtId="0" fontId="109" fillId="0" borderId="1"/>
    <xf numFmtId="165" fontId="109" fillId="0" borderId="1" applyFont="0" applyFill="0" applyBorder="0" applyAlignment="0" applyProtection="0"/>
    <xf numFmtId="0" fontId="109" fillId="0" borderId="1"/>
    <xf numFmtId="165" fontId="109" fillId="0" borderId="1" applyFont="0" applyFill="0" applyBorder="0" applyAlignment="0" applyProtection="0"/>
    <xf numFmtId="0" fontId="109" fillId="0" borderId="1"/>
    <xf numFmtId="165" fontId="109" fillId="0" borderId="1" applyFont="0" applyFill="0" applyBorder="0" applyAlignment="0" applyProtection="0"/>
    <xf numFmtId="168" fontId="109" fillId="0" borderId="1" applyFont="0" applyFill="0" applyBorder="0" applyAlignment="0" applyProtection="0"/>
    <xf numFmtId="0" fontId="108" fillId="0" borderId="1"/>
    <xf numFmtId="165" fontId="108" fillId="0" borderId="1" applyFont="0" applyFill="0" applyBorder="0" applyAlignment="0" applyProtection="0"/>
    <xf numFmtId="0" fontId="107" fillId="0" borderId="1"/>
    <xf numFmtId="165" fontId="107" fillId="0" borderId="1" applyFont="0" applyFill="0" applyBorder="0" applyAlignment="0" applyProtection="0"/>
    <xf numFmtId="0" fontId="106" fillId="0" borderId="1"/>
    <xf numFmtId="165" fontId="106" fillId="0" borderId="1" applyFont="0" applyFill="0" applyBorder="0" applyAlignment="0" applyProtection="0"/>
    <xf numFmtId="0" fontId="105" fillId="0" borderId="1"/>
    <xf numFmtId="165" fontId="105" fillId="0" borderId="1" applyFont="0" applyFill="0" applyBorder="0" applyAlignment="0" applyProtection="0"/>
    <xf numFmtId="0" fontId="104" fillId="0" borderId="1"/>
    <xf numFmtId="165" fontId="104" fillId="0" borderId="1" applyFont="0" applyFill="0" applyBorder="0" applyAlignment="0" applyProtection="0"/>
    <xf numFmtId="0" fontId="103" fillId="0" borderId="1"/>
    <xf numFmtId="165" fontId="103" fillId="0" borderId="1" applyFont="0" applyFill="0" applyBorder="0" applyAlignment="0" applyProtection="0"/>
    <xf numFmtId="0" fontId="102" fillId="0" borderId="1"/>
    <xf numFmtId="165" fontId="102" fillId="0" borderId="1" applyFont="0" applyFill="0" applyBorder="0" applyAlignment="0" applyProtection="0"/>
    <xf numFmtId="0" fontId="101" fillId="0" borderId="1"/>
    <xf numFmtId="165" fontId="101" fillId="0" borderId="1" applyFont="0" applyFill="0" applyBorder="0" applyAlignment="0" applyProtection="0"/>
    <xf numFmtId="168"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168"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0" fontId="101" fillId="0" borderId="1"/>
    <xf numFmtId="165" fontId="101" fillId="0" borderId="1" applyFont="0" applyFill="0" applyBorder="0" applyAlignment="0" applyProtection="0"/>
    <xf numFmtId="168"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168"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0" fontId="101" fillId="0" borderId="1"/>
    <xf numFmtId="165" fontId="101" fillId="0" borderId="1" applyFont="0" applyFill="0" applyBorder="0" applyAlignment="0" applyProtection="0"/>
    <xf numFmtId="168"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168"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168" fontId="101" fillId="0" borderId="1" applyFont="0" applyFill="0" applyBorder="0" applyAlignment="0" applyProtection="0"/>
    <xf numFmtId="0" fontId="100" fillId="0" borderId="1"/>
    <xf numFmtId="165" fontId="100" fillId="0" borderId="1" applyFont="0" applyFill="0" applyBorder="0" applyAlignment="0" applyProtection="0"/>
    <xf numFmtId="0" fontId="99" fillId="0" borderId="1"/>
    <xf numFmtId="165" fontId="99" fillId="0" borderId="1" applyFont="0" applyFill="0" applyBorder="0" applyAlignment="0" applyProtection="0"/>
    <xf numFmtId="0" fontId="98" fillId="0" borderId="1"/>
    <xf numFmtId="165" fontId="98" fillId="0" borderId="1" applyFont="0" applyFill="0" applyBorder="0" applyAlignment="0" applyProtection="0"/>
    <xf numFmtId="0" fontId="97" fillId="0" borderId="1"/>
    <xf numFmtId="165" fontId="97" fillId="0" borderId="1" applyFont="0" applyFill="0" applyBorder="0" applyAlignment="0" applyProtection="0"/>
    <xf numFmtId="0" fontId="96" fillId="0" borderId="1"/>
    <xf numFmtId="165" fontId="96" fillId="0" borderId="1" applyFont="0" applyFill="0" applyBorder="0" applyAlignment="0" applyProtection="0"/>
    <xf numFmtId="0" fontId="95" fillId="0" borderId="1"/>
    <xf numFmtId="165" fontId="95" fillId="0" borderId="1" applyFont="0" applyFill="0" applyBorder="0" applyAlignment="0" applyProtection="0"/>
    <xf numFmtId="9"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4" fillId="0" borderId="1"/>
    <xf numFmtId="165" fontId="94" fillId="0" borderId="1" applyFont="0" applyFill="0" applyBorder="0" applyAlignment="0" applyProtection="0"/>
    <xf numFmtId="9" fontId="94" fillId="0" borderId="1" applyFont="0" applyFill="0" applyBorder="0" applyAlignment="0" applyProtection="0"/>
    <xf numFmtId="168"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168"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0" fontId="94" fillId="0" borderId="1"/>
    <xf numFmtId="165" fontId="94" fillId="0" borderId="1" applyFont="0" applyFill="0" applyBorder="0" applyAlignment="0" applyProtection="0"/>
    <xf numFmtId="168"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168"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0" fontId="94" fillId="0" borderId="1"/>
    <xf numFmtId="165" fontId="94" fillId="0" borderId="1" applyFont="0" applyFill="0" applyBorder="0" applyAlignment="0" applyProtection="0"/>
    <xf numFmtId="168"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168"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168"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168"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0" fontId="94" fillId="0" borderId="1"/>
    <xf numFmtId="165" fontId="94" fillId="0" borderId="1" applyFont="0" applyFill="0" applyBorder="0" applyAlignment="0" applyProtection="0"/>
    <xf numFmtId="168"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168"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0" fontId="94" fillId="0" borderId="1"/>
    <xf numFmtId="165" fontId="94" fillId="0" borderId="1" applyFont="0" applyFill="0" applyBorder="0" applyAlignment="0" applyProtection="0"/>
    <xf numFmtId="168"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168"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168"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9" fontId="94" fillId="0" borderId="1" applyFont="0" applyFill="0" applyBorder="0" applyAlignment="0" applyProtection="0"/>
    <xf numFmtId="168"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168"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0" fontId="94" fillId="0" borderId="1"/>
    <xf numFmtId="165" fontId="94" fillId="0" borderId="1" applyFont="0" applyFill="0" applyBorder="0" applyAlignment="0" applyProtection="0"/>
    <xf numFmtId="168"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168"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0" fontId="94" fillId="0" borderId="1"/>
    <xf numFmtId="165" fontId="94" fillId="0" borderId="1" applyFont="0" applyFill="0" applyBorder="0" applyAlignment="0" applyProtection="0"/>
    <xf numFmtId="168"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168"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168"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168"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0" fontId="94" fillId="0" borderId="1"/>
    <xf numFmtId="165" fontId="94" fillId="0" borderId="1" applyFont="0" applyFill="0" applyBorder="0" applyAlignment="0" applyProtection="0"/>
    <xf numFmtId="168"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168"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0" fontId="94" fillId="0" borderId="1"/>
    <xf numFmtId="165" fontId="94" fillId="0" borderId="1" applyFont="0" applyFill="0" applyBorder="0" applyAlignment="0" applyProtection="0"/>
    <xf numFmtId="168"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168"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168"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3" fillId="0" borderId="1"/>
    <xf numFmtId="165" fontId="93" fillId="0" borderId="1" applyFont="0" applyFill="0" applyBorder="0" applyAlignment="0" applyProtection="0"/>
    <xf numFmtId="0" fontId="92" fillId="0" borderId="1"/>
    <xf numFmtId="165" fontId="92" fillId="0" borderId="1" applyFont="0" applyFill="0" applyBorder="0" applyAlignment="0" applyProtection="0"/>
    <xf numFmtId="0" fontId="91" fillId="0" borderId="1"/>
    <xf numFmtId="165" fontId="91" fillId="0" borderId="1" applyFont="0" applyFill="0" applyBorder="0" applyAlignment="0" applyProtection="0"/>
    <xf numFmtId="0" fontId="90" fillId="0" borderId="1"/>
    <xf numFmtId="165" fontId="90" fillId="0" borderId="1" applyFont="0" applyFill="0" applyBorder="0" applyAlignment="0" applyProtection="0"/>
    <xf numFmtId="0" fontId="89" fillId="0" borderId="1"/>
    <xf numFmtId="165" fontId="89" fillId="0" borderId="1" applyFont="0" applyFill="0" applyBorder="0" applyAlignment="0" applyProtection="0"/>
    <xf numFmtId="9" fontId="89" fillId="0" borderId="1" applyFont="0" applyFill="0" applyBorder="0" applyAlignment="0" applyProtection="0"/>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9" fontId="89" fillId="0" borderId="1" applyFont="0" applyFill="0" applyBorder="0" applyAlignment="0" applyProtection="0"/>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9" fontId="89" fillId="0" borderId="1" applyFont="0" applyFill="0" applyBorder="0" applyAlignment="0" applyProtection="0"/>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9" fontId="89" fillId="0" borderId="1" applyFont="0" applyFill="0" applyBorder="0" applyAlignment="0" applyProtection="0"/>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5" fontId="89" fillId="0" borderId="1" applyFont="0" applyFill="0" applyBorder="0" applyAlignment="0" applyProtection="0"/>
    <xf numFmtId="9" fontId="89" fillId="0" borderId="1" applyFont="0" applyFill="0" applyBorder="0" applyAlignment="0" applyProtection="0"/>
    <xf numFmtId="168" fontId="89" fillId="0" borderId="1" applyFont="0" applyFill="0" applyBorder="0" applyAlignment="0" applyProtection="0"/>
    <xf numFmtId="0" fontId="88" fillId="0" borderId="1"/>
    <xf numFmtId="165" fontId="88" fillId="0" borderId="1" applyFont="0" applyFill="0" applyBorder="0" applyAlignment="0" applyProtection="0"/>
    <xf numFmtId="0" fontId="87" fillId="0" borderId="1"/>
    <xf numFmtId="165" fontId="87" fillId="0" borderId="1" applyFont="0" applyFill="0" applyBorder="0" applyAlignment="0" applyProtection="0"/>
    <xf numFmtId="0" fontId="86" fillId="0" borderId="1"/>
    <xf numFmtId="165" fontId="86"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5" fontId="85" fillId="0" borderId="1" applyFont="0" applyFill="0" applyBorder="0" applyAlignment="0" applyProtection="0"/>
    <xf numFmtId="9"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5" fontId="85" fillId="0" borderId="1" applyFont="0" applyFill="0" applyBorder="0" applyAlignment="0" applyProtection="0"/>
    <xf numFmtId="9" fontId="85" fillId="0" borderId="1" applyFont="0" applyFill="0" applyBorder="0" applyAlignment="0" applyProtection="0"/>
    <xf numFmtId="168" fontId="85" fillId="0" borderId="1" applyFont="0" applyFill="0" applyBorder="0" applyAlignment="0" applyProtection="0"/>
    <xf numFmtId="0" fontId="84" fillId="0" borderId="1"/>
    <xf numFmtId="165" fontId="84" fillId="0" borderId="1" applyFont="0" applyFill="0" applyBorder="0" applyAlignment="0" applyProtection="0"/>
    <xf numFmtId="0" fontId="83" fillId="0" borderId="1"/>
    <xf numFmtId="165" fontId="83" fillId="0" borderId="1" applyFont="0" applyFill="0" applyBorder="0" applyAlignment="0" applyProtection="0"/>
    <xf numFmtId="0" fontId="82" fillId="0" borderId="1"/>
    <xf numFmtId="165" fontId="82"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5" fontId="81" fillId="0" borderId="1" applyFont="0" applyFill="0" applyBorder="0" applyAlignment="0" applyProtection="0"/>
    <xf numFmtId="9"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5" fontId="81" fillId="0" borderId="1" applyFont="0" applyFill="0" applyBorder="0" applyAlignment="0" applyProtection="0"/>
    <xf numFmtId="9"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5" fontId="81" fillId="0" borderId="1" applyFont="0" applyFill="0" applyBorder="0" applyAlignment="0" applyProtection="0"/>
    <xf numFmtId="9"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0" fillId="0" borderId="1"/>
    <xf numFmtId="165" fontId="80" fillId="0" borderId="1" applyFont="0" applyFill="0" applyBorder="0" applyAlignment="0" applyProtection="0"/>
    <xf numFmtId="0" fontId="79" fillId="0" borderId="1"/>
    <xf numFmtId="165" fontId="79" fillId="0" borderId="1" applyFont="0" applyFill="0" applyBorder="0" applyAlignment="0" applyProtection="0"/>
    <xf numFmtId="0" fontId="78" fillId="0" borderId="1"/>
    <xf numFmtId="0" fontId="78" fillId="0" borderId="1"/>
    <xf numFmtId="9" fontId="78" fillId="0" borderId="1" applyFont="0" applyFill="0" applyBorder="0" applyAlignment="0" applyProtection="0"/>
    <xf numFmtId="44" fontId="78" fillId="0" borderId="1" applyFont="0" applyFill="0" applyBorder="0" applyAlignment="0" applyProtection="0"/>
    <xf numFmtId="0" fontId="77" fillId="0" borderId="1"/>
    <xf numFmtId="165" fontId="77" fillId="0" borderId="1" applyFont="0" applyFill="0" applyBorder="0" applyAlignment="0" applyProtection="0"/>
    <xf numFmtId="0" fontId="76" fillId="0" borderId="1"/>
    <xf numFmtId="0" fontId="75" fillId="0" borderId="1"/>
    <xf numFmtId="0" fontId="74" fillId="0" borderId="1"/>
    <xf numFmtId="0" fontId="73" fillId="0" borderId="1"/>
    <xf numFmtId="0" fontId="72" fillId="0" borderId="1"/>
    <xf numFmtId="165" fontId="72" fillId="0" borderId="1" applyFont="0" applyFill="0" applyBorder="0" applyAlignment="0" applyProtection="0"/>
    <xf numFmtId="9"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9"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9"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9"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9"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9"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9"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9"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5" fontId="72" fillId="0" borderId="1" applyFont="0" applyFill="0" applyBorder="0" applyAlignment="0" applyProtection="0"/>
    <xf numFmtId="9"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9"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9"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9"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9"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9"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9"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9"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9"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5" fontId="72" fillId="0" borderId="1" applyFont="0" applyFill="0" applyBorder="0" applyAlignment="0" applyProtection="0"/>
    <xf numFmtId="9"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5" fontId="72" fillId="0" borderId="1" applyFont="0" applyFill="0" applyBorder="0" applyAlignment="0" applyProtection="0"/>
    <xf numFmtId="9"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9"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9"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9"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9"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9"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9"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9"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5" fontId="72" fillId="0" borderId="1" applyFont="0" applyFill="0" applyBorder="0" applyAlignment="0" applyProtection="0"/>
    <xf numFmtId="9"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9"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9"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9"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9"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9"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9"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9"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9"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5" fontId="72" fillId="0" borderId="1" applyFont="0" applyFill="0" applyBorder="0" applyAlignment="0" applyProtection="0"/>
    <xf numFmtId="9"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5" fontId="72" fillId="0" borderId="1" applyFont="0" applyFill="0" applyBorder="0" applyAlignment="0" applyProtection="0"/>
    <xf numFmtId="9"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9" fontId="72" fillId="0" borderId="1" applyFont="0" applyFill="0" applyBorder="0" applyAlignment="0" applyProtection="0"/>
    <xf numFmtId="164"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0" fontId="72" fillId="0" borderId="1"/>
    <xf numFmtId="0" fontId="72" fillId="0" borderId="1"/>
    <xf numFmtId="0" fontId="195" fillId="0" borderId="0" applyNumberFormat="0" applyFill="0" applyBorder="0" applyAlignment="0" applyProtection="0"/>
    <xf numFmtId="0" fontId="71" fillId="0" borderId="1"/>
    <xf numFmtId="0" fontId="70" fillId="0" borderId="1"/>
    <xf numFmtId="0" fontId="69" fillId="0" borderId="1"/>
    <xf numFmtId="0" fontId="68" fillId="0" borderId="1"/>
    <xf numFmtId="0" fontId="67" fillId="0" borderId="1"/>
    <xf numFmtId="0" fontId="65" fillId="0" borderId="1"/>
    <xf numFmtId="0" fontId="64" fillId="0" borderId="1"/>
    <xf numFmtId="0" fontId="63" fillId="0" borderId="1"/>
    <xf numFmtId="0" fontId="61" fillId="0" borderId="1"/>
    <xf numFmtId="0" fontId="60" fillId="0" borderId="1"/>
    <xf numFmtId="0" fontId="59" fillId="0" borderId="1"/>
    <xf numFmtId="0" fontId="58" fillId="0" borderId="1"/>
    <xf numFmtId="0" fontId="57" fillId="0" borderId="1"/>
    <xf numFmtId="0" fontId="56" fillId="0" borderId="1"/>
    <xf numFmtId="0" fontId="55" fillId="0" borderId="1"/>
    <xf numFmtId="0" fontId="54" fillId="0" borderId="1"/>
    <xf numFmtId="0" fontId="53" fillId="0" borderId="1"/>
    <xf numFmtId="0" fontId="52" fillId="0" borderId="1"/>
    <xf numFmtId="0" fontId="51" fillId="0" borderId="1"/>
    <xf numFmtId="0" fontId="50" fillId="0" borderId="1"/>
    <xf numFmtId="0" fontId="49" fillId="0" borderId="1"/>
    <xf numFmtId="0" fontId="48" fillId="0" borderId="1"/>
    <xf numFmtId="0" fontId="47" fillId="0" borderId="1"/>
    <xf numFmtId="0" fontId="46" fillId="0" borderId="1"/>
    <xf numFmtId="0" fontId="45" fillId="0" borderId="1"/>
    <xf numFmtId="0" fontId="44" fillId="0" borderId="1"/>
    <xf numFmtId="0" fontId="43" fillId="0" borderId="1"/>
    <xf numFmtId="0" fontId="42" fillId="0" borderId="1"/>
    <xf numFmtId="0" fontId="41" fillId="0" borderId="1"/>
    <xf numFmtId="0" fontId="40" fillId="0" borderId="1"/>
    <xf numFmtId="0" fontId="39" fillId="0" borderId="1"/>
    <xf numFmtId="0" fontId="38" fillId="0" borderId="1"/>
    <xf numFmtId="0" fontId="37" fillId="0" borderId="1"/>
    <xf numFmtId="0" fontId="35" fillId="0" borderId="1"/>
    <xf numFmtId="0" fontId="34" fillId="0" borderId="1"/>
    <xf numFmtId="0" fontId="33"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xf numFmtId="0" fontId="1" fillId="0" borderId="1"/>
  </cellStyleXfs>
  <cellXfs count="1263">
    <xf numFmtId="0" fontId="0" fillId="0" borderId="0" xfId="0"/>
    <xf numFmtId="0" fontId="120" fillId="0" borderId="0" xfId="0" applyFont="1"/>
    <xf numFmtId="0" fontId="121" fillId="2" borderId="1" xfId="0" applyFont="1" applyFill="1" applyBorder="1" applyAlignment="1">
      <alignment horizontal="center"/>
    </xf>
    <xf numFmtId="0" fontId="121" fillId="0" borderId="0" xfId="0" applyFont="1"/>
    <xf numFmtId="0" fontId="122" fillId="0" borderId="0" xfId="0" applyFont="1" applyAlignment="1">
      <alignment horizontal="center"/>
    </xf>
    <xf numFmtId="0" fontId="123" fillId="0" borderId="0" xfId="0" applyFont="1"/>
    <xf numFmtId="0" fontId="120" fillId="0" borderId="0" xfId="0" applyFont="1" applyAlignment="1">
      <alignment horizontal="center"/>
    </xf>
    <xf numFmtId="169" fontId="121" fillId="0" borderId="0" xfId="0" applyNumberFormat="1" applyFont="1" applyAlignment="1">
      <alignment horizontal="center"/>
    </xf>
    <xf numFmtId="0" fontId="124" fillId="0" borderId="0" xfId="0" applyFont="1" applyAlignment="1">
      <alignment horizontal="left"/>
    </xf>
    <xf numFmtId="0" fontId="125" fillId="0" borderId="0" xfId="0" applyFont="1" applyAlignment="1">
      <alignment horizontal="center"/>
    </xf>
    <xf numFmtId="0" fontId="125" fillId="0" borderId="0" xfId="0" applyFont="1" applyAlignment="1">
      <alignment horizontal="right"/>
    </xf>
    <xf numFmtId="0" fontId="124" fillId="0" borderId="0" xfId="0" applyFont="1"/>
    <xf numFmtId="0" fontId="121" fillId="0" borderId="2" xfId="0" applyFont="1" applyBorder="1"/>
    <xf numFmtId="0" fontId="126" fillId="0" borderId="3" xfId="0" applyFont="1" applyBorder="1"/>
    <xf numFmtId="170" fontId="126" fillId="0" borderId="4" xfId="0" applyNumberFormat="1" applyFont="1" applyBorder="1"/>
    <xf numFmtId="171" fontId="126" fillId="0" borderId="0" xfId="0" applyNumberFormat="1" applyFont="1"/>
    <xf numFmtId="171" fontId="126" fillId="0" borderId="5" xfId="0" applyNumberFormat="1" applyFont="1" applyBorder="1"/>
    <xf numFmtId="0" fontId="127" fillId="0" borderId="6" xfId="0" applyFont="1" applyBorder="1"/>
    <xf numFmtId="170" fontId="127" fillId="0" borderId="7" xfId="0" applyNumberFormat="1" applyFont="1" applyBorder="1"/>
    <xf numFmtId="171" fontId="127" fillId="0" borderId="0" xfId="0" applyNumberFormat="1" applyFont="1"/>
    <xf numFmtId="0" fontId="126" fillId="0" borderId="8" xfId="0" applyFont="1" applyBorder="1"/>
    <xf numFmtId="170" fontId="126" fillId="0" borderId="9" xfId="0" applyNumberFormat="1" applyFont="1" applyBorder="1"/>
    <xf numFmtId="0" fontId="127" fillId="0" borderId="8" xfId="0" applyFont="1" applyBorder="1"/>
    <xf numFmtId="0" fontId="127" fillId="3" borderId="10" xfId="0" applyFont="1" applyFill="1" applyBorder="1"/>
    <xf numFmtId="170" fontId="127" fillId="3" borderId="11" xfId="0" applyNumberFormat="1" applyFont="1" applyFill="1" applyBorder="1"/>
    <xf numFmtId="0" fontId="127" fillId="3" borderId="12" xfId="0" applyFont="1" applyFill="1" applyBorder="1"/>
    <xf numFmtId="170" fontId="127" fillId="3" borderId="13" xfId="0" applyNumberFormat="1" applyFont="1" applyFill="1" applyBorder="1"/>
    <xf numFmtId="0" fontId="127" fillId="0" borderId="0" xfId="0" applyFont="1"/>
    <xf numFmtId="170" fontId="126" fillId="0" borderId="7" xfId="0" applyNumberFormat="1" applyFont="1" applyBorder="1"/>
    <xf numFmtId="171" fontId="121" fillId="0" borderId="0" xfId="0" applyNumberFormat="1" applyFont="1"/>
    <xf numFmtId="0" fontId="121" fillId="0" borderId="8" xfId="0" applyFont="1" applyBorder="1"/>
    <xf numFmtId="170" fontId="121" fillId="0" borderId="9" xfId="0" applyNumberFormat="1" applyFont="1" applyBorder="1"/>
    <xf numFmtId="172" fontId="121" fillId="0" borderId="0" xfId="0" applyNumberFormat="1" applyFont="1"/>
    <xf numFmtId="0" fontId="121" fillId="0" borderId="0" xfId="0" applyFont="1" applyAlignment="1">
      <alignment horizontal="center"/>
    </xf>
    <xf numFmtId="0" fontId="129" fillId="0" borderId="0" xfId="0" applyFont="1" applyAlignment="1">
      <alignment horizontal="center"/>
    </xf>
    <xf numFmtId="0" fontId="125" fillId="4" borderId="15" xfId="0" applyFont="1" applyFill="1" applyBorder="1" applyAlignment="1">
      <alignment horizontal="center"/>
    </xf>
    <xf numFmtId="0" fontId="125" fillId="0" borderId="0" xfId="0" applyFont="1"/>
    <xf numFmtId="173" fontId="130" fillId="0" borderId="0" xfId="0" applyNumberFormat="1" applyFont="1" applyAlignment="1">
      <alignment horizontal="left"/>
    </xf>
    <xf numFmtId="0" fontId="130" fillId="0" borderId="0" xfId="0" applyFont="1"/>
    <xf numFmtId="0" fontId="131" fillId="0" borderId="0" xfId="0" applyFont="1" applyAlignment="1">
      <alignment horizontal="center"/>
    </xf>
    <xf numFmtId="0" fontId="124" fillId="5" borderId="16" xfId="0" applyFont="1" applyFill="1" applyBorder="1" applyAlignment="1">
      <alignment horizontal="center"/>
    </xf>
    <xf numFmtId="0" fontId="131" fillId="0" borderId="0" xfId="0" applyFont="1"/>
    <xf numFmtId="0" fontId="131" fillId="5" borderId="19" xfId="0" applyFont="1" applyFill="1" applyBorder="1"/>
    <xf numFmtId="0" fontId="131" fillId="5" borderId="22" xfId="0" applyFont="1" applyFill="1" applyBorder="1"/>
    <xf numFmtId="0" fontId="131" fillId="5" borderId="20" xfId="0" applyFont="1" applyFill="1" applyBorder="1"/>
    <xf numFmtId="0" fontId="124" fillId="5" borderId="19" xfId="0" applyFont="1" applyFill="1" applyBorder="1"/>
    <xf numFmtId="0" fontId="124" fillId="5" borderId="22" xfId="0" applyFont="1" applyFill="1" applyBorder="1"/>
    <xf numFmtId="0" fontId="124" fillId="5" borderId="20" xfId="0" applyFont="1" applyFill="1" applyBorder="1"/>
    <xf numFmtId="0" fontId="131" fillId="5" borderId="1" xfId="0" applyFont="1" applyFill="1" applyBorder="1"/>
    <xf numFmtId="0" fontId="124" fillId="5" borderId="10" xfId="0" applyFont="1" applyFill="1" applyBorder="1"/>
    <xf numFmtId="0" fontId="124" fillId="5" borderId="12" xfId="0" applyFont="1" applyFill="1" applyBorder="1"/>
    <xf numFmtId="0" fontId="124" fillId="5" borderId="1" xfId="0" applyFont="1" applyFill="1" applyBorder="1"/>
    <xf numFmtId="0" fontId="124" fillId="5" borderId="20" xfId="0" applyFont="1" applyFill="1" applyBorder="1" applyAlignment="1">
      <alignment horizontal="left"/>
    </xf>
    <xf numFmtId="0" fontId="124" fillId="5" borderId="28" xfId="0" applyFont="1" applyFill="1" applyBorder="1"/>
    <xf numFmtId="0" fontId="132" fillId="5" borderId="20" xfId="0" applyFont="1" applyFill="1" applyBorder="1"/>
    <xf numFmtId="0" fontId="132" fillId="5" borderId="22" xfId="0" applyFont="1" applyFill="1" applyBorder="1"/>
    <xf numFmtId="0" fontId="124" fillId="5" borderId="31" xfId="0" applyFont="1" applyFill="1" applyBorder="1"/>
    <xf numFmtId="0" fontId="124" fillId="5" borderId="32" xfId="0" applyFont="1" applyFill="1" applyBorder="1"/>
    <xf numFmtId="0" fontId="133" fillId="5" borderId="1" xfId="0" applyFont="1" applyFill="1" applyBorder="1"/>
    <xf numFmtId="0" fontId="133" fillId="0" borderId="0" xfId="0" applyFont="1"/>
    <xf numFmtId="0" fontId="130" fillId="5" borderId="1" xfId="0" applyFont="1" applyFill="1" applyBorder="1"/>
    <xf numFmtId="0" fontId="125" fillId="5" borderId="1" xfId="0" applyFont="1" applyFill="1" applyBorder="1"/>
    <xf numFmtId="173" fontId="130" fillId="5" borderId="1" xfId="0" applyNumberFormat="1" applyFont="1" applyFill="1" applyBorder="1" applyAlignment="1">
      <alignment horizontal="left"/>
    </xf>
    <xf numFmtId="0" fontId="132" fillId="5" borderId="19" xfId="0" applyFont="1" applyFill="1" applyBorder="1"/>
    <xf numFmtId="0" fontId="124" fillId="5" borderId="33" xfId="0" applyFont="1" applyFill="1" applyBorder="1"/>
    <xf numFmtId="0" fontId="124" fillId="5" borderId="34" xfId="0" applyFont="1" applyFill="1" applyBorder="1"/>
    <xf numFmtId="0" fontId="124" fillId="5" borderId="37" xfId="0" applyFont="1" applyFill="1" applyBorder="1"/>
    <xf numFmtId="0" fontId="134" fillId="5" borderId="1" xfId="0" applyFont="1" applyFill="1" applyBorder="1" applyAlignment="1">
      <alignment horizontal="center" vertical="center"/>
    </xf>
    <xf numFmtId="0" fontId="134" fillId="5" borderId="22" xfId="0" applyFont="1" applyFill="1" applyBorder="1"/>
    <xf numFmtId="0" fontId="134" fillId="5" borderId="20" xfId="0" applyFont="1" applyFill="1" applyBorder="1"/>
    <xf numFmtId="0" fontId="134" fillId="5" borderId="28" xfId="0" applyFont="1" applyFill="1" applyBorder="1"/>
    <xf numFmtId="0" fontId="134" fillId="5" borderId="19" xfId="0" applyFont="1" applyFill="1" applyBorder="1"/>
    <xf numFmtId="0" fontId="134" fillId="5" borderId="37" xfId="0" applyFont="1" applyFill="1" applyBorder="1"/>
    <xf numFmtId="0" fontId="134" fillId="5" borderId="40" xfId="0" applyFont="1" applyFill="1" applyBorder="1"/>
    <xf numFmtId="0" fontId="130" fillId="5" borderId="41" xfId="0" applyFont="1" applyFill="1" applyBorder="1"/>
    <xf numFmtId="0" fontId="132" fillId="5" borderId="41" xfId="0" applyFont="1" applyFill="1" applyBorder="1"/>
    <xf numFmtId="0" fontId="131" fillId="5" borderId="41" xfId="0" applyFont="1" applyFill="1" applyBorder="1"/>
    <xf numFmtId="0" fontId="131" fillId="5" borderId="42" xfId="0" applyFont="1" applyFill="1" applyBorder="1"/>
    <xf numFmtId="0" fontId="134" fillId="5" borderId="43" xfId="0" applyFont="1" applyFill="1" applyBorder="1"/>
    <xf numFmtId="0" fontId="135" fillId="6" borderId="1" xfId="0" applyFont="1" applyFill="1" applyBorder="1"/>
    <xf numFmtId="0" fontId="130" fillId="6" borderId="1" xfId="0" applyFont="1" applyFill="1" applyBorder="1"/>
    <xf numFmtId="0" fontId="136" fillId="6" borderId="1" xfId="0" applyFont="1" applyFill="1" applyBorder="1"/>
    <xf numFmtId="0" fontId="137" fillId="6" borderId="1" xfId="0" applyFont="1" applyFill="1" applyBorder="1" applyAlignment="1">
      <alignment horizontal="center" vertical="center"/>
    </xf>
    <xf numFmtId="0" fontId="130" fillId="6" borderId="1" xfId="0" applyFont="1" applyFill="1" applyBorder="1" applyAlignment="1">
      <alignment horizontal="center" vertical="center"/>
    </xf>
    <xf numFmtId="0" fontId="135" fillId="6" borderId="1" xfId="0" applyFont="1" applyFill="1" applyBorder="1" applyAlignment="1">
      <alignment horizontal="center"/>
    </xf>
    <xf numFmtId="0" fontId="130" fillId="6" borderId="1" xfId="0" applyFont="1" applyFill="1" applyBorder="1" applyAlignment="1">
      <alignment horizontal="center"/>
    </xf>
    <xf numFmtId="0" fontId="138" fillId="6" borderId="1" xfId="0" applyFont="1" applyFill="1" applyBorder="1" applyAlignment="1">
      <alignment horizontal="center"/>
    </xf>
    <xf numFmtId="175" fontId="130" fillId="6" borderId="1" xfId="0" applyNumberFormat="1" applyFont="1" applyFill="1" applyBorder="1"/>
    <xf numFmtId="37" fontId="130" fillId="6" borderId="1" xfId="0" applyNumberFormat="1" applyFont="1" applyFill="1" applyBorder="1"/>
    <xf numFmtId="175" fontId="135" fillId="6" borderId="1" xfId="0" applyNumberFormat="1" applyFont="1" applyFill="1" applyBorder="1"/>
    <xf numFmtId="37" fontId="135" fillId="6" borderId="1" xfId="0" applyNumberFormat="1" applyFont="1" applyFill="1" applyBorder="1"/>
    <xf numFmtId="0" fontId="139" fillId="6" borderId="1" xfId="0" applyFont="1" applyFill="1" applyBorder="1"/>
    <xf numFmtId="0" fontId="138" fillId="6" borderId="1" xfId="0" applyFont="1" applyFill="1" applyBorder="1" applyAlignment="1">
      <alignment horizontal="left"/>
    </xf>
    <xf numFmtId="0" fontId="140" fillId="6" borderId="1" xfId="0" applyFont="1" applyFill="1" applyBorder="1"/>
    <xf numFmtId="37" fontId="130" fillId="0" borderId="0" xfId="0" applyNumberFormat="1" applyFont="1"/>
    <xf numFmtId="0" fontId="141" fillId="0" borderId="0" xfId="0" applyFont="1"/>
    <xf numFmtId="0" fontId="142" fillId="0" borderId="0" xfId="0" applyFont="1"/>
    <xf numFmtId="0" fontId="143" fillId="0" borderId="0" xfId="0" applyFont="1" applyAlignment="1">
      <alignment horizontal="center"/>
    </xf>
    <xf numFmtId="0" fontId="120" fillId="7" borderId="1" xfId="0" applyFont="1" applyFill="1" applyBorder="1" applyAlignment="1">
      <alignment horizontal="center"/>
    </xf>
    <xf numFmtId="0" fontId="120" fillId="8" borderId="45" xfId="0" applyFont="1" applyFill="1" applyBorder="1" applyAlignment="1">
      <alignment horizontal="center" vertical="center" wrapText="1"/>
    </xf>
    <xf numFmtId="0" fontId="120" fillId="8" borderId="46" xfId="0" applyFont="1" applyFill="1" applyBorder="1" applyAlignment="1">
      <alignment horizontal="center" vertical="center" wrapText="1"/>
    </xf>
    <xf numFmtId="0" fontId="120" fillId="8" borderId="47" xfId="0" applyFont="1" applyFill="1" applyBorder="1" applyAlignment="1">
      <alignment horizontal="center" vertical="center" wrapText="1"/>
    </xf>
    <xf numFmtId="0" fontId="120" fillId="8" borderId="48" xfId="0" applyFont="1" applyFill="1" applyBorder="1" applyAlignment="1">
      <alignment horizontal="center" vertical="center" wrapText="1"/>
    </xf>
    <xf numFmtId="169" fontId="144" fillId="9" borderId="52" xfId="0" applyNumberFormat="1" applyFont="1" applyFill="1" applyBorder="1" applyAlignment="1">
      <alignment horizontal="center" vertical="center"/>
    </xf>
    <xf numFmtId="169" fontId="144" fillId="9" borderId="53" xfId="0" applyNumberFormat="1" applyFont="1" applyFill="1" applyBorder="1" applyAlignment="1">
      <alignment horizontal="center" vertical="center"/>
    </xf>
    <xf numFmtId="3" fontId="120" fillId="9" borderId="52" xfId="0" applyNumberFormat="1" applyFont="1" applyFill="1" applyBorder="1" applyAlignment="1">
      <alignment horizontal="center" vertical="center"/>
    </xf>
    <xf numFmtId="3" fontId="120" fillId="9" borderId="53" xfId="0" applyNumberFormat="1" applyFont="1" applyFill="1" applyBorder="1" applyAlignment="1">
      <alignment horizontal="center" vertical="center"/>
    </xf>
    <xf numFmtId="0" fontId="121" fillId="9" borderId="54" xfId="0" applyFont="1" applyFill="1" applyBorder="1" applyAlignment="1">
      <alignment wrapText="1"/>
    </xf>
    <xf numFmtId="0" fontId="121" fillId="0" borderId="44" xfId="0" applyFont="1" applyBorder="1" applyAlignment="1">
      <alignment horizontal="center" vertical="center" wrapText="1"/>
    </xf>
    <xf numFmtId="0" fontId="121" fillId="0" borderId="44" xfId="0" applyFont="1" applyBorder="1" applyAlignment="1">
      <alignment horizontal="center" vertical="center"/>
    </xf>
    <xf numFmtId="0" fontId="121" fillId="0" borderId="55" xfId="0" applyFont="1" applyBorder="1" applyAlignment="1">
      <alignment horizontal="left" vertical="center" wrapText="1"/>
    </xf>
    <xf numFmtId="37" fontId="121" fillId="0" borderId="0" xfId="0" applyNumberFormat="1" applyFont="1" applyAlignment="1">
      <alignment horizontal="center" vertical="center"/>
    </xf>
    <xf numFmtId="37" fontId="121" fillId="0" borderId="56" xfId="0" applyNumberFormat="1" applyFont="1" applyBorder="1" applyAlignment="1">
      <alignment horizontal="center" vertical="center"/>
    </xf>
    <xf numFmtId="0" fontId="121" fillId="0" borderId="57" xfId="0" applyFont="1" applyBorder="1" applyAlignment="1">
      <alignment horizontal="center" vertical="center" wrapText="1"/>
    </xf>
    <xf numFmtId="0" fontId="121" fillId="0" borderId="57" xfId="0" applyFont="1" applyBorder="1" applyAlignment="1">
      <alignment horizontal="center" vertical="center"/>
    </xf>
    <xf numFmtId="0" fontId="121" fillId="0" borderId="56" xfId="0" applyFont="1" applyBorder="1" applyAlignment="1">
      <alignment horizontal="left" vertical="center" wrapText="1"/>
    </xf>
    <xf numFmtId="0" fontId="121" fillId="0" borderId="55" xfId="0" applyFont="1" applyBorder="1" applyAlignment="1">
      <alignment horizontal="center" vertical="center" wrapText="1"/>
    </xf>
    <xf numFmtId="0" fontId="121" fillId="0" borderId="56" xfId="0" applyFont="1" applyBorder="1" applyAlignment="1">
      <alignment horizontal="center" vertical="center" wrapText="1"/>
    </xf>
    <xf numFmtId="0" fontId="121" fillId="0" borderId="49" xfId="0" applyFont="1" applyBorder="1" applyAlignment="1">
      <alignment horizontal="center" vertical="center" wrapText="1"/>
    </xf>
    <xf numFmtId="0" fontId="121" fillId="0" borderId="49" xfId="0" applyFont="1" applyBorder="1" applyAlignment="1">
      <alignment horizontal="center" vertical="center"/>
    </xf>
    <xf numFmtId="0" fontId="121" fillId="0" borderId="58" xfId="0" applyFont="1" applyBorder="1" applyAlignment="1">
      <alignment horizontal="center" vertical="center" wrapText="1"/>
    </xf>
    <xf numFmtId="0" fontId="121" fillId="0" borderId="59" xfId="0" applyFont="1" applyBorder="1" applyAlignment="1">
      <alignment horizontal="center" vertical="center" wrapText="1"/>
    </xf>
    <xf numFmtId="37" fontId="121" fillId="0" borderId="58" xfId="0" applyNumberFormat="1" applyFont="1" applyBorder="1" applyAlignment="1">
      <alignment horizontal="center" vertical="center"/>
    </xf>
    <xf numFmtId="37" fontId="121" fillId="0" borderId="60" xfId="0" applyNumberFormat="1" applyFont="1" applyBorder="1" applyAlignment="1">
      <alignment horizontal="center" vertical="center"/>
    </xf>
    <xf numFmtId="0" fontId="121" fillId="0" borderId="0" xfId="0" applyFont="1" applyAlignment="1">
      <alignment wrapText="1"/>
    </xf>
    <xf numFmtId="0" fontId="121" fillId="0" borderId="0" xfId="0" applyFont="1" applyAlignment="1">
      <alignment horizontal="center" wrapText="1"/>
    </xf>
    <xf numFmtId="0" fontId="121" fillId="0" borderId="0" xfId="0" applyFont="1" applyAlignment="1">
      <alignment horizontal="right"/>
    </xf>
    <xf numFmtId="43" fontId="121" fillId="0" borderId="0" xfId="0" applyNumberFormat="1" applyFont="1" applyAlignment="1">
      <alignment horizontal="center"/>
    </xf>
    <xf numFmtId="0" fontId="121" fillId="0" borderId="61" xfId="0" applyFont="1" applyBorder="1" applyAlignment="1">
      <alignment horizontal="right" vertical="center"/>
    </xf>
    <xf numFmtId="0" fontId="121" fillId="0" borderId="61" xfId="0" applyFont="1" applyBorder="1" applyAlignment="1">
      <alignment vertical="center"/>
    </xf>
    <xf numFmtId="0" fontId="121" fillId="7" borderId="61" xfId="0" applyFont="1" applyFill="1" applyBorder="1" applyAlignment="1">
      <alignment horizontal="right" vertical="center" wrapText="1"/>
    </xf>
    <xf numFmtId="0" fontId="121" fillId="0" borderId="61" xfId="0" applyFont="1" applyBorder="1" applyAlignment="1">
      <alignment horizontal="center" vertical="center"/>
    </xf>
    <xf numFmtId="0" fontId="121" fillId="0" borderId="61" xfId="0" applyFont="1" applyBorder="1" applyAlignment="1">
      <alignment horizontal="center" vertical="center" wrapText="1"/>
    </xf>
    <xf numFmtId="0" fontId="121" fillId="0" borderId="0" xfId="0" applyFont="1" applyAlignment="1">
      <alignment horizontal="left"/>
    </xf>
    <xf numFmtId="43" fontId="121" fillId="0" borderId="0" xfId="0" applyNumberFormat="1" applyFont="1"/>
    <xf numFmtId="43" fontId="121" fillId="0" borderId="62" xfId="0" applyNumberFormat="1" applyFont="1" applyBorder="1"/>
    <xf numFmtId="43" fontId="121" fillId="0" borderId="63" xfId="0" applyNumberFormat="1" applyFont="1" applyBorder="1"/>
    <xf numFmtId="177" fontId="121" fillId="0" borderId="64" xfId="0" applyNumberFormat="1" applyFont="1" applyBorder="1"/>
    <xf numFmtId="0" fontId="122" fillId="0" borderId="0" xfId="0" applyFont="1"/>
    <xf numFmtId="178" fontId="122" fillId="0" borderId="0" xfId="0" applyNumberFormat="1" applyFont="1" applyAlignment="1">
      <alignment horizontal="left"/>
    </xf>
    <xf numFmtId="0" fontId="146" fillId="0" borderId="0" xfId="0" applyFont="1" applyAlignment="1">
      <alignment horizontal="center"/>
    </xf>
    <xf numFmtId="49" fontId="122" fillId="0" borderId="0" xfId="0" applyNumberFormat="1" applyFont="1" applyAlignment="1">
      <alignment horizontal="center" vertical="center"/>
    </xf>
    <xf numFmtId="172" fontId="122" fillId="10" borderId="1" xfId="0" applyNumberFormat="1" applyFont="1" applyFill="1" applyBorder="1" applyAlignment="1">
      <alignment horizontal="center" vertical="center"/>
    </xf>
    <xf numFmtId="172" fontId="122" fillId="10" borderId="1" xfId="0" applyNumberFormat="1" applyFont="1" applyFill="1" applyBorder="1" applyAlignment="1">
      <alignment horizontal="center"/>
    </xf>
    <xf numFmtId="175" fontId="122" fillId="0" borderId="0" xfId="0" applyNumberFormat="1" applyFont="1" applyAlignment="1">
      <alignment horizontal="center"/>
    </xf>
    <xf numFmtId="172" fontId="122" fillId="0" borderId="0" xfId="0" applyNumberFormat="1" applyFont="1"/>
    <xf numFmtId="43" fontId="122" fillId="0" borderId="0" xfId="0" applyNumberFormat="1" applyFont="1" applyAlignment="1">
      <alignment horizontal="center"/>
    </xf>
    <xf numFmtId="43" fontId="122" fillId="0" borderId="0" xfId="0" applyNumberFormat="1" applyFont="1"/>
    <xf numFmtId="0" fontId="122" fillId="11" borderId="1" xfId="0" applyFont="1" applyFill="1" applyBorder="1" applyAlignment="1">
      <alignment horizontal="center"/>
    </xf>
    <xf numFmtId="179" fontId="122" fillId="0" borderId="0" xfId="0" applyNumberFormat="1" applyFont="1"/>
    <xf numFmtId="44" fontId="122" fillId="0" borderId="0" xfId="0" applyNumberFormat="1" applyFont="1"/>
    <xf numFmtId="0" fontId="122" fillId="11" borderId="1" xfId="0" applyFont="1" applyFill="1" applyBorder="1" applyAlignment="1">
      <alignment horizontal="right"/>
    </xf>
    <xf numFmtId="43" fontId="122" fillId="11" borderId="1" xfId="0" applyNumberFormat="1" applyFont="1" applyFill="1" applyBorder="1"/>
    <xf numFmtId="0" fontId="122" fillId="10" borderId="1" xfId="0" applyFont="1" applyFill="1" applyBorder="1"/>
    <xf numFmtId="0" fontId="120" fillId="12" borderId="61" xfId="0" applyFont="1" applyFill="1" applyBorder="1" applyAlignment="1">
      <alignment horizontal="center"/>
    </xf>
    <xf numFmtId="0" fontId="120" fillId="12" borderId="65" xfId="0" applyFont="1" applyFill="1" applyBorder="1" applyAlignment="1">
      <alignment horizontal="center"/>
    </xf>
    <xf numFmtId="0" fontId="120" fillId="12" borderId="66" xfId="0" applyFont="1" applyFill="1" applyBorder="1" applyAlignment="1">
      <alignment horizontal="center"/>
    </xf>
    <xf numFmtId="0" fontId="120" fillId="12" borderId="67" xfId="0" applyFont="1" applyFill="1" applyBorder="1" applyAlignment="1">
      <alignment horizontal="center"/>
    </xf>
    <xf numFmtId="0" fontId="120" fillId="12" borderId="68" xfId="0" applyFont="1" applyFill="1" applyBorder="1" applyAlignment="1">
      <alignment horizontal="center"/>
    </xf>
    <xf numFmtId="0" fontId="120" fillId="0" borderId="69" xfId="0" applyFont="1" applyBorder="1"/>
    <xf numFmtId="37" fontId="120" fillId="0" borderId="70" xfId="0" applyNumberFormat="1" applyFont="1" applyBorder="1" applyAlignment="1">
      <alignment horizontal="center"/>
    </xf>
    <xf numFmtId="1" fontId="120" fillId="0" borderId="72" xfId="0" applyNumberFormat="1" applyFont="1" applyBorder="1" applyAlignment="1">
      <alignment horizontal="center"/>
    </xf>
    <xf numFmtId="1" fontId="120" fillId="0" borderId="73" xfId="0" applyNumberFormat="1" applyFont="1" applyBorder="1" applyAlignment="1">
      <alignment horizontal="center"/>
    </xf>
    <xf numFmtId="9" fontId="120" fillId="0" borderId="74" xfId="0" applyNumberFormat="1" applyFont="1" applyBorder="1" applyAlignment="1">
      <alignment horizontal="center"/>
    </xf>
    <xf numFmtId="9" fontId="120" fillId="0" borderId="75" xfId="0" applyNumberFormat="1" applyFont="1" applyBorder="1" applyAlignment="1">
      <alignment horizontal="center"/>
    </xf>
    <xf numFmtId="0" fontId="121" fillId="0" borderId="69" xfId="0" applyFont="1" applyBorder="1"/>
    <xf numFmtId="169" fontId="121" fillId="0" borderId="70" xfId="0" applyNumberFormat="1" applyFont="1" applyBorder="1" applyAlignment="1">
      <alignment horizontal="center"/>
    </xf>
    <xf numFmtId="169" fontId="121" fillId="0" borderId="72" xfId="0" applyNumberFormat="1" applyFont="1" applyBorder="1" applyAlignment="1">
      <alignment horizontal="center"/>
    </xf>
    <xf numFmtId="169" fontId="121" fillId="0" borderId="73" xfId="0" applyNumberFormat="1" applyFont="1" applyBorder="1" applyAlignment="1">
      <alignment horizontal="center"/>
    </xf>
    <xf numFmtId="9" fontId="121" fillId="0" borderId="70" xfId="0" applyNumberFormat="1" applyFont="1" applyBorder="1" applyAlignment="1">
      <alignment horizontal="center"/>
    </xf>
    <xf numFmtId="9" fontId="121" fillId="0" borderId="72" xfId="0" applyNumberFormat="1" applyFont="1" applyBorder="1" applyAlignment="1">
      <alignment horizontal="center"/>
    </xf>
    <xf numFmtId="9" fontId="121" fillId="0" borderId="77" xfId="0" applyNumberFormat="1" applyFont="1" applyBorder="1" applyAlignment="1">
      <alignment horizontal="center"/>
    </xf>
    <xf numFmtId="2" fontId="121" fillId="0" borderId="72" xfId="0" applyNumberFormat="1" applyFont="1" applyBorder="1" applyAlignment="1">
      <alignment horizontal="center"/>
    </xf>
    <xf numFmtId="2" fontId="121" fillId="0" borderId="73" xfId="0" applyNumberFormat="1" applyFont="1" applyBorder="1" applyAlignment="1">
      <alignment horizontal="center"/>
    </xf>
    <xf numFmtId="9" fontId="121" fillId="0" borderId="73" xfId="0" applyNumberFormat="1" applyFont="1" applyBorder="1" applyAlignment="1">
      <alignment horizontal="center"/>
    </xf>
    <xf numFmtId="0" fontId="120" fillId="0" borderId="78" xfId="0" applyFont="1" applyBorder="1"/>
    <xf numFmtId="0" fontId="121" fillId="0" borderId="79" xfId="0" applyFont="1" applyBorder="1"/>
    <xf numFmtId="169" fontId="121" fillId="0" borderId="80" xfId="0" applyNumberFormat="1" applyFont="1" applyBorder="1" applyAlignment="1">
      <alignment horizontal="center"/>
    </xf>
    <xf numFmtId="169" fontId="121" fillId="0" borderId="81" xfId="0" applyNumberFormat="1" applyFont="1" applyBorder="1" applyAlignment="1">
      <alignment horizontal="center"/>
    </xf>
    <xf numFmtId="9" fontId="121" fillId="0" borderId="80" xfId="0" applyNumberFormat="1" applyFont="1" applyBorder="1" applyAlignment="1">
      <alignment horizontal="center"/>
    </xf>
    <xf numFmtId="9" fontId="121" fillId="0" borderId="82" xfId="0" applyNumberFormat="1" applyFont="1" applyBorder="1" applyAlignment="1">
      <alignment horizontal="center"/>
    </xf>
    <xf numFmtId="0" fontId="121" fillId="0" borderId="69" xfId="0" applyFont="1" applyBorder="1" applyAlignment="1">
      <alignment horizontal="left"/>
    </xf>
    <xf numFmtId="0" fontId="121" fillId="0" borderId="70" xfId="0" applyFont="1" applyBorder="1" applyAlignment="1">
      <alignment horizontal="center"/>
    </xf>
    <xf numFmtId="0" fontId="121" fillId="0" borderId="83" xfId="0" applyFont="1" applyBorder="1" applyAlignment="1">
      <alignment horizontal="left"/>
    </xf>
    <xf numFmtId="169" fontId="121" fillId="0" borderId="84" xfId="0" applyNumberFormat="1" applyFont="1" applyBorder="1" applyAlignment="1">
      <alignment horizontal="center"/>
    </xf>
    <xf numFmtId="169" fontId="121" fillId="0" borderId="86" xfId="0" applyNumberFormat="1" applyFont="1" applyBorder="1" applyAlignment="1">
      <alignment horizontal="center"/>
    </xf>
    <xf numFmtId="169" fontId="121" fillId="0" borderId="87" xfId="0" applyNumberFormat="1" applyFont="1" applyBorder="1" applyAlignment="1">
      <alignment horizontal="center"/>
    </xf>
    <xf numFmtId="9" fontId="121" fillId="0" borderId="86" xfId="0" applyNumberFormat="1" applyFont="1" applyBorder="1" applyAlignment="1">
      <alignment horizontal="center"/>
    </xf>
    <xf numFmtId="9" fontId="121" fillId="0" borderId="88" xfId="0" applyNumberFormat="1" applyFont="1" applyBorder="1" applyAlignment="1">
      <alignment horizontal="center"/>
    </xf>
    <xf numFmtId="169" fontId="121" fillId="0" borderId="0" xfId="0" applyNumberFormat="1" applyFont="1"/>
    <xf numFmtId="0" fontId="120" fillId="14" borderId="61" xfId="0" applyFont="1" applyFill="1" applyBorder="1" applyAlignment="1">
      <alignment horizontal="center"/>
    </xf>
    <xf numFmtId="0" fontId="120" fillId="14" borderId="65" xfId="0" applyFont="1" applyFill="1" applyBorder="1" applyAlignment="1">
      <alignment horizontal="center"/>
    </xf>
    <xf numFmtId="0" fontId="120" fillId="14" borderId="66" xfId="0" applyFont="1" applyFill="1" applyBorder="1" applyAlignment="1">
      <alignment horizontal="center"/>
    </xf>
    <xf numFmtId="0" fontId="120" fillId="14" borderId="68" xfId="0" applyFont="1" applyFill="1" applyBorder="1" applyAlignment="1">
      <alignment horizontal="center"/>
    </xf>
    <xf numFmtId="0" fontId="120" fillId="15" borderId="61" xfId="0" applyFont="1" applyFill="1" applyBorder="1" applyAlignment="1">
      <alignment horizontal="center"/>
    </xf>
    <xf numFmtId="179" fontId="121" fillId="0" borderId="70" xfId="0" applyNumberFormat="1" applyFont="1" applyBorder="1" applyAlignment="1">
      <alignment horizontal="center"/>
    </xf>
    <xf numFmtId="0" fontId="120" fillId="9" borderId="61" xfId="0" applyFont="1" applyFill="1" applyBorder="1" applyAlignment="1">
      <alignment horizontal="center"/>
    </xf>
    <xf numFmtId="0" fontId="120" fillId="9" borderId="65" xfId="0" applyFont="1" applyFill="1" applyBorder="1" applyAlignment="1">
      <alignment horizontal="center"/>
    </xf>
    <xf numFmtId="0" fontId="120" fillId="9" borderId="66" xfId="0" applyFont="1" applyFill="1" applyBorder="1" applyAlignment="1">
      <alignment horizontal="center"/>
    </xf>
    <xf numFmtId="0" fontId="120" fillId="9" borderId="68" xfId="0" applyFont="1" applyFill="1" applyBorder="1" applyAlignment="1">
      <alignment horizontal="center"/>
    </xf>
    <xf numFmtId="169" fontId="120" fillId="0" borderId="70" xfId="0" applyNumberFormat="1" applyFont="1" applyBorder="1" applyAlignment="1">
      <alignment horizontal="center"/>
    </xf>
    <xf numFmtId="169" fontId="120" fillId="0" borderId="72" xfId="0" applyNumberFormat="1" applyFont="1" applyBorder="1" applyAlignment="1">
      <alignment horizontal="center"/>
    </xf>
    <xf numFmtId="169" fontId="120" fillId="0" borderId="73" xfId="0" applyNumberFormat="1" applyFont="1" applyBorder="1" applyAlignment="1">
      <alignment horizontal="center"/>
    </xf>
    <xf numFmtId="9" fontId="120" fillId="0" borderId="72" xfId="0" applyNumberFormat="1" applyFont="1" applyBorder="1" applyAlignment="1">
      <alignment horizontal="center"/>
    </xf>
    <xf numFmtId="9" fontId="120" fillId="0" borderId="77" xfId="0" applyNumberFormat="1" applyFont="1" applyBorder="1" applyAlignment="1">
      <alignment horizontal="center"/>
    </xf>
    <xf numFmtId="0" fontId="121" fillId="0" borderId="83" xfId="0" applyFont="1" applyBorder="1"/>
    <xf numFmtId="0" fontId="120" fillId="8" borderId="61" xfId="0" applyFont="1" applyFill="1" applyBorder="1" applyAlignment="1">
      <alignment horizontal="center"/>
    </xf>
    <xf numFmtId="0" fontId="120" fillId="8" borderId="65" xfId="0" applyFont="1" applyFill="1" applyBorder="1" applyAlignment="1">
      <alignment horizontal="center"/>
    </xf>
    <xf numFmtId="0" fontId="120" fillId="8" borderId="66" xfId="0" applyFont="1" applyFill="1" applyBorder="1" applyAlignment="1">
      <alignment horizontal="center"/>
    </xf>
    <xf numFmtId="0" fontId="120" fillId="8" borderId="68" xfId="0" applyFont="1" applyFill="1" applyBorder="1" applyAlignment="1">
      <alignment horizontal="center"/>
    </xf>
    <xf numFmtId="0" fontId="120" fillId="16" borderId="61" xfId="0" applyFont="1" applyFill="1" applyBorder="1" applyAlignment="1">
      <alignment horizontal="center"/>
    </xf>
    <xf numFmtId="0" fontId="120" fillId="0" borderId="69" xfId="0" applyFont="1" applyBorder="1" applyAlignment="1">
      <alignment horizontal="left"/>
    </xf>
    <xf numFmtId="0" fontId="120" fillId="17" borderId="61" xfId="0" applyFont="1" applyFill="1" applyBorder="1" applyAlignment="1">
      <alignment horizontal="center"/>
    </xf>
    <xf numFmtId="0" fontId="120" fillId="17" borderId="65" xfId="0" applyFont="1" applyFill="1" applyBorder="1" applyAlignment="1">
      <alignment horizontal="center"/>
    </xf>
    <xf numFmtId="0" fontId="120" fillId="17" borderId="66" xfId="0" applyFont="1" applyFill="1" applyBorder="1" applyAlignment="1">
      <alignment horizontal="center"/>
    </xf>
    <xf numFmtId="0" fontId="120" fillId="17" borderId="68" xfId="0" applyFont="1" applyFill="1" applyBorder="1" applyAlignment="1">
      <alignment horizontal="center"/>
    </xf>
    <xf numFmtId="0" fontId="120" fillId="18" borderId="89" xfId="0" applyFont="1" applyFill="1" applyBorder="1" applyAlignment="1">
      <alignment horizontal="center"/>
    </xf>
    <xf numFmtId="1" fontId="121" fillId="0" borderId="70" xfId="0" applyNumberFormat="1" applyFont="1" applyBorder="1" applyAlignment="1">
      <alignment horizontal="center"/>
    </xf>
    <xf numFmtId="1" fontId="121" fillId="0" borderId="72" xfId="0" applyNumberFormat="1" applyFont="1" applyBorder="1" applyAlignment="1">
      <alignment horizontal="center"/>
    </xf>
    <xf numFmtId="1" fontId="121" fillId="0" borderId="73" xfId="0" applyNumberFormat="1" applyFont="1" applyBorder="1" applyAlignment="1">
      <alignment horizontal="center"/>
    </xf>
    <xf numFmtId="0" fontId="120" fillId="19" borderId="61" xfId="0" applyFont="1" applyFill="1" applyBorder="1" applyAlignment="1">
      <alignment horizontal="center"/>
    </xf>
    <xf numFmtId="0" fontId="120" fillId="19" borderId="65" xfId="0" applyFont="1" applyFill="1" applyBorder="1" applyAlignment="1">
      <alignment horizontal="center"/>
    </xf>
    <xf numFmtId="0" fontId="120" fillId="19" borderId="66" xfId="0" applyFont="1" applyFill="1" applyBorder="1" applyAlignment="1">
      <alignment horizontal="center"/>
    </xf>
    <xf numFmtId="0" fontId="120" fillId="19" borderId="68" xfId="0" applyFont="1" applyFill="1" applyBorder="1" applyAlignment="1">
      <alignment horizontal="center"/>
    </xf>
    <xf numFmtId="0" fontId="120" fillId="20" borderId="61" xfId="0" applyFont="1" applyFill="1" applyBorder="1" applyAlignment="1">
      <alignment horizontal="center"/>
    </xf>
    <xf numFmtId="169" fontId="121" fillId="0" borderId="74" xfId="0" applyNumberFormat="1" applyFont="1" applyBorder="1" applyAlignment="1">
      <alignment horizontal="center"/>
    </xf>
    <xf numFmtId="169" fontId="121" fillId="0" borderId="91" xfId="0" applyNumberFormat="1" applyFont="1" applyBorder="1" applyAlignment="1">
      <alignment horizontal="center"/>
    </xf>
    <xf numFmtId="175" fontId="121" fillId="0" borderId="70" xfId="0" applyNumberFormat="1" applyFont="1" applyBorder="1" applyAlignment="1">
      <alignment horizontal="center"/>
    </xf>
    <xf numFmtId="175" fontId="121" fillId="0" borderId="84" xfId="0" applyNumberFormat="1" applyFont="1" applyBorder="1" applyAlignment="1">
      <alignment horizontal="center"/>
    </xf>
    <xf numFmtId="2" fontId="121" fillId="0" borderId="86" xfId="0" applyNumberFormat="1" applyFont="1" applyBorder="1" applyAlignment="1">
      <alignment horizontal="center"/>
    </xf>
    <xf numFmtId="2" fontId="121" fillId="0" borderId="87" xfId="0" applyNumberFormat="1" applyFont="1" applyBorder="1" applyAlignment="1">
      <alignment horizontal="center"/>
    </xf>
    <xf numFmtId="0" fontId="120" fillId="0" borderId="0" xfId="0" applyFont="1" applyAlignment="1">
      <alignment horizontal="left"/>
    </xf>
    <xf numFmtId="0" fontId="125" fillId="0" borderId="0" xfId="0" applyFont="1" applyAlignment="1">
      <alignment horizontal="center" vertical="center"/>
    </xf>
    <xf numFmtId="0" fontId="130" fillId="0" borderId="0" xfId="0" applyFont="1" applyAlignment="1">
      <alignment horizontal="left" vertical="center"/>
    </xf>
    <xf numFmtId="3" fontId="125" fillId="0" borderId="0" xfId="0" applyNumberFormat="1" applyFont="1"/>
    <xf numFmtId="0" fontId="130" fillId="0" borderId="0" xfId="0" applyFont="1" applyAlignment="1">
      <alignment horizontal="center"/>
    </xf>
    <xf numFmtId="0" fontId="149" fillId="21" borderId="10" xfId="0" applyFont="1" applyFill="1" applyBorder="1"/>
    <xf numFmtId="0" fontId="150" fillId="21" borderId="11" xfId="0" applyFont="1" applyFill="1" applyBorder="1"/>
    <xf numFmtId="0" fontId="131" fillId="0" borderId="3" xfId="0" applyFont="1" applyBorder="1"/>
    <xf numFmtId="0" fontId="151" fillId="21" borderId="20" xfId="0" applyFont="1" applyFill="1" applyBorder="1"/>
    <xf numFmtId="10" fontId="151" fillId="21" borderId="21" xfId="0" applyNumberFormat="1" applyFont="1" applyFill="1" applyBorder="1"/>
    <xf numFmtId="0" fontId="131" fillId="0" borderId="6" xfId="0" applyFont="1" applyBorder="1"/>
    <xf numFmtId="3" fontId="131" fillId="0" borderId="92" xfId="0" applyNumberFormat="1" applyFont="1" applyBorder="1" applyAlignment="1">
      <alignment horizontal="center"/>
    </xf>
    <xf numFmtId="3" fontId="131" fillId="0" borderId="0" xfId="0" applyNumberFormat="1" applyFont="1" applyAlignment="1">
      <alignment horizontal="center"/>
    </xf>
    <xf numFmtId="3" fontId="131" fillId="0" borderId="9" xfId="0" applyNumberFormat="1" applyFont="1" applyBorder="1" applyAlignment="1">
      <alignment horizontal="center"/>
    </xf>
    <xf numFmtId="3" fontId="131" fillId="0" borderId="8" xfId="0" applyNumberFormat="1" applyFont="1" applyBorder="1" applyAlignment="1">
      <alignment horizontal="center"/>
    </xf>
    <xf numFmtId="0" fontId="131" fillId="0" borderId="93" xfId="0" applyFont="1" applyBorder="1"/>
    <xf numFmtId="3" fontId="131" fillId="0" borderId="14" xfId="0" applyNumberFormat="1" applyFont="1" applyBorder="1" applyAlignment="1">
      <alignment horizontal="center"/>
    </xf>
    <xf numFmtId="3" fontId="131" fillId="0" borderId="5" xfId="0" applyNumberFormat="1" applyFont="1" applyBorder="1"/>
    <xf numFmtId="3" fontId="131" fillId="0" borderId="14" xfId="0" applyNumberFormat="1" applyFont="1" applyBorder="1" applyAlignment="1">
      <alignment horizontal="right"/>
    </xf>
    <xf numFmtId="3" fontId="131" fillId="0" borderId="14" xfId="0" applyNumberFormat="1" applyFont="1" applyBorder="1"/>
    <xf numFmtId="3" fontId="131" fillId="0" borderId="93" xfId="0" applyNumberFormat="1" applyFont="1" applyBorder="1" applyAlignment="1">
      <alignment horizontal="center"/>
    </xf>
    <xf numFmtId="3" fontId="131" fillId="0" borderId="5" xfId="0" applyNumberFormat="1" applyFont="1" applyBorder="1" applyAlignment="1">
      <alignment horizontal="center"/>
    </xf>
    <xf numFmtId="0" fontId="131" fillId="0" borderId="8" xfId="0" applyFont="1" applyBorder="1"/>
    <xf numFmtId="3" fontId="131" fillId="0" borderId="0" xfId="0" applyNumberFormat="1" applyFont="1"/>
    <xf numFmtId="3" fontId="131" fillId="0" borderId="8" xfId="0" applyNumberFormat="1" applyFont="1" applyBorder="1"/>
    <xf numFmtId="3" fontId="131" fillId="0" borderId="9" xfId="0" applyNumberFormat="1" applyFont="1" applyBorder="1"/>
    <xf numFmtId="0" fontId="150" fillId="21" borderId="12" xfId="0" applyFont="1" applyFill="1" applyBorder="1"/>
    <xf numFmtId="10" fontId="151" fillId="21" borderId="13" xfId="0" applyNumberFormat="1" applyFont="1" applyFill="1" applyBorder="1"/>
    <xf numFmtId="0" fontId="124" fillId="0" borderId="6" xfId="0" applyFont="1" applyBorder="1"/>
    <xf numFmtId="3" fontId="124" fillId="0" borderId="92" xfId="0" applyNumberFormat="1" applyFont="1" applyBorder="1"/>
    <xf numFmtId="3" fontId="124" fillId="0" borderId="7" xfId="0" applyNumberFormat="1" applyFont="1" applyBorder="1"/>
    <xf numFmtId="3" fontId="124" fillId="0" borderId="6" xfId="0" applyNumberFormat="1" applyFont="1" applyBorder="1"/>
    <xf numFmtId="0" fontId="131" fillId="0" borderId="9" xfId="0" applyFont="1" applyBorder="1"/>
    <xf numFmtId="175" fontId="124" fillId="0" borderId="8" xfId="0" applyNumberFormat="1" applyFont="1" applyBorder="1"/>
    <xf numFmtId="175" fontId="124" fillId="0" borderId="9" xfId="0" applyNumberFormat="1" applyFont="1" applyBorder="1"/>
    <xf numFmtId="0" fontId="124" fillId="0" borderId="93" xfId="0" applyFont="1" applyBorder="1"/>
    <xf numFmtId="3" fontId="131" fillId="0" borderId="93" xfId="0" applyNumberFormat="1" applyFont="1" applyBorder="1"/>
    <xf numFmtId="3" fontId="124" fillId="0" borderId="93" xfId="0" applyNumberFormat="1" applyFont="1" applyBorder="1"/>
    <xf numFmtId="3" fontId="124" fillId="0" borderId="14" xfId="0" applyNumberFormat="1" applyFont="1" applyBorder="1"/>
    <xf numFmtId="0" fontId="124" fillId="0" borderId="8" xfId="0" applyFont="1" applyBorder="1"/>
    <xf numFmtId="3" fontId="131" fillId="0" borderId="92" xfId="0" applyNumberFormat="1" applyFont="1" applyBorder="1"/>
    <xf numFmtId="3" fontId="131" fillId="0" borderId="7" xfId="0" applyNumberFormat="1" applyFont="1" applyBorder="1"/>
    <xf numFmtId="3" fontId="131" fillId="0" borderId="6" xfId="0" applyNumberFormat="1" applyFont="1" applyBorder="1"/>
    <xf numFmtId="43" fontId="131" fillId="0" borderId="0" xfId="0" applyNumberFormat="1" applyFont="1"/>
    <xf numFmtId="3" fontId="124" fillId="0" borderId="8" xfId="0" applyNumberFormat="1" applyFont="1" applyBorder="1"/>
    <xf numFmtId="37" fontId="131" fillId="0" borderId="9" xfId="0" applyNumberFormat="1" applyFont="1" applyBorder="1"/>
    <xf numFmtId="37" fontId="131" fillId="0" borderId="8" xfId="0" applyNumberFormat="1" applyFont="1" applyBorder="1"/>
    <xf numFmtId="0" fontId="124" fillId="3" borderId="10" xfId="0" applyFont="1" applyFill="1" applyBorder="1"/>
    <xf numFmtId="37" fontId="124" fillId="3" borderId="26" xfId="0" applyNumberFormat="1" applyFont="1" applyFill="1" applyBorder="1"/>
    <xf numFmtId="3" fontId="124" fillId="3" borderId="26" xfId="0" applyNumberFormat="1" applyFont="1" applyFill="1" applyBorder="1"/>
    <xf numFmtId="37" fontId="124" fillId="3" borderId="11" xfId="0" applyNumberFormat="1" applyFont="1" applyFill="1" applyBorder="1"/>
    <xf numFmtId="37" fontId="124" fillId="3" borderId="10" xfId="0" applyNumberFormat="1" applyFont="1" applyFill="1" applyBorder="1"/>
    <xf numFmtId="0" fontId="124" fillId="3" borderId="12" xfId="0" applyFont="1" applyFill="1" applyBorder="1"/>
    <xf numFmtId="0" fontId="124" fillId="3" borderId="27" xfId="0" applyFont="1" applyFill="1" applyBorder="1"/>
    <xf numFmtId="0" fontId="124" fillId="3" borderId="13" xfId="0" applyFont="1" applyFill="1" applyBorder="1"/>
    <xf numFmtId="175" fontId="124" fillId="3" borderId="12" xfId="0" applyNumberFormat="1" applyFont="1" applyFill="1" applyBorder="1"/>
    <xf numFmtId="175" fontId="124" fillId="3" borderId="13" xfId="0" applyNumberFormat="1" applyFont="1" applyFill="1" applyBorder="1"/>
    <xf numFmtId="0" fontId="124" fillId="0" borderId="9" xfId="0" applyFont="1" applyBorder="1"/>
    <xf numFmtId="0" fontId="124" fillId="0" borderId="8" xfId="0" applyFont="1" applyBorder="1" applyAlignment="1">
      <alignment horizontal="left"/>
    </xf>
    <xf numFmtId="175" fontId="131" fillId="0" borderId="0" xfId="0" applyNumberFormat="1" applyFont="1" applyAlignment="1">
      <alignment horizontal="right"/>
    </xf>
    <xf numFmtId="37" fontId="131" fillId="0" borderId="0" xfId="0" applyNumberFormat="1" applyFont="1"/>
    <xf numFmtId="175" fontId="131" fillId="0" borderId="8" xfId="0" applyNumberFormat="1" applyFont="1" applyBorder="1"/>
    <xf numFmtId="175" fontId="131" fillId="0" borderId="14" xfId="0" applyNumberFormat="1" applyFont="1" applyBorder="1" applyAlignment="1">
      <alignment horizontal="right"/>
    </xf>
    <xf numFmtId="37" fontId="131" fillId="0" borderId="14" xfId="0" applyNumberFormat="1" applyFont="1" applyBorder="1"/>
    <xf numFmtId="175" fontId="131" fillId="0" borderId="93" xfId="0" applyNumberFormat="1" applyFont="1" applyBorder="1"/>
    <xf numFmtId="37" fontId="131" fillId="0" borderId="5" xfId="0" applyNumberFormat="1" applyFont="1" applyBorder="1"/>
    <xf numFmtId="0" fontId="131" fillId="0" borderId="0" xfId="0" applyFont="1" applyAlignment="1">
      <alignment horizontal="right"/>
    </xf>
    <xf numFmtId="0" fontId="131" fillId="0" borderId="8" xfId="0" applyFont="1" applyBorder="1" applyAlignment="1">
      <alignment horizontal="right"/>
    </xf>
    <xf numFmtId="0" fontId="131" fillId="0" borderId="14" xfId="0" applyFont="1" applyBorder="1" applyAlignment="1">
      <alignment horizontal="right"/>
    </xf>
    <xf numFmtId="0" fontId="131" fillId="0" borderId="93" xfId="0" applyFont="1" applyBorder="1" applyAlignment="1">
      <alignment horizontal="right"/>
    </xf>
    <xf numFmtId="3" fontId="131" fillId="0" borderId="94" xfId="0" applyNumberFormat="1" applyFont="1" applyBorder="1"/>
    <xf numFmtId="3" fontId="131" fillId="0" borderId="55" xfId="0" applyNumberFormat="1" applyFont="1" applyBorder="1"/>
    <xf numFmtId="3" fontId="131" fillId="0" borderId="96" xfId="0" applyNumberFormat="1" applyFont="1" applyBorder="1"/>
    <xf numFmtId="0" fontId="124" fillId="3" borderId="28" xfId="0" applyFont="1" applyFill="1" applyBorder="1"/>
    <xf numFmtId="0" fontId="124" fillId="3" borderId="29" xfId="0" applyFont="1" applyFill="1" applyBorder="1" applyAlignment="1">
      <alignment horizontal="center"/>
    </xf>
    <xf numFmtId="175" fontId="124" fillId="3" borderId="29" xfId="0" applyNumberFormat="1" applyFont="1" applyFill="1" applyBorder="1"/>
    <xf numFmtId="37" fontId="124" fillId="3" borderId="30" xfId="0" applyNumberFormat="1" applyFont="1" applyFill="1" applyBorder="1"/>
    <xf numFmtId="0" fontId="124" fillId="3" borderId="28" xfId="0" applyFont="1" applyFill="1" applyBorder="1" applyAlignment="1">
      <alignment horizontal="center"/>
    </xf>
    <xf numFmtId="0" fontId="131" fillId="3" borderId="31" xfId="0" applyFont="1" applyFill="1" applyBorder="1"/>
    <xf numFmtId="37" fontId="124" fillId="3" borderId="29" xfId="0" applyNumberFormat="1" applyFont="1" applyFill="1" applyBorder="1"/>
    <xf numFmtId="0" fontId="131" fillId="3" borderId="28" xfId="0" applyFont="1" applyFill="1" applyBorder="1"/>
    <xf numFmtId="0" fontId="132" fillId="0" borderId="8" xfId="0" applyFont="1" applyBorder="1"/>
    <xf numFmtId="0" fontId="132" fillId="0" borderId="93" xfId="0" applyFont="1" applyBorder="1"/>
    <xf numFmtId="0" fontId="131" fillId="0" borderId="92" xfId="0" applyFont="1" applyBorder="1" applyAlignment="1">
      <alignment horizontal="right"/>
    </xf>
    <xf numFmtId="0" fontId="131" fillId="0" borderId="92" xfId="0" applyFont="1" applyBorder="1"/>
    <xf numFmtId="0" fontId="131" fillId="0" borderId="6" xfId="0" applyFont="1" applyBorder="1" applyAlignment="1">
      <alignment horizontal="right"/>
    </xf>
    <xf numFmtId="37" fontId="131" fillId="0" borderId="7" xfId="0" applyNumberFormat="1" applyFont="1" applyBorder="1"/>
    <xf numFmtId="0" fontId="131" fillId="0" borderId="14" xfId="0" applyFont="1" applyBorder="1"/>
    <xf numFmtId="37" fontId="124" fillId="0" borderId="0" xfId="0" applyNumberFormat="1" applyFont="1"/>
    <xf numFmtId="37" fontId="124" fillId="3" borderId="24" xfId="0" applyNumberFormat="1" applyFont="1" applyFill="1" applyBorder="1"/>
    <xf numFmtId="0" fontId="131" fillId="10" borderId="1" xfId="0" applyFont="1" applyFill="1" applyBorder="1"/>
    <xf numFmtId="1" fontId="131" fillId="0" borderId="8" xfId="0" applyNumberFormat="1" applyFont="1" applyBorder="1"/>
    <xf numFmtId="172" fontId="131" fillId="0" borderId="0" xfId="0" applyNumberFormat="1" applyFont="1"/>
    <xf numFmtId="0" fontId="124" fillId="6" borderId="20" xfId="0" applyFont="1" applyFill="1" applyBorder="1"/>
    <xf numFmtId="0" fontId="131" fillId="6" borderId="1" xfId="0" applyFont="1" applyFill="1" applyBorder="1"/>
    <xf numFmtId="0" fontId="124" fillId="6" borderId="1" xfId="0" applyFont="1" applyFill="1" applyBorder="1"/>
    <xf numFmtId="37" fontId="124" fillId="6" borderId="21" xfId="0" applyNumberFormat="1" applyFont="1" applyFill="1" applyBorder="1"/>
    <xf numFmtId="0" fontId="131" fillId="6" borderId="20" xfId="0" applyFont="1" applyFill="1" applyBorder="1"/>
    <xf numFmtId="0" fontId="131" fillId="6" borderId="22" xfId="0" applyFont="1" applyFill="1" applyBorder="1"/>
    <xf numFmtId="0" fontId="131" fillId="6" borderId="23" xfId="0" applyFont="1" applyFill="1" applyBorder="1"/>
    <xf numFmtId="37" fontId="124" fillId="6" borderId="24" xfId="0" applyNumberFormat="1" applyFont="1" applyFill="1" applyBorder="1"/>
    <xf numFmtId="0" fontId="124" fillId="3" borderId="34" xfId="0" applyFont="1" applyFill="1" applyBorder="1"/>
    <xf numFmtId="0" fontId="131" fillId="3" borderId="35" xfId="0" applyFont="1" applyFill="1" applyBorder="1"/>
    <xf numFmtId="0" fontId="124" fillId="3" borderId="35" xfId="0" applyFont="1" applyFill="1" applyBorder="1"/>
    <xf numFmtId="37" fontId="124" fillId="3" borderId="36" xfId="0" applyNumberFormat="1" applyFont="1" applyFill="1" applyBorder="1"/>
    <xf numFmtId="0" fontId="131" fillId="3" borderId="34" xfId="0" applyFont="1" applyFill="1" applyBorder="1"/>
    <xf numFmtId="1" fontId="133" fillId="0" borderId="0" xfId="0" applyNumberFormat="1" applyFont="1"/>
    <xf numFmtId="37" fontId="133" fillId="0" borderId="0" xfId="0" applyNumberFormat="1" applyFont="1"/>
    <xf numFmtId="0" fontId="152" fillId="22" borderId="1" xfId="0" applyFont="1" applyFill="1" applyBorder="1"/>
    <xf numFmtId="0" fontId="131" fillId="0" borderId="9" xfId="0" applyFont="1" applyBorder="1" applyAlignment="1">
      <alignment horizontal="center"/>
    </xf>
    <xf numFmtId="0" fontId="131" fillId="0" borderId="8" xfId="0" applyFont="1" applyBorder="1" applyAlignment="1">
      <alignment horizontal="center"/>
    </xf>
    <xf numFmtId="0" fontId="131" fillId="0" borderId="93" xfId="0" applyFont="1" applyBorder="1" applyAlignment="1">
      <alignment horizontal="center"/>
    </xf>
    <xf numFmtId="0" fontId="131" fillId="0" borderId="5" xfId="0" applyFont="1" applyBorder="1" applyAlignment="1">
      <alignment horizontal="center"/>
    </xf>
    <xf numFmtId="0" fontId="153" fillId="0" borderId="0" xfId="0" applyFont="1"/>
    <xf numFmtId="175" fontId="134" fillId="0" borderId="8" xfId="0" applyNumberFormat="1" applyFont="1" applyBorder="1"/>
    <xf numFmtId="175" fontId="134" fillId="0" borderId="9" xfId="0" applyNumberFormat="1" applyFont="1" applyBorder="1"/>
    <xf numFmtId="39" fontId="131" fillId="0" borderId="0" xfId="0" applyNumberFormat="1" applyFont="1"/>
    <xf numFmtId="3" fontId="124" fillId="0" borderId="5" xfId="0" applyNumberFormat="1" applyFont="1" applyBorder="1"/>
    <xf numFmtId="174" fontId="131" fillId="0" borderId="0" xfId="0" applyNumberFormat="1" applyFont="1"/>
    <xf numFmtId="174" fontId="124" fillId="3" borderId="26" xfId="0" applyNumberFormat="1" applyFont="1" applyFill="1" applyBorder="1"/>
    <xf numFmtId="9" fontId="124" fillId="3" borderId="12" xfId="0" applyNumberFormat="1" applyFont="1" applyFill="1" applyBorder="1"/>
    <xf numFmtId="175" fontId="124" fillId="9" borderId="13" xfId="0" applyNumberFormat="1" applyFont="1" applyFill="1" applyBorder="1"/>
    <xf numFmtId="175" fontId="131" fillId="0" borderId="0" xfId="0" applyNumberFormat="1" applyFont="1"/>
    <xf numFmtId="175" fontId="131" fillId="0" borderId="14" xfId="0" applyNumberFormat="1" applyFont="1" applyBorder="1"/>
    <xf numFmtId="0" fontId="131" fillId="3" borderId="22" xfId="0" applyFont="1" applyFill="1" applyBorder="1"/>
    <xf numFmtId="0" fontId="124" fillId="0" borderId="0" xfId="0" applyFont="1" applyAlignment="1">
      <alignment horizontal="center"/>
    </xf>
    <xf numFmtId="175" fontId="124" fillId="0" borderId="0" xfId="0" applyNumberFormat="1" applyFont="1"/>
    <xf numFmtId="0" fontId="124" fillId="0" borderId="8" xfId="0" applyFont="1" applyBorder="1" applyAlignment="1">
      <alignment horizontal="center"/>
    </xf>
    <xf numFmtId="1" fontId="131" fillId="0" borderId="0" xfId="0" applyNumberFormat="1" applyFont="1"/>
    <xf numFmtId="0" fontId="131" fillId="3" borderId="35" xfId="0" applyFont="1" applyFill="1" applyBorder="1" applyAlignment="1">
      <alignment horizontal="right"/>
    </xf>
    <xf numFmtId="0" fontId="131" fillId="3" borderId="34" xfId="0" applyFont="1" applyFill="1" applyBorder="1" applyAlignment="1">
      <alignment horizontal="right"/>
    </xf>
    <xf numFmtId="175" fontId="131" fillId="0" borderId="9" xfId="0" applyNumberFormat="1" applyFont="1" applyBorder="1"/>
    <xf numFmtId="39" fontId="131" fillId="0" borderId="14" xfId="0" applyNumberFormat="1" applyFont="1" applyBorder="1" applyAlignment="1">
      <alignment horizontal="center"/>
    </xf>
    <xf numFmtId="175" fontId="131" fillId="0" borderId="5" xfId="0" applyNumberFormat="1" applyFont="1" applyBorder="1"/>
    <xf numFmtId="37" fontId="131" fillId="0" borderId="93" xfId="0" applyNumberFormat="1" applyFont="1" applyBorder="1"/>
    <xf numFmtId="37" fontId="131" fillId="0" borderId="92" xfId="0" applyNumberFormat="1" applyFont="1" applyBorder="1"/>
    <xf numFmtId="37" fontId="131" fillId="0" borderId="6" xfId="0" applyNumberFormat="1" applyFont="1" applyBorder="1"/>
    <xf numFmtId="10" fontId="131" fillId="0" borderId="0" xfId="0" applyNumberFormat="1" applyFont="1"/>
    <xf numFmtId="175" fontId="124" fillId="0" borderId="93" xfId="0" applyNumberFormat="1" applyFont="1" applyBorder="1"/>
    <xf numFmtId="175" fontId="124" fillId="0" borderId="5" xfId="0" applyNumberFormat="1" applyFont="1" applyBorder="1"/>
    <xf numFmtId="175" fontId="131" fillId="0" borderId="6" xfId="0" applyNumberFormat="1" applyFont="1" applyBorder="1"/>
    <xf numFmtId="174" fontId="124" fillId="0" borderId="0" xfId="0" applyNumberFormat="1" applyFont="1"/>
    <xf numFmtId="37" fontId="124" fillId="0" borderId="8" xfId="0" applyNumberFormat="1" applyFont="1" applyBorder="1"/>
    <xf numFmtId="37" fontId="124" fillId="0" borderId="9" xfId="0" applyNumberFormat="1" applyFont="1" applyBorder="1"/>
    <xf numFmtId="0" fontId="124" fillId="0" borderId="14" xfId="0" applyFont="1" applyBorder="1"/>
    <xf numFmtId="174" fontId="124" fillId="0" borderId="14" xfId="0" applyNumberFormat="1" applyFont="1" applyBorder="1"/>
    <xf numFmtId="37" fontId="124" fillId="0" borderId="93" xfId="0" applyNumberFormat="1" applyFont="1" applyBorder="1"/>
    <xf numFmtId="37" fontId="124" fillId="0" borderId="5" xfId="0" applyNumberFormat="1" applyFont="1" applyBorder="1"/>
    <xf numFmtId="37" fontId="131" fillId="0" borderId="97" xfId="0" applyNumberFormat="1" applyFont="1" applyBorder="1"/>
    <xf numFmtId="0" fontId="124" fillId="6" borderId="10" xfId="0" applyFont="1" applyFill="1" applyBorder="1"/>
    <xf numFmtId="37" fontId="124" fillId="6" borderId="26" xfId="0" applyNumberFormat="1" applyFont="1" applyFill="1" applyBorder="1"/>
    <xf numFmtId="37" fontId="124" fillId="6" borderId="11" xfId="0" applyNumberFormat="1" applyFont="1" applyFill="1" applyBorder="1"/>
    <xf numFmtId="37" fontId="124" fillId="6" borderId="10" xfId="0" applyNumberFormat="1" applyFont="1" applyFill="1" applyBorder="1"/>
    <xf numFmtId="175" fontId="124" fillId="6" borderId="10" xfId="0" applyNumberFormat="1" applyFont="1" applyFill="1" applyBorder="1"/>
    <xf numFmtId="0" fontId="124" fillId="6" borderId="22" xfId="0" applyFont="1" applyFill="1" applyBorder="1"/>
    <xf numFmtId="37" fontId="124" fillId="6" borderId="23" xfId="0" applyNumberFormat="1" applyFont="1" applyFill="1" applyBorder="1"/>
    <xf numFmtId="39" fontId="124" fillId="6" borderId="23" xfId="0" applyNumberFormat="1" applyFont="1" applyFill="1" applyBorder="1" applyAlignment="1">
      <alignment horizontal="center"/>
    </xf>
    <xf numFmtId="175" fontId="124" fillId="6" borderId="24" xfId="0" applyNumberFormat="1" applyFont="1" applyFill="1" applyBorder="1"/>
    <xf numFmtId="37" fontId="124" fillId="6" borderId="22" xfId="0" applyNumberFormat="1" applyFont="1" applyFill="1" applyBorder="1"/>
    <xf numFmtId="37" fontId="124" fillId="0" borderId="92" xfId="0" applyNumberFormat="1" applyFont="1" applyBorder="1"/>
    <xf numFmtId="174" fontId="124" fillId="0" borderId="92" xfId="0" applyNumberFormat="1" applyFont="1" applyBorder="1"/>
    <xf numFmtId="37" fontId="124" fillId="0" borderId="7" xfId="0" applyNumberFormat="1" applyFont="1" applyBorder="1"/>
    <xf numFmtId="37" fontId="124" fillId="0" borderId="6" xfId="0" applyNumberFormat="1" applyFont="1" applyBorder="1"/>
    <xf numFmtId="0" fontId="124" fillId="6" borderId="19" xfId="0" applyFont="1" applyFill="1" applyBorder="1"/>
    <xf numFmtId="37" fontId="124" fillId="6" borderId="15" xfId="0" applyNumberFormat="1" applyFont="1" applyFill="1" applyBorder="1"/>
    <xf numFmtId="174" fontId="124" fillId="6" borderId="15" xfId="0" applyNumberFormat="1" applyFont="1" applyFill="1" applyBorder="1"/>
    <xf numFmtId="37" fontId="124" fillId="6" borderId="25" xfId="0" applyNumberFormat="1" applyFont="1" applyFill="1" applyBorder="1"/>
    <xf numFmtId="37" fontId="124" fillId="6" borderId="19" xfId="0" applyNumberFormat="1" applyFont="1" applyFill="1" applyBorder="1"/>
    <xf numFmtId="175" fontId="124" fillId="3" borderId="10" xfId="0" applyNumberFormat="1" applyFont="1" applyFill="1" applyBorder="1"/>
    <xf numFmtId="37" fontId="131" fillId="0" borderId="0" xfId="0" applyNumberFormat="1" applyFont="1" applyAlignment="1">
      <alignment horizontal="center"/>
    </xf>
    <xf numFmtId="0" fontId="131" fillId="0" borderId="14" xfId="0" applyFont="1" applyBorder="1" applyAlignment="1">
      <alignment horizontal="center"/>
    </xf>
    <xf numFmtId="1" fontId="131" fillId="0" borderId="6" xfId="0" applyNumberFormat="1" applyFont="1" applyBorder="1"/>
    <xf numFmtId="174" fontId="131" fillId="0" borderId="14" xfId="0" applyNumberFormat="1" applyFont="1" applyBorder="1"/>
    <xf numFmtId="2" fontId="131" fillId="0" borderId="14" xfId="0" applyNumberFormat="1" applyFont="1" applyBorder="1"/>
    <xf numFmtId="10" fontId="124" fillId="3" borderId="10" xfId="0" applyNumberFormat="1" applyFont="1" applyFill="1" applyBorder="1"/>
    <xf numFmtId="0" fontId="132" fillId="0" borderId="6" xfId="0" applyFont="1" applyBorder="1"/>
    <xf numFmtId="175" fontId="124" fillId="0" borderId="92" xfId="0" applyNumberFormat="1" applyFont="1" applyBorder="1"/>
    <xf numFmtId="175" fontId="124" fillId="0" borderId="6" xfId="0" applyNumberFormat="1" applyFont="1" applyBorder="1"/>
    <xf numFmtId="0" fontId="131" fillId="0" borderId="5" xfId="0" applyFont="1" applyBorder="1"/>
    <xf numFmtId="175" fontId="124" fillId="3" borderId="26" xfId="0" applyNumberFormat="1" applyFont="1" applyFill="1" applyBorder="1"/>
    <xf numFmtId="175" fontId="124" fillId="3" borderId="16" xfId="0" applyNumberFormat="1" applyFont="1" applyFill="1" applyBorder="1"/>
    <xf numFmtId="37" fontId="124" fillId="3" borderId="18" xfId="0" applyNumberFormat="1" applyFont="1" applyFill="1" applyBorder="1"/>
    <xf numFmtId="37" fontId="124" fillId="3" borderId="35" xfId="0" applyNumberFormat="1" applyFont="1" applyFill="1" applyBorder="1"/>
    <xf numFmtId="174" fontId="124" fillId="3" borderId="35" xfId="0" applyNumberFormat="1" applyFont="1" applyFill="1" applyBorder="1"/>
    <xf numFmtId="37" fontId="124" fillId="3" borderId="34" xfId="0" applyNumberFormat="1" applyFont="1" applyFill="1" applyBorder="1"/>
    <xf numFmtId="0" fontId="131" fillId="3" borderId="12" xfId="0" applyFont="1" applyFill="1" applyBorder="1"/>
    <xf numFmtId="6" fontId="131" fillId="0" borderId="0" xfId="0" applyNumberFormat="1" applyFont="1"/>
    <xf numFmtId="0" fontId="131" fillId="0" borderId="98" xfId="0" applyFont="1" applyBorder="1" applyAlignment="1">
      <alignment horizontal="center"/>
    </xf>
    <xf numFmtId="0" fontId="131" fillId="0" borderId="99" xfId="0" applyFont="1" applyBorder="1" applyAlignment="1">
      <alignment horizontal="center"/>
    </xf>
    <xf numFmtId="0" fontId="131" fillId="0" borderId="97" xfId="0" applyFont="1" applyBorder="1" applyAlignment="1">
      <alignment horizontal="center"/>
    </xf>
    <xf numFmtId="37" fontId="131" fillId="9" borderId="1" xfId="0" applyNumberFormat="1" applyFont="1" applyFill="1" applyBorder="1"/>
    <xf numFmtId="175" fontId="124" fillId="3" borderId="1" xfId="0" applyNumberFormat="1" applyFont="1" applyFill="1" applyBorder="1"/>
    <xf numFmtId="37" fontId="131" fillId="9" borderId="18" xfId="0" applyNumberFormat="1" applyFont="1" applyFill="1" applyBorder="1"/>
    <xf numFmtId="3" fontId="131" fillId="9" borderId="16" xfId="0" applyNumberFormat="1" applyFont="1" applyFill="1" applyBorder="1"/>
    <xf numFmtId="3" fontId="131" fillId="9" borderId="18" xfId="0" applyNumberFormat="1" applyFont="1" applyFill="1" applyBorder="1"/>
    <xf numFmtId="0" fontId="154" fillId="0" borderId="0" xfId="0" applyFont="1"/>
    <xf numFmtId="175" fontId="124" fillId="0" borderId="100" xfId="0" applyNumberFormat="1" applyFont="1" applyBorder="1"/>
    <xf numFmtId="0" fontId="124" fillId="3" borderId="37" xfId="0" applyFont="1" applyFill="1" applyBorder="1"/>
    <xf numFmtId="0" fontId="124" fillId="3" borderId="38" xfId="0" applyFont="1" applyFill="1" applyBorder="1"/>
    <xf numFmtId="37" fontId="124" fillId="3" borderId="39" xfId="0" applyNumberFormat="1" applyFont="1" applyFill="1" applyBorder="1"/>
    <xf numFmtId="0" fontId="131" fillId="3" borderId="37" xfId="0" applyFont="1" applyFill="1" applyBorder="1"/>
    <xf numFmtId="0" fontId="131" fillId="3" borderId="38" xfId="0" applyFont="1" applyFill="1" applyBorder="1"/>
    <xf numFmtId="0" fontId="155" fillId="23" borderId="1" xfId="0" applyFont="1" applyFill="1" applyBorder="1"/>
    <xf numFmtId="0" fontId="134" fillId="0" borderId="0" xfId="0" applyFont="1" applyAlignment="1">
      <alignment horizontal="center" vertical="center"/>
    </xf>
    <xf numFmtId="0" fontId="131" fillId="0" borderId="101" xfId="0" applyFont="1" applyBorder="1" applyAlignment="1">
      <alignment horizontal="left"/>
    </xf>
    <xf numFmtId="0" fontId="124" fillId="0" borderId="102" xfId="0" applyFont="1" applyBorder="1" applyAlignment="1">
      <alignment horizontal="center" vertical="center"/>
    </xf>
    <xf numFmtId="0" fontId="131" fillId="0" borderId="87" xfId="0" applyFont="1" applyBorder="1" applyAlignment="1">
      <alignment horizontal="center"/>
    </xf>
    <xf numFmtId="0" fontId="131" fillId="0" borderId="85" xfId="0" applyFont="1" applyBorder="1" applyAlignment="1">
      <alignment horizontal="center"/>
    </xf>
    <xf numFmtId="0" fontId="131" fillId="0" borderId="106" xfId="0" applyFont="1" applyBorder="1" applyAlignment="1">
      <alignment horizontal="center"/>
    </xf>
    <xf numFmtId="0" fontId="132" fillId="0" borderId="14" xfId="0" applyFont="1" applyBorder="1"/>
    <xf numFmtId="37" fontId="132" fillId="0" borderId="87" xfId="0" applyNumberFormat="1" applyFont="1" applyBorder="1"/>
    <xf numFmtId="37" fontId="132" fillId="0" borderId="85" xfId="0" applyNumberFormat="1" applyFont="1" applyBorder="1"/>
    <xf numFmtId="37" fontId="132" fillId="0" borderId="14" xfId="0" applyNumberFormat="1" applyFont="1" applyBorder="1"/>
    <xf numFmtId="175" fontId="132" fillId="0" borderId="14" xfId="0" applyNumberFormat="1" applyFont="1" applyBorder="1"/>
    <xf numFmtId="37" fontId="132" fillId="0" borderId="106" xfId="0" applyNumberFormat="1" applyFont="1" applyBorder="1"/>
    <xf numFmtId="175" fontId="132" fillId="0" borderId="5" xfId="0" applyNumberFormat="1" applyFont="1" applyBorder="1"/>
    <xf numFmtId="0" fontId="134" fillId="3" borderId="22" xfId="0" applyFont="1" applyFill="1" applyBorder="1"/>
    <xf numFmtId="0" fontId="134" fillId="3" borderId="23" xfId="0" applyFont="1" applyFill="1" applyBorder="1"/>
    <xf numFmtId="37" fontId="134" fillId="3" borderId="107" xfId="0" applyNumberFormat="1" applyFont="1" applyFill="1" applyBorder="1"/>
    <xf numFmtId="37" fontId="134" fillId="3" borderId="108" xfId="0" applyNumberFormat="1" applyFont="1" applyFill="1" applyBorder="1"/>
    <xf numFmtId="37" fontId="134" fillId="3" borderId="23" xfId="0" applyNumberFormat="1" applyFont="1" applyFill="1" applyBorder="1"/>
    <xf numFmtId="175" fontId="134" fillId="3" borderId="23" xfId="0" applyNumberFormat="1" applyFont="1" applyFill="1" applyBorder="1"/>
    <xf numFmtId="37" fontId="134" fillId="3" borderId="109" xfId="0" applyNumberFormat="1" applyFont="1" applyFill="1" applyBorder="1"/>
    <xf numFmtId="175" fontId="134" fillId="3" borderId="24" xfId="0" applyNumberFormat="1" applyFont="1" applyFill="1" applyBorder="1"/>
    <xf numFmtId="0" fontId="134" fillId="0" borderId="8" xfId="0" applyFont="1" applyBorder="1"/>
    <xf numFmtId="0" fontId="132" fillId="0" borderId="0" xfId="0" applyFont="1"/>
    <xf numFmtId="37" fontId="132" fillId="0" borderId="73" xfId="0" applyNumberFormat="1" applyFont="1" applyBorder="1"/>
    <xf numFmtId="37" fontId="132" fillId="0" borderId="71" xfId="0" applyNumberFormat="1" applyFont="1" applyBorder="1"/>
    <xf numFmtId="37" fontId="132" fillId="0" borderId="0" xfId="0" applyNumberFormat="1" applyFont="1"/>
    <xf numFmtId="175" fontId="132" fillId="0" borderId="0" xfId="0" applyNumberFormat="1" applyFont="1"/>
    <xf numFmtId="37" fontId="132" fillId="0" borderId="56" xfId="0" applyNumberFormat="1" applyFont="1" applyBorder="1"/>
    <xf numFmtId="175" fontId="132" fillId="0" borderId="7" xfId="0" applyNumberFormat="1" applyFont="1" applyBorder="1"/>
    <xf numFmtId="0" fontId="132" fillId="0" borderId="0" xfId="0" applyFont="1" applyAlignment="1">
      <alignment horizontal="right"/>
    </xf>
    <xf numFmtId="174" fontId="132" fillId="0" borderId="0" xfId="0" applyNumberFormat="1" applyFont="1"/>
    <xf numFmtId="0" fontId="132" fillId="0" borderId="71" xfId="0" applyFont="1" applyBorder="1"/>
    <xf numFmtId="175" fontId="132" fillId="0" borderId="9" xfId="0" applyNumberFormat="1" applyFont="1" applyBorder="1"/>
    <xf numFmtId="0" fontId="132" fillId="0" borderId="14" xfId="0" applyFont="1" applyBorder="1" applyAlignment="1">
      <alignment horizontal="right"/>
    </xf>
    <xf numFmtId="174" fontId="132" fillId="0" borderId="14" xfId="0" applyNumberFormat="1" applyFont="1" applyBorder="1"/>
    <xf numFmtId="0" fontId="132" fillId="0" borderId="85" xfId="0" applyFont="1" applyBorder="1"/>
    <xf numFmtId="175" fontId="132" fillId="0" borderId="87" xfId="0" applyNumberFormat="1" applyFont="1" applyBorder="1"/>
    <xf numFmtId="0" fontId="134" fillId="3" borderId="28" xfId="0" applyFont="1" applyFill="1" applyBorder="1"/>
    <xf numFmtId="0" fontId="134" fillId="3" borderId="29" xfId="0" applyFont="1" applyFill="1" applyBorder="1"/>
    <xf numFmtId="175" fontId="134" fillId="3" borderId="29" xfId="0" applyNumberFormat="1" applyFont="1" applyFill="1" applyBorder="1"/>
    <xf numFmtId="37" fontId="134" fillId="3" borderId="68" xfId="0" applyNumberFormat="1" applyFont="1" applyFill="1" applyBorder="1"/>
    <xf numFmtId="175" fontId="134" fillId="3" borderId="31" xfId="0" applyNumberFormat="1" applyFont="1" applyFill="1" applyBorder="1"/>
    <xf numFmtId="0" fontId="134" fillId="3" borderId="31" xfId="0" applyFont="1" applyFill="1" applyBorder="1"/>
    <xf numFmtId="37" fontId="134" fillId="3" borderId="29" xfId="0" applyNumberFormat="1" applyFont="1" applyFill="1" applyBorder="1"/>
    <xf numFmtId="0" fontId="134" fillId="3" borderId="112" xfId="0" applyFont="1" applyFill="1" applyBorder="1"/>
    <xf numFmtId="175" fontId="132" fillId="0" borderId="73" xfId="0" applyNumberFormat="1" applyFont="1" applyBorder="1"/>
    <xf numFmtId="174" fontId="134" fillId="3" borderId="29" xfId="0" applyNumberFormat="1" applyFont="1" applyFill="1" applyBorder="1"/>
    <xf numFmtId="37" fontId="134" fillId="3" borderId="31" xfId="0" applyNumberFormat="1" applyFont="1" applyFill="1" applyBorder="1"/>
    <xf numFmtId="37" fontId="134" fillId="3" borderId="112" xfId="0" applyNumberFormat="1" applyFont="1" applyFill="1" applyBorder="1"/>
    <xf numFmtId="0" fontId="132" fillId="0" borderId="92" xfId="0" applyFont="1" applyBorder="1" applyAlignment="1">
      <alignment horizontal="right"/>
    </xf>
    <xf numFmtId="0" fontId="132" fillId="0" borderId="92" xfId="0" applyFont="1" applyBorder="1"/>
    <xf numFmtId="37" fontId="132" fillId="0" borderId="91" xfId="0" applyNumberFormat="1" applyFont="1" applyBorder="1"/>
    <xf numFmtId="0" fontId="132" fillId="0" borderId="90" xfId="0" applyFont="1" applyBorder="1"/>
    <xf numFmtId="174" fontId="132" fillId="0" borderId="92" xfId="0" applyNumberFormat="1" applyFont="1" applyBorder="1"/>
    <xf numFmtId="37" fontId="132" fillId="0" borderId="92" xfId="0" applyNumberFormat="1" applyFont="1" applyBorder="1"/>
    <xf numFmtId="175" fontId="132" fillId="0" borderId="92" xfId="0" applyNumberFormat="1" applyFont="1" applyBorder="1"/>
    <xf numFmtId="37" fontId="132" fillId="0" borderId="113" xfId="0" applyNumberFormat="1" applyFont="1" applyBorder="1"/>
    <xf numFmtId="9" fontId="122" fillId="0" borderId="0" xfId="0" applyNumberFormat="1" applyFont="1"/>
    <xf numFmtId="37" fontId="132" fillId="0" borderId="90" xfId="0" applyNumberFormat="1" applyFont="1" applyBorder="1"/>
    <xf numFmtId="0" fontId="132" fillId="3" borderId="29" xfId="0" applyFont="1" applyFill="1" applyBorder="1"/>
    <xf numFmtId="3" fontId="134" fillId="3" borderId="29" xfId="0" applyNumberFormat="1" applyFont="1" applyFill="1" applyBorder="1" applyAlignment="1">
      <alignment horizontal="center"/>
    </xf>
    <xf numFmtId="175" fontId="134" fillId="3" borderId="30" xfId="0" applyNumberFormat="1" applyFont="1" applyFill="1" applyBorder="1"/>
    <xf numFmtId="175" fontId="134" fillId="0" borderId="0" xfId="0" applyNumberFormat="1" applyFont="1"/>
    <xf numFmtId="0" fontId="134" fillId="0" borderId="0" xfId="0" applyFont="1"/>
    <xf numFmtId="175" fontId="132" fillId="0" borderId="91" xfId="0" applyNumberFormat="1" applyFont="1" applyBorder="1"/>
    <xf numFmtId="0" fontId="132" fillId="0" borderId="73" xfId="0" applyFont="1" applyBorder="1"/>
    <xf numFmtId="0" fontId="132" fillId="0" borderId="56" xfId="0" applyFont="1" applyBorder="1"/>
    <xf numFmtId="175" fontId="132" fillId="0" borderId="114" xfId="0" applyNumberFormat="1" applyFont="1" applyBorder="1"/>
    <xf numFmtId="175" fontId="134" fillId="0" borderId="92" xfId="0" applyNumberFormat="1" applyFont="1" applyBorder="1"/>
    <xf numFmtId="0" fontId="134" fillId="0" borderId="92" xfId="0" applyFont="1" applyBorder="1"/>
    <xf numFmtId="175" fontId="134" fillId="0" borderId="90" xfId="0" applyNumberFormat="1" applyFont="1" applyBorder="1"/>
    <xf numFmtId="37" fontId="134" fillId="0" borderId="90" xfId="0" applyNumberFormat="1" applyFont="1" applyBorder="1"/>
    <xf numFmtId="37" fontId="132" fillId="0" borderId="94" xfId="0" applyNumberFormat="1" applyFont="1" applyBorder="1"/>
    <xf numFmtId="37" fontId="134" fillId="0" borderId="92" xfId="0" applyNumberFormat="1" applyFont="1" applyBorder="1"/>
    <xf numFmtId="37" fontId="134" fillId="0" borderId="0" xfId="0" applyNumberFormat="1" applyFont="1"/>
    <xf numFmtId="1" fontId="134" fillId="0" borderId="0" xfId="0" applyNumberFormat="1" applyFont="1"/>
    <xf numFmtId="37" fontId="134" fillId="0" borderId="71" xfId="0" applyNumberFormat="1" applyFont="1" applyBorder="1"/>
    <xf numFmtId="175" fontId="134" fillId="0" borderId="71" xfId="0" applyNumberFormat="1" applyFont="1" applyBorder="1"/>
    <xf numFmtId="37" fontId="132" fillId="0" borderId="55" xfId="0" applyNumberFormat="1" applyFont="1" applyBorder="1"/>
    <xf numFmtId="43" fontId="134" fillId="0" borderId="71" xfId="0" applyNumberFormat="1" applyFont="1" applyBorder="1"/>
    <xf numFmtId="175" fontId="132" fillId="3" borderId="31" xfId="0" applyNumberFormat="1" applyFont="1" applyFill="1" applyBorder="1"/>
    <xf numFmtId="175" fontId="132" fillId="3" borderId="29" xfId="0" applyNumberFormat="1" applyFont="1" applyFill="1" applyBorder="1"/>
    <xf numFmtId="37" fontId="132" fillId="3" borderId="112" xfId="0" applyNumberFormat="1" applyFont="1" applyFill="1" applyBorder="1"/>
    <xf numFmtId="0" fontId="134" fillId="6" borderId="19" xfId="0" applyFont="1" applyFill="1" applyBorder="1"/>
    <xf numFmtId="0" fontId="134" fillId="6" borderId="15" xfId="0" applyFont="1" applyFill="1" applyBorder="1"/>
    <xf numFmtId="37" fontId="134" fillId="6" borderId="15" xfId="0" applyNumberFormat="1" applyFont="1" applyFill="1" applyBorder="1"/>
    <xf numFmtId="37" fontId="132" fillId="6" borderId="115" xfId="0" applyNumberFormat="1" applyFont="1" applyFill="1" applyBorder="1"/>
    <xf numFmtId="0" fontId="132" fillId="6" borderId="15" xfId="0" applyFont="1" applyFill="1" applyBorder="1"/>
    <xf numFmtId="37" fontId="132" fillId="6" borderId="15" xfId="0" applyNumberFormat="1" applyFont="1" applyFill="1" applyBorder="1"/>
    <xf numFmtId="37" fontId="132" fillId="6" borderId="116" xfId="0" applyNumberFormat="1" applyFont="1" applyFill="1" applyBorder="1"/>
    <xf numFmtId="37" fontId="132" fillId="6" borderId="1" xfId="0" applyNumberFormat="1" applyFont="1" applyFill="1" applyBorder="1"/>
    <xf numFmtId="175" fontId="132" fillId="6" borderId="1" xfId="0" applyNumberFormat="1" applyFont="1" applyFill="1" applyBorder="1"/>
    <xf numFmtId="175" fontId="132" fillId="6" borderId="116" xfId="0" applyNumberFormat="1" applyFont="1" applyFill="1" applyBorder="1"/>
    <xf numFmtId="175" fontId="132" fillId="6" borderId="15" xfId="0" applyNumberFormat="1" applyFont="1" applyFill="1" applyBorder="1"/>
    <xf numFmtId="37" fontId="132" fillId="6" borderId="117" xfId="0" applyNumberFormat="1" applyFont="1" applyFill="1" applyBorder="1"/>
    <xf numFmtId="175" fontId="132" fillId="0" borderId="99" xfId="0" applyNumberFormat="1" applyFont="1" applyBorder="1"/>
    <xf numFmtId="0" fontId="134" fillId="3" borderId="37" xfId="0" applyFont="1" applyFill="1" applyBorder="1"/>
    <xf numFmtId="0" fontId="134" fillId="3" borderId="38" xfId="0" applyFont="1" applyFill="1" applyBorder="1"/>
    <xf numFmtId="0" fontId="134" fillId="3" borderId="38" xfId="0" applyFont="1" applyFill="1" applyBorder="1" applyAlignment="1">
      <alignment horizontal="center"/>
    </xf>
    <xf numFmtId="175" fontId="134" fillId="3" borderId="38" xfId="0" applyNumberFormat="1" applyFont="1" applyFill="1" applyBorder="1"/>
    <xf numFmtId="37" fontId="134" fillId="3" borderId="118" xfId="0" applyNumberFormat="1" applyFont="1" applyFill="1" applyBorder="1"/>
    <xf numFmtId="37" fontId="134" fillId="3" borderId="38" xfId="0" applyNumberFormat="1" applyFont="1" applyFill="1" applyBorder="1"/>
    <xf numFmtId="37" fontId="134" fillId="3" borderId="119" xfId="0" applyNumberFormat="1" applyFont="1" applyFill="1" applyBorder="1"/>
    <xf numFmtId="175" fontId="134" fillId="3" borderId="120" xfId="0" applyNumberFormat="1" applyFont="1" applyFill="1" applyBorder="1"/>
    <xf numFmtId="0" fontId="134" fillId="3" borderId="119" xfId="0" applyFont="1" applyFill="1" applyBorder="1" applyAlignment="1">
      <alignment horizontal="center"/>
    </xf>
    <xf numFmtId="37" fontId="134" fillId="3" borderId="121" xfId="0" applyNumberFormat="1" applyFont="1" applyFill="1" applyBorder="1"/>
    <xf numFmtId="175" fontId="134" fillId="3" borderId="13" xfId="0" applyNumberFormat="1" applyFont="1" applyFill="1" applyBorder="1"/>
    <xf numFmtId="39" fontId="132" fillId="0" borderId="0" xfId="0" applyNumberFormat="1" applyFont="1"/>
    <xf numFmtId="0" fontId="125" fillId="0" borderId="0" xfId="0" applyFont="1" applyAlignment="1">
      <alignment horizontal="right" vertical="center"/>
    </xf>
    <xf numFmtId="37" fontId="134" fillId="3" borderId="122" xfId="0" applyNumberFormat="1" applyFont="1" applyFill="1" applyBorder="1"/>
    <xf numFmtId="37" fontId="134" fillId="3" borderId="123" xfId="0" applyNumberFormat="1" applyFont="1" applyFill="1" applyBorder="1"/>
    <xf numFmtId="37" fontId="134" fillId="3" borderId="124" xfId="0" applyNumberFormat="1" applyFont="1" applyFill="1" applyBorder="1"/>
    <xf numFmtId="175" fontId="134" fillId="3" borderId="125" xfId="0" applyNumberFormat="1" applyFont="1" applyFill="1" applyBorder="1"/>
    <xf numFmtId="0" fontId="130" fillId="0" borderId="8" xfId="0" applyFont="1" applyBorder="1"/>
    <xf numFmtId="37" fontId="130" fillId="0" borderId="73" xfId="0" applyNumberFormat="1" applyFont="1" applyBorder="1"/>
    <xf numFmtId="0" fontId="130" fillId="0" borderId="73" xfId="0" applyFont="1" applyBorder="1"/>
    <xf numFmtId="0" fontId="130" fillId="0" borderId="55" xfId="0" applyFont="1" applyBorder="1"/>
    <xf numFmtId="0" fontId="130" fillId="0" borderId="56" xfId="0" applyFont="1" applyBorder="1"/>
    <xf numFmtId="0" fontId="130" fillId="0" borderId="9" xfId="0" applyFont="1" applyBorder="1"/>
    <xf numFmtId="175" fontId="134" fillId="3" borderId="39" xfId="0" applyNumberFormat="1" applyFont="1" applyFill="1" applyBorder="1"/>
    <xf numFmtId="178" fontId="130" fillId="0" borderId="0" xfId="0" applyNumberFormat="1" applyFont="1" applyAlignment="1">
      <alignment horizontal="right"/>
    </xf>
    <xf numFmtId="43" fontId="130" fillId="0" borderId="0" xfId="0" applyNumberFormat="1" applyFont="1"/>
    <xf numFmtId="0" fontId="156" fillId="22" borderId="1" xfId="0" applyFont="1" applyFill="1" applyBorder="1"/>
    <xf numFmtId="0" fontId="121" fillId="0" borderId="61" xfId="0" applyFont="1" applyBorder="1" applyAlignment="1">
      <alignment horizontal="center"/>
    </xf>
    <xf numFmtId="0" fontId="121" fillId="0" borderId="61" xfId="0" applyFont="1" applyBorder="1"/>
    <xf numFmtId="1" fontId="120" fillId="2" borderId="1" xfId="0" applyNumberFormat="1" applyFont="1" applyFill="1" applyBorder="1" applyAlignment="1">
      <alignment horizontal="right"/>
    </xf>
    <xf numFmtId="166" fontId="120" fillId="2" borderId="1" xfId="0" applyNumberFormat="1" applyFont="1" applyFill="1" applyBorder="1"/>
    <xf numFmtId="166" fontId="120" fillId="0" borderId="0" xfId="0" applyNumberFormat="1" applyFont="1"/>
    <xf numFmtId="175" fontId="120" fillId="0" borderId="0" xfId="0" applyNumberFormat="1" applyFont="1" applyAlignment="1">
      <alignment horizontal="center"/>
    </xf>
    <xf numFmtId="3" fontId="120" fillId="2" borderId="1" xfId="0" applyNumberFormat="1" applyFont="1" applyFill="1" applyBorder="1" applyAlignment="1">
      <alignment horizontal="right"/>
    </xf>
    <xf numFmtId="1" fontId="121" fillId="2" borderId="1" xfId="0" applyNumberFormat="1" applyFont="1" applyFill="1" applyBorder="1" applyAlignment="1">
      <alignment horizontal="right"/>
    </xf>
    <xf numFmtId="166" fontId="121" fillId="2" borderId="1" xfId="0" applyNumberFormat="1" applyFont="1" applyFill="1" applyBorder="1"/>
    <xf numFmtId="166" fontId="121" fillId="0" borderId="0" xfId="0" applyNumberFormat="1" applyFont="1"/>
    <xf numFmtId="175" fontId="121" fillId="0" borderId="0" xfId="0" applyNumberFormat="1" applyFont="1" applyAlignment="1">
      <alignment horizontal="center"/>
    </xf>
    <xf numFmtId="3" fontId="121" fillId="2" borderId="1" xfId="0" applyNumberFormat="1" applyFont="1" applyFill="1" applyBorder="1" applyAlignment="1">
      <alignment horizontal="right"/>
    </xf>
    <xf numFmtId="1" fontId="121" fillId="0" borderId="126" xfId="0" applyNumberFormat="1" applyFont="1" applyBorder="1" applyAlignment="1">
      <alignment horizontal="right"/>
    </xf>
    <xf numFmtId="166" fontId="121" fillId="0" borderId="126" xfId="0" applyNumberFormat="1" applyFont="1" applyBorder="1"/>
    <xf numFmtId="166" fontId="157" fillId="0" borderId="126" xfId="0" applyNumberFormat="1" applyFont="1" applyBorder="1"/>
    <xf numFmtId="175" fontId="121" fillId="0" borderId="126" xfId="0" applyNumberFormat="1" applyFont="1" applyBorder="1" applyAlignment="1">
      <alignment horizontal="center"/>
    </xf>
    <xf numFmtId="3" fontId="121" fillId="0" borderId="126" xfId="0" applyNumberFormat="1" applyFont="1" applyBorder="1" applyAlignment="1">
      <alignment horizontal="right"/>
    </xf>
    <xf numFmtId="166" fontId="120" fillId="0" borderId="126" xfId="0" applyNumberFormat="1" applyFont="1" applyBorder="1"/>
    <xf numFmtId="175" fontId="158" fillId="0" borderId="0" xfId="0" applyNumberFormat="1" applyFont="1" applyAlignment="1">
      <alignment horizontal="center" vertical="top"/>
    </xf>
    <xf numFmtId="1" fontId="121" fillId="0" borderId="0" xfId="0" applyNumberFormat="1" applyFont="1"/>
    <xf numFmtId="1" fontId="120" fillId="0" borderId="0" xfId="0" applyNumberFormat="1" applyFont="1" applyAlignment="1">
      <alignment horizontal="right"/>
    </xf>
    <xf numFmtId="3" fontId="120" fillId="0" borderId="0" xfId="0" applyNumberFormat="1" applyFont="1" applyAlignment="1">
      <alignment horizontal="right"/>
    </xf>
    <xf numFmtId="1" fontId="121" fillId="0" borderId="0" xfId="0" applyNumberFormat="1" applyFont="1" applyAlignment="1">
      <alignment horizontal="right"/>
    </xf>
    <xf numFmtId="3" fontId="121" fillId="0" borderId="0" xfId="0" applyNumberFormat="1" applyFont="1" applyAlignment="1">
      <alignment horizontal="right"/>
    </xf>
    <xf numFmtId="166" fontId="159" fillId="0" borderId="0" xfId="0" applyNumberFormat="1" applyFont="1" applyAlignment="1">
      <alignment horizontal="center" vertical="center"/>
    </xf>
    <xf numFmtId="0" fontId="121" fillId="0" borderId="61" xfId="0" applyFont="1" applyBorder="1" applyAlignment="1">
      <alignment horizontal="left"/>
    </xf>
    <xf numFmtId="166" fontId="121" fillId="0" borderId="0" xfId="0" applyNumberFormat="1" applyFont="1" applyAlignment="1">
      <alignment horizontal="center"/>
    </xf>
    <xf numFmtId="175" fontId="121" fillId="0" borderId="0" xfId="0" applyNumberFormat="1" applyFont="1" applyAlignment="1">
      <alignment horizontal="right"/>
    </xf>
    <xf numFmtId="0" fontId="121" fillId="0" borderId="130" xfId="0" applyFont="1" applyBorder="1"/>
    <xf numFmtId="0" fontId="121" fillId="0" borderId="63" xfId="0" applyFont="1" applyBorder="1"/>
    <xf numFmtId="0" fontId="121" fillId="0" borderId="131" xfId="0" applyFont="1" applyBorder="1"/>
    <xf numFmtId="1" fontId="121" fillId="0" borderId="0" xfId="0" applyNumberFormat="1" applyFont="1" applyAlignment="1">
      <alignment horizontal="center"/>
    </xf>
    <xf numFmtId="0" fontId="121" fillId="0" borderId="76" xfId="0" applyFont="1" applyBorder="1" applyAlignment="1">
      <alignment horizontal="center"/>
    </xf>
    <xf numFmtId="175" fontId="121" fillId="2" borderId="1" xfId="0" applyNumberFormat="1" applyFont="1" applyFill="1" applyBorder="1" applyAlignment="1">
      <alignment horizontal="center"/>
    </xf>
    <xf numFmtId="166" fontId="121" fillId="0" borderId="62" xfId="0" applyNumberFormat="1" applyFont="1" applyBorder="1"/>
    <xf numFmtId="175" fontId="121" fillId="0" borderId="62" xfId="0" applyNumberFormat="1" applyFont="1" applyBorder="1" applyAlignment="1">
      <alignment horizontal="center"/>
    </xf>
    <xf numFmtId="166" fontId="121" fillId="0" borderId="63" xfId="0" applyNumberFormat="1" applyFont="1" applyBorder="1"/>
    <xf numFmtId="175" fontId="121" fillId="0" borderId="63" xfId="0" applyNumberFormat="1" applyFont="1" applyBorder="1" applyAlignment="1">
      <alignment horizontal="center"/>
    </xf>
    <xf numFmtId="166" fontId="121" fillId="0" borderId="64" xfId="0" applyNumberFormat="1" applyFont="1" applyBorder="1"/>
    <xf numFmtId="175" fontId="121" fillId="0" borderId="64" xfId="0" applyNumberFormat="1" applyFont="1" applyBorder="1" applyAlignment="1">
      <alignment horizontal="center"/>
    </xf>
    <xf numFmtId="3" fontId="121" fillId="0" borderId="0" xfId="0" applyNumberFormat="1" applyFont="1"/>
    <xf numFmtId="175" fontId="121" fillId="0" borderId="0" xfId="0" applyNumberFormat="1" applyFont="1"/>
    <xf numFmtId="10" fontId="122" fillId="0" borderId="0" xfId="0" applyNumberFormat="1" applyFont="1"/>
    <xf numFmtId="0" fontId="160" fillId="0" borderId="0" xfId="0" applyFont="1"/>
    <xf numFmtId="10" fontId="160" fillId="0" borderId="0" xfId="0" applyNumberFormat="1" applyFont="1"/>
    <xf numFmtId="37" fontId="124" fillId="3" borderId="12" xfId="0" applyNumberFormat="1" applyFont="1" applyFill="1" applyBorder="1"/>
    <xf numFmtId="9" fontId="131" fillId="0" borderId="0" xfId="0" applyNumberFormat="1" applyFont="1"/>
    <xf numFmtId="180" fontId="131" fillId="0" borderId="0" xfId="0" applyNumberFormat="1" applyFont="1"/>
    <xf numFmtId="0" fontId="131" fillId="21" borderId="1" xfId="0" applyFont="1" applyFill="1" applyBorder="1"/>
    <xf numFmtId="39" fontId="131" fillId="0" borderId="14" xfId="0" applyNumberFormat="1" applyFont="1" applyBorder="1"/>
    <xf numFmtId="2" fontId="131" fillId="0" borderId="0" xfId="0" applyNumberFormat="1" applyFont="1"/>
    <xf numFmtId="176" fontId="131" fillId="0" borderId="0" xfId="0" applyNumberFormat="1" applyFont="1"/>
    <xf numFmtId="39" fontId="124" fillId="6" borderId="23" xfId="0" applyNumberFormat="1" applyFont="1" applyFill="1" applyBorder="1"/>
    <xf numFmtId="172" fontId="131" fillId="0" borderId="9" xfId="0" applyNumberFormat="1" applyFont="1" applyBorder="1"/>
    <xf numFmtId="39" fontId="124" fillId="0" borderId="0" xfId="0" applyNumberFormat="1" applyFont="1"/>
    <xf numFmtId="175" fontId="130" fillId="0" borderId="0" xfId="0" applyNumberFormat="1" applyFont="1"/>
    <xf numFmtId="3" fontId="130" fillId="0" borderId="0" xfId="0" applyNumberFormat="1" applyFont="1"/>
    <xf numFmtId="4" fontId="130" fillId="0" borderId="0" xfId="0" applyNumberFormat="1" applyFont="1"/>
    <xf numFmtId="9" fontId="130" fillId="0" borderId="0" xfId="0" applyNumberFormat="1" applyFont="1"/>
    <xf numFmtId="2" fontId="122" fillId="0" borderId="0" xfId="0" applyNumberFormat="1" applyFont="1"/>
    <xf numFmtId="0" fontId="134" fillId="10" borderId="52" xfId="0" applyFont="1" applyFill="1" applyBorder="1" applyAlignment="1">
      <alignment horizontal="center"/>
    </xf>
    <xf numFmtId="0" fontId="134" fillId="10" borderId="132" xfId="0" applyFont="1" applyFill="1" applyBorder="1" applyAlignment="1">
      <alignment horizontal="center"/>
    </xf>
    <xf numFmtId="3" fontId="122" fillId="0" borderId="0" xfId="0" applyNumberFormat="1" applyFont="1"/>
    <xf numFmtId="37" fontId="132" fillId="0" borderId="96" xfId="0" applyNumberFormat="1" applyFont="1" applyBorder="1"/>
    <xf numFmtId="37" fontId="134" fillId="3" borderId="133" xfId="0" applyNumberFormat="1" applyFont="1" applyFill="1" applyBorder="1"/>
    <xf numFmtId="37" fontId="132" fillId="0" borderId="134" xfId="0" applyNumberFormat="1" applyFont="1" applyBorder="1"/>
    <xf numFmtId="37" fontId="132" fillId="0" borderId="135" xfId="0" applyNumberFormat="1" applyFont="1" applyBorder="1"/>
    <xf numFmtId="37" fontId="134" fillId="3" borderId="136" xfId="0" applyNumberFormat="1" applyFont="1" applyFill="1" applyBorder="1"/>
    <xf numFmtId="37" fontId="134" fillId="3" borderId="137" xfId="0" applyNumberFormat="1" applyFont="1" applyFill="1" applyBorder="1"/>
    <xf numFmtId="4" fontId="122" fillId="0" borderId="0" xfId="0" applyNumberFormat="1" applyFont="1"/>
    <xf numFmtId="175" fontId="122" fillId="0" borderId="0" xfId="0" applyNumberFormat="1" applyFont="1"/>
    <xf numFmtId="37" fontId="132" fillId="0" borderId="138" xfId="0" applyNumberFormat="1" applyFont="1" applyBorder="1"/>
    <xf numFmtId="172" fontId="130" fillId="0" borderId="0" xfId="0" applyNumberFormat="1" applyFont="1"/>
    <xf numFmtId="0" fontId="132" fillId="0" borderId="134" xfId="0" applyFont="1" applyBorder="1"/>
    <xf numFmtId="0" fontId="132" fillId="0" borderId="55" xfId="0" applyFont="1" applyBorder="1"/>
    <xf numFmtId="37" fontId="132" fillId="6" borderId="139" xfId="0" applyNumberFormat="1" applyFont="1" applyFill="1" applyBorder="1"/>
    <xf numFmtId="39" fontId="132" fillId="0" borderId="56" xfId="0" applyNumberFormat="1" applyFont="1" applyBorder="1"/>
    <xf numFmtId="39" fontId="132" fillId="0" borderId="55" xfId="0" applyNumberFormat="1" applyFont="1" applyBorder="1"/>
    <xf numFmtId="0" fontId="125" fillId="0" borderId="56" xfId="0" applyFont="1" applyBorder="1"/>
    <xf numFmtId="0" fontId="125" fillId="0" borderId="55" xfId="0" applyFont="1" applyBorder="1"/>
    <xf numFmtId="37" fontId="134" fillId="3" borderId="140" xfId="0" applyNumberFormat="1" applyFont="1" applyFill="1" applyBorder="1"/>
    <xf numFmtId="0" fontId="130" fillId="0" borderId="134" xfId="0" applyFont="1" applyBorder="1"/>
    <xf numFmtId="37" fontId="134" fillId="3" borderId="141" xfId="0" applyNumberFormat="1" applyFont="1" applyFill="1" applyBorder="1"/>
    <xf numFmtId="37" fontId="161" fillId="0" borderId="0" xfId="0" applyNumberFormat="1" applyFont="1"/>
    <xf numFmtId="173" fontId="138" fillId="6" borderId="1" xfId="0" applyNumberFormat="1" applyFont="1" applyFill="1" applyBorder="1" applyAlignment="1">
      <alignment horizontal="right"/>
    </xf>
    <xf numFmtId="0" fontId="138" fillId="6" borderId="1" xfId="0" applyFont="1" applyFill="1" applyBorder="1"/>
    <xf numFmtId="9" fontId="130" fillId="6" borderId="1" xfId="0" applyNumberFormat="1" applyFont="1" applyFill="1" applyBorder="1"/>
    <xf numFmtId="0" fontId="137" fillId="6" borderId="1" xfId="0" applyFont="1" applyFill="1" applyBorder="1" applyAlignment="1">
      <alignment horizontal="center"/>
    </xf>
    <xf numFmtId="173" fontId="130" fillId="6" borderId="1" xfId="0" applyNumberFormat="1" applyFont="1" applyFill="1" applyBorder="1" applyAlignment="1">
      <alignment horizontal="center"/>
    </xf>
    <xf numFmtId="0" fontId="162" fillId="6" borderId="1" xfId="0" applyFont="1" applyFill="1" applyBorder="1" applyAlignment="1">
      <alignment horizontal="center"/>
    </xf>
    <xf numFmtId="0" fontId="163" fillId="0" borderId="0" xfId="0" applyFont="1" applyAlignment="1">
      <alignment horizontal="center" vertical="top"/>
    </xf>
    <xf numFmtId="169" fontId="164" fillId="0" borderId="0" xfId="0" applyNumberFormat="1" applyFont="1" applyAlignment="1">
      <alignment horizontal="center" vertical="top"/>
    </xf>
    <xf numFmtId="0" fontId="165" fillId="24" borderId="142" xfId="0" applyFont="1" applyFill="1" applyBorder="1" applyAlignment="1">
      <alignment horizontal="center" vertical="center" wrapText="1"/>
    </xf>
    <xf numFmtId="49" fontId="121" fillId="4" borderId="1" xfId="0" applyNumberFormat="1" applyFont="1" applyFill="1" applyBorder="1" applyAlignment="1">
      <alignment horizontal="left" vertical="center"/>
    </xf>
    <xf numFmtId="0" fontId="121" fillId="4" borderId="1" xfId="0" applyFont="1" applyFill="1" applyBorder="1"/>
    <xf numFmtId="181" fontId="121" fillId="4" borderId="1" xfId="0" applyNumberFormat="1" applyFont="1" applyFill="1" applyBorder="1" applyAlignment="1">
      <alignment horizontal="right" vertical="center"/>
    </xf>
    <xf numFmtId="1" fontId="121" fillId="0" borderId="0" xfId="0" applyNumberFormat="1" applyFont="1" applyAlignment="1">
      <alignment horizontal="left" vertical="top"/>
    </xf>
    <xf numFmtId="49" fontId="121" fillId="0" borderId="0" xfId="0" applyNumberFormat="1" applyFont="1" applyAlignment="1">
      <alignment horizontal="left" vertical="top"/>
    </xf>
    <xf numFmtId="4" fontId="121" fillId="0" borderId="0" xfId="0" applyNumberFormat="1" applyFont="1" applyAlignment="1">
      <alignment horizontal="center" vertical="top"/>
    </xf>
    <xf numFmtId="0" fontId="121" fillId="8" borderId="1" xfId="0" applyFont="1" applyFill="1" applyBorder="1" applyAlignment="1">
      <alignment horizontal="center"/>
    </xf>
    <xf numFmtId="178" fontId="122" fillId="0" borderId="0" xfId="0" applyNumberFormat="1" applyFont="1" applyAlignment="1">
      <alignment horizontal="center"/>
    </xf>
    <xf numFmtId="182" fontId="122" fillId="0" borderId="0" xfId="0" applyNumberFormat="1" applyFont="1" applyAlignment="1">
      <alignment horizontal="center"/>
    </xf>
    <xf numFmtId="169" fontId="121" fillId="0" borderId="0" xfId="0" applyNumberFormat="1" applyFont="1" applyAlignment="1">
      <alignment horizontal="center" vertical="top"/>
    </xf>
    <xf numFmtId="167" fontId="121" fillId="4" borderId="1" xfId="0" applyNumberFormat="1" applyFont="1" applyFill="1" applyBorder="1"/>
    <xf numFmtId="4" fontId="121" fillId="25" borderId="1" xfId="0" applyNumberFormat="1" applyFont="1" applyFill="1" applyBorder="1" applyAlignment="1">
      <alignment horizontal="center" vertical="top"/>
    </xf>
    <xf numFmtId="4" fontId="121" fillId="10" borderId="1" xfId="0" applyNumberFormat="1" applyFont="1" applyFill="1" applyBorder="1" applyAlignment="1">
      <alignment horizontal="center" vertical="top"/>
    </xf>
    <xf numFmtId="0" fontId="121" fillId="4" borderId="1" xfId="0" applyFont="1" applyFill="1" applyBorder="1" applyAlignment="1">
      <alignment horizontal="left" vertical="top"/>
    </xf>
    <xf numFmtId="167" fontId="121" fillId="4" borderId="1" xfId="0" applyNumberFormat="1" applyFont="1" applyFill="1" applyBorder="1" applyAlignment="1">
      <alignment horizontal="left" vertical="top"/>
    </xf>
    <xf numFmtId="1" fontId="121" fillId="4" borderId="1" xfId="0" applyNumberFormat="1" applyFont="1" applyFill="1" applyBorder="1" applyAlignment="1">
      <alignment horizontal="center" vertical="top"/>
    </xf>
    <xf numFmtId="1" fontId="121" fillId="4" borderId="1" xfId="0" applyNumberFormat="1" applyFont="1" applyFill="1" applyBorder="1" applyAlignment="1">
      <alignment horizontal="center"/>
    </xf>
    <xf numFmtId="1" fontId="121" fillId="4" borderId="1" xfId="0" applyNumberFormat="1" applyFont="1" applyFill="1" applyBorder="1" applyAlignment="1">
      <alignment horizontal="center" vertical="center"/>
    </xf>
    <xf numFmtId="49" fontId="121" fillId="26" borderId="1" xfId="0" applyNumberFormat="1" applyFont="1" applyFill="1" applyBorder="1" applyAlignment="1">
      <alignment horizontal="left" vertical="top"/>
    </xf>
    <xf numFmtId="4" fontId="121" fillId="26" borderId="1" xfId="0" applyNumberFormat="1" applyFont="1" applyFill="1" applyBorder="1" applyAlignment="1">
      <alignment horizontal="center" vertical="top"/>
    </xf>
    <xf numFmtId="4" fontId="121" fillId="4" borderId="1" xfId="0" applyNumberFormat="1" applyFont="1" applyFill="1" applyBorder="1"/>
    <xf numFmtId="0" fontId="166" fillId="8" borderId="1" xfId="0" applyFont="1" applyFill="1" applyBorder="1" applyAlignment="1">
      <alignment horizontal="center"/>
    </xf>
    <xf numFmtId="4" fontId="121" fillId="4" borderId="1" xfId="0" applyNumberFormat="1" applyFont="1" applyFill="1" applyBorder="1" applyAlignment="1">
      <alignment horizontal="left" vertical="top"/>
    </xf>
    <xf numFmtId="169" fontId="122" fillId="0" borderId="0" xfId="0" applyNumberFormat="1" applyFont="1"/>
    <xf numFmtId="0" fontId="165" fillId="27" borderId="1" xfId="0" applyFont="1" applyFill="1" applyBorder="1" applyAlignment="1">
      <alignment horizontal="left" vertical="top"/>
    </xf>
    <xf numFmtId="0" fontId="122" fillId="27" borderId="1" xfId="0" applyFont="1" applyFill="1" applyBorder="1" applyAlignment="1">
      <alignment horizontal="center"/>
    </xf>
    <xf numFmtId="0" fontId="120" fillId="7" borderId="1" xfId="0" applyFont="1" applyFill="1" applyBorder="1"/>
    <xf numFmtId="0" fontId="167" fillId="23" borderId="143" xfId="0" applyFont="1" applyFill="1" applyBorder="1" applyAlignment="1">
      <alignment horizontal="left" vertical="top"/>
    </xf>
    <xf numFmtId="49" fontId="168" fillId="23" borderId="143" xfId="0" applyNumberFormat="1" applyFont="1" applyFill="1" applyBorder="1" applyAlignment="1">
      <alignment horizontal="left" vertical="top"/>
    </xf>
    <xf numFmtId="0" fontId="168" fillId="23" borderId="1" xfId="0" applyFont="1" applyFill="1" applyBorder="1" applyAlignment="1">
      <alignment horizontal="left" vertical="top"/>
    </xf>
    <xf numFmtId="0" fontId="121" fillId="23" borderId="1" xfId="0" applyFont="1" applyFill="1" applyBorder="1" applyAlignment="1">
      <alignment horizontal="center"/>
    </xf>
    <xf numFmtId="0" fontId="121" fillId="23" borderId="1" xfId="0" applyFont="1" applyFill="1" applyBorder="1"/>
    <xf numFmtId="49" fontId="121" fillId="23" borderId="1" xfId="0" applyNumberFormat="1" applyFont="1" applyFill="1" applyBorder="1" applyAlignment="1">
      <alignment horizontal="center"/>
    </xf>
    <xf numFmtId="0" fontId="121" fillId="7" borderId="1" xfId="0" applyFont="1" applyFill="1" applyBorder="1"/>
    <xf numFmtId="0" fontId="169" fillId="0" borderId="0" xfId="0" applyFont="1"/>
    <xf numFmtId="0" fontId="168" fillId="23" borderId="143" xfId="0" applyFont="1" applyFill="1" applyBorder="1" applyAlignment="1">
      <alignment horizontal="left" vertical="top"/>
    </xf>
    <xf numFmtId="0" fontId="122" fillId="23" borderId="1" xfId="0" applyFont="1" applyFill="1" applyBorder="1" applyAlignment="1">
      <alignment horizontal="center"/>
    </xf>
    <xf numFmtId="49" fontId="121" fillId="4" borderId="143" xfId="0" applyNumberFormat="1" applyFont="1" applyFill="1" applyBorder="1" applyAlignment="1">
      <alignment horizontal="left" vertical="center"/>
    </xf>
    <xf numFmtId="39" fontId="168" fillId="23" borderId="143" xfId="0" applyNumberFormat="1" applyFont="1" applyFill="1" applyBorder="1" applyAlignment="1">
      <alignment horizontal="left" vertical="top"/>
    </xf>
    <xf numFmtId="1" fontId="167" fillId="23" borderId="143" xfId="0" applyNumberFormat="1" applyFont="1" applyFill="1" applyBorder="1" applyAlignment="1">
      <alignment horizontal="left" vertical="top"/>
    </xf>
    <xf numFmtId="49" fontId="167" fillId="23" borderId="143" xfId="0" applyNumberFormat="1" applyFont="1" applyFill="1" applyBorder="1" applyAlignment="1">
      <alignment horizontal="left" vertical="top"/>
    </xf>
    <xf numFmtId="0" fontId="167" fillId="23" borderId="144" xfId="0" applyFont="1" applyFill="1" applyBorder="1" applyAlignment="1">
      <alignment horizontal="left" vertical="top"/>
    </xf>
    <xf numFmtId="49" fontId="168" fillId="23" borderId="144" xfId="0" applyNumberFormat="1" applyFont="1" applyFill="1" applyBorder="1" applyAlignment="1">
      <alignment horizontal="left" vertical="top"/>
    </xf>
    <xf numFmtId="0" fontId="168" fillId="23" borderId="142" xfId="0" applyFont="1" applyFill="1" applyBorder="1" applyAlignment="1">
      <alignment horizontal="left" vertical="top"/>
    </xf>
    <xf numFmtId="0" fontId="168" fillId="23" borderId="145" xfId="0" applyFont="1" applyFill="1" applyBorder="1" applyAlignment="1">
      <alignment horizontal="left" vertical="top"/>
    </xf>
    <xf numFmtId="0" fontId="168" fillId="23" borderId="144" xfId="0" applyFont="1" applyFill="1" applyBorder="1" applyAlignment="1">
      <alignment horizontal="left" vertical="top"/>
    </xf>
    <xf numFmtId="49" fontId="168" fillId="26" borderId="143" xfId="0" applyNumberFormat="1" applyFont="1" applyFill="1" applyBorder="1" applyAlignment="1">
      <alignment horizontal="left" vertical="top"/>
    </xf>
    <xf numFmtId="49" fontId="168" fillId="23" borderId="1" xfId="0" applyNumberFormat="1" applyFont="1" applyFill="1" applyBorder="1" applyAlignment="1">
      <alignment horizontal="left" vertical="top"/>
    </xf>
    <xf numFmtId="49" fontId="167" fillId="23" borderId="1" xfId="0" applyNumberFormat="1" applyFont="1" applyFill="1" applyBorder="1" applyAlignment="1">
      <alignment horizontal="left" vertical="top"/>
    </xf>
    <xf numFmtId="49" fontId="121" fillId="10" borderId="1" xfId="0" applyNumberFormat="1" applyFont="1" applyFill="1" applyBorder="1" applyAlignment="1">
      <alignment horizontal="left" vertical="top"/>
    </xf>
    <xf numFmtId="39" fontId="168" fillId="23" borderId="146" xfId="0" applyNumberFormat="1" applyFont="1" applyFill="1" applyBorder="1" applyAlignment="1">
      <alignment horizontal="left" vertical="top"/>
    </xf>
    <xf numFmtId="39" fontId="168" fillId="23" borderId="144" xfId="0" applyNumberFormat="1" applyFont="1" applyFill="1" applyBorder="1" applyAlignment="1">
      <alignment horizontal="left" vertical="top"/>
    </xf>
    <xf numFmtId="0" fontId="167" fillId="23" borderId="1" xfId="0" applyFont="1" applyFill="1" applyBorder="1" applyAlignment="1">
      <alignment horizontal="left" vertical="top"/>
    </xf>
    <xf numFmtId="39" fontId="168" fillId="23" borderId="1" xfId="0" applyNumberFormat="1" applyFont="1" applyFill="1" applyBorder="1" applyAlignment="1">
      <alignment horizontal="left" vertical="top"/>
    </xf>
    <xf numFmtId="0" fontId="172" fillId="23" borderId="143" xfId="0" applyFont="1" applyFill="1" applyBorder="1" applyAlignment="1">
      <alignment horizontal="left" vertical="top"/>
    </xf>
    <xf numFmtId="0" fontId="168" fillId="23" borderId="146" xfId="0" applyFont="1" applyFill="1" applyBorder="1" applyAlignment="1">
      <alignment horizontal="left" vertical="top"/>
    </xf>
    <xf numFmtId="0" fontId="173" fillId="28" borderId="143" xfId="0" applyFont="1" applyFill="1" applyBorder="1" applyAlignment="1">
      <alignment horizontal="left" vertical="top"/>
    </xf>
    <xf numFmtId="0" fontId="168" fillId="28" borderId="143" xfId="0" applyFont="1" applyFill="1" applyBorder="1" applyAlignment="1">
      <alignment horizontal="left" vertical="top"/>
    </xf>
    <xf numFmtId="0" fontId="167" fillId="4" borderId="143" xfId="0" applyFont="1" applyFill="1" applyBorder="1" applyAlignment="1">
      <alignment horizontal="left" vertical="top"/>
    </xf>
    <xf numFmtId="0" fontId="168" fillId="4" borderId="143" xfId="0" applyFont="1" applyFill="1" applyBorder="1" applyAlignment="1">
      <alignment horizontal="left" vertical="top"/>
    </xf>
    <xf numFmtId="0" fontId="168" fillId="4" borderId="1" xfId="0" applyFont="1" applyFill="1" applyBorder="1" applyAlignment="1">
      <alignment horizontal="left" vertical="top"/>
    </xf>
    <xf numFmtId="169" fontId="121" fillId="4" borderId="1" xfId="0" applyNumberFormat="1" applyFont="1" applyFill="1" applyBorder="1" applyAlignment="1">
      <alignment horizontal="center" vertical="top"/>
    </xf>
    <xf numFmtId="169" fontId="121" fillId="26" borderId="1" xfId="0" applyNumberFormat="1" applyFont="1" applyFill="1" applyBorder="1" applyAlignment="1">
      <alignment horizontal="center" vertical="top"/>
    </xf>
    <xf numFmtId="4" fontId="121" fillId="4" borderId="1" xfId="0" applyNumberFormat="1" applyFont="1" applyFill="1" applyBorder="1" applyAlignment="1">
      <alignment horizontal="center" vertical="top"/>
    </xf>
    <xf numFmtId="49" fontId="121" fillId="0" borderId="0" xfId="0" applyNumberFormat="1" applyFont="1" applyAlignment="1">
      <alignment horizontal="left" vertical="center"/>
    </xf>
    <xf numFmtId="181" fontId="121" fillId="0" borderId="0" xfId="0" applyNumberFormat="1" applyFont="1" applyAlignment="1">
      <alignment horizontal="right" vertical="center"/>
    </xf>
    <xf numFmtId="0" fontId="121" fillId="0" borderId="0" xfId="0" applyFont="1" applyAlignment="1">
      <alignment horizontal="left" vertical="top"/>
    </xf>
    <xf numFmtId="183" fontId="121" fillId="0" borderId="0" xfId="0" applyNumberFormat="1" applyFont="1" applyAlignment="1">
      <alignment horizontal="right" vertical="top"/>
    </xf>
    <xf numFmtId="1" fontId="167" fillId="23" borderId="147" xfId="0" applyNumberFormat="1" applyFont="1" applyFill="1" applyBorder="1" applyAlignment="1">
      <alignment horizontal="left" vertical="top"/>
    </xf>
    <xf numFmtId="49" fontId="168" fillId="23" borderId="147" xfId="0" applyNumberFormat="1" applyFont="1" applyFill="1" applyBorder="1" applyAlignment="1">
      <alignment horizontal="left" vertical="top"/>
    </xf>
    <xf numFmtId="49" fontId="167" fillId="23" borderId="147" xfId="0" applyNumberFormat="1" applyFont="1" applyFill="1" applyBorder="1" applyAlignment="1">
      <alignment horizontal="left" vertical="top"/>
    </xf>
    <xf numFmtId="1" fontId="167" fillId="4" borderId="143" xfId="0" applyNumberFormat="1" applyFont="1" applyFill="1" applyBorder="1" applyAlignment="1">
      <alignment horizontal="left" vertical="top"/>
    </xf>
    <xf numFmtId="0" fontId="168" fillId="23" borderId="147" xfId="0" applyFont="1" applyFill="1" applyBorder="1" applyAlignment="1">
      <alignment horizontal="left" vertical="top"/>
    </xf>
    <xf numFmtId="0" fontId="168" fillId="23" borderId="148" xfId="0" applyFont="1" applyFill="1" applyBorder="1" applyAlignment="1">
      <alignment horizontal="left" vertical="top"/>
    </xf>
    <xf numFmtId="0" fontId="168" fillId="23" borderId="149" xfId="0" applyFont="1" applyFill="1" applyBorder="1" applyAlignment="1">
      <alignment horizontal="left" vertical="top"/>
    </xf>
    <xf numFmtId="0" fontId="167" fillId="23" borderId="150" xfId="0" applyFont="1" applyFill="1" applyBorder="1" applyAlignment="1">
      <alignment horizontal="left" vertical="top"/>
    </xf>
    <xf numFmtId="39" fontId="168" fillId="23" borderId="149" xfId="0" applyNumberFormat="1" applyFont="1" applyFill="1" applyBorder="1" applyAlignment="1">
      <alignment horizontal="left" vertical="top"/>
    </xf>
    <xf numFmtId="39" fontId="168" fillId="23" borderId="147" xfId="0" applyNumberFormat="1" applyFont="1" applyFill="1" applyBorder="1" applyAlignment="1">
      <alignment horizontal="left" vertical="top"/>
    </xf>
    <xf numFmtId="0" fontId="167" fillId="23" borderId="147" xfId="0" applyFont="1" applyFill="1" applyBorder="1" applyAlignment="1">
      <alignment horizontal="left" vertical="top"/>
    </xf>
    <xf numFmtId="0" fontId="174" fillId="29" borderId="151" xfId="0" applyFont="1" applyFill="1" applyBorder="1"/>
    <xf numFmtId="0" fontId="174" fillId="29" borderId="152" xfId="0" applyFont="1" applyFill="1" applyBorder="1"/>
    <xf numFmtId="0" fontId="174" fillId="29" borderId="153" xfId="0" applyFont="1" applyFill="1" applyBorder="1"/>
    <xf numFmtId="3" fontId="175" fillId="29" borderId="154" xfId="0" applyNumberFormat="1" applyFont="1" applyFill="1" applyBorder="1" applyAlignment="1">
      <alignment horizontal="center"/>
    </xf>
    <xf numFmtId="3" fontId="175" fillId="29" borderId="0" xfId="0" applyNumberFormat="1" applyFont="1" applyFill="1" applyAlignment="1">
      <alignment horizontal="center"/>
    </xf>
    <xf numFmtId="3" fontId="175" fillId="29" borderId="155" xfId="0" applyNumberFormat="1" applyFont="1" applyFill="1" applyBorder="1" applyAlignment="1">
      <alignment horizontal="center"/>
    </xf>
    <xf numFmtId="3" fontId="175" fillId="29" borderId="156" xfId="0" applyNumberFormat="1" applyFont="1" applyFill="1" applyBorder="1" applyAlignment="1">
      <alignment horizontal="center"/>
    </xf>
    <xf numFmtId="3" fontId="175" fillId="29" borderId="157" xfId="0" applyNumberFormat="1" applyFont="1" applyFill="1" applyBorder="1" applyAlignment="1">
      <alignment horizontal="center"/>
    </xf>
    <xf numFmtId="3" fontId="175" fillId="29" borderId="158" xfId="0" applyNumberFormat="1" applyFont="1" applyFill="1" applyBorder="1" applyAlignment="1">
      <alignment horizontal="right"/>
    </xf>
    <xf numFmtId="3" fontId="175" fillId="29" borderId="158" xfId="0" applyNumberFormat="1" applyFont="1" applyFill="1" applyBorder="1" applyAlignment="1" applyProtection="1">
      <alignment horizontal="right"/>
      <protection locked="0"/>
    </xf>
    <xf numFmtId="3" fontId="175" fillId="29" borderId="154" xfId="0" applyNumberFormat="1" applyFont="1" applyFill="1" applyBorder="1"/>
    <xf numFmtId="3" fontId="175" fillId="29" borderId="0" xfId="0" applyNumberFormat="1" applyFont="1" applyFill="1"/>
    <xf numFmtId="3" fontId="175" fillId="29" borderId="155" xfId="0" applyNumberFormat="1" applyFont="1" applyFill="1" applyBorder="1"/>
    <xf numFmtId="3" fontId="175" fillId="29" borderId="154" xfId="0" applyNumberFormat="1" applyFont="1" applyFill="1" applyBorder="1" applyProtection="1">
      <protection locked="0"/>
    </xf>
    <xf numFmtId="3" fontId="175" fillId="29" borderId="155" xfId="0" applyNumberFormat="1" applyFont="1" applyFill="1" applyBorder="1" applyProtection="1">
      <protection locked="0"/>
    </xf>
    <xf numFmtId="3" fontId="174" fillId="29" borderId="159" xfId="0" applyNumberFormat="1" applyFont="1" applyFill="1" applyBorder="1"/>
    <xf numFmtId="3" fontId="174" fillId="29" borderId="160" xfId="0" applyNumberFormat="1" applyFont="1" applyFill="1" applyBorder="1"/>
    <xf numFmtId="3" fontId="174" fillId="29" borderId="161" xfId="0" applyNumberFormat="1" applyFont="1" applyFill="1" applyBorder="1"/>
    <xf numFmtId="0" fontId="175" fillId="29" borderId="154" xfId="0" applyFont="1" applyFill="1" applyBorder="1"/>
    <xf numFmtId="0" fontId="175" fillId="29" borderId="155" xfId="0" applyFont="1" applyFill="1" applyBorder="1"/>
    <xf numFmtId="3" fontId="175" fillId="29" borderId="162" xfId="0" applyNumberFormat="1" applyFont="1" applyFill="1" applyBorder="1"/>
    <xf numFmtId="3" fontId="175" fillId="29" borderId="163" xfId="0" applyNumberFormat="1" applyFont="1" applyFill="1" applyBorder="1"/>
    <xf numFmtId="3" fontId="175" fillId="29" borderId="164" xfId="0" applyNumberFormat="1" applyFont="1" applyFill="1" applyBorder="1"/>
    <xf numFmtId="3" fontId="175" fillId="29" borderId="162" xfId="0" applyNumberFormat="1" applyFont="1" applyFill="1" applyBorder="1" applyProtection="1">
      <protection locked="0"/>
    </xf>
    <xf numFmtId="3" fontId="175" fillId="29" borderId="164" xfId="0" applyNumberFormat="1" applyFont="1" applyFill="1" applyBorder="1" applyProtection="1">
      <protection locked="0"/>
    </xf>
    <xf numFmtId="3" fontId="175" fillId="29" borderId="159" xfId="0" applyNumberFormat="1" applyFont="1" applyFill="1" applyBorder="1"/>
    <xf numFmtId="3" fontId="175" fillId="29" borderId="160" xfId="0" applyNumberFormat="1" applyFont="1" applyFill="1" applyBorder="1"/>
    <xf numFmtId="3" fontId="175" fillId="29" borderId="161" xfId="0" applyNumberFormat="1" applyFont="1" applyFill="1" applyBorder="1"/>
    <xf numFmtId="0" fontId="175" fillId="29" borderId="0" xfId="0" applyFont="1" applyFill="1"/>
    <xf numFmtId="37" fontId="175" fillId="29" borderId="155" xfId="0" applyNumberFormat="1" applyFont="1" applyFill="1" applyBorder="1"/>
    <xf numFmtId="37" fontId="174" fillId="30" borderId="165" xfId="0" applyNumberFormat="1" applyFont="1" applyFill="1" applyBorder="1"/>
    <xf numFmtId="174" fontId="174" fillId="30" borderId="166" xfId="0" applyNumberFormat="1" applyFont="1" applyFill="1" applyBorder="1"/>
    <xf numFmtId="37" fontId="174" fillId="30" borderId="167" xfId="0" applyNumberFormat="1" applyFont="1" applyFill="1" applyBorder="1"/>
    <xf numFmtId="0" fontId="174" fillId="30" borderId="168" xfId="0" applyFont="1" applyFill="1" applyBorder="1"/>
    <xf numFmtId="0" fontId="174" fillId="30" borderId="169" xfId="0" applyFont="1" applyFill="1" applyBorder="1"/>
    <xf numFmtId="0" fontId="174" fillId="30" borderId="170" xfId="0" applyFont="1" applyFill="1" applyBorder="1"/>
    <xf numFmtId="0" fontId="174" fillId="31" borderId="154" xfId="0" applyFont="1" applyFill="1" applyBorder="1"/>
    <xf numFmtId="0" fontId="174" fillId="31" borderId="0" xfId="0" applyFont="1" applyFill="1"/>
    <xf numFmtId="0" fontId="174" fillId="31" borderId="155" xfId="0" applyFont="1" applyFill="1" applyBorder="1"/>
    <xf numFmtId="0" fontId="175" fillId="29" borderId="0" xfId="0" applyFont="1" applyFill="1" applyAlignment="1">
      <alignment horizontal="center"/>
    </xf>
    <xf numFmtId="9" fontId="175" fillId="29" borderId="154" xfId="2" applyFont="1" applyFill="1" applyBorder="1"/>
    <xf numFmtId="37" fontId="175" fillId="29" borderId="0" xfId="0" applyNumberFormat="1" applyFont="1" applyFill="1"/>
    <xf numFmtId="37" fontId="175" fillId="29" borderId="155" xfId="0" applyNumberFormat="1" applyFont="1" applyFill="1" applyBorder="1" applyProtection="1">
      <protection locked="0"/>
    </xf>
    <xf numFmtId="9" fontId="175" fillId="29" borderId="156" xfId="2" applyFont="1" applyFill="1" applyBorder="1"/>
    <xf numFmtId="37" fontId="175" fillId="29" borderId="157" xfId="0" applyNumberFormat="1" applyFont="1" applyFill="1" applyBorder="1"/>
    <xf numFmtId="37" fontId="175" fillId="29" borderId="158" xfId="0" applyNumberFormat="1" applyFont="1" applyFill="1" applyBorder="1"/>
    <xf numFmtId="37" fontId="175" fillId="29" borderId="158" xfId="0" applyNumberFormat="1" applyFont="1" applyFill="1" applyBorder="1" applyProtection="1">
      <protection locked="0"/>
    </xf>
    <xf numFmtId="0" fontId="175" fillId="29" borderId="156" xfId="0" applyFont="1" applyFill="1" applyBorder="1"/>
    <xf numFmtId="0" fontId="174" fillId="30" borderId="171" xfId="0" applyFont="1" applyFill="1" applyBorder="1" applyAlignment="1">
      <alignment horizontal="center"/>
    </xf>
    <xf numFmtId="175" fontId="174" fillId="30" borderId="172" xfId="0" applyNumberFormat="1" applyFont="1" applyFill="1" applyBorder="1"/>
    <xf numFmtId="37" fontId="174" fillId="30" borderId="173" xfId="0" applyNumberFormat="1" applyFont="1" applyFill="1" applyBorder="1"/>
    <xf numFmtId="0" fontId="175" fillId="29" borderId="159" xfId="0" applyFont="1" applyFill="1" applyBorder="1"/>
    <xf numFmtId="0" fontId="175" fillId="29" borderId="160" xfId="0" applyFont="1" applyFill="1" applyBorder="1"/>
    <xf numFmtId="37" fontId="175" fillId="29" borderId="161" xfId="0" applyNumberFormat="1" applyFont="1" applyFill="1" applyBorder="1"/>
    <xf numFmtId="37" fontId="175" fillId="29" borderId="161" xfId="0" applyNumberFormat="1" applyFont="1" applyFill="1" applyBorder="1" applyProtection="1">
      <protection locked="0"/>
    </xf>
    <xf numFmtId="0" fontId="175" fillId="29" borderId="157" xfId="0" applyFont="1" applyFill="1" applyBorder="1"/>
    <xf numFmtId="0" fontId="175" fillId="29" borderId="162" xfId="0" applyFont="1" applyFill="1" applyBorder="1"/>
    <xf numFmtId="0" fontId="175" fillId="29" borderId="163" xfId="0" applyFont="1" applyFill="1" applyBorder="1"/>
    <xf numFmtId="37" fontId="175" fillId="29" borderId="164" xfId="0" applyNumberFormat="1" applyFont="1" applyFill="1" applyBorder="1"/>
    <xf numFmtId="37" fontId="175" fillId="29" borderId="164" xfId="0" applyNumberFormat="1" applyFont="1" applyFill="1" applyBorder="1" applyProtection="1">
      <protection locked="0"/>
    </xf>
    <xf numFmtId="37" fontId="174" fillId="30" borderId="174" xfId="0" applyNumberFormat="1" applyFont="1" applyFill="1" applyBorder="1"/>
    <xf numFmtId="0" fontId="174" fillId="30" borderId="175" xfId="0" applyFont="1" applyFill="1" applyBorder="1" applyAlignment="1">
      <alignment horizontal="center"/>
    </xf>
    <xf numFmtId="175" fontId="174" fillId="30" borderId="176" xfId="0" applyNumberFormat="1" applyFont="1" applyFill="1" applyBorder="1"/>
    <xf numFmtId="37" fontId="174" fillId="30" borderId="177" xfId="0" applyNumberFormat="1" applyFont="1" applyFill="1" applyBorder="1"/>
    <xf numFmtId="0" fontId="175" fillId="31" borderId="156" xfId="0" applyFont="1" applyFill="1" applyBorder="1"/>
    <xf numFmtId="0" fontId="175" fillId="31" borderId="157" xfId="0" applyFont="1" applyFill="1" applyBorder="1"/>
    <xf numFmtId="37" fontId="174" fillId="31" borderId="155" xfId="0" applyNumberFormat="1" applyFont="1" applyFill="1" applyBorder="1"/>
    <xf numFmtId="0" fontId="175" fillId="30" borderId="178" xfId="0" applyFont="1" applyFill="1" applyBorder="1"/>
    <xf numFmtId="0" fontId="175" fillId="30" borderId="179" xfId="0" applyFont="1" applyFill="1" applyBorder="1"/>
    <xf numFmtId="37" fontId="174" fillId="30" borderId="180" xfId="0" applyNumberFormat="1" applyFont="1" applyFill="1" applyBorder="1"/>
    <xf numFmtId="0" fontId="176" fillId="29" borderId="0" xfId="0" applyFont="1" applyFill="1"/>
    <xf numFmtId="37" fontId="176" fillId="29" borderId="0" xfId="0" applyNumberFormat="1" applyFont="1" applyFill="1"/>
    <xf numFmtId="0" fontId="177" fillId="29" borderId="0" xfId="0" applyFont="1" applyFill="1"/>
    <xf numFmtId="0" fontId="178" fillId="29" borderId="0" xfId="0" applyFont="1" applyFill="1"/>
    <xf numFmtId="0" fontId="175" fillId="29" borderId="154" xfId="0" applyFont="1" applyFill="1" applyBorder="1" applyAlignment="1">
      <alignment horizontal="center"/>
    </xf>
    <xf numFmtId="0" fontId="175" fillId="29" borderId="155" xfId="0" applyFont="1" applyFill="1" applyBorder="1" applyAlignment="1">
      <alignment horizontal="center"/>
    </xf>
    <xf numFmtId="3" fontId="175" fillId="29" borderId="158" xfId="0" applyNumberFormat="1" applyFont="1" applyFill="1" applyBorder="1" applyAlignment="1" applyProtection="1">
      <alignment horizontal="center"/>
      <protection locked="0"/>
    </xf>
    <xf numFmtId="3" fontId="175" fillId="29" borderId="156" xfId="0" applyNumberFormat="1" applyFont="1" applyFill="1" applyBorder="1"/>
    <xf numFmtId="3" fontId="175" fillId="29" borderId="157" xfId="0" applyNumberFormat="1" applyFont="1" applyFill="1" applyBorder="1"/>
    <xf numFmtId="3" fontId="175" fillId="29" borderId="158" xfId="0" applyNumberFormat="1" applyFont="1" applyFill="1" applyBorder="1"/>
    <xf numFmtId="0" fontId="174" fillId="29" borderId="154" xfId="0" applyFont="1" applyFill="1" applyBorder="1"/>
    <xf numFmtId="0" fontId="174" fillId="29" borderId="0" xfId="0" applyFont="1" applyFill="1"/>
    <xf numFmtId="0" fontId="174" fillId="29" borderId="155" xfId="0" applyFont="1" applyFill="1" applyBorder="1"/>
    <xf numFmtId="0" fontId="175" fillId="29" borderId="154" xfId="0" applyFont="1" applyFill="1" applyBorder="1" applyAlignment="1">
      <alignment horizontal="right"/>
    </xf>
    <xf numFmtId="175" fontId="175" fillId="29" borderId="0" xfId="0" applyNumberFormat="1" applyFont="1" applyFill="1"/>
    <xf numFmtId="0" fontId="174" fillId="30" borderId="181" xfId="0" applyFont="1" applyFill="1" applyBorder="1" applyAlignment="1">
      <alignment horizontal="center"/>
    </xf>
    <xf numFmtId="175" fontId="174" fillId="30" borderId="182" xfId="0" applyNumberFormat="1" applyFont="1" applyFill="1" applyBorder="1"/>
    <xf numFmtId="0" fontId="174" fillId="30" borderId="178" xfId="0" applyFont="1" applyFill="1" applyBorder="1"/>
    <xf numFmtId="0" fontId="174" fillId="30" borderId="179" xfId="0" applyFont="1" applyFill="1" applyBorder="1"/>
    <xf numFmtId="37" fontId="177" fillId="29" borderId="0" xfId="0" applyNumberFormat="1" applyFont="1" applyFill="1"/>
    <xf numFmtId="37" fontId="175" fillId="29" borderId="154" xfId="0" applyNumberFormat="1" applyFont="1" applyFill="1" applyBorder="1"/>
    <xf numFmtId="37" fontId="175" fillId="29" borderId="154" xfId="0" applyNumberFormat="1" applyFont="1" applyFill="1" applyBorder="1" applyProtection="1">
      <protection locked="0"/>
    </xf>
    <xf numFmtId="37" fontId="175" fillId="29" borderId="0" xfId="0" applyNumberFormat="1" applyFont="1" applyFill="1" applyProtection="1">
      <protection locked="0"/>
    </xf>
    <xf numFmtId="175" fontId="175" fillId="29" borderId="155" xfId="0" applyNumberFormat="1" applyFont="1" applyFill="1" applyBorder="1"/>
    <xf numFmtId="37" fontId="175" fillId="29" borderId="156" xfId="0" applyNumberFormat="1" applyFont="1" applyFill="1" applyBorder="1"/>
    <xf numFmtId="2" fontId="175" fillId="29" borderId="157" xfId="0" applyNumberFormat="1" applyFont="1" applyFill="1" applyBorder="1"/>
    <xf numFmtId="175" fontId="175" fillId="29" borderId="158" xfId="0" applyNumberFormat="1" applyFont="1" applyFill="1" applyBorder="1"/>
    <xf numFmtId="37" fontId="175" fillId="29" borderId="159" xfId="0" applyNumberFormat="1" applyFont="1" applyFill="1" applyBorder="1"/>
    <xf numFmtId="37" fontId="175" fillId="29" borderId="160" xfId="0" applyNumberFormat="1" applyFont="1" applyFill="1" applyBorder="1"/>
    <xf numFmtId="37" fontId="175" fillId="29" borderId="159" xfId="0" applyNumberFormat="1" applyFont="1" applyFill="1" applyBorder="1" applyProtection="1">
      <protection locked="0"/>
    </xf>
    <xf numFmtId="37" fontId="175" fillId="29" borderId="160" xfId="0" applyNumberFormat="1" applyFont="1" applyFill="1" applyBorder="1" applyProtection="1">
      <protection locked="0"/>
    </xf>
    <xf numFmtId="174" fontId="175" fillId="29" borderId="0" xfId="0" applyNumberFormat="1" applyFont="1" applyFill="1"/>
    <xf numFmtId="176" fontId="175" fillId="29" borderId="0" xfId="0" applyNumberFormat="1" applyFont="1" applyFill="1"/>
    <xf numFmtId="37" fontId="174" fillId="29" borderId="154" xfId="0" applyNumberFormat="1" applyFont="1" applyFill="1" applyBorder="1"/>
    <xf numFmtId="174" fontId="174" fillId="29" borderId="0" xfId="0" applyNumberFormat="1" applyFont="1" applyFill="1"/>
    <xf numFmtId="37" fontId="174" fillId="29" borderId="156" xfId="0" applyNumberFormat="1" applyFont="1" applyFill="1" applyBorder="1"/>
    <xf numFmtId="176" fontId="175" fillId="29" borderId="157" xfId="0" applyNumberFormat="1" applyFont="1" applyFill="1" applyBorder="1"/>
    <xf numFmtId="37" fontId="174" fillId="31" borderId="165" xfId="0" applyNumberFormat="1" applyFont="1" applyFill="1" applyBorder="1"/>
    <xf numFmtId="37" fontId="174" fillId="31" borderId="166" xfId="0" applyNumberFormat="1" applyFont="1" applyFill="1" applyBorder="1"/>
    <xf numFmtId="37" fontId="174" fillId="31" borderId="167" xfId="0" applyNumberFormat="1" applyFont="1" applyFill="1" applyBorder="1"/>
    <xf numFmtId="37" fontId="174" fillId="31" borderId="156" xfId="0" applyNumberFormat="1" applyFont="1" applyFill="1" applyBorder="1"/>
    <xf numFmtId="39" fontId="174" fillId="31" borderId="157" xfId="0" applyNumberFormat="1" applyFont="1" applyFill="1" applyBorder="1"/>
    <xf numFmtId="175" fontId="174" fillId="29" borderId="155" xfId="0" applyNumberFormat="1" applyFont="1" applyFill="1" applyBorder="1"/>
    <xf numFmtId="37" fontId="175" fillId="29" borderId="183" xfId="0" applyNumberFormat="1" applyFont="1" applyFill="1" applyBorder="1"/>
    <xf numFmtId="174" fontId="175" fillId="29" borderId="0" xfId="0" applyNumberFormat="1" applyFont="1" applyFill="1" applyProtection="1">
      <protection locked="0"/>
    </xf>
    <xf numFmtId="174" fontId="175" fillId="29" borderId="160" xfId="0" applyNumberFormat="1" applyFont="1" applyFill="1" applyBorder="1"/>
    <xf numFmtId="174" fontId="175" fillId="29" borderId="160" xfId="0" applyNumberFormat="1" applyFont="1" applyFill="1" applyBorder="1" applyProtection="1">
      <protection locked="0"/>
    </xf>
    <xf numFmtId="174" fontId="175" fillId="29" borderId="157" xfId="0" applyNumberFormat="1" applyFont="1" applyFill="1" applyBorder="1"/>
    <xf numFmtId="37" fontId="174" fillId="31" borderId="159" xfId="0" applyNumberFormat="1" applyFont="1" applyFill="1" applyBorder="1"/>
    <xf numFmtId="174" fontId="174" fillId="31" borderId="160" xfId="0" applyNumberFormat="1" applyFont="1" applyFill="1" applyBorder="1"/>
    <xf numFmtId="37" fontId="174" fillId="31" borderId="161" xfId="0" applyNumberFormat="1" applyFont="1" applyFill="1" applyBorder="1"/>
    <xf numFmtId="37" fontId="174" fillId="30" borderId="166" xfId="0" applyNumberFormat="1" applyFont="1" applyFill="1" applyBorder="1"/>
    <xf numFmtId="175" fontId="174" fillId="30" borderId="170" xfId="0" applyNumberFormat="1" applyFont="1" applyFill="1" applyBorder="1"/>
    <xf numFmtId="175" fontId="174" fillId="31" borderId="155" xfId="0" applyNumberFormat="1" applyFont="1" applyFill="1" applyBorder="1"/>
    <xf numFmtId="37" fontId="174" fillId="29" borderId="159" xfId="0" applyNumberFormat="1" applyFont="1" applyFill="1" applyBorder="1"/>
    <xf numFmtId="175" fontId="174" fillId="29" borderId="160" xfId="0" applyNumberFormat="1" applyFont="1" applyFill="1" applyBorder="1"/>
    <xf numFmtId="37" fontId="174" fillId="29" borderId="161" xfId="0" applyNumberFormat="1" applyFont="1" applyFill="1" applyBorder="1"/>
    <xf numFmtId="0" fontId="175" fillId="29" borderId="158" xfId="0" applyFont="1" applyFill="1" applyBorder="1"/>
    <xf numFmtId="175" fontId="175" fillId="29" borderId="0" xfId="2" applyNumberFormat="1" applyFont="1" applyFill="1"/>
    <xf numFmtId="37" fontId="175" fillId="29" borderId="162" xfId="0" applyNumberFormat="1" applyFont="1" applyFill="1" applyBorder="1"/>
    <xf numFmtId="175" fontId="175" fillId="29" borderId="163" xfId="0" applyNumberFormat="1" applyFont="1" applyFill="1" applyBorder="1"/>
    <xf numFmtId="37" fontId="175" fillId="29" borderId="162" xfId="0" applyNumberFormat="1" applyFont="1" applyFill="1" applyBorder="1" applyProtection="1">
      <protection locked="0"/>
    </xf>
    <xf numFmtId="175" fontId="174" fillId="30" borderId="166" xfId="0" applyNumberFormat="1" applyFont="1" applyFill="1" applyBorder="1"/>
    <xf numFmtId="37" fontId="174" fillId="30" borderId="184" xfId="0" applyNumberFormat="1" applyFont="1" applyFill="1" applyBorder="1"/>
    <xf numFmtId="174" fontId="174" fillId="30" borderId="185" xfId="0" applyNumberFormat="1" applyFont="1" applyFill="1" applyBorder="1"/>
    <xf numFmtId="37" fontId="174" fillId="30" borderId="186" xfId="0" applyNumberFormat="1" applyFont="1" applyFill="1" applyBorder="1"/>
    <xf numFmtId="37" fontId="174" fillId="31" borderId="154" xfId="0" applyNumberFormat="1" applyFont="1" applyFill="1" applyBorder="1"/>
    <xf numFmtId="174" fontId="174" fillId="31" borderId="0" xfId="0" applyNumberFormat="1" applyFont="1" applyFill="1"/>
    <xf numFmtId="37" fontId="174" fillId="29" borderId="0" xfId="0" applyNumberFormat="1" applyFont="1" applyFill="1"/>
    <xf numFmtId="0" fontId="175" fillId="30" borderId="187" xfId="0" applyFont="1" applyFill="1" applyBorder="1"/>
    <xf numFmtId="0" fontId="175" fillId="30" borderId="188" xfId="0" applyFont="1" applyFill="1" applyBorder="1"/>
    <xf numFmtId="37" fontId="174" fillId="30" borderId="189" xfId="0" applyNumberFormat="1" applyFont="1" applyFill="1" applyBorder="1"/>
    <xf numFmtId="37" fontId="178" fillId="29" borderId="0" xfId="0" applyNumberFormat="1" applyFont="1" applyFill="1"/>
    <xf numFmtId="0" fontId="177" fillId="29" borderId="0" xfId="0" applyFont="1" applyFill="1" applyAlignment="1">
      <alignment horizontal="center"/>
    </xf>
    <xf numFmtId="0" fontId="177" fillId="29" borderId="169" xfId="0" applyFont="1" applyFill="1" applyBorder="1" applyAlignment="1">
      <alignment horizontal="center"/>
    </xf>
    <xf numFmtId="37" fontId="177" fillId="29" borderId="169" xfId="0" applyNumberFormat="1" applyFont="1" applyFill="1" applyBorder="1" applyAlignment="1">
      <alignment horizontal="center"/>
    </xf>
    <xf numFmtId="0" fontId="175" fillId="29" borderId="190" xfId="0" applyFont="1" applyFill="1" applyBorder="1" applyAlignment="1">
      <alignment horizontal="center"/>
    </xf>
    <xf numFmtId="0" fontId="175" fillId="29" borderId="157" xfId="0" applyFont="1" applyFill="1" applyBorder="1" applyAlignment="1">
      <alignment horizontal="center"/>
    </xf>
    <xf numFmtId="0" fontId="175" fillId="29" borderId="191" xfId="0" applyFont="1" applyFill="1" applyBorder="1" applyAlignment="1">
      <alignment horizontal="center"/>
    </xf>
    <xf numFmtId="37" fontId="179" fillId="29" borderId="190" xfId="0" applyNumberFormat="1" applyFont="1" applyFill="1" applyBorder="1"/>
    <xf numFmtId="37" fontId="179" fillId="29" borderId="157" xfId="0" applyNumberFormat="1" applyFont="1" applyFill="1" applyBorder="1"/>
    <xf numFmtId="37" fontId="179" fillId="29" borderId="191" xfId="0" applyNumberFormat="1" applyFont="1" applyFill="1" applyBorder="1"/>
    <xf numFmtId="37" fontId="180" fillId="30" borderId="190" xfId="0" applyNumberFormat="1" applyFont="1" applyFill="1" applyBorder="1"/>
    <xf numFmtId="37" fontId="180" fillId="30" borderId="157" xfId="0" applyNumberFormat="1" applyFont="1" applyFill="1" applyBorder="1"/>
    <xf numFmtId="37" fontId="180" fillId="30" borderId="191" xfId="0" applyNumberFormat="1" applyFont="1" applyFill="1" applyBorder="1"/>
    <xf numFmtId="37" fontId="179" fillId="29" borderId="192" xfId="0" applyNumberFormat="1" applyFont="1" applyFill="1" applyBorder="1"/>
    <xf numFmtId="0" fontId="179" fillId="29" borderId="0" xfId="0" applyFont="1" applyFill="1"/>
    <xf numFmtId="37" fontId="179" fillId="29" borderId="193" xfId="0" applyNumberFormat="1" applyFont="1" applyFill="1" applyBorder="1"/>
    <xf numFmtId="175" fontId="179" fillId="29" borderId="192" xfId="2" applyNumberFormat="1" applyFont="1" applyFill="1" applyBorder="1"/>
    <xf numFmtId="174" fontId="179" fillId="29" borderId="0" xfId="0" applyNumberFormat="1" applyFont="1" applyFill="1"/>
    <xf numFmtId="0" fontId="179" fillId="29" borderId="192" xfId="0" applyFont="1" applyFill="1" applyBorder="1"/>
    <xf numFmtId="175" fontId="179" fillId="29" borderId="190" xfId="2" applyNumberFormat="1" applyFont="1" applyFill="1" applyBorder="1"/>
    <xf numFmtId="174" fontId="179" fillId="29" borderId="157" xfId="0" applyNumberFormat="1" applyFont="1" applyFill="1" applyBorder="1"/>
    <xf numFmtId="0" fontId="179" fillId="29" borderId="190" xfId="0" applyFont="1" applyFill="1" applyBorder="1"/>
    <xf numFmtId="175" fontId="180" fillId="30" borderId="194" xfId="0" applyNumberFormat="1" applyFont="1" applyFill="1" applyBorder="1"/>
    <xf numFmtId="172" fontId="180" fillId="30" borderId="172" xfId="1" applyNumberFormat="1" applyFont="1" applyFill="1" applyBorder="1"/>
    <xf numFmtId="37" fontId="180" fillId="30" borderId="195" xfId="0" applyNumberFormat="1" applyFont="1" applyFill="1" applyBorder="1"/>
    <xf numFmtId="0" fontId="180" fillId="30" borderId="172" xfId="0" applyFont="1" applyFill="1" applyBorder="1"/>
    <xf numFmtId="37" fontId="179" fillId="29" borderId="193" xfId="0" applyNumberFormat="1" applyFont="1" applyFill="1" applyBorder="1" applyProtection="1">
      <protection locked="0"/>
    </xf>
    <xf numFmtId="175" fontId="179" fillId="29" borderId="157" xfId="2" applyNumberFormat="1" applyFont="1" applyFill="1" applyBorder="1"/>
    <xf numFmtId="175" fontId="179" fillId="29" borderId="0" xfId="2" applyNumberFormat="1" applyFont="1" applyFill="1"/>
    <xf numFmtId="174" fontId="180" fillId="30" borderId="172" xfId="0" applyNumberFormat="1" applyFont="1" applyFill="1" applyBorder="1"/>
    <xf numFmtId="0" fontId="179" fillId="29" borderId="196" xfId="0" applyFont="1" applyFill="1" applyBorder="1"/>
    <xf numFmtId="174" fontId="179" fillId="29" borderId="160" xfId="0" applyNumberFormat="1" applyFont="1" applyFill="1" applyBorder="1"/>
    <xf numFmtId="37" fontId="179" fillId="29" borderId="197" xfId="0" applyNumberFormat="1" applyFont="1" applyFill="1" applyBorder="1"/>
    <xf numFmtId="0" fontId="179" fillId="29" borderId="198" xfId="0" applyFont="1" applyFill="1" applyBorder="1"/>
    <xf numFmtId="174" fontId="179" fillId="29" borderId="163" xfId="0" applyNumberFormat="1" applyFont="1" applyFill="1" applyBorder="1"/>
    <xf numFmtId="37" fontId="179" fillId="29" borderId="199" xfId="0" applyNumberFormat="1" applyFont="1" applyFill="1" applyBorder="1"/>
    <xf numFmtId="0" fontId="179" fillId="29" borderId="200" xfId="0" applyFont="1" applyFill="1" applyBorder="1"/>
    <xf numFmtId="174" fontId="179" fillId="29" borderId="201" xfId="0" applyNumberFormat="1" applyFont="1" applyFill="1" applyBorder="1"/>
    <xf numFmtId="37" fontId="179" fillId="29" borderId="191" xfId="0" applyNumberFormat="1" applyFont="1" applyFill="1" applyBorder="1" applyProtection="1">
      <protection locked="0"/>
    </xf>
    <xf numFmtId="0" fontId="181" fillId="29" borderId="192" xfId="0" applyFont="1" applyFill="1" applyBorder="1"/>
    <xf numFmtId="0" fontId="181" fillId="29" borderId="0" xfId="0" applyFont="1" applyFill="1"/>
    <xf numFmtId="37" fontId="181" fillId="29" borderId="193" xfId="0" applyNumberFormat="1" applyFont="1" applyFill="1" applyBorder="1"/>
    <xf numFmtId="175" fontId="180" fillId="29" borderId="196" xfId="0" applyNumberFormat="1" applyFont="1" applyFill="1" applyBorder="1"/>
    <xf numFmtId="0" fontId="180" fillId="29" borderId="160" xfId="0" applyFont="1" applyFill="1" applyBorder="1"/>
    <xf numFmtId="37" fontId="179" fillId="31" borderId="197" xfId="0" applyNumberFormat="1" applyFont="1" applyFill="1" applyBorder="1"/>
    <xf numFmtId="175" fontId="180" fillId="29" borderId="192" xfId="0" applyNumberFormat="1" applyFont="1" applyFill="1" applyBorder="1"/>
    <xf numFmtId="0" fontId="180" fillId="29" borderId="0" xfId="0" applyFont="1" applyFill="1"/>
    <xf numFmtId="175" fontId="180" fillId="29" borderId="190" xfId="0" applyNumberFormat="1" applyFont="1" applyFill="1" applyBorder="1"/>
    <xf numFmtId="0" fontId="179" fillId="30" borderId="172" xfId="0" applyFont="1" applyFill="1" applyBorder="1"/>
    <xf numFmtId="0" fontId="182" fillId="31" borderId="196" xfId="0" applyFont="1" applyFill="1" applyBorder="1"/>
    <xf numFmtId="0" fontId="181" fillId="31" borderId="160" xfId="0" applyFont="1" applyFill="1" applyBorder="1"/>
    <xf numFmtId="37" fontId="181" fillId="31" borderId="197" xfId="0" applyNumberFormat="1" applyFont="1" applyFill="1" applyBorder="1"/>
    <xf numFmtId="0" fontId="180" fillId="30" borderId="202" xfId="0" applyFont="1" applyFill="1" applyBorder="1" applyAlignment="1">
      <alignment horizontal="center"/>
    </xf>
    <xf numFmtId="175" fontId="180" fillId="30" borderId="203" xfId="0" applyNumberFormat="1" applyFont="1" applyFill="1" applyBorder="1"/>
    <xf numFmtId="37" fontId="180" fillId="30" borderId="204" xfId="0" applyNumberFormat="1" applyFont="1" applyFill="1" applyBorder="1"/>
    <xf numFmtId="0" fontId="180" fillId="30" borderId="205" xfId="0" applyFont="1" applyFill="1" applyBorder="1" applyAlignment="1">
      <alignment horizontal="center"/>
    </xf>
    <xf numFmtId="175" fontId="180" fillId="30" borderId="188" xfId="0" applyNumberFormat="1" applyFont="1" applyFill="1" applyBorder="1"/>
    <xf numFmtId="37" fontId="180" fillId="30" borderId="206" xfId="0" applyNumberFormat="1" applyFont="1" applyFill="1" applyBorder="1"/>
    <xf numFmtId="39" fontId="179" fillId="29" borderId="0" xfId="0" applyNumberFormat="1" applyFont="1" applyFill="1"/>
    <xf numFmtId="0" fontId="180" fillId="30" borderId="207" xfId="0" applyFont="1" applyFill="1" applyBorder="1" applyAlignment="1">
      <alignment horizontal="center"/>
    </xf>
    <xf numFmtId="175" fontId="180" fillId="30" borderId="207" xfId="0" applyNumberFormat="1" applyFont="1" applyFill="1" applyBorder="1"/>
    <xf numFmtId="37" fontId="180" fillId="30" borderId="207" xfId="0" applyNumberFormat="1" applyFont="1" applyFill="1" applyBorder="1"/>
    <xf numFmtId="0" fontId="180" fillId="30" borderId="208" xfId="0" applyFont="1" applyFill="1" applyBorder="1" applyAlignment="1">
      <alignment horizontal="center"/>
    </xf>
    <xf numFmtId="37" fontId="180" fillId="30" borderId="209" xfId="0" applyNumberFormat="1" applyFont="1" applyFill="1" applyBorder="1"/>
    <xf numFmtId="0" fontId="183" fillId="29" borderId="0" xfId="0" applyFont="1" applyFill="1"/>
    <xf numFmtId="0" fontId="183" fillId="29" borderId="192" xfId="0" applyFont="1" applyFill="1" applyBorder="1"/>
    <xf numFmtId="0" fontId="183" fillId="29" borderId="193" xfId="0" applyFont="1" applyFill="1" applyBorder="1"/>
    <xf numFmtId="37" fontId="179" fillId="29" borderId="0" xfId="0" applyNumberFormat="1" applyFont="1" applyFill="1"/>
    <xf numFmtId="0" fontId="177" fillId="29" borderId="192" xfId="0" applyFont="1" applyFill="1" applyBorder="1"/>
    <xf numFmtId="0" fontId="175" fillId="29" borderId="192" xfId="0" applyFont="1" applyFill="1" applyBorder="1"/>
    <xf numFmtId="0" fontId="174" fillId="29" borderId="192" xfId="0" applyFont="1" applyFill="1" applyBorder="1"/>
    <xf numFmtId="0" fontId="180" fillId="30" borderId="210" xfId="0" applyFont="1" applyFill="1" applyBorder="1" applyAlignment="1">
      <alignment horizontal="center"/>
    </xf>
    <xf numFmtId="175" fontId="180" fillId="30" borderId="210" xfId="0" applyNumberFormat="1" applyFont="1" applyFill="1" applyBorder="1"/>
    <xf numFmtId="37" fontId="180" fillId="30" borderId="210" xfId="0" applyNumberFormat="1" applyFont="1" applyFill="1" applyBorder="1"/>
    <xf numFmtId="0" fontId="180" fillId="30" borderId="211" xfId="0" applyFont="1" applyFill="1" applyBorder="1" applyAlignment="1">
      <alignment horizontal="center"/>
    </xf>
    <xf numFmtId="37" fontId="180" fillId="30" borderId="212" xfId="0" applyNumberFormat="1" applyFont="1" applyFill="1" applyBorder="1"/>
    <xf numFmtId="0" fontId="152" fillId="32" borderId="1" xfId="0" applyFont="1" applyFill="1" applyBorder="1"/>
    <xf numFmtId="0" fontId="152" fillId="32" borderId="1" xfId="0" applyFont="1" applyFill="1" applyBorder="1" applyAlignment="1">
      <alignment horizontal="center" vertical="center"/>
    </xf>
    <xf numFmtId="0" fontId="152" fillId="32" borderId="1" xfId="0" applyFont="1" applyFill="1" applyBorder="1" applyAlignment="1">
      <alignment horizontal="right"/>
    </xf>
    <xf numFmtId="175" fontId="124" fillId="3" borderId="13" xfId="2" applyNumberFormat="1" applyFont="1" applyFill="1" applyBorder="1"/>
    <xf numFmtId="3" fontId="131" fillId="0" borderId="95" xfId="0" applyNumberFormat="1" applyFont="1" applyBorder="1"/>
    <xf numFmtId="3" fontId="131" fillId="0" borderId="21" xfId="0" applyNumberFormat="1" applyFont="1" applyBorder="1"/>
    <xf numFmtId="175" fontId="124" fillId="3" borderId="36" xfId="2" applyNumberFormat="1" applyFont="1" applyFill="1" applyBorder="1"/>
    <xf numFmtId="0" fontId="152" fillId="32" borderId="1" xfId="0" applyFont="1" applyFill="1" applyBorder="1" applyAlignment="1">
      <alignment vertical="center"/>
    </xf>
    <xf numFmtId="0" fontId="125" fillId="0" borderId="1" xfId="0" applyFont="1" applyBorder="1" applyAlignment="1">
      <alignment horizontal="right" vertical="center"/>
    </xf>
    <xf numFmtId="0" fontId="125" fillId="0" borderId="1" xfId="0" applyFont="1" applyBorder="1" applyAlignment="1">
      <alignment horizontal="center" vertical="center"/>
    </xf>
    <xf numFmtId="0" fontId="125" fillId="0" borderId="1" xfId="0" applyFont="1" applyBorder="1"/>
    <xf numFmtId="37" fontId="132" fillId="0" borderId="110" xfId="0" applyNumberFormat="1" applyFont="1" applyBorder="1"/>
    <xf numFmtId="0" fontId="125" fillId="0" borderId="1" xfId="0" applyFont="1" applyBorder="1" applyAlignment="1">
      <alignment horizontal="right"/>
    </xf>
    <xf numFmtId="43" fontId="130" fillId="0" borderId="0" xfId="1" applyFont="1"/>
    <xf numFmtId="37" fontId="131" fillId="0" borderId="21" xfId="0" applyNumberFormat="1" applyFont="1" applyBorder="1"/>
    <xf numFmtId="37" fontId="132" fillId="0" borderId="1" xfId="0" applyNumberFormat="1" applyFont="1" applyBorder="1"/>
    <xf numFmtId="0" fontId="120" fillId="0" borderId="213" xfId="0" applyFont="1" applyBorder="1" applyAlignment="1">
      <alignment horizontal="center" vertical="center"/>
    </xf>
    <xf numFmtId="0" fontId="121" fillId="0" borderId="215" xfId="0" applyFont="1" applyBorder="1" applyAlignment="1">
      <alignment horizontal="center" vertical="center"/>
    </xf>
    <xf numFmtId="169" fontId="120" fillId="0" borderId="216" xfId="0" applyNumberFormat="1" applyFont="1" applyBorder="1" applyAlignment="1">
      <alignment horizontal="center" vertical="center"/>
    </xf>
    <xf numFmtId="169" fontId="121" fillId="0" borderId="216" xfId="0" applyNumberFormat="1" applyFont="1" applyBorder="1" applyAlignment="1">
      <alignment horizontal="center" vertical="center"/>
    </xf>
    <xf numFmtId="0" fontId="121" fillId="0" borderId="217" xfId="0" applyFont="1" applyBorder="1" applyAlignment="1">
      <alignment horizontal="center" vertical="center"/>
    </xf>
    <xf numFmtId="169" fontId="121" fillId="0" borderId="218" xfId="0" applyNumberFormat="1" applyFont="1" applyBorder="1" applyAlignment="1">
      <alignment horizontal="center" vertical="center"/>
    </xf>
    <xf numFmtId="0" fontId="174" fillId="29" borderId="151" xfId="0" applyFont="1" applyFill="1" applyBorder="1" applyAlignment="1">
      <alignment horizontal="center"/>
    </xf>
    <xf numFmtId="0" fontId="174" fillId="29" borderId="152" xfId="0" applyFont="1" applyFill="1" applyBorder="1" applyAlignment="1">
      <alignment horizontal="center"/>
    </xf>
    <xf numFmtId="0" fontId="174" fillId="29" borderId="153" xfId="0" applyFont="1" applyFill="1" applyBorder="1" applyAlignment="1">
      <alignment horizontal="center"/>
    </xf>
    <xf numFmtId="0" fontId="125" fillId="0" borderId="14" xfId="0" applyFont="1" applyBorder="1" applyAlignment="1">
      <alignment horizontal="center"/>
    </xf>
    <xf numFmtId="0" fontId="128" fillId="0" borderId="14" xfId="0" applyFont="1" applyBorder="1"/>
    <xf numFmtId="169" fontId="120" fillId="0" borderId="1" xfId="0" applyNumberFormat="1" applyFont="1" applyBorder="1" applyAlignment="1">
      <alignment horizontal="center" vertical="center"/>
    </xf>
    <xf numFmtId="169" fontId="121" fillId="0" borderId="1" xfId="0" applyNumberFormat="1" applyFont="1" applyBorder="1" applyAlignment="1">
      <alignment horizontal="center" vertical="center"/>
    </xf>
    <xf numFmtId="0" fontId="148" fillId="0" borderId="219" xfId="0" applyFont="1" applyBorder="1" applyAlignment="1">
      <alignment horizontal="center" vertical="center"/>
    </xf>
    <xf numFmtId="0" fontId="145" fillId="0" borderId="214" xfId="0" applyFont="1" applyBorder="1" applyAlignment="1">
      <alignment horizontal="center" vertical="center"/>
    </xf>
    <xf numFmtId="169" fontId="121" fillId="0" borderId="220" xfId="0" applyNumberFormat="1" applyFont="1" applyBorder="1" applyAlignment="1">
      <alignment horizontal="center" vertical="center"/>
    </xf>
    <xf numFmtId="175" fontId="134" fillId="0" borderId="8" xfId="0" applyNumberFormat="1" applyFont="1" applyBorder="1" applyAlignment="1">
      <alignment vertical="center"/>
    </xf>
    <xf numFmtId="175" fontId="134" fillId="0" borderId="9" xfId="0" applyNumberFormat="1" applyFont="1" applyBorder="1" applyAlignment="1">
      <alignment vertical="center"/>
    </xf>
    <xf numFmtId="0" fontId="184" fillId="0" borderId="0" xfId="0" applyFont="1"/>
    <xf numFmtId="0" fontId="184" fillId="0" borderId="0" xfId="0" applyFont="1" applyAlignment="1">
      <alignment horizontal="center"/>
    </xf>
    <xf numFmtId="0" fontId="184" fillId="0" borderId="0" xfId="0" applyFont="1" applyAlignment="1">
      <alignment horizontal="right" vertical="center"/>
    </xf>
    <xf numFmtId="0" fontId="184" fillId="0" borderId="0" xfId="0" applyFont="1" applyAlignment="1">
      <alignment horizontal="center" vertical="center"/>
    </xf>
    <xf numFmtId="0" fontId="184" fillId="0" borderId="0" xfId="0" applyFont="1" applyAlignment="1">
      <alignment horizontal="right"/>
    </xf>
    <xf numFmtId="0" fontId="131" fillId="0" borderId="1" xfId="0" applyFont="1" applyBorder="1"/>
    <xf numFmtId="0" fontId="131" fillId="0" borderId="20" xfId="0" applyFont="1" applyBorder="1"/>
    <xf numFmtId="14" fontId="122" fillId="0" borderId="0" xfId="0" applyNumberFormat="1" applyFont="1" applyAlignment="1">
      <alignment horizontal="left"/>
    </xf>
    <xf numFmtId="0" fontId="121" fillId="0" borderId="213" xfId="0" applyFont="1" applyBorder="1"/>
    <xf numFmtId="0" fontId="147" fillId="0" borderId="219" xfId="0" applyFont="1" applyBorder="1"/>
    <xf numFmtId="0" fontId="121" fillId="0" borderId="214" xfId="0" applyFont="1" applyBorder="1"/>
    <xf numFmtId="0" fontId="120" fillId="0" borderId="215" xfId="0" applyFont="1" applyBorder="1" applyAlignment="1">
      <alignment horizontal="left"/>
    </xf>
    <xf numFmtId="169" fontId="120" fillId="0" borderId="1" xfId="0" applyNumberFormat="1" applyFont="1" applyBorder="1" applyAlignment="1">
      <alignment horizontal="center"/>
    </xf>
    <xf numFmtId="0" fontId="121" fillId="0" borderId="216" xfId="0" applyFont="1" applyBorder="1"/>
    <xf numFmtId="169" fontId="121" fillId="0" borderId="1" xfId="0" applyNumberFormat="1" applyFont="1" applyBorder="1" applyAlignment="1">
      <alignment horizontal="right"/>
    </xf>
    <xf numFmtId="0" fontId="121" fillId="0" borderId="215" xfId="0" applyFont="1" applyBorder="1"/>
    <xf numFmtId="0" fontId="121" fillId="0" borderId="1" xfId="0" applyFont="1" applyBorder="1"/>
    <xf numFmtId="0" fontId="120" fillId="0" borderId="217" xfId="0" applyFont="1" applyBorder="1" applyAlignment="1">
      <alignment horizontal="left"/>
    </xf>
    <xf numFmtId="169" fontId="121" fillId="0" borderId="220" xfId="0" applyNumberFormat="1" applyFont="1" applyBorder="1" applyAlignment="1">
      <alignment horizontal="right"/>
    </xf>
    <xf numFmtId="177" fontId="122" fillId="0" borderId="0" xfId="0" applyNumberFormat="1" applyFont="1"/>
    <xf numFmtId="3" fontId="0" fillId="0" borderId="0" xfId="0" applyNumberFormat="1"/>
    <xf numFmtId="10" fontId="130" fillId="0" borderId="0" xfId="0" applyNumberFormat="1" applyFont="1"/>
    <xf numFmtId="172" fontId="130" fillId="0" borderId="0" xfId="1" applyNumberFormat="1" applyFont="1"/>
    <xf numFmtId="184" fontId="122" fillId="0" borderId="0" xfId="3" applyNumberFormat="1" applyFont="1"/>
    <xf numFmtId="184" fontId="122" fillId="10" borderId="1" xfId="3" applyNumberFormat="1" applyFont="1" applyFill="1" applyBorder="1" applyAlignment="1">
      <alignment horizontal="center" vertical="center"/>
    </xf>
    <xf numFmtId="184" fontId="122" fillId="10" borderId="1" xfId="3" applyNumberFormat="1" applyFont="1" applyFill="1" applyBorder="1" applyAlignment="1">
      <alignment horizontal="center"/>
    </xf>
    <xf numFmtId="17" fontId="130" fillId="0" borderId="0" xfId="0" applyNumberFormat="1" applyFont="1" applyAlignment="1">
      <alignment horizontal="right"/>
    </xf>
    <xf numFmtId="10" fontId="0" fillId="0" borderId="0" xfId="0" applyNumberFormat="1"/>
    <xf numFmtId="10" fontId="121" fillId="0" borderId="216" xfId="0" applyNumberFormat="1" applyFont="1" applyBorder="1" applyAlignment="1">
      <alignment horizontal="center"/>
    </xf>
    <xf numFmtId="0" fontId="122" fillId="34" borderId="0" xfId="0" applyFont="1" applyFill="1" applyAlignment="1">
      <alignment horizontal="center"/>
    </xf>
    <xf numFmtId="0" fontId="122" fillId="35" borderId="0" xfId="0" applyFont="1" applyFill="1" applyAlignment="1">
      <alignment horizontal="center"/>
    </xf>
    <xf numFmtId="3" fontId="134" fillId="3" borderId="29" xfId="0" applyNumberFormat="1" applyFont="1" applyFill="1" applyBorder="1" applyAlignment="1">
      <alignment horizontal="right"/>
    </xf>
    <xf numFmtId="1" fontId="131" fillId="0" borderId="14" xfId="0" applyNumberFormat="1" applyFont="1" applyBorder="1"/>
    <xf numFmtId="1" fontId="131" fillId="0" borderId="92" xfId="0" applyNumberFormat="1" applyFont="1" applyBorder="1"/>
    <xf numFmtId="37" fontId="132" fillId="33" borderId="0" xfId="0" applyNumberFormat="1" applyFont="1" applyFill="1"/>
    <xf numFmtId="37" fontId="132" fillId="0" borderId="111" xfId="0" applyNumberFormat="1" applyFont="1" applyBorder="1"/>
    <xf numFmtId="172" fontId="131" fillId="0" borderId="0" xfId="1" applyNumberFormat="1" applyFont="1"/>
    <xf numFmtId="49" fontId="165" fillId="27" borderId="1" xfId="0" applyNumberFormat="1" applyFont="1" applyFill="1" applyBorder="1" applyAlignment="1">
      <alignment horizontal="left" vertical="top"/>
    </xf>
    <xf numFmtId="49" fontId="167" fillId="23" borderId="144" xfId="0" applyNumberFormat="1" applyFont="1" applyFill="1" applyBorder="1" applyAlignment="1">
      <alignment horizontal="left" vertical="top"/>
    </xf>
    <xf numFmtId="49" fontId="170" fillId="23" borderId="143" xfId="0" applyNumberFormat="1" applyFont="1" applyFill="1" applyBorder="1" applyAlignment="1">
      <alignment horizontal="left" vertical="top"/>
    </xf>
    <xf numFmtId="49" fontId="167" fillId="23" borderId="143" xfId="0" quotePrefix="1" applyNumberFormat="1" applyFont="1" applyFill="1" applyBorder="1" applyAlignment="1">
      <alignment horizontal="left" vertical="top"/>
    </xf>
    <xf numFmtId="0" fontId="0" fillId="36" borderId="0" xfId="0" applyFill="1"/>
    <xf numFmtId="43" fontId="122" fillId="36" borderId="0" xfId="0" applyNumberFormat="1" applyFont="1" applyFill="1"/>
    <xf numFmtId="1" fontId="122" fillId="36" borderId="0" xfId="0" applyNumberFormat="1" applyFont="1" applyFill="1" applyAlignment="1">
      <alignment horizontal="center"/>
    </xf>
    <xf numFmtId="49" fontId="116" fillId="0" borderId="1" xfId="10" applyNumberFormat="1" applyAlignment="1">
      <alignment horizontal="left" vertical="center"/>
    </xf>
    <xf numFmtId="43" fontId="116" fillId="0" borderId="1" xfId="1" applyFont="1" applyBorder="1" applyAlignment="1">
      <alignment horizontal="left" vertical="center"/>
    </xf>
    <xf numFmtId="0" fontId="115" fillId="36" borderId="1" xfId="11" applyFill="1"/>
    <xf numFmtId="165" fontId="115" fillId="36" borderId="1" xfId="12" applyFont="1" applyFill="1" applyAlignment="1">
      <alignment horizontal="right" vertical="center"/>
    </xf>
    <xf numFmtId="49" fontId="121" fillId="37" borderId="1" xfId="0" applyNumberFormat="1" applyFont="1" applyFill="1" applyBorder="1" applyAlignment="1">
      <alignment horizontal="left" vertical="center"/>
    </xf>
    <xf numFmtId="0" fontId="121" fillId="37" borderId="1" xfId="0" applyFont="1" applyFill="1" applyBorder="1" applyAlignment="1">
      <alignment horizontal="left" vertical="top"/>
    </xf>
    <xf numFmtId="0" fontId="121" fillId="37" borderId="1" xfId="0" applyFont="1" applyFill="1" applyBorder="1"/>
    <xf numFmtId="181" fontId="121" fillId="37" borderId="1" xfId="0" applyNumberFormat="1" applyFont="1" applyFill="1" applyBorder="1" applyAlignment="1">
      <alignment horizontal="right" vertical="center"/>
    </xf>
    <xf numFmtId="4" fontId="121" fillId="37" borderId="1" xfId="0" applyNumberFormat="1" applyFont="1" applyFill="1" applyBorder="1"/>
    <xf numFmtId="37" fontId="0" fillId="0" borderId="0" xfId="0" applyNumberFormat="1"/>
    <xf numFmtId="49" fontId="121" fillId="10" borderId="143" xfId="0" applyNumberFormat="1" applyFont="1" applyFill="1" applyBorder="1" applyAlignment="1">
      <alignment horizontal="left" vertical="top"/>
    </xf>
    <xf numFmtId="49" fontId="171" fillId="23" borderId="143" xfId="0" applyNumberFormat="1" applyFont="1" applyFill="1" applyBorder="1" applyAlignment="1">
      <alignment horizontal="left" vertical="top"/>
    </xf>
    <xf numFmtId="49" fontId="121" fillId="0" borderId="1" xfId="0" applyNumberFormat="1" applyFont="1" applyBorder="1" applyAlignment="1">
      <alignment horizontal="left" vertical="top"/>
    </xf>
    <xf numFmtId="0" fontId="168" fillId="23" borderId="0" xfId="0" applyFont="1" applyFill="1" applyAlignment="1">
      <alignment horizontal="left" vertical="top"/>
    </xf>
    <xf numFmtId="49" fontId="121" fillId="10" borderId="144" xfId="0" applyNumberFormat="1" applyFont="1" applyFill="1" applyBorder="1" applyAlignment="1">
      <alignment horizontal="left" vertical="top"/>
    </xf>
    <xf numFmtId="3" fontId="124" fillId="0" borderId="0" xfId="0" applyNumberFormat="1" applyFont="1"/>
    <xf numFmtId="49" fontId="168" fillId="23" borderId="145" xfId="0" applyNumberFormat="1" applyFont="1" applyFill="1" applyBorder="1" applyAlignment="1">
      <alignment horizontal="left" vertical="top"/>
    </xf>
    <xf numFmtId="0" fontId="92" fillId="36" borderId="1" xfId="690" applyFill="1"/>
    <xf numFmtId="165" fontId="92" fillId="36" borderId="1" xfId="691" applyFont="1" applyFill="1" applyAlignment="1">
      <alignment horizontal="right" vertical="center"/>
    </xf>
    <xf numFmtId="0" fontId="87" fillId="36" borderId="1" xfId="1397" applyFill="1"/>
    <xf numFmtId="165" fontId="87" fillId="36" borderId="1" xfId="1398" applyFont="1" applyFill="1" applyAlignment="1">
      <alignment horizontal="right" vertical="center"/>
    </xf>
    <xf numFmtId="0" fontId="85" fillId="33" borderId="1" xfId="2755" applyFill="1"/>
    <xf numFmtId="185" fontId="85" fillId="33" borderId="1" xfId="2755" applyNumberFormat="1" applyFill="1" applyAlignment="1">
      <alignment horizontal="right" vertical="center"/>
    </xf>
    <xf numFmtId="186" fontId="85" fillId="33" borderId="1" xfId="2755" applyNumberFormat="1" applyFill="1" applyAlignment="1">
      <alignment horizontal="right" vertical="center"/>
    </xf>
    <xf numFmtId="49" fontId="85" fillId="33" borderId="1" xfId="2755" applyNumberFormat="1" applyFill="1" applyAlignment="1">
      <alignment horizontal="left" vertical="center"/>
    </xf>
    <xf numFmtId="49" fontId="186" fillId="36" borderId="1" xfId="2807" applyNumberFormat="1" applyFont="1" applyFill="1" applyAlignment="1">
      <alignment horizontal="left" vertical="center"/>
    </xf>
    <xf numFmtId="165" fontId="186" fillId="36" borderId="1" xfId="2808" applyFont="1" applyFill="1" applyAlignment="1">
      <alignment horizontal="right" vertical="center"/>
    </xf>
    <xf numFmtId="49" fontId="83" fillId="36" borderId="1" xfId="2807" applyNumberFormat="1" applyFill="1" applyAlignment="1">
      <alignment horizontal="left" vertical="center"/>
    </xf>
    <xf numFmtId="0" fontId="83" fillId="36" borderId="1" xfId="2807" applyFill="1"/>
    <xf numFmtId="165" fontId="83" fillId="36" borderId="1" xfId="2808" applyFont="1" applyFill="1" applyAlignment="1">
      <alignment horizontal="right" vertical="center"/>
    </xf>
    <xf numFmtId="186" fontId="81" fillId="34" borderId="1" xfId="2811" applyNumberFormat="1" applyFill="1" applyAlignment="1">
      <alignment horizontal="right" vertical="center"/>
    </xf>
    <xf numFmtId="0" fontId="81" fillId="0" borderId="1" xfId="2811"/>
    <xf numFmtId="49" fontId="186" fillId="0" borderId="1" xfId="2811" applyNumberFormat="1" applyFont="1" applyAlignment="1">
      <alignment horizontal="left" vertical="center"/>
    </xf>
    <xf numFmtId="49" fontId="81" fillId="0" borderId="1" xfId="2811" applyNumberFormat="1" applyAlignment="1">
      <alignment horizontal="left" vertical="center"/>
    </xf>
    <xf numFmtId="185" fontId="186" fillId="0" borderId="1" xfId="2811" applyNumberFormat="1" applyFont="1" applyAlignment="1">
      <alignment horizontal="right" vertical="center"/>
    </xf>
    <xf numFmtId="185" fontId="81" fillId="0" borderId="1" xfId="2811" applyNumberFormat="1" applyAlignment="1">
      <alignment horizontal="right" vertical="center"/>
    </xf>
    <xf numFmtId="186" fontId="186" fillId="0" borderId="1" xfId="2811" applyNumberFormat="1" applyFont="1" applyAlignment="1">
      <alignment horizontal="right" vertical="center"/>
    </xf>
    <xf numFmtId="186" fontId="81" fillId="0" borderId="1" xfId="2811" applyNumberFormat="1" applyAlignment="1">
      <alignment horizontal="right" vertical="center"/>
    </xf>
    <xf numFmtId="49" fontId="145" fillId="0" borderId="1" xfId="4224" applyNumberFormat="1" applyFont="1" applyAlignment="1">
      <alignment horizontal="center" vertical="center"/>
    </xf>
    <xf numFmtId="186" fontId="81" fillId="34" borderId="1" xfId="5565" applyNumberFormat="1" applyFill="1" applyAlignment="1">
      <alignment horizontal="right" vertical="center"/>
    </xf>
    <xf numFmtId="0" fontId="81" fillId="0" borderId="1" xfId="5565"/>
    <xf numFmtId="49" fontId="186" fillId="0" borderId="1" xfId="5565" applyNumberFormat="1" applyFont="1" applyAlignment="1">
      <alignment horizontal="left" vertical="center"/>
    </xf>
    <xf numFmtId="49" fontId="81" fillId="0" borderId="1" xfId="5565" applyNumberFormat="1" applyAlignment="1">
      <alignment horizontal="left" vertical="center"/>
    </xf>
    <xf numFmtId="185" fontId="186" fillId="0" borderId="1" xfId="5565" applyNumberFormat="1" applyFont="1" applyAlignment="1">
      <alignment horizontal="right" vertical="center"/>
    </xf>
    <xf numFmtId="185" fontId="81" fillId="0" borderId="1" xfId="5565" applyNumberFormat="1" applyAlignment="1">
      <alignment horizontal="right" vertical="center"/>
    </xf>
    <xf numFmtId="186" fontId="186" fillId="0" borderId="1" xfId="5565" applyNumberFormat="1" applyFont="1" applyAlignment="1">
      <alignment horizontal="right" vertical="center"/>
    </xf>
    <xf numFmtId="186" fontId="81" fillId="0" borderId="1" xfId="5565" applyNumberFormat="1" applyAlignment="1">
      <alignment horizontal="right" vertical="center"/>
    </xf>
    <xf numFmtId="49" fontId="145" fillId="0" borderId="1" xfId="5551" applyNumberFormat="1" applyFont="1" applyAlignment="1">
      <alignment horizontal="center" vertical="center"/>
    </xf>
    <xf numFmtId="165" fontId="130" fillId="0" borderId="0" xfId="0" applyNumberFormat="1" applyFont="1"/>
    <xf numFmtId="43" fontId="135" fillId="0" borderId="0" xfId="1" applyFont="1"/>
    <xf numFmtId="10" fontId="135" fillId="0" borderId="0" xfId="2" applyNumberFormat="1" applyFont="1"/>
    <xf numFmtId="3" fontId="131" fillId="0" borderId="1" xfId="0" applyNumberFormat="1" applyFont="1" applyBorder="1"/>
    <xf numFmtId="3" fontId="131" fillId="0" borderId="20" xfId="0" applyNumberFormat="1" applyFont="1" applyBorder="1"/>
    <xf numFmtId="3" fontId="131" fillId="0" borderId="23" xfId="0" applyNumberFormat="1" applyFont="1" applyBorder="1"/>
    <xf numFmtId="0" fontId="78" fillId="0" borderId="1" xfId="5626"/>
    <xf numFmtId="2" fontId="191" fillId="0" borderId="1" xfId="5626" applyNumberFormat="1" applyFont="1" applyAlignment="1">
      <alignment horizontal="center"/>
    </xf>
    <xf numFmtId="0" fontId="191" fillId="0" borderId="1" xfId="5626" applyFont="1"/>
    <xf numFmtId="2" fontId="78" fillId="0" borderId="1" xfId="5626" applyNumberFormat="1" applyAlignment="1">
      <alignment horizontal="center"/>
    </xf>
    <xf numFmtId="0" fontId="192" fillId="0" borderId="1" xfId="5626" applyFont="1"/>
    <xf numFmtId="2" fontId="189" fillId="38" borderId="221" xfId="5626" applyNumberFormat="1" applyFont="1" applyFill="1" applyBorder="1" applyAlignment="1">
      <alignment horizontal="center"/>
    </xf>
    <xf numFmtId="2" fontId="189" fillId="38" borderId="223" xfId="5626" applyNumberFormat="1" applyFont="1" applyFill="1" applyBorder="1" applyAlignment="1">
      <alignment horizontal="center"/>
    </xf>
    <xf numFmtId="0" fontId="78" fillId="0" borderId="163" xfId="5626" applyBorder="1"/>
    <xf numFmtId="0" fontId="78" fillId="0" borderId="224" xfId="5626" applyBorder="1"/>
    <xf numFmtId="0" fontId="189" fillId="0" borderId="225" xfId="5627" applyFont="1" applyBorder="1"/>
    <xf numFmtId="0" fontId="78" fillId="29" borderId="226" xfId="5626" applyFill="1" applyBorder="1"/>
    <xf numFmtId="37" fontId="189" fillId="0" borderId="221" xfId="5626" applyNumberFormat="1" applyFont="1" applyBorder="1" applyAlignment="1">
      <alignment horizontal="center"/>
    </xf>
    <xf numFmtId="37" fontId="189" fillId="0" borderId="223" xfId="5626" applyNumberFormat="1" applyFont="1" applyBorder="1" applyAlignment="1">
      <alignment horizontal="center"/>
    </xf>
    <xf numFmtId="175" fontId="189" fillId="0" borderId="223" xfId="5628" applyNumberFormat="1" applyFont="1" applyBorder="1" applyAlignment="1">
      <alignment horizontal="center"/>
    </xf>
    <xf numFmtId="0" fontId="190" fillId="0" borderId="1" xfId="5626" applyFont="1"/>
    <xf numFmtId="0" fontId="78" fillId="0" borderId="225" xfId="5626" applyBorder="1"/>
    <xf numFmtId="0" fontId="78" fillId="0" borderId="226" xfId="5626" applyBorder="1"/>
    <xf numFmtId="37" fontId="0" fillId="0" borderId="227" xfId="5629" applyNumberFormat="1" applyFont="1" applyBorder="1" applyAlignment="1">
      <alignment horizontal="center"/>
    </xf>
    <xf numFmtId="37" fontId="0" fillId="0" borderId="224" xfId="5629" applyNumberFormat="1" applyFont="1" applyBorder="1" applyAlignment="1">
      <alignment horizontal="center"/>
    </xf>
    <xf numFmtId="37" fontId="0" fillId="0" borderId="228" xfId="5629" applyNumberFormat="1" applyFont="1" applyBorder="1" applyAlignment="1">
      <alignment horizontal="center"/>
    </xf>
    <xf numFmtId="175" fontId="0" fillId="0" borderId="229" xfId="5628" applyNumberFormat="1" applyFont="1" applyBorder="1" applyAlignment="1">
      <alignment horizontal="center" vertical="center"/>
    </xf>
    <xf numFmtId="0" fontId="78" fillId="0" borderId="226" xfId="5626" applyBorder="1" applyAlignment="1">
      <alignment horizontal="left"/>
    </xf>
    <xf numFmtId="37" fontId="78" fillId="0" borderId="227" xfId="5626" applyNumberFormat="1" applyBorder="1" applyAlignment="1">
      <alignment horizontal="center"/>
    </xf>
    <xf numFmtId="37" fontId="78" fillId="0" borderId="224" xfId="5626" applyNumberFormat="1" applyBorder="1" applyAlignment="1">
      <alignment horizontal="center"/>
    </xf>
    <xf numFmtId="175" fontId="0" fillId="0" borderId="224" xfId="5628" applyNumberFormat="1" applyFont="1" applyBorder="1" applyAlignment="1">
      <alignment horizontal="center" vertical="center"/>
    </xf>
    <xf numFmtId="0" fontId="189" fillId="0" borderId="226" xfId="5626" applyFont="1" applyBorder="1"/>
    <xf numFmtId="37" fontId="189" fillId="0" borderId="227" xfId="5629" applyNumberFormat="1" applyFont="1" applyBorder="1" applyAlignment="1">
      <alignment horizontal="center"/>
    </xf>
    <xf numFmtId="37" fontId="189" fillId="0" borderId="224" xfId="5629" applyNumberFormat="1" applyFont="1" applyBorder="1" applyAlignment="1">
      <alignment horizontal="center"/>
    </xf>
    <xf numFmtId="175" fontId="0" fillId="0" borderId="227" xfId="5628" applyNumberFormat="1" applyFont="1" applyBorder="1" applyAlignment="1">
      <alignment horizontal="center"/>
    </xf>
    <xf numFmtId="175" fontId="0" fillId="0" borderId="224" xfId="5628" applyNumberFormat="1" applyFont="1" applyBorder="1" applyAlignment="1">
      <alignment horizontal="center"/>
    </xf>
    <xf numFmtId="0" fontId="78" fillId="0" borderId="225" xfId="5626" applyBorder="1" applyAlignment="1">
      <alignment horizontal="left"/>
    </xf>
    <xf numFmtId="37" fontId="0" fillId="0" borderId="229" xfId="5629" applyNumberFormat="1" applyFont="1" applyFill="1" applyBorder="1" applyAlignment="1">
      <alignment horizontal="center"/>
    </xf>
    <xf numFmtId="0" fontId="190" fillId="0" borderId="227" xfId="5626" applyFont="1" applyBorder="1"/>
    <xf numFmtId="175" fontId="0" fillId="0" borderId="230" xfId="5628" applyNumberFormat="1" applyFont="1" applyBorder="1" applyAlignment="1">
      <alignment horizontal="center"/>
    </xf>
    <xf numFmtId="175" fontId="0" fillId="0" borderId="231" xfId="5628" applyNumberFormat="1" applyFont="1" applyBorder="1" applyAlignment="1">
      <alignment horizontal="center" vertical="center"/>
    </xf>
    <xf numFmtId="37" fontId="0" fillId="0" borderId="229" xfId="5629" applyNumberFormat="1" applyFont="1" applyBorder="1" applyAlignment="1">
      <alignment horizontal="center"/>
    </xf>
    <xf numFmtId="0" fontId="78" fillId="0" borderId="232" xfId="5626" applyBorder="1" applyAlignment="1">
      <alignment horizontal="left"/>
    </xf>
    <xf numFmtId="0" fontId="78" fillId="0" borderId="227" xfId="5626" applyBorder="1"/>
    <xf numFmtId="175" fontId="0" fillId="0" borderId="231" xfId="5628" applyNumberFormat="1" applyFont="1" applyBorder="1" applyAlignment="1">
      <alignment horizontal="center"/>
    </xf>
    <xf numFmtId="2" fontId="78" fillId="0" borderId="231" xfId="5626" applyNumberFormat="1" applyBorder="1" applyAlignment="1">
      <alignment horizontal="center"/>
    </xf>
    <xf numFmtId="0" fontId="78" fillId="0" borderId="1" xfId="5626" applyAlignment="1">
      <alignment horizontal="left"/>
    </xf>
    <xf numFmtId="2" fontId="0" fillId="0" borderId="1" xfId="5629" applyNumberFormat="1" applyFont="1" applyBorder="1" applyAlignment="1">
      <alignment horizontal="center"/>
    </xf>
    <xf numFmtId="37" fontId="189" fillId="0" borderId="230" xfId="5629" applyNumberFormat="1" applyFont="1" applyBorder="1" applyAlignment="1">
      <alignment horizontal="center"/>
    </xf>
    <xf numFmtId="37" fontId="193" fillId="0" borderId="228" xfId="5629" applyNumberFormat="1" applyFont="1" applyBorder="1" applyAlignment="1">
      <alignment horizontal="center"/>
    </xf>
    <xf numFmtId="0" fontId="189" fillId="0" borderId="232" xfId="5626" applyFont="1" applyBorder="1"/>
    <xf numFmtId="37" fontId="189" fillId="0" borderId="231" xfId="5629" applyNumberFormat="1" applyFont="1" applyBorder="1" applyAlignment="1">
      <alignment horizontal="center"/>
    </xf>
    <xf numFmtId="0" fontId="188" fillId="0" borderId="1" xfId="5626" applyFont="1"/>
    <xf numFmtId="0" fontId="78" fillId="29" borderId="233" xfId="5626" applyFill="1" applyBorder="1"/>
    <xf numFmtId="0" fontId="189" fillId="0" borderId="1" xfId="5626" applyFont="1"/>
    <xf numFmtId="0" fontId="78" fillId="0" borderId="1" xfId="5626" applyAlignment="1">
      <alignment horizontal="center"/>
    </xf>
    <xf numFmtId="2" fontId="188" fillId="0" borderId="1" xfId="5626" applyNumberFormat="1" applyFont="1" applyAlignment="1">
      <alignment horizontal="center"/>
    </xf>
    <xf numFmtId="2" fontId="78" fillId="0" borderId="1" xfId="5626" applyNumberFormat="1"/>
    <xf numFmtId="1" fontId="121" fillId="36" borderId="232" xfId="5626" applyNumberFormat="1" applyFont="1" applyFill="1" applyBorder="1" applyAlignment="1">
      <alignment horizontal="left" vertical="top"/>
    </xf>
    <xf numFmtId="187" fontId="78" fillId="33" borderId="1" xfId="5626" applyNumberFormat="1" applyFill="1" applyAlignment="1">
      <alignment horizontal="center"/>
    </xf>
    <xf numFmtId="0" fontId="189" fillId="0" borderId="1" xfId="5626" applyFont="1" applyAlignment="1">
      <alignment horizontal="center" vertical="center"/>
    </xf>
    <xf numFmtId="0" fontId="189" fillId="0" borderId="225" xfId="5626" applyFont="1" applyBorder="1" applyAlignment="1">
      <alignment horizontal="center" vertical="center"/>
    </xf>
    <xf numFmtId="0" fontId="189" fillId="0" borderId="233" xfId="5626" applyFont="1" applyBorder="1" applyAlignment="1">
      <alignment horizontal="center" vertical="center"/>
    </xf>
    <xf numFmtId="0" fontId="189" fillId="0" borderId="233" xfId="5626" applyFont="1" applyBorder="1" applyAlignment="1">
      <alignment horizontal="center" wrapText="1"/>
    </xf>
    <xf numFmtId="0" fontId="78" fillId="0" borderId="1" xfId="5626" applyAlignment="1">
      <alignment horizontal="center" vertical="center"/>
    </xf>
    <xf numFmtId="0" fontId="189" fillId="0" borderId="225" xfId="5626" applyFont="1" applyBorder="1" applyAlignment="1">
      <alignment horizontal="center"/>
    </xf>
    <xf numFmtId="3" fontId="78" fillId="36" borderId="226" xfId="5626" applyNumberFormat="1" applyFill="1" applyBorder="1" applyAlignment="1">
      <alignment horizontal="center"/>
    </xf>
    <xf numFmtId="2" fontId="189" fillId="0" borderId="226" xfId="5626" applyNumberFormat="1" applyFont="1" applyBorder="1" applyAlignment="1">
      <alignment horizontal="center"/>
    </xf>
    <xf numFmtId="0" fontId="189" fillId="0" borderId="226" xfId="5626" applyFont="1" applyBorder="1" applyAlignment="1">
      <alignment horizontal="center"/>
    </xf>
    <xf numFmtId="0" fontId="189" fillId="0" borderId="232" xfId="5626" applyFont="1" applyBorder="1" applyAlignment="1">
      <alignment horizontal="center"/>
    </xf>
    <xf numFmtId="3" fontId="78" fillId="36" borderId="232" xfId="5626" applyNumberFormat="1" applyFill="1" applyBorder="1" applyAlignment="1">
      <alignment horizontal="center"/>
    </xf>
    <xf numFmtId="175" fontId="131" fillId="0" borderId="0" xfId="2" applyNumberFormat="1" applyFont="1"/>
    <xf numFmtId="175" fontId="131" fillId="0" borderId="8" xfId="2" applyNumberFormat="1" applyFont="1" applyBorder="1"/>
    <xf numFmtId="175" fontId="131" fillId="0" borderId="93" xfId="2" applyNumberFormat="1" applyFont="1" applyBorder="1"/>
    <xf numFmtId="175" fontId="124" fillId="3" borderId="35" xfId="2" applyNumberFormat="1" applyFont="1" applyFill="1" applyBorder="1"/>
    <xf numFmtId="175" fontId="132" fillId="0" borderId="71" xfId="2" applyNumberFormat="1" applyFont="1" applyBorder="1"/>
    <xf numFmtId="175" fontId="132" fillId="0" borderId="85" xfId="2" applyNumberFormat="1" applyFont="1" applyBorder="1"/>
    <xf numFmtId="175" fontId="132" fillId="0" borderId="14" xfId="2" applyNumberFormat="1" applyFont="1" applyBorder="1"/>
    <xf numFmtId="175" fontId="132" fillId="0" borderId="0" xfId="2" applyNumberFormat="1" applyFont="1"/>
    <xf numFmtId="37" fontId="187" fillId="0" borderId="0" xfId="0" applyNumberFormat="1" applyFont="1"/>
    <xf numFmtId="187" fontId="78" fillId="0" borderId="1" xfId="5626" applyNumberFormat="1"/>
    <xf numFmtId="4" fontId="121" fillId="36" borderId="0" xfId="0" applyNumberFormat="1" applyFont="1" applyFill="1" applyAlignment="1">
      <alignment horizontal="center" vertical="top"/>
    </xf>
    <xf numFmtId="10" fontId="121" fillId="0" borderId="218" xfId="0" applyNumberFormat="1" applyFont="1" applyBorder="1" applyAlignment="1">
      <alignment horizontal="center"/>
    </xf>
    <xf numFmtId="49" fontId="195" fillId="23" borderId="143" xfId="11272" applyNumberFormat="1" applyFill="1" applyBorder="1" applyAlignment="1">
      <alignment horizontal="left" vertical="top"/>
    </xf>
    <xf numFmtId="185" fontId="67" fillId="36" borderId="1" xfId="11277" applyNumberFormat="1" applyFill="1" applyAlignment="1">
      <alignment horizontal="right" vertical="center"/>
    </xf>
    <xf numFmtId="0" fontId="66" fillId="0" borderId="0" xfId="0" applyFont="1"/>
    <xf numFmtId="9" fontId="131" fillId="0" borderId="0" xfId="2" applyFont="1" applyAlignment="1">
      <alignment horizontal="right"/>
    </xf>
    <xf numFmtId="9" fontId="131" fillId="0" borderId="0" xfId="2" applyFont="1"/>
    <xf numFmtId="9" fontId="131" fillId="0" borderId="8" xfId="2" applyFont="1" applyFill="1" applyBorder="1"/>
    <xf numFmtId="175" fontId="131" fillId="0" borderId="0" xfId="2" applyNumberFormat="1" applyFont="1" applyFill="1"/>
    <xf numFmtId="0" fontId="63" fillId="0" borderId="1" xfId="11280"/>
    <xf numFmtId="49" fontId="145" fillId="0" borderId="227" xfId="11280" applyNumberFormat="1" applyFont="1" applyBorder="1" applyAlignment="1">
      <alignment horizontal="center" vertical="center"/>
    </xf>
    <xf numFmtId="49" fontId="145" fillId="0" borderId="1" xfId="11280" applyNumberFormat="1" applyFont="1" applyAlignment="1">
      <alignment horizontal="center" vertical="center"/>
    </xf>
    <xf numFmtId="3" fontId="145" fillId="0" borderId="1" xfId="11280" applyNumberFormat="1" applyFont="1" applyAlignment="1">
      <alignment horizontal="center" vertical="center"/>
    </xf>
    <xf numFmtId="49" fontId="145" fillId="0" borderId="224" xfId="11280" applyNumberFormat="1" applyFont="1" applyBorder="1" applyAlignment="1">
      <alignment horizontal="center" vertical="center"/>
    </xf>
    <xf numFmtId="0" fontId="63" fillId="0" borderId="227" xfId="11280" applyBorder="1" applyAlignment="1">
      <alignment horizontal="center"/>
    </xf>
    <xf numFmtId="0" fontId="63" fillId="0" borderId="1" xfId="11280" applyAlignment="1">
      <alignment horizontal="center"/>
    </xf>
    <xf numFmtId="3" fontId="63" fillId="0" borderId="1" xfId="11280" applyNumberFormat="1" applyAlignment="1">
      <alignment horizontal="center"/>
    </xf>
    <xf numFmtId="0" fontId="63" fillId="0" borderId="224" xfId="11280" applyBorder="1" applyAlignment="1">
      <alignment horizontal="center"/>
    </xf>
    <xf numFmtId="0" fontId="167" fillId="39" borderId="143" xfId="0" applyFont="1" applyFill="1" applyBorder="1" applyAlignment="1">
      <alignment horizontal="left" vertical="top"/>
    </xf>
    <xf numFmtId="0" fontId="168" fillId="39" borderId="143" xfId="0" applyFont="1" applyFill="1" applyBorder="1" applyAlignment="1">
      <alignment horizontal="left" vertical="top"/>
    </xf>
    <xf numFmtId="49" fontId="167" fillId="39" borderId="143" xfId="0" applyNumberFormat="1" applyFont="1" applyFill="1" applyBorder="1" applyAlignment="1">
      <alignment horizontal="left" vertical="top"/>
    </xf>
    <xf numFmtId="9" fontId="133" fillId="0" borderId="0" xfId="2" applyFont="1"/>
    <xf numFmtId="0" fontId="62" fillId="0" borderId="1" xfId="11280" applyFont="1" applyAlignment="1">
      <alignment horizontal="center"/>
    </xf>
    <xf numFmtId="0" fontId="62" fillId="0" borderId="224" xfId="11280" applyFont="1" applyBorder="1" applyAlignment="1">
      <alignment horizontal="center"/>
    </xf>
    <xf numFmtId="0" fontId="58" fillId="0" borderId="0" xfId="0" applyFont="1"/>
    <xf numFmtId="43" fontId="78" fillId="0" borderId="1" xfId="1" applyFont="1" applyBorder="1"/>
    <xf numFmtId="43" fontId="78" fillId="0" borderId="1" xfId="1" applyFont="1" applyBorder="1" applyAlignment="1">
      <alignment horizontal="center"/>
    </xf>
    <xf numFmtId="165" fontId="78" fillId="0" borderId="1" xfId="5626" applyNumberFormat="1"/>
    <xf numFmtId="0" fontId="134" fillId="3" borderId="127" xfId="0" applyFont="1" applyFill="1" applyBorder="1"/>
    <xf numFmtId="0" fontId="134" fillId="3" borderId="128" xfId="0" applyFont="1" applyFill="1" applyBorder="1"/>
    <xf numFmtId="0" fontId="134" fillId="3" borderId="128" xfId="0" applyFont="1" applyFill="1" applyBorder="1" applyAlignment="1">
      <alignment horizontal="center"/>
    </xf>
    <xf numFmtId="175" fontId="134" fillId="3" borderId="128" xfId="0" applyNumberFormat="1" applyFont="1" applyFill="1" applyBorder="1"/>
    <xf numFmtId="37" fontId="134" fillId="3" borderId="128" xfId="0" applyNumberFormat="1" applyFont="1" applyFill="1" applyBorder="1"/>
    <xf numFmtId="175" fontId="134" fillId="3" borderId="129" xfId="0" applyNumberFormat="1" applyFont="1" applyFill="1" applyBorder="1"/>
    <xf numFmtId="9" fontId="134" fillId="3" borderId="108" xfId="2" applyFont="1" applyFill="1" applyBorder="1"/>
    <xf numFmtId="3" fontId="124" fillId="3" borderId="27" xfId="0" applyNumberFormat="1" applyFont="1" applyFill="1" applyBorder="1"/>
    <xf numFmtId="0" fontId="51" fillId="0" borderId="0" xfId="0" applyFont="1"/>
    <xf numFmtId="0" fontId="46" fillId="0" borderId="1" xfId="11280" applyFont="1" applyAlignment="1">
      <alignment horizontal="center"/>
    </xf>
    <xf numFmtId="0" fontId="46" fillId="0" borderId="224" xfId="11280" applyFont="1" applyBorder="1" applyAlignment="1">
      <alignment horizontal="center"/>
    </xf>
    <xf numFmtId="0" fontId="46" fillId="0" borderId="0" xfId="0" applyFont="1"/>
    <xf numFmtId="9" fontId="131" fillId="0" borderId="14" xfId="2" applyFont="1" applyBorder="1" applyAlignment="1">
      <alignment horizontal="right"/>
    </xf>
    <xf numFmtId="0" fontId="36" fillId="0" borderId="0" xfId="0" applyFont="1"/>
    <xf numFmtId="3" fontId="46" fillId="0" borderId="0" xfId="0" applyNumberFormat="1" applyFont="1"/>
    <xf numFmtId="0" fontId="31" fillId="0" borderId="1" xfId="11280" applyFont="1" applyAlignment="1">
      <alignment horizontal="center"/>
    </xf>
    <xf numFmtId="175" fontId="131" fillId="0" borderId="1" xfId="0" applyNumberFormat="1" applyFont="1" applyBorder="1"/>
    <xf numFmtId="0" fontId="26" fillId="0" borderId="1" xfId="11280" applyFont="1" applyAlignment="1">
      <alignment horizontal="center"/>
    </xf>
    <xf numFmtId="185" fontId="20" fillId="36" borderId="1" xfId="11321" applyNumberFormat="1" applyFill="1" applyAlignment="1">
      <alignment horizontal="right" vertical="center"/>
    </xf>
    <xf numFmtId="185" fontId="19" fillId="36" borderId="1" xfId="11322" applyNumberFormat="1" applyFill="1" applyAlignment="1">
      <alignment horizontal="right" vertical="center"/>
    </xf>
    <xf numFmtId="0" fontId="19" fillId="36" borderId="1" xfId="11322" applyFill="1"/>
    <xf numFmtId="185" fontId="17" fillId="36" borderId="1" xfId="11324" applyNumberFormat="1" applyFill="1" applyAlignment="1">
      <alignment horizontal="right" vertical="center"/>
    </xf>
    <xf numFmtId="0" fontId="17" fillId="36" borderId="1" xfId="11324" applyFill="1"/>
    <xf numFmtId="6" fontId="130" fillId="0" borderId="0" xfId="0" applyNumberFormat="1" applyFont="1"/>
    <xf numFmtId="0" fontId="196" fillId="0" borderId="0" xfId="0" applyFont="1"/>
    <xf numFmtId="172" fontId="132" fillId="0" borderId="73" xfId="0" applyNumberFormat="1" applyFont="1" applyBorder="1"/>
    <xf numFmtId="9" fontId="130" fillId="0" borderId="0" xfId="2" applyFont="1"/>
    <xf numFmtId="0" fontId="6" fillId="0" borderId="0" xfId="0" applyFont="1"/>
    <xf numFmtId="9" fontId="131" fillId="0" borderId="8" xfId="2" applyFont="1" applyBorder="1"/>
    <xf numFmtId="0" fontId="4" fillId="36" borderId="1" xfId="11337" applyFill="1"/>
    <xf numFmtId="185" fontId="4" fillId="36" borderId="1" xfId="11337" applyNumberFormat="1" applyFill="1" applyAlignment="1">
      <alignment horizontal="right" vertical="center"/>
    </xf>
    <xf numFmtId="39" fontId="132" fillId="0" borderId="73" xfId="0" applyNumberFormat="1" applyFont="1" applyBorder="1"/>
    <xf numFmtId="0" fontId="120" fillId="8" borderId="44" xfId="0" applyFont="1" applyFill="1" applyBorder="1" applyAlignment="1">
      <alignment horizontal="center" vertical="center" wrapText="1"/>
    </xf>
    <xf numFmtId="0" fontId="128" fillId="0" borderId="49" xfId="0" applyFont="1" applyBorder="1"/>
    <xf numFmtId="0" fontId="144" fillId="9" borderId="50" xfId="0" applyFont="1" applyFill="1" applyBorder="1" applyAlignment="1">
      <alignment horizontal="center" vertical="center" wrapText="1"/>
    </xf>
    <xf numFmtId="0" fontId="128" fillId="0" borderId="51" xfId="0" applyFont="1" applyBorder="1"/>
    <xf numFmtId="0" fontId="124" fillId="0" borderId="17" xfId="0" applyFont="1" applyBorder="1" applyAlignment="1">
      <alignment horizontal="center"/>
    </xf>
    <xf numFmtId="0" fontId="128" fillId="0" borderId="17" xfId="0" applyFont="1" applyBorder="1"/>
    <xf numFmtId="0" fontId="128" fillId="0" borderId="4" xfId="0" applyFont="1" applyBorder="1"/>
    <xf numFmtId="0" fontId="124" fillId="0" borderId="16" xfId="0" applyFont="1" applyBorder="1" applyAlignment="1">
      <alignment horizontal="center"/>
    </xf>
    <xf numFmtId="0" fontId="128" fillId="0" borderId="18" xfId="0" applyFont="1" applyBorder="1"/>
    <xf numFmtId="0" fontId="124" fillId="0" borderId="3" xfId="0" applyFont="1" applyBorder="1" applyAlignment="1">
      <alignment horizontal="center"/>
    </xf>
    <xf numFmtId="0" fontId="124" fillId="0" borderId="104" xfId="0" applyFont="1" applyBorder="1" applyAlignment="1">
      <alignment horizontal="center" vertical="center"/>
    </xf>
    <xf numFmtId="0" fontId="128" fillId="0" borderId="102" xfId="0" applyFont="1" applyBorder="1"/>
    <xf numFmtId="0" fontId="128" fillId="0" borderId="105" xfId="0" applyFont="1" applyBorder="1"/>
    <xf numFmtId="0" fontId="124" fillId="0" borderId="102" xfId="0" applyFont="1" applyBorder="1" applyAlignment="1">
      <alignment horizontal="center" vertical="center"/>
    </xf>
    <xf numFmtId="0" fontId="128" fillId="0" borderId="103" xfId="0" applyFont="1" applyBorder="1"/>
    <xf numFmtId="0" fontId="122" fillId="13" borderId="89" xfId="0" applyFont="1" applyFill="1" applyBorder="1" applyAlignment="1">
      <alignment horizontal="left" vertical="top" wrapText="1"/>
    </xf>
    <xf numFmtId="0" fontId="128" fillId="0" borderId="69" xfId="0" applyFont="1" applyBorder="1"/>
    <xf numFmtId="0" fontId="128" fillId="0" borderId="83" xfId="0" applyFont="1" applyBorder="1"/>
    <xf numFmtId="0" fontId="144" fillId="0" borderId="14" xfId="0" applyFont="1" applyBorder="1" applyAlignment="1">
      <alignment horizontal="center"/>
    </xf>
    <xf numFmtId="0" fontId="128" fillId="0" borderId="14" xfId="0" applyFont="1" applyBorder="1"/>
    <xf numFmtId="0" fontId="191" fillId="0" borderId="234" xfId="11280" applyFont="1" applyBorder="1" applyAlignment="1">
      <alignment horizontal="center" wrapText="1"/>
    </xf>
    <xf numFmtId="0" fontId="191" fillId="0" borderId="235" xfId="11280" applyFont="1" applyBorder="1" applyAlignment="1">
      <alignment horizontal="center" wrapText="1"/>
    </xf>
    <xf numFmtId="0" fontId="191" fillId="0" borderId="236" xfId="11280" applyFont="1" applyBorder="1" applyAlignment="1">
      <alignment horizontal="center" wrapText="1"/>
    </xf>
    <xf numFmtId="0" fontId="189" fillId="0" borderId="221" xfId="5626" applyFont="1" applyBorder="1" applyAlignment="1">
      <alignment horizontal="center"/>
    </xf>
    <xf numFmtId="0" fontId="189" fillId="0" borderId="223" xfId="5626" applyFont="1" applyBorder="1" applyAlignment="1">
      <alignment horizontal="center"/>
    </xf>
    <xf numFmtId="0" fontId="191" fillId="0" borderId="1" xfId="5626" applyFont="1" applyAlignment="1">
      <alignment horizontal="left" vertical="center"/>
    </xf>
    <xf numFmtId="2" fontId="189" fillId="38" borderId="221" xfId="5626" applyNumberFormat="1" applyFont="1" applyFill="1" applyBorder="1" applyAlignment="1">
      <alignment horizontal="center"/>
    </xf>
    <xf numFmtId="2" fontId="189" fillId="38" borderId="222" xfId="5626" applyNumberFormat="1" applyFont="1" applyFill="1" applyBorder="1" applyAlignment="1">
      <alignment horizontal="center"/>
    </xf>
    <xf numFmtId="2" fontId="189" fillId="38" borderId="223" xfId="5626" applyNumberFormat="1" applyFont="1" applyFill="1" applyBorder="1" applyAlignment="1">
      <alignment horizontal="center"/>
    </xf>
    <xf numFmtId="2" fontId="189" fillId="38" borderId="221" xfId="5626" applyNumberFormat="1" applyFont="1" applyFill="1" applyBorder="1" applyAlignment="1">
      <alignment horizontal="center" wrapText="1"/>
    </xf>
    <xf numFmtId="2" fontId="189" fillId="38" borderId="222" xfId="5626" applyNumberFormat="1" applyFont="1" applyFill="1" applyBorder="1" applyAlignment="1">
      <alignment horizontal="center" wrapText="1"/>
    </xf>
    <xf numFmtId="2" fontId="189" fillId="38" borderId="223" xfId="5626" applyNumberFormat="1" applyFont="1" applyFill="1" applyBorder="1" applyAlignment="1">
      <alignment horizontal="center" wrapText="1"/>
    </xf>
    <xf numFmtId="0" fontId="189" fillId="0" borderId="1" xfId="5626" applyFont="1" applyAlignment="1">
      <alignment horizontal="center"/>
    </xf>
    <xf numFmtId="0" fontId="120" fillId="0" borderId="127" xfId="0" applyFont="1" applyBorder="1" applyAlignment="1">
      <alignment horizontal="center"/>
    </xf>
    <xf numFmtId="0" fontId="128" fillId="0" borderId="128" xfId="0" applyFont="1" applyBorder="1"/>
    <xf numFmtId="0" fontId="128" fillId="0" borderId="129" xfId="0" applyFont="1" applyBorder="1"/>
    <xf numFmtId="0" fontId="121" fillId="0" borderId="130" xfId="0" applyFont="1" applyBorder="1" applyAlignment="1">
      <alignment horizontal="center"/>
    </xf>
    <xf numFmtId="0" fontId="128" fillId="0" borderId="63" xfId="0" applyFont="1" applyBorder="1"/>
    <xf numFmtId="0" fontId="128" fillId="0" borderId="131" xfId="0" applyFont="1" applyBorder="1"/>
    <xf numFmtId="49" fontId="186" fillId="36" borderId="1" xfId="11340" applyNumberFormat="1" applyFont="1" applyFill="1" applyAlignment="1">
      <alignment horizontal="left" vertical="center"/>
    </xf>
    <xf numFmtId="185" fontId="186" fillId="36" borderId="1" xfId="11340" applyNumberFormat="1" applyFont="1" applyFill="1" applyAlignment="1">
      <alignment horizontal="right" vertical="center"/>
    </xf>
    <xf numFmtId="49" fontId="1" fillId="36" borderId="1" xfId="11340" applyNumberFormat="1" applyFill="1" applyAlignment="1">
      <alignment horizontal="left" vertical="center"/>
    </xf>
    <xf numFmtId="0" fontId="1" fillId="36" borderId="1" xfId="11340" applyFill="1"/>
    <xf numFmtId="185" fontId="1" fillId="36" borderId="1" xfId="11340" applyNumberFormat="1" applyFill="1" applyAlignment="1">
      <alignment horizontal="right" vertical="center"/>
    </xf>
    <xf numFmtId="37" fontId="131" fillId="40" borderId="5" xfId="0" applyNumberFormat="1" applyFont="1" applyFill="1" applyBorder="1"/>
    <xf numFmtId="37" fontId="131" fillId="40" borderId="9" xfId="0" applyNumberFormat="1" applyFont="1" applyFill="1" applyBorder="1"/>
    <xf numFmtId="175" fontId="131" fillId="36" borderId="9" xfId="0" applyNumberFormat="1" applyFont="1" applyFill="1" applyBorder="1"/>
    <xf numFmtId="39" fontId="131" fillId="36" borderId="14" xfId="0" applyNumberFormat="1" applyFont="1" applyFill="1" applyBorder="1" applyAlignment="1">
      <alignment horizontal="center"/>
    </xf>
    <xf numFmtId="175" fontId="124" fillId="41" borderId="26" xfId="0" applyNumberFormat="1" applyFont="1" applyFill="1" applyBorder="1"/>
  </cellXfs>
  <cellStyles count="11341">
    <cellStyle name="Comma 10" xfId="33" xr:uid="{11CE2557-1BCA-41B5-8CAB-4ED04E4AE1CD}"/>
    <cellStyle name="Comma 10 2" xfId="65" xr:uid="{3BD005C0-D223-4C01-A5AF-18B9345B6CE1}"/>
    <cellStyle name="Comma 10 2 2" xfId="145" xr:uid="{F3C64DE8-1C85-44F8-8512-42066EEDBF45}"/>
    <cellStyle name="Comma 10 2 2 2" xfId="317" xr:uid="{076AE9C3-80D2-4C70-8175-9C1A0BB529D1}"/>
    <cellStyle name="Comma 10 2 2 2 2" xfId="661" xr:uid="{727ED791-A1F9-4348-AE6E-0A292C044EBD}"/>
    <cellStyle name="Comma 10 2 2 2 2 2" xfId="1357" xr:uid="{0EE5358E-164F-4EF8-B043-2220FF269174}"/>
    <cellStyle name="Comma 10 2 2 2 2 2 2" xfId="2758" xr:uid="{6965315C-D5C4-4170-91EB-B9FB37DDF69D}"/>
    <cellStyle name="Comma 10 2 2 2 2 2 2 2" xfId="5568" xr:uid="{669BCDCC-9D16-442F-A4FB-5CC3FEC035FF}"/>
    <cellStyle name="Comma 10 2 2 2 2 2 2 2 2" xfId="11204" xr:uid="{406256D0-41DE-4FE5-AE91-224F5675AE64}"/>
    <cellStyle name="Comma 10 2 2 2 2 2 2 3" xfId="8394" xr:uid="{230B1689-BAB7-4404-A367-E5B87C815867}"/>
    <cellStyle name="Comma 10 2 2 2 2 2 3" xfId="4167" xr:uid="{8BEADCBC-5053-4BF3-BF3E-6A0C8244CAE4}"/>
    <cellStyle name="Comma 10 2 2 2 2 2 3 2" xfId="9803" xr:uid="{88F88B85-2927-4D85-93FF-1875B8BA2675}"/>
    <cellStyle name="Comma 10 2 2 2 2 2 4" xfId="6993" xr:uid="{772C8486-AB0D-43D9-A7E1-759E6F81A4FC}"/>
    <cellStyle name="Comma 10 2 2 2 2 3" xfId="2062" xr:uid="{7F54A165-54CA-4B6B-814C-9EB385253CB4}"/>
    <cellStyle name="Comma 10 2 2 2 2 3 2" xfId="4872" xr:uid="{BF28CA54-3AE1-427D-B01E-05DCEC733BCF}"/>
    <cellStyle name="Comma 10 2 2 2 2 3 2 2" xfId="10508" xr:uid="{2A87B23D-2524-46C0-A783-46A903B73318}"/>
    <cellStyle name="Comma 10 2 2 2 2 3 3" xfId="7698" xr:uid="{524F0BCF-F411-4588-8D26-6B4E8BA80C1C}"/>
    <cellStyle name="Comma 10 2 2 2 2 4" xfId="3471" xr:uid="{FAAE1ACF-F48D-461A-920A-9910800B2321}"/>
    <cellStyle name="Comma 10 2 2 2 2 4 2" xfId="9107" xr:uid="{4401CA9D-BDA5-4BC0-A1B6-DB7F89501430}"/>
    <cellStyle name="Comma 10 2 2 2 2 5" xfId="6297" xr:uid="{7B0BE427-B8A7-4402-A3C1-56D6BF29AD86}"/>
    <cellStyle name="Comma 10 2 2 2 3" xfId="1013" xr:uid="{D9BF87DF-0E35-4B50-84E6-8F672768576D}"/>
    <cellStyle name="Comma 10 2 2 2 3 2" xfId="2414" xr:uid="{CD02A878-F0AB-4A0F-95B6-1CC6EF0CE3BF}"/>
    <cellStyle name="Comma 10 2 2 2 3 2 2" xfId="5224" xr:uid="{5E0F476E-E175-41EC-92E0-D42110AA826B}"/>
    <cellStyle name="Comma 10 2 2 2 3 2 2 2" xfId="10860" xr:uid="{26373FCC-B574-4DE5-87F2-77FDEBD2D73E}"/>
    <cellStyle name="Comma 10 2 2 2 3 2 3" xfId="8050" xr:uid="{B7498FC8-E01C-4AB6-9963-50C800FA28F5}"/>
    <cellStyle name="Comma 10 2 2 2 3 3" xfId="3823" xr:uid="{CAAEE5B3-8F4B-4332-B904-2DD64FB73A95}"/>
    <cellStyle name="Comma 10 2 2 2 3 3 2" xfId="9459" xr:uid="{1595D139-6EDC-47D4-829B-362E5FBB4107}"/>
    <cellStyle name="Comma 10 2 2 2 3 4" xfId="6649" xr:uid="{CE92A644-54AE-4AAB-84AD-F6DA5BF1DF1B}"/>
    <cellStyle name="Comma 10 2 2 2 4" xfId="1718" xr:uid="{A22D6F7B-1D4C-4C33-BBC0-E4A613C16DBF}"/>
    <cellStyle name="Comma 10 2 2 2 4 2" xfId="4528" xr:uid="{4352A225-622B-41D9-868C-97C206F7F860}"/>
    <cellStyle name="Comma 10 2 2 2 4 2 2" xfId="10164" xr:uid="{9DA46876-0176-4902-98C6-BBFDC66616BC}"/>
    <cellStyle name="Comma 10 2 2 2 4 3" xfId="7354" xr:uid="{E4A988F4-1804-4839-A48A-EC3A68E03AE7}"/>
    <cellStyle name="Comma 10 2 2 2 5" xfId="3127" xr:uid="{63FA6C81-CBB0-47AB-B025-E2699572A31C}"/>
    <cellStyle name="Comma 10 2 2 2 5 2" xfId="8763" xr:uid="{3A6F9E61-190D-4B3D-8072-15049AEE0AF7}"/>
    <cellStyle name="Comma 10 2 2 2 6" xfId="5953" xr:uid="{9F710088-9FE4-4DC0-A5F4-C9DB2AB830ED}"/>
    <cellStyle name="Comma 10 2 2 3" xfId="489" xr:uid="{54060850-F0DB-4161-A244-C8CC20FADDD7}"/>
    <cellStyle name="Comma 10 2 2 3 2" xfId="1185" xr:uid="{9838319B-FDCB-4916-A077-C824C7347F92}"/>
    <cellStyle name="Comma 10 2 2 3 2 2" xfId="2586" xr:uid="{DA87312B-D152-4057-993F-28FB45862390}"/>
    <cellStyle name="Comma 10 2 2 3 2 2 2" xfId="5396" xr:uid="{7268C688-1EE1-40E5-87D9-25687947BC8D}"/>
    <cellStyle name="Comma 10 2 2 3 2 2 2 2" xfId="11032" xr:uid="{7C0D4CE1-5311-4930-90A3-ECD9A33F8843}"/>
    <cellStyle name="Comma 10 2 2 3 2 2 3" xfId="8222" xr:uid="{54993384-B67B-42EB-A5F1-2AD7D89431C6}"/>
    <cellStyle name="Comma 10 2 2 3 2 3" xfId="3995" xr:uid="{491034E4-8CD1-4AC6-8582-CC41C1683146}"/>
    <cellStyle name="Comma 10 2 2 3 2 3 2" xfId="9631" xr:uid="{4E05CDE9-236D-4075-BF1D-6E25D13BAB8D}"/>
    <cellStyle name="Comma 10 2 2 3 2 4" xfId="6821" xr:uid="{116DFB78-2087-40A1-BFFB-0286E3D14045}"/>
    <cellStyle name="Comma 10 2 2 3 3" xfId="1890" xr:uid="{02D91D63-607D-4263-AF38-8A22330D5241}"/>
    <cellStyle name="Comma 10 2 2 3 3 2" xfId="4700" xr:uid="{8F40B079-F8EC-48BA-AF0C-C08DDE0A4622}"/>
    <cellStyle name="Comma 10 2 2 3 3 2 2" xfId="10336" xr:uid="{8B67574A-8964-47E2-A2DF-897ACEB02B51}"/>
    <cellStyle name="Comma 10 2 2 3 3 3" xfId="7526" xr:uid="{97B90790-B810-4246-BF85-66AAA08FAC10}"/>
    <cellStyle name="Comma 10 2 2 3 4" xfId="3299" xr:uid="{446DF6C5-F441-47A9-BFEC-0FF5346F98CC}"/>
    <cellStyle name="Comma 10 2 2 3 4 2" xfId="8935" xr:uid="{F79EA8A2-7CB4-4A60-B9DD-F55F2E8DFA25}"/>
    <cellStyle name="Comma 10 2 2 3 5" xfId="6125" xr:uid="{CC0B6A07-C34B-4BA6-9817-4F84E9A65A8F}"/>
    <cellStyle name="Comma 10 2 2 4" xfId="841" xr:uid="{EAB389E5-DCCF-4299-B1CA-4BAD9753D0C6}"/>
    <cellStyle name="Comma 10 2 2 4 2" xfId="2242" xr:uid="{A9767C2C-DF79-48D9-8B5C-A59C1AE2657D}"/>
    <cellStyle name="Comma 10 2 2 4 2 2" xfId="5052" xr:uid="{DFBDD729-64FC-4E6D-8177-D676121E9E84}"/>
    <cellStyle name="Comma 10 2 2 4 2 2 2" xfId="10688" xr:uid="{741B43F8-1B8A-44DE-BC14-B7C9FA0007CD}"/>
    <cellStyle name="Comma 10 2 2 4 2 3" xfId="7878" xr:uid="{7C2CD6FD-8EA5-499F-BA35-049CA045F609}"/>
    <cellStyle name="Comma 10 2 2 4 3" xfId="3651" xr:uid="{CF44A63C-3297-4053-AD5F-6FD204A86023}"/>
    <cellStyle name="Comma 10 2 2 4 3 2" xfId="9287" xr:uid="{D810AEAB-65DB-406B-98E2-5711E57AD278}"/>
    <cellStyle name="Comma 10 2 2 4 4" xfId="6477" xr:uid="{D8CED6B0-4873-4E45-9D44-87CD9C9606B5}"/>
    <cellStyle name="Comma 10 2 2 5" xfId="1546" xr:uid="{A9432BE1-BB1E-4817-8857-7F23B0310AB9}"/>
    <cellStyle name="Comma 10 2 2 5 2" xfId="4356" xr:uid="{2A40CF73-E0FA-4BB7-BF50-6D890A04488E}"/>
    <cellStyle name="Comma 10 2 2 5 2 2" xfId="9992" xr:uid="{9C9A232E-D7DD-41FC-8CA3-43680B264D9E}"/>
    <cellStyle name="Comma 10 2 2 5 3" xfId="7182" xr:uid="{401B4172-2D10-4722-9CB5-001DE80C5D61}"/>
    <cellStyle name="Comma 10 2 2 6" xfId="2955" xr:uid="{D5807731-0202-4567-AC86-FBBE862634E4}"/>
    <cellStyle name="Comma 10 2 2 6 2" xfId="8591" xr:uid="{920754A6-6AA2-4384-932D-E5867914DC6E}"/>
    <cellStyle name="Comma 10 2 2 7" xfId="5781" xr:uid="{ED44C1CD-281B-4414-882A-2230AFA8CDC3}"/>
    <cellStyle name="Comma 10 2 3" xfId="237" xr:uid="{027AAEDD-0170-44DF-A066-24B54C3209F2}"/>
    <cellStyle name="Comma 10 2 3 2" xfId="581" xr:uid="{C60B8356-A256-4F90-9D97-120501D1C488}"/>
    <cellStyle name="Comma 10 2 3 2 2" xfId="1277" xr:uid="{4C12F951-0E48-4D9E-8CF0-9E1168B455A4}"/>
    <cellStyle name="Comma 10 2 3 2 2 2" xfId="2678" xr:uid="{09EFB567-DE72-4798-ACC2-68C912C05A4E}"/>
    <cellStyle name="Comma 10 2 3 2 2 2 2" xfId="5488" xr:uid="{D8A5DA4E-D6A0-401D-A90E-2A38555F3AD0}"/>
    <cellStyle name="Comma 10 2 3 2 2 2 2 2" xfId="11124" xr:uid="{1E268E5C-9896-4B5F-9590-0ACF8C986DEE}"/>
    <cellStyle name="Comma 10 2 3 2 2 2 3" xfId="8314" xr:uid="{3893DB78-4FD3-4AD0-B666-EA3BD66E7376}"/>
    <cellStyle name="Comma 10 2 3 2 2 3" xfId="4087" xr:uid="{2541A719-A7E1-410E-BFD0-14ABDACDC943}"/>
    <cellStyle name="Comma 10 2 3 2 2 3 2" xfId="9723" xr:uid="{1A4A6DB8-50A4-4098-8F87-5CCAB80526ED}"/>
    <cellStyle name="Comma 10 2 3 2 2 4" xfId="6913" xr:uid="{B8FDFF1B-A9F0-42F3-9081-8645D17CE7DD}"/>
    <cellStyle name="Comma 10 2 3 2 3" xfId="1982" xr:uid="{2A575C48-9EDF-4444-8B5C-2E73ACCEAEB1}"/>
    <cellStyle name="Comma 10 2 3 2 3 2" xfId="4792" xr:uid="{CF50D243-9E90-45C7-9A58-51D8EFE412ED}"/>
    <cellStyle name="Comma 10 2 3 2 3 2 2" xfId="10428" xr:uid="{AD987A57-5ABD-4537-BCB3-C63BF23372EB}"/>
    <cellStyle name="Comma 10 2 3 2 3 3" xfId="7618" xr:uid="{CA863A54-C5BF-40CA-91B0-B818DB3574C2}"/>
    <cellStyle name="Comma 10 2 3 2 4" xfId="3391" xr:uid="{D1FCDE0E-5889-4156-9806-0E84D6052C25}"/>
    <cellStyle name="Comma 10 2 3 2 4 2" xfId="9027" xr:uid="{7DF13FF4-1520-49CC-BFA0-7D388CDF93A7}"/>
    <cellStyle name="Comma 10 2 3 2 5" xfId="6217" xr:uid="{3001ED02-27FB-4B19-8974-3EA985BEE0F2}"/>
    <cellStyle name="Comma 10 2 3 3" xfId="933" xr:uid="{BB07124E-5A5C-4042-92E8-C4354B794B07}"/>
    <cellStyle name="Comma 10 2 3 3 2" xfId="2334" xr:uid="{218BAB63-414B-4A87-AD06-0062A20926DF}"/>
    <cellStyle name="Comma 10 2 3 3 2 2" xfId="5144" xr:uid="{D530FADB-EA51-4C41-BEB3-8CBF8EB2C429}"/>
    <cellStyle name="Comma 10 2 3 3 2 2 2" xfId="10780" xr:uid="{C199537C-131F-4229-AE58-1CDA1EF903F8}"/>
    <cellStyle name="Comma 10 2 3 3 2 3" xfId="7970" xr:uid="{8B11A11F-623E-4408-87F7-9219ED4E2DD2}"/>
    <cellStyle name="Comma 10 2 3 3 3" xfId="3743" xr:uid="{2171A4F1-1BCA-4187-831A-16CB9BA0C455}"/>
    <cellStyle name="Comma 10 2 3 3 3 2" xfId="9379" xr:uid="{E445879A-CA53-45B5-8DD1-B4E480A6BB77}"/>
    <cellStyle name="Comma 10 2 3 3 4" xfId="6569" xr:uid="{A3B939D6-E799-40F5-9551-284DF6CCB37A}"/>
    <cellStyle name="Comma 10 2 3 4" xfId="1638" xr:uid="{7397DE86-C6F2-4A96-A9B9-F8F75E012E44}"/>
    <cellStyle name="Comma 10 2 3 4 2" xfId="4448" xr:uid="{A0D07DD6-7CD3-4610-86B6-6C12EBA1CDC1}"/>
    <cellStyle name="Comma 10 2 3 4 2 2" xfId="10084" xr:uid="{E2C5C57F-1F06-41AE-8D93-76B82ED33C09}"/>
    <cellStyle name="Comma 10 2 3 4 3" xfId="7274" xr:uid="{BC0C8A4A-EF5A-497F-B922-DD7C95856D23}"/>
    <cellStyle name="Comma 10 2 3 5" xfId="3047" xr:uid="{E0E071A8-73EF-46E7-958E-F19A50A7AA34}"/>
    <cellStyle name="Comma 10 2 3 5 2" xfId="8683" xr:uid="{EB5DA652-AEBA-4D7F-AE48-28F5F3682F31}"/>
    <cellStyle name="Comma 10 2 3 6" xfId="5873" xr:uid="{D03EC78D-6853-4B76-A999-CF6830A53194}"/>
    <cellStyle name="Comma 10 2 4" xfId="409" xr:uid="{E8122407-720F-42C1-A810-F396AAA42AA4}"/>
    <cellStyle name="Comma 10 2 4 2" xfId="1105" xr:uid="{F37A9104-4D94-4CC7-9C3B-399F5BE8016B}"/>
    <cellStyle name="Comma 10 2 4 2 2" xfId="2506" xr:uid="{BD293EE9-0CF4-4FF4-A655-BE41730AF001}"/>
    <cellStyle name="Comma 10 2 4 2 2 2" xfId="5316" xr:uid="{FFC5E2DC-B2C9-4724-BA80-2F5E04FC004C}"/>
    <cellStyle name="Comma 10 2 4 2 2 2 2" xfId="10952" xr:uid="{EB7B0467-192B-40B9-A0CF-DB459C97945C}"/>
    <cellStyle name="Comma 10 2 4 2 2 3" xfId="8142" xr:uid="{6403D7B5-F40F-4E6D-8CEE-3CD8AD7BA43A}"/>
    <cellStyle name="Comma 10 2 4 2 3" xfId="3915" xr:uid="{7600983A-8C31-4A7F-A16A-3C76C53D43F7}"/>
    <cellStyle name="Comma 10 2 4 2 3 2" xfId="9551" xr:uid="{B901395E-7E46-483E-8437-2CF784ACA12E}"/>
    <cellStyle name="Comma 10 2 4 2 4" xfId="6741" xr:uid="{30D5E9C8-ED71-4A96-A8E7-B6E0FF4329DA}"/>
    <cellStyle name="Comma 10 2 4 3" xfId="1810" xr:uid="{4BEADB0C-E9A9-40FA-B7EF-932341C68235}"/>
    <cellStyle name="Comma 10 2 4 3 2" xfId="4620" xr:uid="{95C05917-0DA8-4A0D-90C2-847CC6D8AE28}"/>
    <cellStyle name="Comma 10 2 4 3 2 2" xfId="10256" xr:uid="{C224ABEC-C63F-48C7-AC06-8D29A2C370EA}"/>
    <cellStyle name="Comma 10 2 4 3 3" xfId="7446" xr:uid="{653DFB2F-042F-4C4E-B874-E6189CD00EE6}"/>
    <cellStyle name="Comma 10 2 4 4" xfId="3219" xr:uid="{8378E7E5-482C-4EF6-B91C-E18A7CCF4913}"/>
    <cellStyle name="Comma 10 2 4 4 2" xfId="8855" xr:uid="{3C08DF00-F604-4EBD-B4F5-85EA2D281C99}"/>
    <cellStyle name="Comma 10 2 4 5" xfId="6045" xr:uid="{D15599AC-6919-4A68-9C85-52E06EB3BD4E}"/>
    <cellStyle name="Comma 10 2 5" xfId="761" xr:uid="{7E67BF55-7088-459C-85BB-2B846D5623AD}"/>
    <cellStyle name="Comma 10 2 5 2" xfId="2162" xr:uid="{DA3D6BCA-BF81-4BF1-8052-84A97FA6F290}"/>
    <cellStyle name="Comma 10 2 5 2 2" xfId="4972" xr:uid="{13015747-A758-45F5-8CC7-CF62C6C43DFC}"/>
    <cellStyle name="Comma 10 2 5 2 2 2" xfId="10608" xr:uid="{E65F0409-1265-42AF-B563-EB1752C1450B}"/>
    <cellStyle name="Comma 10 2 5 2 3" xfId="7798" xr:uid="{2CAE781E-C4ED-4D50-AFCA-AA043DFA442F}"/>
    <cellStyle name="Comma 10 2 5 3" xfId="3571" xr:uid="{7CDEE428-3CE0-4B6E-AC63-5340DA6BA0D2}"/>
    <cellStyle name="Comma 10 2 5 3 2" xfId="9207" xr:uid="{B456DFDB-9AC7-46B3-B430-6653BCF213A8}"/>
    <cellStyle name="Comma 10 2 5 4" xfId="6397" xr:uid="{999B9227-1B9B-4105-B977-F464BF74F5B3}"/>
    <cellStyle name="Comma 10 2 6" xfId="1466" xr:uid="{7E180862-9563-4044-8AC5-3AED0E2D057F}"/>
    <cellStyle name="Comma 10 2 6 2" xfId="4276" xr:uid="{EC16F92F-B6FD-4406-B7A1-3D4428A331B5}"/>
    <cellStyle name="Comma 10 2 6 2 2" xfId="9912" xr:uid="{C897DC05-3C46-49B3-9EF1-0525DD168344}"/>
    <cellStyle name="Comma 10 2 6 3" xfId="7102" xr:uid="{DAA0D6D2-40F8-44F7-B03E-A1E843978B96}"/>
    <cellStyle name="Comma 10 2 7" xfId="2875" xr:uid="{087940FF-C4A1-4D2E-809F-9D52D597C04B}"/>
    <cellStyle name="Comma 10 2 7 2" xfId="8511" xr:uid="{AF4CC908-340A-4B8A-ACC1-C1735EDFD03F}"/>
    <cellStyle name="Comma 10 2 8" xfId="5701" xr:uid="{40D5234A-A155-44A0-8919-79401F3B1147}"/>
    <cellStyle name="Comma 10 3" xfId="113" xr:uid="{8774B8AC-53A8-458D-9E94-37611427B253}"/>
    <cellStyle name="Comma 10 3 2" xfId="285" xr:uid="{5C78B052-95B8-4A1D-8493-41A1749EC74A}"/>
    <cellStyle name="Comma 10 3 2 2" xfId="629" xr:uid="{AE827454-8BF2-4090-8512-238C7CF4F2BC}"/>
    <cellStyle name="Comma 10 3 2 2 2" xfId="1325" xr:uid="{176EE759-D72F-4340-8AA4-B9835D3717B5}"/>
    <cellStyle name="Comma 10 3 2 2 2 2" xfId="2726" xr:uid="{FA49F3C5-68BF-4B5F-B582-C1E548CF615B}"/>
    <cellStyle name="Comma 10 3 2 2 2 2 2" xfId="5536" xr:uid="{1250D47E-FB79-4C69-9B9D-F7E51130EC30}"/>
    <cellStyle name="Comma 10 3 2 2 2 2 2 2" xfId="11172" xr:uid="{C656618C-E2BF-4B9E-950C-14709F42EF52}"/>
    <cellStyle name="Comma 10 3 2 2 2 2 3" xfId="8362" xr:uid="{A794CF5D-1AFB-4361-9E59-8CDD2556AF60}"/>
    <cellStyle name="Comma 10 3 2 2 2 3" xfId="4135" xr:uid="{0490C8C2-8F0C-4176-92A5-50E95A4842D0}"/>
    <cellStyle name="Comma 10 3 2 2 2 3 2" xfId="9771" xr:uid="{9CC5A1E7-5747-40B0-9D95-A17B3FB96BAD}"/>
    <cellStyle name="Comma 10 3 2 2 2 4" xfId="6961" xr:uid="{734DC008-0B75-473A-ACD2-79D12A131528}"/>
    <cellStyle name="Comma 10 3 2 2 3" xfId="2030" xr:uid="{F8D705F9-60E9-4703-BC3B-DC0CD321C192}"/>
    <cellStyle name="Comma 10 3 2 2 3 2" xfId="4840" xr:uid="{7DA86031-088A-4189-9D63-BB71F8FE16A1}"/>
    <cellStyle name="Comma 10 3 2 2 3 2 2" xfId="10476" xr:uid="{FB8E0F4D-2628-4E34-ACE7-0BF58CD92535}"/>
    <cellStyle name="Comma 10 3 2 2 3 3" xfId="7666" xr:uid="{E2F4CA34-BF26-4C89-97C2-EE9D4F09F6E1}"/>
    <cellStyle name="Comma 10 3 2 2 4" xfId="3439" xr:uid="{D824205F-7746-408F-9F33-97802B7503BF}"/>
    <cellStyle name="Comma 10 3 2 2 4 2" xfId="9075" xr:uid="{B34386C6-C2C7-413A-BF14-F695A2687686}"/>
    <cellStyle name="Comma 10 3 2 2 5" xfId="6265" xr:uid="{E3284D44-C69B-41F4-B6A5-3820229FD9FF}"/>
    <cellStyle name="Comma 10 3 2 3" xfId="981" xr:uid="{F989B334-E62A-43F6-AA37-F4D15494873D}"/>
    <cellStyle name="Comma 10 3 2 3 2" xfId="2382" xr:uid="{1231BA4D-131A-41AF-BD30-568E74838144}"/>
    <cellStyle name="Comma 10 3 2 3 2 2" xfId="5192" xr:uid="{1DA2B2FA-30E8-421A-A6F2-95B42A232F36}"/>
    <cellStyle name="Comma 10 3 2 3 2 2 2" xfId="10828" xr:uid="{0144F82C-0DF2-408D-AA2C-8E8E6CEB6EDC}"/>
    <cellStyle name="Comma 10 3 2 3 2 3" xfId="8018" xr:uid="{9BAE9C81-E972-4D39-896A-6009FF4130C8}"/>
    <cellStyle name="Comma 10 3 2 3 3" xfId="3791" xr:uid="{0D3FAA8E-8464-49ED-B5CB-650983F1A3A8}"/>
    <cellStyle name="Comma 10 3 2 3 3 2" xfId="9427" xr:uid="{B2E633BA-22A3-4E51-B467-6EFD9F1C6F5B}"/>
    <cellStyle name="Comma 10 3 2 3 4" xfId="6617" xr:uid="{2AF583FD-E744-487C-8F46-E4646DE5992D}"/>
    <cellStyle name="Comma 10 3 2 4" xfId="1686" xr:uid="{1FC08C89-6165-4742-A4BE-18CE16F4CEF6}"/>
    <cellStyle name="Comma 10 3 2 4 2" xfId="4496" xr:uid="{BDBD3F48-BA10-476F-9222-60D8443F6D4D}"/>
    <cellStyle name="Comma 10 3 2 4 2 2" xfId="10132" xr:uid="{527F12FF-9498-4B8D-99D8-8DC77C3086B4}"/>
    <cellStyle name="Comma 10 3 2 4 3" xfId="7322" xr:uid="{0A44C138-6334-44F0-960A-8D5D04F6FD47}"/>
    <cellStyle name="Comma 10 3 2 5" xfId="3095" xr:uid="{8DD68EA9-F1FE-410B-8962-BBDBCA2174B5}"/>
    <cellStyle name="Comma 10 3 2 5 2" xfId="8731" xr:uid="{B84AF34B-4F0F-4701-97A9-8ED4C95DBE4D}"/>
    <cellStyle name="Comma 10 3 2 6" xfId="5921" xr:uid="{EF72099E-38E9-42E7-80FA-B8FE916BD17D}"/>
    <cellStyle name="Comma 10 3 3" xfId="457" xr:uid="{E679BF51-FF04-423F-A42C-E99A2F8B2A98}"/>
    <cellStyle name="Comma 10 3 3 2" xfId="1153" xr:uid="{13FE09CD-AD55-48C0-80AC-A870364E8DAD}"/>
    <cellStyle name="Comma 10 3 3 2 2" xfId="2554" xr:uid="{0E0B811E-7DB6-4746-8479-7B91D2D76766}"/>
    <cellStyle name="Comma 10 3 3 2 2 2" xfId="5364" xr:uid="{1415FF7E-1CA9-4438-A536-779A9E458080}"/>
    <cellStyle name="Comma 10 3 3 2 2 2 2" xfId="11000" xr:uid="{BDDA103A-127E-4230-9CD8-CDDCA03BE969}"/>
    <cellStyle name="Comma 10 3 3 2 2 3" xfId="8190" xr:uid="{FFACA894-5AA7-4227-B6CB-8C94ED92C6B7}"/>
    <cellStyle name="Comma 10 3 3 2 3" xfId="3963" xr:uid="{323C2CAA-961B-4928-90F9-6ADED57CD93F}"/>
    <cellStyle name="Comma 10 3 3 2 3 2" xfId="9599" xr:uid="{6A89ABE3-F7B4-41C4-8426-40CD6E9C4135}"/>
    <cellStyle name="Comma 10 3 3 2 4" xfId="6789" xr:uid="{906C3326-6397-4A72-962F-6A603D9C37E0}"/>
    <cellStyle name="Comma 10 3 3 3" xfId="1858" xr:uid="{82EF3DDB-8336-421F-A5BF-EF854B835ED3}"/>
    <cellStyle name="Comma 10 3 3 3 2" xfId="4668" xr:uid="{07DFF410-E650-4B24-99FE-1B118AC7D78E}"/>
    <cellStyle name="Comma 10 3 3 3 2 2" xfId="10304" xr:uid="{D6706A34-6CE7-4FC1-A4D9-96C027940BF1}"/>
    <cellStyle name="Comma 10 3 3 3 3" xfId="7494" xr:uid="{F2B79211-A658-482E-A2C5-7CBC5CA5BF33}"/>
    <cellStyle name="Comma 10 3 3 4" xfId="3267" xr:uid="{C31D80C2-2712-46B4-B0D1-B345EE51326B}"/>
    <cellStyle name="Comma 10 3 3 4 2" xfId="8903" xr:uid="{5C147692-4B6A-4AAA-8993-E25EDCD892A8}"/>
    <cellStyle name="Comma 10 3 3 5" xfId="6093" xr:uid="{07853BBC-B08C-458F-AD41-EDB86CCF3A61}"/>
    <cellStyle name="Comma 10 3 4" xfId="809" xr:uid="{517C45A7-D78B-4E3B-A6FD-FE572A301F99}"/>
    <cellStyle name="Comma 10 3 4 2" xfId="2210" xr:uid="{3F5D60B0-7D9B-4564-B2EE-C510C9AABFEA}"/>
    <cellStyle name="Comma 10 3 4 2 2" xfId="5020" xr:uid="{CB6CDD33-F515-43C1-B6A4-AE516E3DF087}"/>
    <cellStyle name="Comma 10 3 4 2 2 2" xfId="10656" xr:uid="{3D8043A4-759D-4567-8AF3-4CEE96D15D77}"/>
    <cellStyle name="Comma 10 3 4 2 3" xfId="7846" xr:uid="{283415FE-38B2-4445-A39F-092D34EDBFF3}"/>
    <cellStyle name="Comma 10 3 4 3" xfId="3619" xr:uid="{AE7ACB41-18ED-463E-BB7F-15E920F27DE0}"/>
    <cellStyle name="Comma 10 3 4 3 2" xfId="9255" xr:uid="{AD7F2782-72BD-443E-B2D7-563C0F7AA00F}"/>
    <cellStyle name="Comma 10 3 4 4" xfId="6445" xr:uid="{78D4C421-448C-483D-AB78-63DEB7DEC4FF}"/>
    <cellStyle name="Comma 10 3 5" xfId="1514" xr:uid="{8C1C3F2B-87BF-4E05-9A9F-59B1165F2015}"/>
    <cellStyle name="Comma 10 3 5 2" xfId="4324" xr:uid="{64CB3FC9-D2B7-4F56-BF41-95B3B4280CEB}"/>
    <cellStyle name="Comma 10 3 5 2 2" xfId="9960" xr:uid="{ED519AD9-2205-435D-B8B7-095F52B5D8F4}"/>
    <cellStyle name="Comma 10 3 5 3" xfId="7150" xr:uid="{BF532623-53B9-4F21-9E14-762B15C5F95D}"/>
    <cellStyle name="Comma 10 3 6" xfId="2923" xr:uid="{B6B9A0CB-9044-4625-A376-E16353013C5B}"/>
    <cellStyle name="Comma 10 3 6 2" xfId="8559" xr:uid="{9A0E7564-A1C9-49F6-A668-487E9B0F8B1D}"/>
    <cellStyle name="Comma 10 3 7" xfId="5749" xr:uid="{5EC03E1C-40A3-4FE0-BD50-5565805799FE}"/>
    <cellStyle name="Comma 10 4" xfId="205" xr:uid="{86BDB811-E0CF-45EC-82A2-01FDD596A3C3}"/>
    <cellStyle name="Comma 10 4 2" xfId="549" xr:uid="{3DDBFD62-B073-4C17-BC9D-778DD8F9C262}"/>
    <cellStyle name="Comma 10 4 2 2" xfId="1245" xr:uid="{B888FFC7-EC6A-4DE8-BCE8-7C5EE7DF023A}"/>
    <cellStyle name="Comma 10 4 2 2 2" xfId="2646" xr:uid="{B9606199-AE42-4D35-AD30-074B2838BF13}"/>
    <cellStyle name="Comma 10 4 2 2 2 2" xfId="5456" xr:uid="{567D0278-46FB-43DB-BE27-66090A2DCCB2}"/>
    <cellStyle name="Comma 10 4 2 2 2 2 2" xfId="11092" xr:uid="{9981F3FB-B53E-481E-BD2A-23D691EDD845}"/>
    <cellStyle name="Comma 10 4 2 2 2 3" xfId="8282" xr:uid="{0226396B-81AA-446F-A6AB-2997F0D5AA4E}"/>
    <cellStyle name="Comma 10 4 2 2 3" xfId="4055" xr:uid="{0AE8764B-CAAB-4048-A14A-CCD7666B984E}"/>
    <cellStyle name="Comma 10 4 2 2 3 2" xfId="9691" xr:uid="{56DC650A-168C-4FC0-B57E-7B7BCFA95A6C}"/>
    <cellStyle name="Comma 10 4 2 2 4" xfId="6881" xr:uid="{B095CCCB-5F7B-47B3-863E-6E6A131FA7BA}"/>
    <cellStyle name="Comma 10 4 2 3" xfId="1950" xr:uid="{357CB34A-7BBE-4094-88B9-BF384B231A6D}"/>
    <cellStyle name="Comma 10 4 2 3 2" xfId="4760" xr:uid="{2B7183AD-AE17-4D55-BBEA-29E9F52C166C}"/>
    <cellStyle name="Comma 10 4 2 3 2 2" xfId="10396" xr:uid="{B16FA2FC-9DA1-4EDF-A2A4-49552A30399F}"/>
    <cellStyle name="Comma 10 4 2 3 3" xfId="7586" xr:uid="{C5EFA101-6703-4BD5-A073-8BA0A631A56F}"/>
    <cellStyle name="Comma 10 4 2 4" xfId="3359" xr:uid="{AF684D09-C73D-441C-8C65-F3FF6AF286C3}"/>
    <cellStyle name="Comma 10 4 2 4 2" xfId="8995" xr:uid="{F037F6A3-2B60-4C54-A7D3-27E3E6181BCC}"/>
    <cellStyle name="Comma 10 4 2 5" xfId="6185" xr:uid="{6F35DB91-5EB7-416A-BAB2-42DAE98DE346}"/>
    <cellStyle name="Comma 10 4 3" xfId="901" xr:uid="{3505FEA2-6D65-4FD1-9A73-0A499446362D}"/>
    <cellStyle name="Comma 10 4 3 2" xfId="2302" xr:uid="{8E5B8F7E-E67B-494B-8836-8A8DDFD6C99B}"/>
    <cellStyle name="Comma 10 4 3 2 2" xfId="5112" xr:uid="{C229AD7A-60B2-4518-B0CA-6927B4BB65E2}"/>
    <cellStyle name="Comma 10 4 3 2 2 2" xfId="10748" xr:uid="{02CB0461-5C3D-4DEA-9A8E-EEA1C4FD31AF}"/>
    <cellStyle name="Comma 10 4 3 2 3" xfId="7938" xr:uid="{DC146C88-3104-44F6-AAA7-745C7713FAEC}"/>
    <cellStyle name="Comma 10 4 3 3" xfId="3711" xr:uid="{C073D9E7-EF38-4399-949B-83F8AF426875}"/>
    <cellStyle name="Comma 10 4 3 3 2" xfId="9347" xr:uid="{3289FA3D-1687-43F6-A66A-85040E370C7E}"/>
    <cellStyle name="Comma 10 4 3 4" xfId="6537" xr:uid="{402B2B99-10D1-4C2F-8A9D-5E0537B7DC70}"/>
    <cellStyle name="Comma 10 4 4" xfId="1606" xr:uid="{93298855-47DA-4989-A416-5F5DC89E5FDC}"/>
    <cellStyle name="Comma 10 4 4 2" xfId="4416" xr:uid="{C511571D-8994-41D0-8906-7291972DB3DC}"/>
    <cellStyle name="Comma 10 4 4 2 2" xfId="10052" xr:uid="{0D0B4028-8C40-44BA-BB0A-67FEFE6F86D2}"/>
    <cellStyle name="Comma 10 4 4 3" xfId="7242" xr:uid="{6A1044EB-8917-4BD9-B634-EA5329C8BD96}"/>
    <cellStyle name="Comma 10 4 5" xfId="3015" xr:uid="{D22E7253-FC57-437A-B1AA-BED0C9AD21B6}"/>
    <cellStyle name="Comma 10 4 5 2" xfId="8651" xr:uid="{5089F58D-EEDD-426F-BCF5-B87069A8CDF9}"/>
    <cellStyle name="Comma 10 4 6" xfId="5841" xr:uid="{08F93E5A-7751-4EFF-B132-C67465D87C37}"/>
    <cellStyle name="Comma 10 5" xfId="377" xr:uid="{D248C4FA-C5AC-4403-B6EA-704C83D044CC}"/>
    <cellStyle name="Comma 10 5 2" xfId="1073" xr:uid="{28BBA567-D54C-4F4C-9BE5-DE8FC6824388}"/>
    <cellStyle name="Comma 10 5 2 2" xfId="2474" xr:uid="{6DCF7250-9DD6-4739-95D3-E33162DC4D09}"/>
    <cellStyle name="Comma 10 5 2 2 2" xfId="5284" xr:uid="{C397768F-C250-4D84-9EF3-523F0D320E76}"/>
    <cellStyle name="Comma 10 5 2 2 2 2" xfId="10920" xr:uid="{EFEBA3F1-050C-4AA0-ABD7-46F569CFC976}"/>
    <cellStyle name="Comma 10 5 2 2 3" xfId="8110" xr:uid="{CB686541-88C5-4D4B-BDB1-B4232A626DCE}"/>
    <cellStyle name="Comma 10 5 2 3" xfId="3883" xr:uid="{F6255280-6D62-4AB6-BB4C-E5886E01C72C}"/>
    <cellStyle name="Comma 10 5 2 3 2" xfId="9519" xr:uid="{DD39F829-4C3E-4252-A80D-1C1684EF0D4B}"/>
    <cellStyle name="Comma 10 5 2 4" xfId="6709" xr:uid="{7ACF4BAD-A72B-4C3B-9890-F9FCBE74CCBA}"/>
    <cellStyle name="Comma 10 5 3" xfId="1778" xr:uid="{12CD0BF4-C15E-4567-9234-DD35984F43BD}"/>
    <cellStyle name="Comma 10 5 3 2" xfId="4588" xr:uid="{326BDFE1-E257-448C-BB80-78730DD389DA}"/>
    <cellStyle name="Comma 10 5 3 2 2" xfId="10224" xr:uid="{F76AEEFF-5C30-48B4-B45B-379C1F8674DB}"/>
    <cellStyle name="Comma 10 5 3 3" xfId="7414" xr:uid="{A3C3C294-DBA0-4A4E-893B-DF64E89F574B}"/>
    <cellStyle name="Comma 10 5 4" xfId="3187" xr:uid="{BAB9BEE6-1769-43C9-8849-EC3427FF5FFA}"/>
    <cellStyle name="Comma 10 5 4 2" xfId="8823" xr:uid="{694CB38C-D409-4FCB-B58C-1F9A34358FE9}"/>
    <cellStyle name="Comma 10 5 5" xfId="6013" xr:uid="{454D40B7-A7BF-42B6-9A48-EDECB3DD6D92}"/>
    <cellStyle name="Comma 10 6" xfId="729" xr:uid="{5C7FE3CC-2062-4820-86FC-DB34B7144AFA}"/>
    <cellStyle name="Comma 10 6 2" xfId="2130" xr:uid="{B4510E53-B0B6-4C69-AA42-DF26F1019B48}"/>
    <cellStyle name="Comma 10 6 2 2" xfId="4940" xr:uid="{F1697D42-16A5-4794-9BF4-71735C5F3A1E}"/>
    <cellStyle name="Comma 10 6 2 2 2" xfId="10576" xr:uid="{15869AD1-320A-4C65-A2BC-A6EE9CC187E2}"/>
    <cellStyle name="Comma 10 6 2 3" xfId="7766" xr:uid="{CF309716-7A31-4EF6-814A-42210706E21B}"/>
    <cellStyle name="Comma 10 6 3" xfId="3539" xr:uid="{A8EC288A-BFBC-4E0E-B592-B2A2F51800BA}"/>
    <cellStyle name="Comma 10 6 3 2" xfId="9175" xr:uid="{A55B462B-3066-4A62-A575-EAACFABB1F41}"/>
    <cellStyle name="Comma 10 6 4" xfId="6365" xr:uid="{82093AB2-31CB-4AC3-9AB1-9D711529470F}"/>
    <cellStyle name="Comma 10 7" xfId="1434" xr:uid="{9B064D08-3C10-4637-AE00-26D31D1205F5}"/>
    <cellStyle name="Comma 10 7 2" xfId="4244" xr:uid="{C7240A31-AF59-4016-B161-1B6A425CD020}"/>
    <cellStyle name="Comma 10 7 2 2" xfId="9880" xr:uid="{7BED685C-A49D-44A9-B5CF-AA10989128F5}"/>
    <cellStyle name="Comma 10 7 3" xfId="7070" xr:uid="{D5FD5260-814B-48D2-9080-D16B3212C768}"/>
    <cellStyle name="Comma 10 8" xfId="2843" xr:uid="{A610EA70-6413-4619-AD7D-61EE9E2B12AF}"/>
    <cellStyle name="Comma 10 8 2" xfId="8479" xr:uid="{B8D4F1F9-29F2-4BB5-A5CB-CA4057994816}"/>
    <cellStyle name="Comma 10 9" xfId="5669" xr:uid="{2698CC55-FE06-4689-BED4-E6C1D0A2B6B6}"/>
    <cellStyle name="Comma 11" xfId="68" xr:uid="{C4CD4B7F-B53C-4E2B-95E4-946ACEDD2879}"/>
    <cellStyle name="Comma 11 2" xfId="148" xr:uid="{936A994C-3148-4DD0-AE86-4770E201B193}"/>
    <cellStyle name="Comma 11 2 2" xfId="320" xr:uid="{D609E545-C02A-436B-870A-7CF7A24926CF}"/>
    <cellStyle name="Comma 11 2 2 2" xfId="664" xr:uid="{32CB3779-5338-41F0-BD99-D419EF42C943}"/>
    <cellStyle name="Comma 11 2 2 2 2" xfId="1360" xr:uid="{45926FEF-8E59-45D1-A7AD-5142D7288DBD}"/>
    <cellStyle name="Comma 11 2 2 2 2 2" xfId="2761" xr:uid="{737B5CA8-C5DF-48F8-9766-0C07671248F5}"/>
    <cellStyle name="Comma 11 2 2 2 2 2 2" xfId="5571" xr:uid="{6624BC76-52A3-40F6-B18E-CF93FC51C9C2}"/>
    <cellStyle name="Comma 11 2 2 2 2 2 2 2" xfId="11207" xr:uid="{AE5680F5-195B-46B5-A72C-1016C9B01CD7}"/>
    <cellStyle name="Comma 11 2 2 2 2 2 3" xfId="8397" xr:uid="{4F8C2566-96AC-4BD5-955A-65F716A80272}"/>
    <cellStyle name="Comma 11 2 2 2 2 3" xfId="4170" xr:uid="{9EDFF117-8FC6-419A-8C43-CCCCBCFF3C56}"/>
    <cellStyle name="Comma 11 2 2 2 2 3 2" xfId="9806" xr:uid="{ED3AD706-88A4-4B55-A91E-422D92D3F8BB}"/>
    <cellStyle name="Comma 11 2 2 2 2 4" xfId="6996" xr:uid="{69E378BF-84CD-4BBA-96DD-95AC9C849205}"/>
    <cellStyle name="Comma 11 2 2 2 3" xfId="2065" xr:uid="{3CA05080-15E9-43CD-9F61-2DB65FB6BF4E}"/>
    <cellStyle name="Comma 11 2 2 2 3 2" xfId="4875" xr:uid="{E3D62679-530C-479E-A890-55FE5001C83A}"/>
    <cellStyle name="Comma 11 2 2 2 3 2 2" xfId="10511" xr:uid="{958F95EA-5750-4EDE-9336-0697FBA94738}"/>
    <cellStyle name="Comma 11 2 2 2 3 3" xfId="7701" xr:uid="{DC99D0E6-E13D-4259-A1A3-6CE9B383E24D}"/>
    <cellStyle name="Comma 11 2 2 2 4" xfId="3474" xr:uid="{E63F74AD-4239-4605-83C5-98F37A018B86}"/>
    <cellStyle name="Comma 11 2 2 2 4 2" xfId="9110" xr:uid="{11179C77-2D4D-4DBC-9BC2-BAC60868BA70}"/>
    <cellStyle name="Comma 11 2 2 2 5" xfId="6300" xr:uid="{EBCA3F61-58A9-44FF-A2C7-5429E3FA281C}"/>
    <cellStyle name="Comma 11 2 2 3" xfId="1016" xr:uid="{EEC42123-5F8F-41C6-AC8E-A69821F36118}"/>
    <cellStyle name="Comma 11 2 2 3 2" xfId="2417" xr:uid="{61C757DE-DB4A-4802-8D88-03D46F058AED}"/>
    <cellStyle name="Comma 11 2 2 3 2 2" xfId="5227" xr:uid="{6A84DE7E-AAA1-41EA-B094-B2AD64BAF20B}"/>
    <cellStyle name="Comma 11 2 2 3 2 2 2" xfId="10863" xr:uid="{09235A23-F08E-4DAA-9D52-CC59DB5D59D6}"/>
    <cellStyle name="Comma 11 2 2 3 2 3" xfId="8053" xr:uid="{E190A5F0-717B-4B3E-9B1B-C9B7BF588392}"/>
    <cellStyle name="Comma 11 2 2 3 3" xfId="3826" xr:uid="{E4542988-934F-4CC0-AE54-A30B94C39834}"/>
    <cellStyle name="Comma 11 2 2 3 3 2" xfId="9462" xr:uid="{80488E03-E332-4680-A926-29765585D8DA}"/>
    <cellStyle name="Comma 11 2 2 3 4" xfId="6652" xr:uid="{BDC16C37-376C-4D7E-8992-705E9DC384FA}"/>
    <cellStyle name="Comma 11 2 2 4" xfId="1721" xr:uid="{C4CDD950-06FC-4234-90B3-0969C9B330F2}"/>
    <cellStyle name="Comma 11 2 2 4 2" xfId="4531" xr:uid="{55890869-5206-44E4-92A9-7AB315185489}"/>
    <cellStyle name="Comma 11 2 2 4 2 2" xfId="10167" xr:uid="{478523DD-A490-4AFC-91A7-4E057D178B2A}"/>
    <cellStyle name="Comma 11 2 2 4 3" xfId="7357" xr:uid="{004298EF-43E1-42A5-9E3F-3BFBA7C9A121}"/>
    <cellStyle name="Comma 11 2 2 5" xfId="3130" xr:uid="{02B0F68F-8B77-4A14-9690-2105BDA86CAB}"/>
    <cellStyle name="Comma 11 2 2 5 2" xfId="8766" xr:uid="{EBEE0688-2C3B-4C1D-A1DD-9587A6EB3948}"/>
    <cellStyle name="Comma 11 2 2 6" xfId="5956" xr:uid="{323A3400-D5D2-481F-AF05-00993116C68B}"/>
    <cellStyle name="Comma 11 2 3" xfId="492" xr:uid="{1898441C-4ACC-496D-9AC6-174248646BDE}"/>
    <cellStyle name="Comma 11 2 3 2" xfId="1188" xr:uid="{5638CEA8-AC6A-4FCD-AEF7-1CFAA986C070}"/>
    <cellStyle name="Comma 11 2 3 2 2" xfId="2589" xr:uid="{277F25F7-EA14-4C24-A114-8F1AE786B7FC}"/>
    <cellStyle name="Comma 11 2 3 2 2 2" xfId="5399" xr:uid="{245D5445-4989-4972-B80D-C8856B229ADF}"/>
    <cellStyle name="Comma 11 2 3 2 2 2 2" xfId="11035" xr:uid="{A22C562F-0814-4D2B-A7C2-80C1C7840E10}"/>
    <cellStyle name="Comma 11 2 3 2 2 3" xfId="8225" xr:uid="{2086DDD0-33DD-4773-8286-8028600CB9F3}"/>
    <cellStyle name="Comma 11 2 3 2 3" xfId="3998" xr:uid="{2B927171-E538-4579-8E2C-8DEFDA6EC130}"/>
    <cellStyle name="Comma 11 2 3 2 3 2" xfId="9634" xr:uid="{EC4FD592-33EA-4A0C-89B1-CF82207EE3AF}"/>
    <cellStyle name="Comma 11 2 3 2 4" xfId="6824" xr:uid="{BA1A003B-5450-45CD-9AD8-22EBCC8675E5}"/>
    <cellStyle name="Comma 11 2 3 3" xfId="1893" xr:uid="{5716B295-A42E-4AE6-BCFA-E9883C0BCA1C}"/>
    <cellStyle name="Comma 11 2 3 3 2" xfId="4703" xr:uid="{8E16C7CA-4DC4-482A-8951-2448E1C87CA2}"/>
    <cellStyle name="Comma 11 2 3 3 2 2" xfId="10339" xr:uid="{1784A12E-7EE4-4BB7-97D5-FFE1DC82EDFA}"/>
    <cellStyle name="Comma 11 2 3 3 3" xfId="7529" xr:uid="{2CF63469-F3AA-4C0F-A7BE-AE39F72CE208}"/>
    <cellStyle name="Comma 11 2 3 4" xfId="3302" xr:uid="{8AEF7308-A661-47A3-9746-C018EE6D311E}"/>
    <cellStyle name="Comma 11 2 3 4 2" xfId="8938" xr:uid="{CFA043CD-968A-4F2F-AED8-D215D0F6ED8B}"/>
    <cellStyle name="Comma 11 2 3 5" xfId="6128" xr:uid="{53346A20-2A93-4B54-9F6A-41212551F1A9}"/>
    <cellStyle name="Comma 11 2 4" xfId="844" xr:uid="{4849BDC7-EDE2-4DF5-B1D6-229C217FFF75}"/>
    <cellStyle name="Comma 11 2 4 2" xfId="2245" xr:uid="{2CB05857-7656-4196-99EC-5F5BF27AF699}"/>
    <cellStyle name="Comma 11 2 4 2 2" xfId="5055" xr:uid="{7C6D0063-C798-4E10-812D-16AA767B9EC1}"/>
    <cellStyle name="Comma 11 2 4 2 2 2" xfId="10691" xr:uid="{C7804A3C-E855-49DC-B5E9-FF34EDA41891}"/>
    <cellStyle name="Comma 11 2 4 2 3" xfId="7881" xr:uid="{11C6325B-C7A1-49C3-8E14-80C42CB016B3}"/>
    <cellStyle name="Comma 11 2 4 3" xfId="3654" xr:uid="{7F1CA12B-2220-4EC5-A70D-ABD4308759B8}"/>
    <cellStyle name="Comma 11 2 4 3 2" xfId="9290" xr:uid="{C3D8517F-BFB7-4AEB-A66E-9F49AEA44A3C}"/>
    <cellStyle name="Comma 11 2 4 4" xfId="6480" xr:uid="{81D48631-BB7F-458E-95EA-97A55DE20A32}"/>
    <cellStyle name="Comma 11 2 5" xfId="1549" xr:uid="{A0C652E6-97FB-4D59-A635-FB4911534920}"/>
    <cellStyle name="Comma 11 2 5 2" xfId="4359" xr:uid="{3DCF9BAD-F127-4E71-941E-BEC560532503}"/>
    <cellStyle name="Comma 11 2 5 2 2" xfId="9995" xr:uid="{DAB79E01-13FE-41CB-9AE9-644E90AA37C2}"/>
    <cellStyle name="Comma 11 2 5 3" xfId="7185" xr:uid="{FCE92AE2-A95A-4DBD-9332-D906AA2B3D1F}"/>
    <cellStyle name="Comma 11 2 6" xfId="2958" xr:uid="{A5163729-A0CD-429A-ADE7-A3563B87423F}"/>
    <cellStyle name="Comma 11 2 6 2" xfId="8594" xr:uid="{D9A48AE7-265B-4299-936B-F78E704C817B}"/>
    <cellStyle name="Comma 11 2 7" xfId="5784" xr:uid="{CE8AB4D4-45E7-4220-9F4F-ECA5D4488467}"/>
    <cellStyle name="Comma 11 3" xfId="240" xr:uid="{1FF68E0E-9B69-4CBE-878E-5A581A74EF64}"/>
    <cellStyle name="Comma 11 3 2" xfId="584" xr:uid="{DC3A06AB-1AD6-42DB-BCF6-E933779DE366}"/>
    <cellStyle name="Comma 11 3 2 2" xfId="1280" xr:uid="{5D003E64-82CE-47E4-8FE2-CF4591927A0E}"/>
    <cellStyle name="Comma 11 3 2 2 2" xfId="2681" xr:uid="{D227ADCD-A64B-4F80-A31B-00487E81C2DF}"/>
    <cellStyle name="Comma 11 3 2 2 2 2" xfId="5491" xr:uid="{49A8E1EE-3930-4B93-A907-10D2FC0EF4A5}"/>
    <cellStyle name="Comma 11 3 2 2 2 2 2" xfId="11127" xr:uid="{A87CB6A9-B67C-40A0-8EDA-2FB8CFB716E3}"/>
    <cellStyle name="Comma 11 3 2 2 2 3" xfId="8317" xr:uid="{CBC89A6E-ED46-49B7-AE8F-C77A6B68A570}"/>
    <cellStyle name="Comma 11 3 2 2 3" xfId="4090" xr:uid="{4ED02605-FB59-426D-A14D-EA1E6D7314C7}"/>
    <cellStyle name="Comma 11 3 2 2 3 2" xfId="9726" xr:uid="{789866BC-97F7-48A4-A33B-4C4B3DF1D7E9}"/>
    <cellStyle name="Comma 11 3 2 2 4" xfId="6916" xr:uid="{996FB146-E367-472C-ADCC-0226AD56DD9C}"/>
    <cellStyle name="Comma 11 3 2 3" xfId="1985" xr:uid="{6E2846C3-E9BA-4539-BE2F-B49B97974195}"/>
    <cellStyle name="Comma 11 3 2 3 2" xfId="4795" xr:uid="{B372242E-5945-4924-B763-77280CACEA3E}"/>
    <cellStyle name="Comma 11 3 2 3 2 2" xfId="10431" xr:uid="{E9605FA4-9302-4898-A98D-EED066FAB992}"/>
    <cellStyle name="Comma 11 3 2 3 3" xfId="7621" xr:uid="{FC431400-555C-479E-BF30-889512131718}"/>
    <cellStyle name="Comma 11 3 2 4" xfId="3394" xr:uid="{097F2A90-22B1-4081-AA9D-69BCE455C0EB}"/>
    <cellStyle name="Comma 11 3 2 4 2" xfId="9030" xr:uid="{BC60F4E0-3BA5-4DA3-B755-FF5B0E68A165}"/>
    <cellStyle name="Comma 11 3 2 5" xfId="6220" xr:uid="{0D96839F-F8C2-4BD6-9181-1F0B6DE22A2C}"/>
    <cellStyle name="Comma 11 3 3" xfId="936" xr:uid="{708066CC-001D-4F30-A7E3-C1C607CBDDEC}"/>
    <cellStyle name="Comma 11 3 3 2" xfId="2337" xr:uid="{79FB6433-F6B1-4F0F-8240-A282F3406357}"/>
    <cellStyle name="Comma 11 3 3 2 2" xfId="5147" xr:uid="{2710CB00-ADAA-4554-A3D8-F61D7A8F3E18}"/>
    <cellStyle name="Comma 11 3 3 2 2 2" xfId="10783" xr:uid="{F39FB5E8-B0C8-4969-8087-290A2AD8E350}"/>
    <cellStyle name="Comma 11 3 3 2 3" xfId="7973" xr:uid="{D2CE12FA-DEAA-4120-A86C-C141073DA0C3}"/>
    <cellStyle name="Comma 11 3 3 3" xfId="3746" xr:uid="{91B2A03B-7C2B-4CAC-B50A-9F1816FA3CBE}"/>
    <cellStyle name="Comma 11 3 3 3 2" xfId="9382" xr:uid="{9FA8B99E-BB78-4B4D-8AA5-654D6598511C}"/>
    <cellStyle name="Comma 11 3 3 4" xfId="6572" xr:uid="{B00536B9-E181-42EB-8F72-EAAEFC6104A3}"/>
    <cellStyle name="Comma 11 3 4" xfId="1641" xr:uid="{518A2407-775E-46AA-925A-22C78FF541E0}"/>
    <cellStyle name="Comma 11 3 4 2" xfId="4451" xr:uid="{4A72785D-6C83-4E76-B3AD-2E274DA1B7A0}"/>
    <cellStyle name="Comma 11 3 4 2 2" xfId="10087" xr:uid="{8D89A762-825B-40E2-9671-0FA07DC4E771}"/>
    <cellStyle name="Comma 11 3 4 3" xfId="7277" xr:uid="{C46B09C5-FB70-4D71-9EDB-D24BD249DDD4}"/>
    <cellStyle name="Comma 11 3 5" xfId="3050" xr:uid="{9CCD2F8B-4C3C-45D3-A392-8B7533F9BC94}"/>
    <cellStyle name="Comma 11 3 5 2" xfId="8686" xr:uid="{D2D72208-6162-480D-8DFE-1C9ADF8470A3}"/>
    <cellStyle name="Comma 11 3 6" xfId="5876" xr:uid="{D8E9493B-7ED4-4403-848B-C7E59581ABD6}"/>
    <cellStyle name="Comma 11 4" xfId="412" xr:uid="{866E238C-FABF-4184-B2E4-C7EADB33EC6A}"/>
    <cellStyle name="Comma 11 4 2" xfId="1108" xr:uid="{B5801913-CC3D-457A-AA41-7333E56FBF20}"/>
    <cellStyle name="Comma 11 4 2 2" xfId="2509" xr:uid="{0E6E9F4B-17FF-4B80-8ECC-FD996AACBE73}"/>
    <cellStyle name="Comma 11 4 2 2 2" xfId="5319" xr:uid="{4D316942-F9F2-4A03-AFBF-639105D60384}"/>
    <cellStyle name="Comma 11 4 2 2 2 2" xfId="10955" xr:uid="{6631869A-5F05-4439-B539-5C9DD6D6C8C3}"/>
    <cellStyle name="Comma 11 4 2 2 3" xfId="8145" xr:uid="{02B76718-D712-4817-803A-8C6B286596B0}"/>
    <cellStyle name="Comma 11 4 2 3" xfId="3918" xr:uid="{814098F1-4085-4C7E-856A-04FD3933AB69}"/>
    <cellStyle name="Comma 11 4 2 3 2" xfId="9554" xr:uid="{03BCA890-9FF9-4819-B4E2-78C90506D78E}"/>
    <cellStyle name="Comma 11 4 2 4" xfId="6744" xr:uid="{48F761A7-F191-45E9-B544-F2349ABE9D90}"/>
    <cellStyle name="Comma 11 4 3" xfId="1813" xr:uid="{91B5AB20-D60F-42C5-B750-36F98E7E7A97}"/>
    <cellStyle name="Comma 11 4 3 2" xfId="4623" xr:uid="{72075FD0-9C11-4948-8844-53546FF41469}"/>
    <cellStyle name="Comma 11 4 3 2 2" xfId="10259" xr:uid="{4F0C427B-EB96-40B4-BDFE-280476A78DBD}"/>
    <cellStyle name="Comma 11 4 3 3" xfId="7449" xr:uid="{55AF0FBD-BC6E-4E95-97CF-0E420253A5E5}"/>
    <cellStyle name="Comma 11 4 4" xfId="3222" xr:uid="{E558B3AF-0C2D-44AC-B2E1-9CFB18DB7372}"/>
    <cellStyle name="Comma 11 4 4 2" xfId="8858" xr:uid="{06C41C88-1797-43DA-A4D8-1E393F57169B}"/>
    <cellStyle name="Comma 11 4 5" xfId="6048" xr:uid="{C2BFE9D7-DAC6-4E35-A5F3-73914B6098DA}"/>
    <cellStyle name="Comma 11 5" xfId="764" xr:uid="{9C874166-AE80-48B3-A5E8-9E6771421F35}"/>
    <cellStyle name="Comma 11 5 2" xfId="2165" xr:uid="{FBF6BED1-FA4E-4B6D-86A6-2CB569507575}"/>
    <cellStyle name="Comma 11 5 2 2" xfId="4975" xr:uid="{26FEC40E-E326-4115-918D-F7CAAEC02389}"/>
    <cellStyle name="Comma 11 5 2 2 2" xfId="10611" xr:uid="{4A5697CF-103B-4C76-94CB-A5C3A301D22A}"/>
    <cellStyle name="Comma 11 5 2 3" xfId="7801" xr:uid="{4D531DE6-D438-49DC-A05D-4B79B393E73A}"/>
    <cellStyle name="Comma 11 5 3" xfId="3574" xr:uid="{5AC109ED-D427-4226-9A9B-68EB69FCA336}"/>
    <cellStyle name="Comma 11 5 3 2" xfId="9210" xr:uid="{E7897F67-07B5-485F-9803-F8F0C2D721F0}"/>
    <cellStyle name="Comma 11 5 4" xfId="6400" xr:uid="{B7ECB928-0688-4901-A5FE-EA2C347E3163}"/>
    <cellStyle name="Comma 11 6" xfId="1469" xr:uid="{5E54A307-CA3A-45B3-88CF-B9AD1E1C8604}"/>
    <cellStyle name="Comma 11 6 2" xfId="4279" xr:uid="{4C2CC442-E837-4466-9A55-FE6CFE4562B4}"/>
    <cellStyle name="Comma 11 6 2 2" xfId="9915" xr:uid="{ECC01710-C579-4E05-BA7E-102B50A97573}"/>
    <cellStyle name="Comma 11 6 3" xfId="7105" xr:uid="{D463C379-4265-4E8C-94A8-1CF5C72DD527}"/>
    <cellStyle name="Comma 11 7" xfId="2878" xr:uid="{AE276177-B211-4139-9B27-923283DBF867}"/>
    <cellStyle name="Comma 11 7 2" xfId="8514" xr:uid="{C35C8EDF-3444-4A5D-BEFC-018EBD08E0E6}"/>
    <cellStyle name="Comma 11 8" xfId="5704" xr:uid="{BFD99AA8-2013-440A-91CC-5142753D6347}"/>
    <cellStyle name="Comma 12" xfId="70" xr:uid="{33D6E4C2-F561-4D1B-A75B-C6E23E2CFBCF}"/>
    <cellStyle name="Comma 12 2" xfId="150" xr:uid="{A29675C9-C2B1-44C0-B527-9FE72476A0FC}"/>
    <cellStyle name="Comma 12 2 2" xfId="322" xr:uid="{042681AF-E608-461D-8B79-0BC9F0748B7C}"/>
    <cellStyle name="Comma 12 2 2 2" xfId="666" xr:uid="{A77682F9-D057-426A-887A-26CCD9A9EE80}"/>
    <cellStyle name="Comma 12 2 2 2 2" xfId="1362" xr:uid="{866F0D2B-D091-4D3C-B39F-C4629E42553B}"/>
    <cellStyle name="Comma 12 2 2 2 2 2" xfId="2763" xr:uid="{32C7A87B-F251-411B-A092-F8E5B60489A8}"/>
    <cellStyle name="Comma 12 2 2 2 2 2 2" xfId="5573" xr:uid="{CEC41437-041A-487B-A39A-E915B1E397E5}"/>
    <cellStyle name="Comma 12 2 2 2 2 2 2 2" xfId="11209" xr:uid="{F4B47717-72B4-41A5-B5D3-A1EEEA438577}"/>
    <cellStyle name="Comma 12 2 2 2 2 2 3" xfId="8399" xr:uid="{A753A824-B8A9-4604-A4E5-CF3D278007B1}"/>
    <cellStyle name="Comma 12 2 2 2 2 3" xfId="4172" xr:uid="{447F72A8-53A9-460C-BCDA-DB5A67AA5626}"/>
    <cellStyle name="Comma 12 2 2 2 2 3 2" xfId="9808" xr:uid="{61C5CBCA-3100-4F52-894A-BB120E7A2975}"/>
    <cellStyle name="Comma 12 2 2 2 2 4" xfId="6998" xr:uid="{00B21B29-2106-4BB9-B2A5-73F42D2B41F7}"/>
    <cellStyle name="Comma 12 2 2 2 3" xfId="2067" xr:uid="{173CDE94-4C1E-4541-8B0E-88F1C65F380D}"/>
    <cellStyle name="Comma 12 2 2 2 3 2" xfId="4877" xr:uid="{FA9C0871-7544-4BB0-A28E-68089CA78BE8}"/>
    <cellStyle name="Comma 12 2 2 2 3 2 2" xfId="10513" xr:uid="{DD5FBC76-67AB-40E5-9EB9-B8CEB3BFB785}"/>
    <cellStyle name="Comma 12 2 2 2 3 3" xfId="7703" xr:uid="{265218B4-BE85-4559-81AD-5D8DDC77D708}"/>
    <cellStyle name="Comma 12 2 2 2 4" xfId="3476" xr:uid="{ABFBEB77-A17D-4B12-8507-BBF5B1F15C3F}"/>
    <cellStyle name="Comma 12 2 2 2 4 2" xfId="9112" xr:uid="{DCD99745-F31F-4FB8-8966-0076A4737380}"/>
    <cellStyle name="Comma 12 2 2 2 5" xfId="6302" xr:uid="{F7C1E572-1A9B-4228-9223-28DC721CEFA4}"/>
    <cellStyle name="Comma 12 2 2 3" xfId="1018" xr:uid="{18986881-EBC8-4285-8DF3-A43E9C71C187}"/>
    <cellStyle name="Comma 12 2 2 3 2" xfId="2419" xr:uid="{BE1F3F10-DA77-4F65-A0D5-536E4C4409DA}"/>
    <cellStyle name="Comma 12 2 2 3 2 2" xfId="5229" xr:uid="{09660396-9377-480C-A32D-39D7AA1E20E8}"/>
    <cellStyle name="Comma 12 2 2 3 2 2 2" xfId="10865" xr:uid="{D534EA43-D934-4B1E-A75D-3AE7532DACB6}"/>
    <cellStyle name="Comma 12 2 2 3 2 3" xfId="8055" xr:uid="{64096BD9-4D1C-4337-8A3D-85D988079BA5}"/>
    <cellStyle name="Comma 12 2 2 3 3" xfId="3828" xr:uid="{5C87B4BE-B5E3-4918-B0A6-CC7AAE790A38}"/>
    <cellStyle name="Comma 12 2 2 3 3 2" xfId="9464" xr:uid="{DF98BDDD-7BDC-4E0B-98BE-CC9FA1BE97EC}"/>
    <cellStyle name="Comma 12 2 2 3 4" xfId="6654" xr:uid="{2C900C90-43D2-4376-A0B4-EE2017355DC6}"/>
    <cellStyle name="Comma 12 2 2 4" xfId="1723" xr:uid="{4E3FCBC4-7F52-4C21-9452-C646C157B366}"/>
    <cellStyle name="Comma 12 2 2 4 2" xfId="4533" xr:uid="{82A9D446-D77C-4463-83E1-A918E4A3C0E2}"/>
    <cellStyle name="Comma 12 2 2 4 2 2" xfId="10169" xr:uid="{37CF360A-1C71-4DE9-8993-16F56598F0B6}"/>
    <cellStyle name="Comma 12 2 2 4 3" xfId="7359" xr:uid="{7B8166E7-002D-490C-A5A0-AD4D3CD401C4}"/>
    <cellStyle name="Comma 12 2 2 5" xfId="3132" xr:uid="{4D06EB1A-2CBF-405E-A741-66192BDE6BE1}"/>
    <cellStyle name="Comma 12 2 2 5 2" xfId="8768" xr:uid="{5D876375-B913-43D3-B778-B396D9B33322}"/>
    <cellStyle name="Comma 12 2 2 6" xfId="5958" xr:uid="{1ECE0645-674D-402F-9336-BC0CBBA43D3F}"/>
    <cellStyle name="Comma 12 2 3" xfId="494" xr:uid="{5ACEDA33-A923-49E8-9A15-2189B1515C64}"/>
    <cellStyle name="Comma 12 2 3 2" xfId="1190" xr:uid="{D451AD93-0664-4BE9-B6D3-90B782FA550B}"/>
    <cellStyle name="Comma 12 2 3 2 2" xfId="2591" xr:uid="{FE0086DB-7E24-4FD4-8627-B5B1E94982EE}"/>
    <cellStyle name="Comma 12 2 3 2 2 2" xfId="5401" xr:uid="{8DCD57FD-8708-4109-A0B7-A18D22ACAAD3}"/>
    <cellStyle name="Comma 12 2 3 2 2 2 2" xfId="11037" xr:uid="{4757824B-5E54-4FE0-ABB7-248C6E21050B}"/>
    <cellStyle name="Comma 12 2 3 2 2 3" xfId="8227" xr:uid="{BB03878E-BBD1-41BE-97AF-4EC3DBAC6E73}"/>
    <cellStyle name="Comma 12 2 3 2 3" xfId="4000" xr:uid="{EE711884-037E-4F22-8ED8-57C3BEC78EFA}"/>
    <cellStyle name="Comma 12 2 3 2 3 2" xfId="9636" xr:uid="{B62B7B5B-5BB3-4808-A0BE-22564BE703AA}"/>
    <cellStyle name="Comma 12 2 3 2 4" xfId="6826" xr:uid="{2DCA583E-548B-484C-B5B9-42717BC4AED4}"/>
    <cellStyle name="Comma 12 2 3 3" xfId="1895" xr:uid="{26314F99-4755-44A4-A878-B255F541AFDA}"/>
    <cellStyle name="Comma 12 2 3 3 2" xfId="4705" xr:uid="{D08F0D6E-0AB5-4F66-9083-5D717056F70F}"/>
    <cellStyle name="Comma 12 2 3 3 2 2" xfId="10341" xr:uid="{2935A7BC-F0A9-4106-979A-CC07691CB7F6}"/>
    <cellStyle name="Comma 12 2 3 3 3" xfId="7531" xr:uid="{DD7E7D5A-47D3-49AC-AF9C-D99F7E2B0B79}"/>
    <cellStyle name="Comma 12 2 3 4" xfId="3304" xr:uid="{85DFCC05-2A08-46CA-BF25-5DF4BE42A37C}"/>
    <cellStyle name="Comma 12 2 3 4 2" xfId="8940" xr:uid="{4982A678-0BE7-4F1F-A3C6-406F102E8739}"/>
    <cellStyle name="Comma 12 2 3 5" xfId="6130" xr:uid="{90278F99-D454-4C2E-B6C9-281F0033CA28}"/>
    <cellStyle name="Comma 12 2 4" xfId="846" xr:uid="{AC2EA001-89E0-438E-8642-C27203A5C580}"/>
    <cellStyle name="Comma 12 2 4 2" xfId="2247" xr:uid="{B7D56B09-2C04-467C-AD86-D91475FA4EE1}"/>
    <cellStyle name="Comma 12 2 4 2 2" xfId="5057" xr:uid="{219433E1-D395-4973-B2F6-98B2A4510159}"/>
    <cellStyle name="Comma 12 2 4 2 2 2" xfId="10693" xr:uid="{EFFE69A0-7976-4E32-B535-B417BC272FEA}"/>
    <cellStyle name="Comma 12 2 4 2 3" xfId="7883" xr:uid="{0D7C75A5-A306-4959-AC96-5DEC2A865461}"/>
    <cellStyle name="Comma 12 2 4 3" xfId="3656" xr:uid="{8B9547FE-159F-4B0B-B16B-DEB5B723084A}"/>
    <cellStyle name="Comma 12 2 4 3 2" xfId="9292" xr:uid="{E576982E-5EF3-4845-9D59-FF47A069DCA7}"/>
    <cellStyle name="Comma 12 2 4 4" xfId="6482" xr:uid="{E0378B34-07C9-4E85-992F-16F737113830}"/>
    <cellStyle name="Comma 12 2 5" xfId="1551" xr:uid="{59406A3A-FA5F-4B35-A05F-6CDC7453F864}"/>
    <cellStyle name="Comma 12 2 5 2" xfId="4361" xr:uid="{BA79BCE3-03EE-4CA1-AC56-1F7E3B8A34D8}"/>
    <cellStyle name="Comma 12 2 5 2 2" xfId="9997" xr:uid="{C8365A35-05E5-4829-8B1D-7445045F7E81}"/>
    <cellStyle name="Comma 12 2 5 3" xfId="7187" xr:uid="{36935870-6D38-4E0D-9B24-0B6F01912854}"/>
    <cellStyle name="Comma 12 2 6" xfId="2960" xr:uid="{2271B9F7-FBBD-4F27-B067-2920B3DC56D4}"/>
    <cellStyle name="Comma 12 2 6 2" xfId="8596" xr:uid="{2564AFE9-0F99-470B-ADA6-A99B590DCD03}"/>
    <cellStyle name="Comma 12 2 7" xfId="5786" xr:uid="{4EF0CF42-6530-4403-BD1D-26910595D820}"/>
    <cellStyle name="Comma 12 3" xfId="242" xr:uid="{962CDCB4-EBA8-4257-84D2-8EE1D40107E2}"/>
    <cellStyle name="Comma 12 3 2" xfId="586" xr:uid="{E7EDD970-A90C-4343-B3E4-E140E6EBB71E}"/>
    <cellStyle name="Comma 12 3 2 2" xfId="1282" xr:uid="{EBB0EE34-B221-4786-9A94-AA6FE0CB3749}"/>
    <cellStyle name="Comma 12 3 2 2 2" xfId="2683" xr:uid="{A322B37A-E250-4CD1-83CD-D0634F494401}"/>
    <cellStyle name="Comma 12 3 2 2 2 2" xfId="5493" xr:uid="{851CFFD5-F1EA-44A3-AA96-EEEC7F543FDB}"/>
    <cellStyle name="Comma 12 3 2 2 2 2 2" xfId="11129" xr:uid="{FF0E993F-325E-4C14-8BD5-A8E7C9F2F9F2}"/>
    <cellStyle name="Comma 12 3 2 2 2 3" xfId="8319" xr:uid="{F406E4B7-47B6-4FA1-9CBA-F0830776E9E9}"/>
    <cellStyle name="Comma 12 3 2 2 3" xfId="4092" xr:uid="{4DE41D04-38AC-41ED-BF62-B14A4D024690}"/>
    <cellStyle name="Comma 12 3 2 2 3 2" xfId="9728" xr:uid="{68DCE460-E1AA-4357-8DD9-7179330C0F28}"/>
    <cellStyle name="Comma 12 3 2 2 4" xfId="6918" xr:uid="{6FE53F55-DAEC-417D-9B1B-180940C57312}"/>
    <cellStyle name="Comma 12 3 2 3" xfId="1987" xr:uid="{5744722F-C062-45E2-B172-B918C0C0073A}"/>
    <cellStyle name="Comma 12 3 2 3 2" xfId="4797" xr:uid="{53B362FE-9F0E-44B0-9069-DF51D5FBCB50}"/>
    <cellStyle name="Comma 12 3 2 3 2 2" xfId="10433" xr:uid="{9DBC4F58-6AE7-4630-9C3A-C0D8997B5069}"/>
    <cellStyle name="Comma 12 3 2 3 3" xfId="7623" xr:uid="{07746DD2-AEAD-4456-848B-6E5B39614692}"/>
    <cellStyle name="Comma 12 3 2 4" xfId="3396" xr:uid="{C757C12E-B637-447A-BFF5-3D2ADEC7ECD0}"/>
    <cellStyle name="Comma 12 3 2 4 2" xfId="9032" xr:uid="{7604D8CC-2902-48FD-A08B-9A090C14C022}"/>
    <cellStyle name="Comma 12 3 2 5" xfId="6222" xr:uid="{74BE51F0-893B-4980-8B10-7201DCF14763}"/>
    <cellStyle name="Comma 12 3 3" xfId="938" xr:uid="{CA0D7E43-8C45-4EFF-9E5B-FCE755BFF870}"/>
    <cellStyle name="Comma 12 3 3 2" xfId="2339" xr:uid="{56697D1B-49F6-4629-874A-8DE21979AC49}"/>
    <cellStyle name="Comma 12 3 3 2 2" xfId="5149" xr:uid="{E7B3D83E-2996-4CA1-B0F0-BAED71658B31}"/>
    <cellStyle name="Comma 12 3 3 2 2 2" xfId="10785" xr:uid="{0E04C020-EDF5-494D-A88B-70F6936BABC9}"/>
    <cellStyle name="Comma 12 3 3 2 3" xfId="7975" xr:uid="{929CAAB4-24AF-4D5F-9261-C7EFDD2655F1}"/>
    <cellStyle name="Comma 12 3 3 3" xfId="3748" xr:uid="{6BE0FB21-984A-4C60-AE3D-E5396DAB8E27}"/>
    <cellStyle name="Comma 12 3 3 3 2" xfId="9384" xr:uid="{5B0D6EFC-D045-4733-9372-4319E5BAD9A2}"/>
    <cellStyle name="Comma 12 3 3 4" xfId="6574" xr:uid="{88FC6373-BD67-443F-84C7-6D76BE4898E4}"/>
    <cellStyle name="Comma 12 3 4" xfId="1643" xr:uid="{B91EDCF5-9792-45EB-AAA4-458FD2EB53DA}"/>
    <cellStyle name="Comma 12 3 4 2" xfId="4453" xr:uid="{F4019847-89ED-43D8-8176-549282C30952}"/>
    <cellStyle name="Comma 12 3 4 2 2" xfId="10089" xr:uid="{E4E6F35F-60F6-4E4D-AF34-4BF6BBD692BE}"/>
    <cellStyle name="Comma 12 3 4 3" xfId="7279" xr:uid="{9D8462E4-01F1-4B29-9465-2631C814DAE0}"/>
    <cellStyle name="Comma 12 3 5" xfId="3052" xr:uid="{5236625D-6DE4-4606-815D-9406C84B0F7A}"/>
    <cellStyle name="Comma 12 3 5 2" xfId="8688" xr:uid="{81E122C6-1EBA-441F-B32F-DF3AA898499E}"/>
    <cellStyle name="Comma 12 3 6" xfId="5878" xr:uid="{375117EF-9629-4958-A7AB-8AF49C84C795}"/>
    <cellStyle name="Comma 12 4" xfId="414" xr:uid="{2A683678-3311-4543-9F06-A54A51986021}"/>
    <cellStyle name="Comma 12 4 2" xfId="1110" xr:uid="{8096C2BB-429D-451D-870E-32DC9EAAB09C}"/>
    <cellStyle name="Comma 12 4 2 2" xfId="2511" xr:uid="{0860D744-E42A-4C42-B285-2B1D1EA0301E}"/>
    <cellStyle name="Comma 12 4 2 2 2" xfId="5321" xr:uid="{F2C3E4F2-462F-4185-9536-1AA4BECC27D0}"/>
    <cellStyle name="Comma 12 4 2 2 2 2" xfId="10957" xr:uid="{AA53FA78-924B-49C3-AB48-014325EFB4BD}"/>
    <cellStyle name="Comma 12 4 2 2 3" xfId="8147" xr:uid="{03366E36-D48C-48CE-8134-D58AD2228B8F}"/>
    <cellStyle name="Comma 12 4 2 3" xfId="3920" xr:uid="{1A112ED7-8FF3-4BBB-9E8F-0C3926BC052E}"/>
    <cellStyle name="Comma 12 4 2 3 2" xfId="9556" xr:uid="{A0DAFD97-EE04-45BE-9EFE-59629DF7A5EF}"/>
    <cellStyle name="Comma 12 4 2 4" xfId="6746" xr:uid="{DF64BAF9-4137-419A-8FEF-AA2D04FF1DE9}"/>
    <cellStyle name="Comma 12 4 3" xfId="1815" xr:uid="{FF9DEEB7-CC7B-489B-A24A-679881014B04}"/>
    <cellStyle name="Comma 12 4 3 2" xfId="4625" xr:uid="{0101F018-6B23-4AD4-AA71-5B38234E17D0}"/>
    <cellStyle name="Comma 12 4 3 2 2" xfId="10261" xr:uid="{5BA5B723-19BB-4C05-AA4A-CD542DFF5D81}"/>
    <cellStyle name="Comma 12 4 3 3" xfId="7451" xr:uid="{BBB3B3AA-FD03-458B-8B09-A89D7CC3B22A}"/>
    <cellStyle name="Comma 12 4 4" xfId="3224" xr:uid="{691E5D2B-3995-4BC2-A4F0-F0313E5448E9}"/>
    <cellStyle name="Comma 12 4 4 2" xfId="8860" xr:uid="{9BD6B5E7-91A8-4549-BB34-AB527A645939}"/>
    <cellStyle name="Comma 12 4 5" xfId="6050" xr:uid="{CDCB99CC-B98A-4F1B-AEB7-5006EF0A0186}"/>
    <cellStyle name="Comma 12 5" xfId="766" xr:uid="{3A070ED9-2E11-4CBE-950B-4517CB8C1FBE}"/>
    <cellStyle name="Comma 12 5 2" xfId="2167" xr:uid="{A1096961-AC5F-4645-B53A-29E4493F86E1}"/>
    <cellStyle name="Comma 12 5 2 2" xfId="4977" xr:uid="{4D637F82-DF55-4295-AEA3-BC88E9C83EA3}"/>
    <cellStyle name="Comma 12 5 2 2 2" xfId="10613" xr:uid="{6B79EB52-4BD4-4C41-A022-BB954A7851DD}"/>
    <cellStyle name="Comma 12 5 2 3" xfId="7803" xr:uid="{02E82E85-97BC-40C9-95A3-93C398648472}"/>
    <cellStyle name="Comma 12 5 3" xfId="3576" xr:uid="{2528B4BF-CBEE-4DFE-A913-33ACED86D526}"/>
    <cellStyle name="Comma 12 5 3 2" xfId="9212" xr:uid="{B69A4207-13E7-45B9-BCA8-09EC8E016CB1}"/>
    <cellStyle name="Comma 12 5 4" xfId="6402" xr:uid="{B861193B-DD66-4864-BEFB-003DDB0106B9}"/>
    <cellStyle name="Comma 12 6" xfId="1471" xr:uid="{AC86FE4E-2202-4085-93E4-37FC89D0F64F}"/>
    <cellStyle name="Comma 12 6 2" xfId="4281" xr:uid="{F58F0DA5-C02B-43AB-B995-D10671A57021}"/>
    <cellStyle name="Comma 12 6 2 2" xfId="9917" xr:uid="{88B01272-A7B4-493E-95BB-2B3D96C049A8}"/>
    <cellStyle name="Comma 12 6 3" xfId="7107" xr:uid="{5C7C5F0F-133F-40D4-A192-509A67B5EE97}"/>
    <cellStyle name="Comma 12 7" xfId="2880" xr:uid="{74D949E9-3EFF-4F67-BF4F-D03578DA8504}"/>
    <cellStyle name="Comma 12 7 2" xfId="8516" xr:uid="{0179F572-90F9-4BD6-94BA-099F7737CBCA}"/>
    <cellStyle name="Comma 12 8" xfId="5706" xr:uid="{0FA0982F-19E0-4E37-B2A0-ADB8D2099D56}"/>
    <cellStyle name="Comma 13" xfId="72" xr:uid="{6B5EC2ED-76EF-4F05-A565-C911C810E565}"/>
    <cellStyle name="Comma 13 2" xfId="152" xr:uid="{4AC12C41-1D5D-4831-9408-7480535C08C5}"/>
    <cellStyle name="Comma 13 2 2" xfId="324" xr:uid="{3C648B55-DE2A-4D2E-BB21-F9525A648A6D}"/>
    <cellStyle name="Comma 13 2 2 2" xfId="668" xr:uid="{3B17DE85-EB0C-46C4-B875-FCBEC686B8E4}"/>
    <cellStyle name="Comma 13 2 2 2 2" xfId="1364" xr:uid="{E4DE56C2-455B-42AC-98B7-E2A7F55E0893}"/>
    <cellStyle name="Comma 13 2 2 2 2 2" xfId="2765" xr:uid="{DCA3724E-28B9-48A6-8484-6B351D32E258}"/>
    <cellStyle name="Comma 13 2 2 2 2 2 2" xfId="5575" xr:uid="{63B3BB96-20D2-430C-82E4-E9EC7D62380E}"/>
    <cellStyle name="Comma 13 2 2 2 2 2 2 2" xfId="11211" xr:uid="{75F39004-054F-4DFA-A272-58F11C436CFC}"/>
    <cellStyle name="Comma 13 2 2 2 2 2 3" xfId="8401" xr:uid="{EFA6D438-00CF-4977-8F9F-C1B5D7AD7D8D}"/>
    <cellStyle name="Comma 13 2 2 2 2 3" xfId="4174" xr:uid="{AF01A4B0-E892-4CAA-8FE3-6EA221BA9341}"/>
    <cellStyle name="Comma 13 2 2 2 2 3 2" xfId="9810" xr:uid="{E1784502-E000-4C16-A8E0-223AAF28C6FA}"/>
    <cellStyle name="Comma 13 2 2 2 2 4" xfId="7000" xr:uid="{94BCD64C-310E-47A2-84E5-6089E05B8AA3}"/>
    <cellStyle name="Comma 13 2 2 2 3" xfId="2069" xr:uid="{4FA685BD-E6AA-43D1-BDCA-427FBF50FC1E}"/>
    <cellStyle name="Comma 13 2 2 2 3 2" xfId="4879" xr:uid="{5F3AF137-B281-4093-B4E4-7F84D4572BE9}"/>
    <cellStyle name="Comma 13 2 2 2 3 2 2" xfId="10515" xr:uid="{44B7DE73-B6F5-4FE7-89FC-70638BFAA9C3}"/>
    <cellStyle name="Comma 13 2 2 2 3 3" xfId="7705" xr:uid="{EBE58397-217D-4173-91C0-F80AEBAB78C3}"/>
    <cellStyle name="Comma 13 2 2 2 4" xfId="3478" xr:uid="{1EEEC0F7-99BB-45C6-98E1-F29F41CC0211}"/>
    <cellStyle name="Comma 13 2 2 2 4 2" xfId="9114" xr:uid="{D13F3E4B-D2EB-4E8A-B71B-D2A8F241F4F3}"/>
    <cellStyle name="Comma 13 2 2 2 5" xfId="6304" xr:uid="{ECC7ED70-76E3-4435-B541-0717ADA95498}"/>
    <cellStyle name="Comma 13 2 2 3" xfId="1020" xr:uid="{02EFFE26-DBC9-439F-92A6-F5FF1480E140}"/>
    <cellStyle name="Comma 13 2 2 3 2" xfId="2421" xr:uid="{AEEBC7AD-94AD-47A9-A58A-C9E7FF6E1020}"/>
    <cellStyle name="Comma 13 2 2 3 2 2" xfId="5231" xr:uid="{4031CAC0-3B1B-4572-B395-C11C03E47B16}"/>
    <cellStyle name="Comma 13 2 2 3 2 2 2" xfId="10867" xr:uid="{92D902BB-0483-4C43-B5B6-C1AF0D62CCE6}"/>
    <cellStyle name="Comma 13 2 2 3 2 3" xfId="8057" xr:uid="{6DF029BE-CC45-4995-870E-0D2017C7ECA1}"/>
    <cellStyle name="Comma 13 2 2 3 3" xfId="3830" xr:uid="{B2067B66-85B3-4501-80BF-F453F9498261}"/>
    <cellStyle name="Comma 13 2 2 3 3 2" xfId="9466" xr:uid="{A0C2CAC5-E211-4742-A1DD-924AF6370622}"/>
    <cellStyle name="Comma 13 2 2 3 4" xfId="6656" xr:uid="{B2299EA4-E2EB-42D4-8817-6C4B24A02DD5}"/>
    <cellStyle name="Comma 13 2 2 4" xfId="1725" xr:uid="{C7CF6645-5EAF-4B77-982E-D56F253DE71C}"/>
    <cellStyle name="Comma 13 2 2 4 2" xfId="4535" xr:uid="{BD54D701-6214-461C-90B2-F596704FA837}"/>
    <cellStyle name="Comma 13 2 2 4 2 2" xfId="10171" xr:uid="{5CC4A91E-E46D-4974-94CC-7A8992BAAC75}"/>
    <cellStyle name="Comma 13 2 2 4 3" xfId="7361" xr:uid="{E2106331-3CF3-422B-8EE0-6B39D79BA7DC}"/>
    <cellStyle name="Comma 13 2 2 5" xfId="3134" xr:uid="{B0B85CD1-AB23-4F55-AA49-E44D2C367AC7}"/>
    <cellStyle name="Comma 13 2 2 5 2" xfId="8770" xr:uid="{C534712F-DFA3-41B2-A611-4D67BE543916}"/>
    <cellStyle name="Comma 13 2 2 6" xfId="5960" xr:uid="{D536A452-FA1E-40BC-9C16-137C7ED09903}"/>
    <cellStyle name="Comma 13 2 3" xfId="496" xr:uid="{8CE0AF24-C5E1-4078-882A-8933C8941BEE}"/>
    <cellStyle name="Comma 13 2 3 2" xfId="1192" xr:uid="{A7BCEF6B-F2F3-4FBC-B799-77F1DD4C2B4C}"/>
    <cellStyle name="Comma 13 2 3 2 2" xfId="2593" xr:uid="{B9A038AB-E13F-40BC-8641-16424D33D7B0}"/>
    <cellStyle name="Comma 13 2 3 2 2 2" xfId="5403" xr:uid="{FE2AB4BC-8B63-4C62-A2BE-97AD2AE2425D}"/>
    <cellStyle name="Comma 13 2 3 2 2 2 2" xfId="11039" xr:uid="{ADBD8726-155D-4249-8D8F-55FA84CD815A}"/>
    <cellStyle name="Comma 13 2 3 2 2 3" xfId="8229" xr:uid="{DFA05712-9E72-42C3-88A2-6DE7F4ACD851}"/>
    <cellStyle name="Comma 13 2 3 2 3" xfId="4002" xr:uid="{097F9F72-B34C-4DCC-A99E-93DA51B06578}"/>
    <cellStyle name="Comma 13 2 3 2 3 2" xfId="9638" xr:uid="{79D29F16-4DC4-4D1E-9E2B-840FCF2222BB}"/>
    <cellStyle name="Comma 13 2 3 2 4" xfId="6828" xr:uid="{5DB591C4-2AFA-4E38-A9A0-1ABC956B166F}"/>
    <cellStyle name="Comma 13 2 3 3" xfId="1897" xr:uid="{F4BC408E-8480-47DC-A497-6878C1178376}"/>
    <cellStyle name="Comma 13 2 3 3 2" xfId="4707" xr:uid="{186F3F35-84AB-4E45-A26B-28E7ACAD4973}"/>
    <cellStyle name="Comma 13 2 3 3 2 2" xfId="10343" xr:uid="{123299E2-A8F4-40E3-AF4C-20BA983A8D4E}"/>
    <cellStyle name="Comma 13 2 3 3 3" xfId="7533" xr:uid="{6832AE98-5A46-4FAC-8D61-715BEF9512B0}"/>
    <cellStyle name="Comma 13 2 3 4" xfId="3306" xr:uid="{7749F6E9-2B53-4435-ABC4-31BBF6762B4E}"/>
    <cellStyle name="Comma 13 2 3 4 2" xfId="8942" xr:uid="{4B6410CA-8E90-48C9-B6E2-ADB39D9AF680}"/>
    <cellStyle name="Comma 13 2 3 5" xfId="6132" xr:uid="{4CB54DA1-7146-410E-8137-7B39CD007167}"/>
    <cellStyle name="Comma 13 2 4" xfId="848" xr:uid="{B6E60B79-AE6B-4F45-8B47-294581783CD8}"/>
    <cellStyle name="Comma 13 2 4 2" xfId="2249" xr:uid="{E5B46FF1-6E95-416E-BE34-76129A578BA0}"/>
    <cellStyle name="Comma 13 2 4 2 2" xfId="5059" xr:uid="{509E832F-2CA7-47C1-96B6-5B4F3DCA884D}"/>
    <cellStyle name="Comma 13 2 4 2 2 2" xfId="10695" xr:uid="{78EB424C-C191-48D3-8F19-70D9BD02C485}"/>
    <cellStyle name="Comma 13 2 4 2 3" xfId="7885" xr:uid="{37C127D8-E9D7-44B9-AB45-6E211C53A34E}"/>
    <cellStyle name="Comma 13 2 4 3" xfId="3658" xr:uid="{4798D8DE-575B-4D68-B93F-1BA2CD8DB9F4}"/>
    <cellStyle name="Comma 13 2 4 3 2" xfId="9294" xr:uid="{E78AAB19-9BBF-403F-8BA5-51A8D3E0B66D}"/>
    <cellStyle name="Comma 13 2 4 4" xfId="6484" xr:uid="{0B44F740-2B7D-4ED2-B8FD-1DB66BCA6C76}"/>
    <cellStyle name="Comma 13 2 5" xfId="1553" xr:uid="{92E3D205-8E89-4067-90FB-65AE8BE166B6}"/>
    <cellStyle name="Comma 13 2 5 2" xfId="4363" xr:uid="{7FB8DFC8-6BBB-4A59-975D-53E53B04CBAF}"/>
    <cellStyle name="Comma 13 2 5 2 2" xfId="9999" xr:uid="{983D8457-5FE7-4682-AAE3-524F1B2B377A}"/>
    <cellStyle name="Comma 13 2 5 3" xfId="7189" xr:uid="{98815FE5-0D60-4813-B85D-D23877028AF6}"/>
    <cellStyle name="Comma 13 2 6" xfId="2962" xr:uid="{79BF54EB-DEF1-496F-9D5C-8AD7ACD9F61C}"/>
    <cellStyle name="Comma 13 2 6 2" xfId="8598" xr:uid="{F6483B8B-DA4C-4678-8D07-C77212C2B539}"/>
    <cellStyle name="Comma 13 2 7" xfId="5788" xr:uid="{15FC7921-D2C9-4E82-A7EF-BFD654DFFE24}"/>
    <cellStyle name="Comma 13 3" xfId="244" xr:uid="{3CE38E47-E8AC-4D3C-9A9C-00404C5EDDF9}"/>
    <cellStyle name="Comma 13 3 2" xfId="588" xr:uid="{9CA23E09-4E23-4C3D-815C-54BE0374E6CF}"/>
    <cellStyle name="Comma 13 3 2 2" xfId="1284" xr:uid="{676030ED-7789-4285-A5ED-CD331D122F85}"/>
    <cellStyle name="Comma 13 3 2 2 2" xfId="2685" xr:uid="{5F6F6817-DA26-4E3B-8F53-0E0C72E6F2D6}"/>
    <cellStyle name="Comma 13 3 2 2 2 2" xfId="5495" xr:uid="{355682B5-6DE5-4B5F-AF9E-F565C56105FF}"/>
    <cellStyle name="Comma 13 3 2 2 2 2 2" xfId="11131" xr:uid="{3359CB0C-2E93-4DC7-A43D-A1C605CCF6BC}"/>
    <cellStyle name="Comma 13 3 2 2 2 3" xfId="8321" xr:uid="{2CB045FA-7E14-4A48-A133-04B7756866E6}"/>
    <cellStyle name="Comma 13 3 2 2 3" xfId="4094" xr:uid="{6C924431-9F7D-401E-91FA-C69D2AF1D36A}"/>
    <cellStyle name="Comma 13 3 2 2 3 2" xfId="9730" xr:uid="{C7514CF0-191F-448E-AB3E-7FA4D943E0DC}"/>
    <cellStyle name="Comma 13 3 2 2 4" xfId="6920" xr:uid="{02DD75DE-3862-40C6-8E21-0E3CE28E2487}"/>
    <cellStyle name="Comma 13 3 2 3" xfId="1989" xr:uid="{799A979C-35B0-495C-A317-F6F66DD33F6B}"/>
    <cellStyle name="Comma 13 3 2 3 2" xfId="4799" xr:uid="{17290D1F-D0EF-457C-8147-8940FBBE2D31}"/>
    <cellStyle name="Comma 13 3 2 3 2 2" xfId="10435" xr:uid="{D2DF3416-B35F-4959-B60F-ECBBF545DAEF}"/>
    <cellStyle name="Comma 13 3 2 3 3" xfId="7625" xr:uid="{3C557768-0AFB-4971-B992-24CF2458F576}"/>
    <cellStyle name="Comma 13 3 2 4" xfId="3398" xr:uid="{70C9ECC7-B7A8-440B-8A0A-F16E4711BD5F}"/>
    <cellStyle name="Comma 13 3 2 4 2" xfId="9034" xr:uid="{CAD4562F-AD3B-46EA-80AF-8E9980F6D4AF}"/>
    <cellStyle name="Comma 13 3 2 5" xfId="6224" xr:uid="{4989D123-A17C-4A78-ABF7-24150BB13789}"/>
    <cellStyle name="Comma 13 3 3" xfId="940" xr:uid="{71E9A747-EA68-4C51-9461-1E5D2E14843B}"/>
    <cellStyle name="Comma 13 3 3 2" xfId="2341" xr:uid="{6133AF74-F542-40F6-878A-4D2FEA4C7340}"/>
    <cellStyle name="Comma 13 3 3 2 2" xfId="5151" xr:uid="{8F301771-E985-4520-A519-0ED2DBD9C3A0}"/>
    <cellStyle name="Comma 13 3 3 2 2 2" xfId="10787" xr:uid="{29617397-A88D-4BA6-8F5D-0FD0130EEB4C}"/>
    <cellStyle name="Comma 13 3 3 2 3" xfId="7977" xr:uid="{88E137D6-9701-444F-ACB3-3CF534EE8FDD}"/>
    <cellStyle name="Comma 13 3 3 3" xfId="3750" xr:uid="{50F01540-6671-44B1-AC6B-1C5140D4D7F5}"/>
    <cellStyle name="Comma 13 3 3 3 2" xfId="9386" xr:uid="{9A9B53E1-63D4-4304-84CA-34C552BB6C91}"/>
    <cellStyle name="Comma 13 3 3 4" xfId="6576" xr:uid="{85CDC46B-1F2E-455F-98B4-6EDDB7FBDC98}"/>
    <cellStyle name="Comma 13 3 4" xfId="1645" xr:uid="{5A717BA6-45B3-4975-ABC5-E409B8DB2AB3}"/>
    <cellStyle name="Comma 13 3 4 2" xfId="4455" xr:uid="{5413889B-1DD3-4DAD-B86E-B8EA5A1F638A}"/>
    <cellStyle name="Comma 13 3 4 2 2" xfId="10091" xr:uid="{C718A8FA-965B-44B2-BB0B-D397EBF13C05}"/>
    <cellStyle name="Comma 13 3 4 3" xfId="7281" xr:uid="{5BB9B845-4898-4321-A98A-EE882566CC91}"/>
    <cellStyle name="Comma 13 3 5" xfId="3054" xr:uid="{D77C874E-8997-4889-B203-81FBB0299EF2}"/>
    <cellStyle name="Comma 13 3 5 2" xfId="8690" xr:uid="{AF4B75BA-EAF2-46F3-B1AC-E65C2231B82F}"/>
    <cellStyle name="Comma 13 3 6" xfId="5880" xr:uid="{1129109F-0682-412D-A170-F56CB0F4A040}"/>
    <cellStyle name="Comma 13 4" xfId="416" xr:uid="{D7CBE7DA-C62A-45C5-9B3E-E94DEC62C925}"/>
    <cellStyle name="Comma 13 4 2" xfId="1112" xr:uid="{E75F21E8-9CEB-4F8C-975B-E34CCADB5E65}"/>
    <cellStyle name="Comma 13 4 2 2" xfId="2513" xr:uid="{FE4229BB-D125-459A-A196-7F68007BFB2B}"/>
    <cellStyle name="Comma 13 4 2 2 2" xfId="5323" xr:uid="{4FC5E5EE-0411-47DB-95ED-84766D155429}"/>
    <cellStyle name="Comma 13 4 2 2 2 2" xfId="10959" xr:uid="{1C5761B2-7472-4B13-A996-252084D54D7D}"/>
    <cellStyle name="Comma 13 4 2 2 3" xfId="8149" xr:uid="{1F9350F9-81AB-44FB-86B1-919D1DFBCD85}"/>
    <cellStyle name="Comma 13 4 2 3" xfId="3922" xr:uid="{F9ED44FB-37A8-457D-B1ED-01B13F39689F}"/>
    <cellStyle name="Comma 13 4 2 3 2" xfId="9558" xr:uid="{BD41ECDA-29B0-4137-94FA-0FC633361ED2}"/>
    <cellStyle name="Comma 13 4 2 4" xfId="6748" xr:uid="{277F1EC8-C5D9-46AC-AEF3-596CD31044DB}"/>
    <cellStyle name="Comma 13 4 3" xfId="1817" xr:uid="{0E330BEE-E645-466E-B980-E5EAA49FE647}"/>
    <cellStyle name="Comma 13 4 3 2" xfId="4627" xr:uid="{9CA381FE-9E06-4146-BB69-F2839ECAF529}"/>
    <cellStyle name="Comma 13 4 3 2 2" xfId="10263" xr:uid="{979D8E5A-9940-41CD-94B7-4B5955427721}"/>
    <cellStyle name="Comma 13 4 3 3" xfId="7453" xr:uid="{789B1C2C-44D4-49E4-957A-0B338E2CDE42}"/>
    <cellStyle name="Comma 13 4 4" xfId="3226" xr:uid="{563294A3-A014-4A2C-AA2A-47B33860D21B}"/>
    <cellStyle name="Comma 13 4 4 2" xfId="8862" xr:uid="{14EBD4A8-49A0-427A-92FC-75DDA43F314B}"/>
    <cellStyle name="Comma 13 4 5" xfId="6052" xr:uid="{0C3FB2F5-049C-4D03-9814-F0F1B2976E0C}"/>
    <cellStyle name="Comma 13 5" xfId="768" xr:uid="{57F02100-5F23-40E9-9505-CE05CF22DEF5}"/>
    <cellStyle name="Comma 13 5 2" xfId="2169" xr:uid="{CCBFD155-51A0-41F6-B4B9-30366711B6DF}"/>
    <cellStyle name="Comma 13 5 2 2" xfId="4979" xr:uid="{F8D9DBBF-3BCF-4EBE-92B9-08F993FC4E3D}"/>
    <cellStyle name="Comma 13 5 2 2 2" xfId="10615" xr:uid="{DFFDEBD3-E5AA-4B32-9644-B28BE6B08F1E}"/>
    <cellStyle name="Comma 13 5 2 3" xfId="7805" xr:uid="{2DB7692B-02D2-4EC9-B7B5-ABBA51881EE3}"/>
    <cellStyle name="Comma 13 5 3" xfId="3578" xr:uid="{40072860-0664-46C2-9470-07368C2605AB}"/>
    <cellStyle name="Comma 13 5 3 2" xfId="9214" xr:uid="{EA8FBEAB-9B7D-446C-8EF5-E97484FA5C1C}"/>
    <cellStyle name="Comma 13 5 4" xfId="6404" xr:uid="{88F71292-C5A7-4A82-8360-15F7B62AE6D0}"/>
    <cellStyle name="Comma 13 6" xfId="1473" xr:uid="{FE1ED73A-B369-45CB-81E6-1C99C6E2796B}"/>
    <cellStyle name="Comma 13 6 2" xfId="4283" xr:uid="{D316A7EB-42C8-4199-89E1-168853CE8287}"/>
    <cellStyle name="Comma 13 6 2 2" xfId="9919" xr:uid="{9A10DBA6-99BD-4B44-8F41-A4AA8239019D}"/>
    <cellStyle name="Comma 13 6 3" xfId="7109" xr:uid="{F24443F1-BDE1-4F20-96AF-B10613853218}"/>
    <cellStyle name="Comma 13 7" xfId="2882" xr:uid="{55EDB53E-5D92-4689-8251-E0A0F800CC2E}"/>
    <cellStyle name="Comma 13 7 2" xfId="8518" xr:uid="{1B07DDB9-9213-44CC-9CD1-B5703A79FD98}"/>
    <cellStyle name="Comma 13 8" xfId="5708" xr:uid="{E831BB9D-E45F-445B-97B6-62F6DA9B1EE5}"/>
    <cellStyle name="Comma 14" xfId="74" xr:uid="{8DDB2BD9-AD62-4D83-83F2-69381FAF3069}"/>
    <cellStyle name="Comma 14 2" xfId="154" xr:uid="{08B94157-A44F-4722-B6FB-7E17C6F7E10D}"/>
    <cellStyle name="Comma 14 2 2" xfId="326" xr:uid="{3CFE3156-B4C1-4693-8D5C-1CD4EE622654}"/>
    <cellStyle name="Comma 14 2 2 2" xfId="670" xr:uid="{61D5DCA5-1067-4890-B425-A537525AB27E}"/>
    <cellStyle name="Comma 14 2 2 2 2" xfId="1366" xr:uid="{051A9C3A-D81F-4257-9950-4B8FB9AE8F9C}"/>
    <cellStyle name="Comma 14 2 2 2 2 2" xfId="2767" xr:uid="{3E877DFA-4C9C-4920-B776-4D8A83DB1B02}"/>
    <cellStyle name="Comma 14 2 2 2 2 2 2" xfId="5577" xr:uid="{E12FDD24-73C3-4EAC-9864-A8990936DA60}"/>
    <cellStyle name="Comma 14 2 2 2 2 2 2 2" xfId="11213" xr:uid="{F95EEBC8-9EAC-4DFF-B17B-542DFF5D1ECB}"/>
    <cellStyle name="Comma 14 2 2 2 2 2 3" xfId="8403" xr:uid="{3AF7DB5B-9E22-4D6C-8635-E47718216190}"/>
    <cellStyle name="Comma 14 2 2 2 2 3" xfId="4176" xr:uid="{3325B482-EED1-4795-A2A4-D490508C2BA1}"/>
    <cellStyle name="Comma 14 2 2 2 2 3 2" xfId="9812" xr:uid="{C67E4E11-3B3D-4E43-B3ED-FC75F7E66525}"/>
    <cellStyle name="Comma 14 2 2 2 2 4" xfId="7002" xr:uid="{3BE54F0A-135B-4792-88CC-4A0EDCB71CBF}"/>
    <cellStyle name="Comma 14 2 2 2 3" xfId="2071" xr:uid="{4FF620FB-DEA0-4BD4-A46D-20BDD946B1D5}"/>
    <cellStyle name="Comma 14 2 2 2 3 2" xfId="4881" xr:uid="{F402232E-9FF4-4F40-B8D2-70BD25EB347D}"/>
    <cellStyle name="Comma 14 2 2 2 3 2 2" xfId="10517" xr:uid="{88FDF52F-370F-45CB-A3B4-58E1F55FB68E}"/>
    <cellStyle name="Comma 14 2 2 2 3 3" xfId="7707" xr:uid="{9DF26CD2-ADF6-46F0-8462-26F48D85EA17}"/>
    <cellStyle name="Comma 14 2 2 2 4" xfId="3480" xr:uid="{08644A8D-BBFA-41BF-A9EF-64DBCE810468}"/>
    <cellStyle name="Comma 14 2 2 2 4 2" xfId="9116" xr:uid="{A4D17750-D8E7-41C9-81C7-720B030E7A39}"/>
    <cellStyle name="Comma 14 2 2 2 5" xfId="6306" xr:uid="{6A9D3A7F-E8EF-4284-A6E9-DAF7ECE1D8F1}"/>
    <cellStyle name="Comma 14 2 2 3" xfId="1022" xr:uid="{F9166A89-6F25-4441-A5C8-0EE719A551F0}"/>
    <cellStyle name="Comma 14 2 2 3 2" xfId="2423" xr:uid="{CCECCC85-BE67-4601-8B6B-2AD9A2DFCC03}"/>
    <cellStyle name="Comma 14 2 2 3 2 2" xfId="5233" xr:uid="{4CB79651-2537-48A5-AE15-0071FA03AC0C}"/>
    <cellStyle name="Comma 14 2 2 3 2 2 2" xfId="10869" xr:uid="{AFF125A0-60E3-4813-B92E-DC1AC45D9912}"/>
    <cellStyle name="Comma 14 2 2 3 2 3" xfId="8059" xr:uid="{97BF9401-CE24-46F5-B263-6D8A980935E6}"/>
    <cellStyle name="Comma 14 2 2 3 3" xfId="3832" xr:uid="{EDD8BE0B-1807-4295-9B54-EF4A4B626FEF}"/>
    <cellStyle name="Comma 14 2 2 3 3 2" xfId="9468" xr:uid="{82578C99-C5BA-479A-804B-C015EA8271C2}"/>
    <cellStyle name="Comma 14 2 2 3 4" xfId="6658" xr:uid="{30253181-95AB-4183-A9EA-1450FB48D095}"/>
    <cellStyle name="Comma 14 2 2 4" xfId="1727" xr:uid="{556AE133-F7C5-41FB-801A-AC8E5C199B4D}"/>
    <cellStyle name="Comma 14 2 2 4 2" xfId="4537" xr:uid="{49A5B56C-4991-4B02-B76D-9B66EF63F038}"/>
    <cellStyle name="Comma 14 2 2 4 2 2" xfId="10173" xr:uid="{08F8820A-EB5B-47FB-B08E-67DFEB903946}"/>
    <cellStyle name="Comma 14 2 2 4 3" xfId="7363" xr:uid="{8B3827D9-DAC8-4F2E-8DD0-B5B56413D916}"/>
    <cellStyle name="Comma 14 2 2 5" xfId="3136" xr:uid="{E9691065-217C-4520-9CDD-7ED022F97D7D}"/>
    <cellStyle name="Comma 14 2 2 5 2" xfId="8772" xr:uid="{DDF9A04A-F78A-49A1-B550-B6E74034828D}"/>
    <cellStyle name="Comma 14 2 2 6" xfId="5962" xr:uid="{A709D4CE-7F2F-43CF-9C16-22B7BAFADD3E}"/>
    <cellStyle name="Comma 14 2 3" xfId="498" xr:uid="{0905D43C-BEEA-482B-A120-C5B86952185D}"/>
    <cellStyle name="Comma 14 2 3 2" xfId="1194" xr:uid="{CB5E3702-5EA4-4DD0-9A9B-635D6053DF13}"/>
    <cellStyle name="Comma 14 2 3 2 2" xfId="2595" xr:uid="{CF7D7596-897E-4965-BB4D-CA3EA00D0DC3}"/>
    <cellStyle name="Comma 14 2 3 2 2 2" xfId="5405" xr:uid="{5B3643AC-A420-4651-9E88-7061311E7C91}"/>
    <cellStyle name="Comma 14 2 3 2 2 2 2" xfId="11041" xr:uid="{6FE91D7D-7AFC-4F4F-A5FD-DD5E76D5EB36}"/>
    <cellStyle name="Comma 14 2 3 2 2 3" xfId="8231" xr:uid="{98B9F1DB-799E-4915-BF27-5A3D1394EE05}"/>
    <cellStyle name="Comma 14 2 3 2 3" xfId="4004" xr:uid="{F183C1F7-4692-45D5-8360-237B835E2C84}"/>
    <cellStyle name="Comma 14 2 3 2 3 2" xfId="9640" xr:uid="{40E5AA0E-7874-47F8-BF4D-EFB3A9BE1A05}"/>
    <cellStyle name="Comma 14 2 3 2 4" xfId="6830" xr:uid="{47218D9E-B133-4CC1-8EB1-FA6A0AF13E6A}"/>
    <cellStyle name="Comma 14 2 3 3" xfId="1899" xr:uid="{C53BDD7E-18CC-4C65-A938-7E8D033B3456}"/>
    <cellStyle name="Comma 14 2 3 3 2" xfId="4709" xr:uid="{65FA62A3-03B7-446A-8061-2C219AD7DC4C}"/>
    <cellStyle name="Comma 14 2 3 3 2 2" xfId="10345" xr:uid="{519D4D5C-5CC7-4929-885F-69C3E58E32E4}"/>
    <cellStyle name="Comma 14 2 3 3 3" xfId="7535" xr:uid="{78FE5A10-4C66-4EB4-A57A-1066ADB70A93}"/>
    <cellStyle name="Comma 14 2 3 4" xfId="3308" xr:uid="{2F589B6E-30F3-405C-92A4-784273C10979}"/>
    <cellStyle name="Comma 14 2 3 4 2" xfId="8944" xr:uid="{0217533C-1351-4DF0-A43C-5F3BF854D390}"/>
    <cellStyle name="Comma 14 2 3 5" xfId="6134" xr:uid="{432D0F77-EDD3-4A2E-8FDA-7886F2B04C83}"/>
    <cellStyle name="Comma 14 2 4" xfId="850" xr:uid="{65CAD4E6-2135-412D-89C7-FDBA342C47B0}"/>
    <cellStyle name="Comma 14 2 4 2" xfId="2251" xr:uid="{2970999F-212F-42DB-B8FE-42FB3C6C5ED6}"/>
    <cellStyle name="Comma 14 2 4 2 2" xfId="5061" xr:uid="{C14C3B2B-6811-419F-9461-1F2AB41B1F92}"/>
    <cellStyle name="Comma 14 2 4 2 2 2" xfId="10697" xr:uid="{BACCDABF-9070-4EBD-8E42-0AC9CD731801}"/>
    <cellStyle name="Comma 14 2 4 2 3" xfId="7887" xr:uid="{DDD9EAC5-6621-41CC-B7F6-F16A93B4AFD0}"/>
    <cellStyle name="Comma 14 2 4 3" xfId="3660" xr:uid="{CD9D2E12-53B9-4A29-9337-9D5009835CFC}"/>
    <cellStyle name="Comma 14 2 4 3 2" xfId="9296" xr:uid="{737874CB-4241-4E0C-8354-FD9954AE4069}"/>
    <cellStyle name="Comma 14 2 4 4" xfId="6486" xr:uid="{A871EF6E-4B13-400F-8DC5-B3F1136A14C5}"/>
    <cellStyle name="Comma 14 2 5" xfId="1555" xr:uid="{7DC01321-2582-4BE5-A929-265D2B01A062}"/>
    <cellStyle name="Comma 14 2 5 2" xfId="4365" xr:uid="{75DBE477-E594-48CC-966E-3B98529CC23D}"/>
    <cellStyle name="Comma 14 2 5 2 2" xfId="10001" xr:uid="{805FE4C6-4C4B-4E2C-B550-195A8A602BFE}"/>
    <cellStyle name="Comma 14 2 5 3" xfId="7191" xr:uid="{3ED88D32-70EF-4DCB-B4AF-EBD9320B7F53}"/>
    <cellStyle name="Comma 14 2 6" xfId="2964" xr:uid="{0823494C-E0AD-4D02-910E-0A7154FBA75A}"/>
    <cellStyle name="Comma 14 2 6 2" xfId="8600" xr:uid="{CFDA9289-C752-45A5-B937-A14545AD7D6C}"/>
    <cellStyle name="Comma 14 2 7" xfId="5790" xr:uid="{0A0E64FE-BB34-46DA-87D6-2E4083B1E552}"/>
    <cellStyle name="Comma 14 3" xfId="246" xr:uid="{CEE13B8C-20D3-492F-9393-C1709A1C2B80}"/>
    <cellStyle name="Comma 14 3 2" xfId="590" xr:uid="{2CC875D0-9610-4CB7-99FB-157D47BC1AF1}"/>
    <cellStyle name="Comma 14 3 2 2" xfId="1286" xr:uid="{48DE7600-0A2D-44C1-84B4-3369D99B6B58}"/>
    <cellStyle name="Comma 14 3 2 2 2" xfId="2687" xr:uid="{CADEA306-EB98-48F5-84F5-B25934F3A339}"/>
    <cellStyle name="Comma 14 3 2 2 2 2" xfId="5497" xr:uid="{CFBBB6DE-6136-45D5-BDA8-5A9E96447627}"/>
    <cellStyle name="Comma 14 3 2 2 2 2 2" xfId="11133" xr:uid="{943FACC9-A1E3-4196-91A7-488C6C6BE454}"/>
    <cellStyle name="Comma 14 3 2 2 2 3" xfId="8323" xr:uid="{41C826EB-7212-4DFB-85D9-3B1A37A61681}"/>
    <cellStyle name="Comma 14 3 2 2 3" xfId="4096" xr:uid="{BC306DDB-9AAC-4172-ABA3-FD3D2E01D767}"/>
    <cellStyle name="Comma 14 3 2 2 3 2" xfId="9732" xr:uid="{99564FA2-6F28-489B-B1C1-16BE3F46A9C0}"/>
    <cellStyle name="Comma 14 3 2 2 4" xfId="6922" xr:uid="{C384B5FE-B583-4372-BD8F-00EF50A56C3C}"/>
    <cellStyle name="Comma 14 3 2 3" xfId="1991" xr:uid="{67172230-19D1-4EBF-A80B-9B5498E5AFC7}"/>
    <cellStyle name="Comma 14 3 2 3 2" xfId="4801" xr:uid="{2E3C5E33-B900-4DFD-A87A-2451AD47901C}"/>
    <cellStyle name="Comma 14 3 2 3 2 2" xfId="10437" xr:uid="{12F8C574-392E-4297-AA50-8C6304606E8A}"/>
    <cellStyle name="Comma 14 3 2 3 3" xfId="7627" xr:uid="{0870B93D-50F8-4770-910B-F0358CA41557}"/>
    <cellStyle name="Comma 14 3 2 4" xfId="3400" xr:uid="{87652186-FA5C-4FF2-B2E5-2B33B3B342DD}"/>
    <cellStyle name="Comma 14 3 2 4 2" xfId="9036" xr:uid="{10110B9E-0800-484F-A22C-BEAEB0B0AE9F}"/>
    <cellStyle name="Comma 14 3 2 5" xfId="6226" xr:uid="{4E3F5D40-D1C6-408E-BE49-A0554E6FD645}"/>
    <cellStyle name="Comma 14 3 3" xfId="942" xr:uid="{67C4D905-B5B8-4486-B47D-DE255709BCF6}"/>
    <cellStyle name="Comma 14 3 3 2" xfId="2343" xr:uid="{201B1DD1-B5C5-42C5-9AA6-8DA6242BD93A}"/>
    <cellStyle name="Comma 14 3 3 2 2" xfId="5153" xr:uid="{AB9205CC-BBA8-4C48-B2B7-239DD851791F}"/>
    <cellStyle name="Comma 14 3 3 2 2 2" xfId="10789" xr:uid="{A3A847A2-CFE5-4A9C-9D80-2DDB3267DF05}"/>
    <cellStyle name="Comma 14 3 3 2 3" xfId="7979" xr:uid="{A512A74B-8DE1-49B5-B372-CCA5A84B3A3A}"/>
    <cellStyle name="Comma 14 3 3 3" xfId="3752" xr:uid="{344B7A5D-9891-47D8-844B-CEC10C30949E}"/>
    <cellStyle name="Comma 14 3 3 3 2" xfId="9388" xr:uid="{05DBACA2-9B77-451F-947D-3162BE70DD22}"/>
    <cellStyle name="Comma 14 3 3 4" xfId="6578" xr:uid="{08768EF8-92B5-4991-BC92-25B6D65F3148}"/>
    <cellStyle name="Comma 14 3 4" xfId="1647" xr:uid="{690651FB-3693-49E0-86A8-36810F7DA4C5}"/>
    <cellStyle name="Comma 14 3 4 2" xfId="4457" xr:uid="{60DDB6F9-8EFC-4F99-AF04-CD9DC0CB7824}"/>
    <cellStyle name="Comma 14 3 4 2 2" xfId="10093" xr:uid="{7B296F46-1810-45D7-8495-EDA032EC0B76}"/>
    <cellStyle name="Comma 14 3 4 3" xfId="7283" xr:uid="{FB6BEDD8-381A-4C21-A73C-29354C1CC795}"/>
    <cellStyle name="Comma 14 3 5" xfId="3056" xr:uid="{43654816-6D5D-4B99-9ECB-8A9C8B6D7615}"/>
    <cellStyle name="Comma 14 3 5 2" xfId="8692" xr:uid="{E6DD038D-0588-4841-928A-147C0D882C41}"/>
    <cellStyle name="Comma 14 3 6" xfId="5882" xr:uid="{7B9E5BD9-C5AA-4122-84EF-171F8998EABE}"/>
    <cellStyle name="Comma 14 4" xfId="418" xr:uid="{B300C8B2-673C-4E2E-9BC4-A0250B186E62}"/>
    <cellStyle name="Comma 14 4 2" xfId="1114" xr:uid="{7C2A10E9-91A0-4F30-BB43-06762EF05D40}"/>
    <cellStyle name="Comma 14 4 2 2" xfId="2515" xr:uid="{96433A9D-F0C2-4C32-97E3-BAE76DC482CA}"/>
    <cellStyle name="Comma 14 4 2 2 2" xfId="5325" xr:uid="{18DD3EFD-C93C-4DD6-B9C3-17709D6E4657}"/>
    <cellStyle name="Comma 14 4 2 2 2 2" xfId="10961" xr:uid="{BF7DC469-978A-46BC-A69D-B7D27F116BD7}"/>
    <cellStyle name="Comma 14 4 2 2 3" xfId="8151" xr:uid="{3F0E0330-49E5-4D0D-9073-88476A538D18}"/>
    <cellStyle name="Comma 14 4 2 3" xfId="3924" xr:uid="{9F024AFB-D267-4733-8464-5BBC77B3ABED}"/>
    <cellStyle name="Comma 14 4 2 3 2" xfId="9560" xr:uid="{7B40D203-07EA-4321-AF8E-3C9B35C13CE1}"/>
    <cellStyle name="Comma 14 4 2 4" xfId="6750" xr:uid="{C76E5A2E-CBDD-490D-A8E2-072C6FC9587B}"/>
    <cellStyle name="Comma 14 4 3" xfId="1819" xr:uid="{468E5BBC-7334-4CCD-95E2-4E1AC33ECA8C}"/>
    <cellStyle name="Comma 14 4 3 2" xfId="4629" xr:uid="{7316C087-F770-4846-9ACB-A8CF8B1BF0E8}"/>
    <cellStyle name="Comma 14 4 3 2 2" xfId="10265" xr:uid="{1B068C76-60E8-4099-A50C-A037B69A4D6D}"/>
    <cellStyle name="Comma 14 4 3 3" xfId="7455" xr:uid="{300B5A8F-40E7-41C4-9447-761B6E76304F}"/>
    <cellStyle name="Comma 14 4 4" xfId="3228" xr:uid="{A7B768C8-D62B-4873-9B52-A185186B0616}"/>
    <cellStyle name="Comma 14 4 4 2" xfId="8864" xr:uid="{7C04CB72-22DA-4E57-A71A-A75EC5043511}"/>
    <cellStyle name="Comma 14 4 5" xfId="6054" xr:uid="{9EB27D28-7726-44F7-8A32-61AAEBF625D8}"/>
    <cellStyle name="Comma 14 5" xfId="770" xr:uid="{2007749C-9261-4302-8485-C2B54774D259}"/>
    <cellStyle name="Comma 14 5 2" xfId="2171" xr:uid="{1FB398C1-84CB-45AF-805C-9B0781D24BD8}"/>
    <cellStyle name="Comma 14 5 2 2" xfId="4981" xr:uid="{A5B7504D-F630-41E7-911E-C94A7EF39F5F}"/>
    <cellStyle name="Comma 14 5 2 2 2" xfId="10617" xr:uid="{0F506C8E-8FCC-4259-A933-B17139BB978A}"/>
    <cellStyle name="Comma 14 5 2 3" xfId="7807" xr:uid="{F13BCEDB-CDCC-47CE-8089-057BE38E75EA}"/>
    <cellStyle name="Comma 14 5 3" xfId="3580" xr:uid="{AE5B27C6-84FB-4EB6-849D-977916CFAE48}"/>
    <cellStyle name="Comma 14 5 3 2" xfId="9216" xr:uid="{11DE429C-34A1-4A28-B1EA-7BB3224C81C1}"/>
    <cellStyle name="Comma 14 5 4" xfId="6406" xr:uid="{25A814D9-B8EE-4588-8E9B-86CD81FA4020}"/>
    <cellStyle name="Comma 14 6" xfId="1475" xr:uid="{F90EE8B2-FF55-444A-8C62-239ACACF0803}"/>
    <cellStyle name="Comma 14 6 2" xfId="4285" xr:uid="{953066AF-1481-4C69-99CE-AFAB48D92861}"/>
    <cellStyle name="Comma 14 6 2 2" xfId="9921" xr:uid="{C65303BD-08E9-46CF-B4EB-D51237BE78BB}"/>
    <cellStyle name="Comma 14 6 3" xfId="7111" xr:uid="{41817A8A-F620-4520-88EF-D8B0285B02DC}"/>
    <cellStyle name="Comma 14 7" xfId="2884" xr:uid="{FFB4D0C5-8FF0-4AB7-8A4C-4608FD6B88B5}"/>
    <cellStyle name="Comma 14 7 2" xfId="8520" xr:uid="{8CC90A83-B0A1-4AA0-A0B9-7ED6687B5D04}"/>
    <cellStyle name="Comma 14 8" xfId="5710" xr:uid="{9F5289CA-A797-44E0-8E26-F4EF26789F0D}"/>
    <cellStyle name="Comma 15" xfId="76" xr:uid="{14C98C25-0F6E-470C-A389-325A2E394F9D}"/>
    <cellStyle name="Comma 15 2" xfId="156" xr:uid="{36B8EC42-6F4F-41EA-94F1-07D51534954E}"/>
    <cellStyle name="Comma 15 2 2" xfId="328" xr:uid="{6E6F4F3A-DB48-4C41-B4B9-FA18C4165CED}"/>
    <cellStyle name="Comma 15 2 2 2" xfId="672" xr:uid="{8714948F-B8A2-439C-9004-3328FB9C5373}"/>
    <cellStyle name="Comma 15 2 2 2 2" xfId="1368" xr:uid="{2D9D1258-31E1-4D69-A2A9-CEBDCF0B1E70}"/>
    <cellStyle name="Comma 15 2 2 2 2 2" xfId="2769" xr:uid="{DF23A121-31A4-47E2-8ED1-2C5F8AED1B29}"/>
    <cellStyle name="Comma 15 2 2 2 2 2 2" xfId="5579" xr:uid="{A487BA3A-85A5-440A-8AC2-7DED25D9FBCF}"/>
    <cellStyle name="Comma 15 2 2 2 2 2 2 2" xfId="11215" xr:uid="{4FB5C866-40BB-4AC8-8A89-63A336430DE3}"/>
    <cellStyle name="Comma 15 2 2 2 2 2 3" xfId="8405" xr:uid="{4B43467C-C1A9-4D57-B490-87DB48B2D8A7}"/>
    <cellStyle name="Comma 15 2 2 2 2 3" xfId="4178" xr:uid="{FFBEFA30-F1EA-44D1-B865-91660CF0AA75}"/>
    <cellStyle name="Comma 15 2 2 2 2 3 2" xfId="9814" xr:uid="{D22FA28A-4A3E-4C32-ABFC-CC0445B48F80}"/>
    <cellStyle name="Comma 15 2 2 2 2 4" xfId="7004" xr:uid="{C671EF7D-CBE7-4DF2-AC2B-C77C980F8364}"/>
    <cellStyle name="Comma 15 2 2 2 3" xfId="2073" xr:uid="{CF38C8F9-A11F-4BDE-8D31-1BBDD34DD421}"/>
    <cellStyle name="Comma 15 2 2 2 3 2" xfId="4883" xr:uid="{66A464A1-7574-4C7D-B6E3-E3DF44E8B82A}"/>
    <cellStyle name="Comma 15 2 2 2 3 2 2" xfId="10519" xr:uid="{6784B979-A806-40C3-AF7B-C611865C69AB}"/>
    <cellStyle name="Comma 15 2 2 2 3 3" xfId="7709" xr:uid="{56E4519E-E375-4467-92CD-D99431F9277B}"/>
    <cellStyle name="Comma 15 2 2 2 4" xfId="3482" xr:uid="{04CBF355-B562-4BEE-A555-9E9E04B14695}"/>
    <cellStyle name="Comma 15 2 2 2 4 2" xfId="9118" xr:uid="{5A467821-F2A0-4172-ADFA-E255B1B6D947}"/>
    <cellStyle name="Comma 15 2 2 2 5" xfId="6308" xr:uid="{D40576CA-E21B-43C1-BD65-1937BE7E1EF3}"/>
    <cellStyle name="Comma 15 2 2 3" xfId="1024" xr:uid="{E4AAEE4D-2227-4C3F-B49B-882F3B69301D}"/>
    <cellStyle name="Comma 15 2 2 3 2" xfId="2425" xr:uid="{FC3D881C-7468-47F7-9E7E-6E7DC31D4779}"/>
    <cellStyle name="Comma 15 2 2 3 2 2" xfId="5235" xr:uid="{D5B93B0D-8124-4822-B4D8-8F56D08FAFE3}"/>
    <cellStyle name="Comma 15 2 2 3 2 2 2" xfId="10871" xr:uid="{FC0AD1DF-90EF-402E-ABC3-E7732BF3F2E5}"/>
    <cellStyle name="Comma 15 2 2 3 2 3" xfId="8061" xr:uid="{1B753444-93B2-48C0-A1A0-DBB652D100B4}"/>
    <cellStyle name="Comma 15 2 2 3 3" xfId="3834" xr:uid="{737E6D59-F732-4D8E-B926-BA1B7DF328FA}"/>
    <cellStyle name="Comma 15 2 2 3 3 2" xfId="9470" xr:uid="{40707204-AF83-45AE-842E-68B64CB5E59F}"/>
    <cellStyle name="Comma 15 2 2 3 4" xfId="6660" xr:uid="{EBE64241-4C5F-40DA-BDC3-68C448BF1346}"/>
    <cellStyle name="Comma 15 2 2 4" xfId="1729" xr:uid="{1C5824D0-A2C8-4B77-94AA-985546C369C5}"/>
    <cellStyle name="Comma 15 2 2 4 2" xfId="4539" xr:uid="{42BCFFEB-8393-4B08-BC40-991D25E50091}"/>
    <cellStyle name="Comma 15 2 2 4 2 2" xfId="10175" xr:uid="{B6B79127-E015-4FD4-9860-E06675E6007C}"/>
    <cellStyle name="Comma 15 2 2 4 3" xfId="7365" xr:uid="{3792C307-B18E-4786-82C9-4D64E9F58575}"/>
    <cellStyle name="Comma 15 2 2 5" xfId="3138" xr:uid="{594A5116-F949-45D5-9779-49F8EE3E7613}"/>
    <cellStyle name="Comma 15 2 2 5 2" xfId="8774" xr:uid="{74E67761-B1A7-440F-9667-36A73D64245B}"/>
    <cellStyle name="Comma 15 2 2 6" xfId="5964" xr:uid="{BB5B5F75-E8D3-4698-973E-6B6A1B09D4C2}"/>
    <cellStyle name="Comma 15 2 3" xfId="500" xr:uid="{5AD00F83-19DC-4596-8FDA-CF9B3FD282A2}"/>
    <cellStyle name="Comma 15 2 3 2" xfId="1196" xr:uid="{618CFC0E-5866-4600-B349-F4E517A9110A}"/>
    <cellStyle name="Comma 15 2 3 2 2" xfId="2597" xr:uid="{AC092696-69F6-429A-8EA4-5593E8F157A1}"/>
    <cellStyle name="Comma 15 2 3 2 2 2" xfId="5407" xr:uid="{A0524C1F-CDAD-451C-9E60-37578D715537}"/>
    <cellStyle name="Comma 15 2 3 2 2 2 2" xfId="11043" xr:uid="{CBAB1257-8604-4819-973D-4B654F91466E}"/>
    <cellStyle name="Comma 15 2 3 2 2 3" xfId="8233" xr:uid="{A462A2D4-F050-470B-A8AD-06D45A7D3AB4}"/>
    <cellStyle name="Comma 15 2 3 2 3" xfId="4006" xr:uid="{BAC03A97-D313-4D43-9B42-1B74562E441A}"/>
    <cellStyle name="Comma 15 2 3 2 3 2" xfId="9642" xr:uid="{C3B1851E-ACD6-49B2-87E6-57FA47D6E526}"/>
    <cellStyle name="Comma 15 2 3 2 4" xfId="6832" xr:uid="{6064C46B-F000-4824-9E04-FC6C777BA1FF}"/>
    <cellStyle name="Comma 15 2 3 3" xfId="1901" xr:uid="{D7BE0760-B566-4B24-99FE-81057147F31B}"/>
    <cellStyle name="Comma 15 2 3 3 2" xfId="4711" xr:uid="{F3D024CF-1128-402B-82CD-E327B6BB9655}"/>
    <cellStyle name="Comma 15 2 3 3 2 2" xfId="10347" xr:uid="{61BD9B03-1C22-433A-97E1-66AF8EC6C5F3}"/>
    <cellStyle name="Comma 15 2 3 3 3" xfId="7537" xr:uid="{4EBB4F53-DE4E-4B73-B366-B8CFFEF5FACA}"/>
    <cellStyle name="Comma 15 2 3 4" xfId="3310" xr:uid="{ED5B0D7C-3253-4024-A4CD-190FF326926C}"/>
    <cellStyle name="Comma 15 2 3 4 2" xfId="8946" xr:uid="{D02A0103-3D2A-4A0B-B0EB-1FB04A7D3CBF}"/>
    <cellStyle name="Comma 15 2 3 5" xfId="6136" xr:uid="{F74873F7-2BBC-46ED-B722-7C1472BAE175}"/>
    <cellStyle name="Comma 15 2 4" xfId="852" xr:uid="{3916422A-A5FB-4641-9FB8-D94153502121}"/>
    <cellStyle name="Comma 15 2 4 2" xfId="2253" xr:uid="{D0904106-6E48-4002-A74A-3158D9451C02}"/>
    <cellStyle name="Comma 15 2 4 2 2" xfId="5063" xr:uid="{9726C604-36DE-4083-BA72-9B90602E6943}"/>
    <cellStyle name="Comma 15 2 4 2 2 2" xfId="10699" xr:uid="{B9B34223-58B4-4A3C-97E6-F8547CCDE8C6}"/>
    <cellStyle name="Comma 15 2 4 2 3" xfId="7889" xr:uid="{63E9B73E-343A-4E79-890B-7FCCBE7C0155}"/>
    <cellStyle name="Comma 15 2 4 3" xfId="3662" xr:uid="{08746B10-2ED8-4F2B-8C92-855AF9F23653}"/>
    <cellStyle name="Comma 15 2 4 3 2" xfId="9298" xr:uid="{70EA39A2-B628-4655-8988-00EE554F92C5}"/>
    <cellStyle name="Comma 15 2 4 4" xfId="6488" xr:uid="{75A0E533-E8B2-45E3-BD70-5584F4C59087}"/>
    <cellStyle name="Comma 15 2 5" xfId="1557" xr:uid="{240AC08C-7CA6-491D-879D-F317025AE3FF}"/>
    <cellStyle name="Comma 15 2 5 2" xfId="4367" xr:uid="{18477243-607A-4CEF-BCE7-0F1FAA41F52D}"/>
    <cellStyle name="Comma 15 2 5 2 2" xfId="10003" xr:uid="{B5724747-E3A6-4840-8649-7DFBC5EE6EA7}"/>
    <cellStyle name="Comma 15 2 5 3" xfId="7193" xr:uid="{3B72012E-9580-48E3-8BE0-E6943C5F1912}"/>
    <cellStyle name="Comma 15 2 6" xfId="2966" xr:uid="{4B410567-D280-4E54-8E22-F5AEAB2A10F8}"/>
    <cellStyle name="Comma 15 2 6 2" xfId="8602" xr:uid="{D649151F-79D6-4007-A065-A3822079B5C7}"/>
    <cellStyle name="Comma 15 2 7" xfId="5792" xr:uid="{5EF15B13-6E1F-4E78-B062-51C0B582DA61}"/>
    <cellStyle name="Comma 15 3" xfId="248" xr:uid="{37E628F6-C7B3-4063-A9FC-58A11A9C345C}"/>
    <cellStyle name="Comma 15 3 2" xfId="592" xr:uid="{1D9F5833-5464-4D87-A5E3-C2C19F0BFEAF}"/>
    <cellStyle name="Comma 15 3 2 2" xfId="1288" xr:uid="{A7C31736-73AB-4227-B5BE-0C90229FE6BF}"/>
    <cellStyle name="Comma 15 3 2 2 2" xfId="2689" xr:uid="{E25FDF87-ED11-4928-95BC-953839700D9C}"/>
    <cellStyle name="Comma 15 3 2 2 2 2" xfId="5499" xr:uid="{DA15215F-046C-42ED-9F97-67FCF4F742DF}"/>
    <cellStyle name="Comma 15 3 2 2 2 2 2" xfId="11135" xr:uid="{4254A585-699B-433D-8F4A-C7DDA549539C}"/>
    <cellStyle name="Comma 15 3 2 2 2 3" xfId="8325" xr:uid="{BD39F031-EBBA-427D-AEE2-961CBFF5A96B}"/>
    <cellStyle name="Comma 15 3 2 2 3" xfId="4098" xr:uid="{F7D3FDDA-31D6-45F5-8B67-813AB3F26ED4}"/>
    <cellStyle name="Comma 15 3 2 2 3 2" xfId="9734" xr:uid="{57B90C69-66B4-4D90-B85F-2C4C7C77C32C}"/>
    <cellStyle name="Comma 15 3 2 2 4" xfId="6924" xr:uid="{593EC087-4E57-4277-8694-28B96E58B89B}"/>
    <cellStyle name="Comma 15 3 2 3" xfId="1993" xr:uid="{DA1B4411-B1AB-4D38-BD58-DBE28C8496ED}"/>
    <cellStyle name="Comma 15 3 2 3 2" xfId="4803" xr:uid="{85A30B00-44FB-4696-817C-93A7B06FC3CD}"/>
    <cellStyle name="Comma 15 3 2 3 2 2" xfId="10439" xr:uid="{4B379CB8-C837-497C-9639-AF2F33357C21}"/>
    <cellStyle name="Comma 15 3 2 3 3" xfId="7629" xr:uid="{A295344A-A486-4A95-9A9D-EDE92D511E73}"/>
    <cellStyle name="Comma 15 3 2 4" xfId="3402" xr:uid="{4925ABF0-53B4-4DAD-B7C3-F3075933C1CA}"/>
    <cellStyle name="Comma 15 3 2 4 2" xfId="9038" xr:uid="{27C50A72-E49E-4C50-8ED8-0DAC5708D77A}"/>
    <cellStyle name="Comma 15 3 2 5" xfId="6228" xr:uid="{D6FF0A04-F086-4AA4-8734-F3C422D46E9D}"/>
    <cellStyle name="Comma 15 3 3" xfId="944" xr:uid="{ED40F3B1-B738-4B0B-9DD4-038BB4684CC0}"/>
    <cellStyle name="Comma 15 3 3 2" xfId="2345" xr:uid="{6A589AA8-69ED-4973-9E11-E36F7B32B309}"/>
    <cellStyle name="Comma 15 3 3 2 2" xfId="5155" xr:uid="{0F1BD184-7CDB-4A3E-8091-9905D10B0806}"/>
    <cellStyle name="Comma 15 3 3 2 2 2" xfId="10791" xr:uid="{9F3B57E4-A984-4FF8-976E-4B95A33C1D3F}"/>
    <cellStyle name="Comma 15 3 3 2 3" xfId="7981" xr:uid="{62E7B042-58E5-4F10-8103-56C896A032F2}"/>
    <cellStyle name="Comma 15 3 3 3" xfId="3754" xr:uid="{E607FCD7-E817-47EA-AC80-7DA5DBE75435}"/>
    <cellStyle name="Comma 15 3 3 3 2" xfId="9390" xr:uid="{63311C1D-13AB-4F3D-B8E1-83960EC53D21}"/>
    <cellStyle name="Comma 15 3 3 4" xfId="6580" xr:uid="{45CE4C83-71C8-4B85-BCBD-C284C8F71629}"/>
    <cellStyle name="Comma 15 3 4" xfId="1649" xr:uid="{D0A96DB5-F374-4B98-8950-436DCEFEA2B9}"/>
    <cellStyle name="Comma 15 3 4 2" xfId="4459" xr:uid="{C07091B8-3C6F-4DCB-87CC-38254D4F33FA}"/>
    <cellStyle name="Comma 15 3 4 2 2" xfId="10095" xr:uid="{5CFC06DF-A398-4BFA-A957-81484198632F}"/>
    <cellStyle name="Comma 15 3 4 3" xfId="7285" xr:uid="{003C6711-804C-412C-8581-40170598826B}"/>
    <cellStyle name="Comma 15 3 5" xfId="3058" xr:uid="{159E0B2D-79F5-4126-A96F-17BF4FFD01A5}"/>
    <cellStyle name="Comma 15 3 5 2" xfId="8694" xr:uid="{EC066575-246C-40A9-91CD-A61AC1CC0D1F}"/>
    <cellStyle name="Comma 15 3 6" xfId="5884" xr:uid="{D40BA715-E51B-464C-ABC0-09C8FA18895C}"/>
    <cellStyle name="Comma 15 4" xfId="420" xr:uid="{97A90C9E-16B3-45A5-BFCB-0466BD7FE322}"/>
    <cellStyle name="Comma 15 4 2" xfId="1116" xr:uid="{F3946634-B869-4818-AD5E-DCE1E813B2D8}"/>
    <cellStyle name="Comma 15 4 2 2" xfId="2517" xr:uid="{8C64787C-C6FB-4DC0-A3D1-29584F5F4C88}"/>
    <cellStyle name="Comma 15 4 2 2 2" xfId="5327" xr:uid="{7C2F2689-363E-428C-8148-12487DD9B229}"/>
    <cellStyle name="Comma 15 4 2 2 2 2" xfId="10963" xr:uid="{FBB58BA9-16B3-49A7-AF2C-6E2AD3C87505}"/>
    <cellStyle name="Comma 15 4 2 2 3" xfId="8153" xr:uid="{4210457C-20C8-46D9-958D-44EEA99E1885}"/>
    <cellStyle name="Comma 15 4 2 3" xfId="3926" xr:uid="{F12B02AB-6212-44E8-B85D-D441DA85557E}"/>
    <cellStyle name="Comma 15 4 2 3 2" xfId="9562" xr:uid="{517E4008-0D32-4ADE-B540-C0A01316F2D8}"/>
    <cellStyle name="Comma 15 4 2 4" xfId="6752" xr:uid="{B278D09B-BA83-4855-A22E-17559F5CB2C1}"/>
    <cellStyle name="Comma 15 4 3" xfId="1821" xr:uid="{A6A95566-F4AE-47D1-BAB2-99D7B0AAD98E}"/>
    <cellStyle name="Comma 15 4 3 2" xfId="4631" xr:uid="{61BA09DE-9960-49A6-B2F1-00C8178257BB}"/>
    <cellStyle name="Comma 15 4 3 2 2" xfId="10267" xr:uid="{8E7218C3-9F61-49F8-86A8-EDEE9172D7BA}"/>
    <cellStyle name="Comma 15 4 3 3" xfId="7457" xr:uid="{4DD74003-A6CD-4CBA-8E2D-0FCFA6328A73}"/>
    <cellStyle name="Comma 15 4 4" xfId="3230" xr:uid="{EC625E93-5A47-4E3A-902A-43C36D93EB02}"/>
    <cellStyle name="Comma 15 4 4 2" xfId="8866" xr:uid="{610585A7-4F49-4188-8B03-13D7E2CAD0B6}"/>
    <cellStyle name="Comma 15 4 5" xfId="6056" xr:uid="{74AEC1CE-D4A1-40E3-883D-71354179877C}"/>
    <cellStyle name="Comma 15 5" xfId="772" xr:uid="{17B02CC0-7522-4A6D-9486-8F536DA919E6}"/>
    <cellStyle name="Comma 15 5 2" xfId="2173" xr:uid="{426AA3C6-B44A-48C7-ADE2-CFCB2E93406B}"/>
    <cellStyle name="Comma 15 5 2 2" xfId="4983" xr:uid="{609A8C49-58EE-41B5-8524-789CDC9EFE28}"/>
    <cellStyle name="Comma 15 5 2 2 2" xfId="10619" xr:uid="{328E58B1-6A3F-445A-BA84-2377FD1FC656}"/>
    <cellStyle name="Comma 15 5 2 3" xfId="7809" xr:uid="{E97BE051-3118-42D6-A1F4-8AD2CAD7D49E}"/>
    <cellStyle name="Comma 15 5 3" xfId="3582" xr:uid="{5BA05AC4-79BA-4C7E-8E9A-A1212A0D9FE8}"/>
    <cellStyle name="Comma 15 5 3 2" xfId="9218" xr:uid="{15DB26D9-786C-4221-B1AD-A07D65FAC5C9}"/>
    <cellStyle name="Comma 15 5 4" xfId="6408" xr:uid="{A1BF4071-826F-477B-9B6D-EF2E777B8300}"/>
    <cellStyle name="Comma 15 6" xfId="1477" xr:uid="{E4210173-EED8-431F-BF07-62E5CC52EC5E}"/>
    <cellStyle name="Comma 15 6 2" xfId="4287" xr:uid="{B3867664-C981-4252-938B-6FA51CE3D378}"/>
    <cellStyle name="Comma 15 6 2 2" xfId="9923" xr:uid="{21E071DE-335F-42A1-B5C2-57BC7957CFFB}"/>
    <cellStyle name="Comma 15 6 3" xfId="7113" xr:uid="{22DF7B99-C516-4A3D-AEAF-AB5921F43658}"/>
    <cellStyle name="Comma 15 7" xfId="2886" xr:uid="{68D8E261-CCC8-4951-9603-56D96894CCAD}"/>
    <cellStyle name="Comma 15 7 2" xfId="8522" xr:uid="{89485A6A-88DB-464E-ABE2-68907D5E65AA}"/>
    <cellStyle name="Comma 15 8" xfId="5712" xr:uid="{358EEDBD-16C4-42C1-89DF-6C95FC353650}"/>
    <cellStyle name="Comma 16" xfId="78" xr:uid="{D712902C-3A90-49B9-B77A-0CCC714C52C0}"/>
    <cellStyle name="Comma 16 2" xfId="158" xr:uid="{72DAF432-2496-40F3-A56D-61376183909F}"/>
    <cellStyle name="Comma 16 2 2" xfId="330" xr:uid="{8A01BC2C-7AE3-46EB-B019-571657499F68}"/>
    <cellStyle name="Comma 16 2 2 2" xfId="674" xr:uid="{30268D35-6E92-4A16-93E8-915CEC90F847}"/>
    <cellStyle name="Comma 16 2 2 2 2" xfId="1370" xr:uid="{D26C5EF2-FD6D-4450-840E-9256D3A7958D}"/>
    <cellStyle name="Comma 16 2 2 2 2 2" xfId="2771" xr:uid="{1075302A-9BF9-4128-85CB-F30E8D458AC3}"/>
    <cellStyle name="Comma 16 2 2 2 2 2 2" xfId="5581" xr:uid="{23C797B2-7D54-468E-B271-A2F5AD4A7C73}"/>
    <cellStyle name="Comma 16 2 2 2 2 2 2 2" xfId="11217" xr:uid="{2CC72F27-1992-41B8-9C71-60D066EA11EB}"/>
    <cellStyle name="Comma 16 2 2 2 2 2 3" xfId="8407" xr:uid="{8D4510D8-5A56-4C15-AFED-BB006BB417D5}"/>
    <cellStyle name="Comma 16 2 2 2 2 3" xfId="4180" xr:uid="{BC8679E9-8008-484C-B2E9-9DA039055D89}"/>
    <cellStyle name="Comma 16 2 2 2 2 3 2" xfId="9816" xr:uid="{6194FF08-FEDC-467C-9CDE-AA3726284BC8}"/>
    <cellStyle name="Comma 16 2 2 2 2 4" xfId="7006" xr:uid="{C90B818A-4D28-4690-8BFE-02DA227C0944}"/>
    <cellStyle name="Comma 16 2 2 2 3" xfId="2075" xr:uid="{92E17F03-8952-42C0-BD4F-5D4D04403531}"/>
    <cellStyle name="Comma 16 2 2 2 3 2" xfId="4885" xr:uid="{3DBF4CCC-E65F-4C76-A9C1-DB8090392FD8}"/>
    <cellStyle name="Comma 16 2 2 2 3 2 2" xfId="10521" xr:uid="{6F1FB7D5-AE9B-413A-A72D-2F6E4C967D72}"/>
    <cellStyle name="Comma 16 2 2 2 3 3" xfId="7711" xr:uid="{D6C7398C-FA42-4D7E-8744-A528102C58CE}"/>
    <cellStyle name="Comma 16 2 2 2 4" xfId="3484" xr:uid="{863F0DB0-D4EA-48DB-86A2-B580051378CD}"/>
    <cellStyle name="Comma 16 2 2 2 4 2" xfId="9120" xr:uid="{4C094B7F-3151-4E50-9498-496A72177CB1}"/>
    <cellStyle name="Comma 16 2 2 2 5" xfId="6310" xr:uid="{C0E5EFA1-4B40-4A5A-81F6-15758C3A3010}"/>
    <cellStyle name="Comma 16 2 2 3" xfId="1026" xr:uid="{FB8CEFA3-7FA9-4686-8644-D7059E1EB34E}"/>
    <cellStyle name="Comma 16 2 2 3 2" xfId="2427" xr:uid="{4B020E5B-3893-4275-BD56-5FF43D4EF3CD}"/>
    <cellStyle name="Comma 16 2 2 3 2 2" xfId="5237" xr:uid="{3252565F-44B1-47F1-B32B-A07C83B4E085}"/>
    <cellStyle name="Comma 16 2 2 3 2 2 2" xfId="10873" xr:uid="{BF4A90DF-9335-4EF2-BDCF-110139E85A7F}"/>
    <cellStyle name="Comma 16 2 2 3 2 3" xfId="8063" xr:uid="{DC816D95-3BEE-41BF-94AA-9110C39B707D}"/>
    <cellStyle name="Comma 16 2 2 3 3" xfId="3836" xr:uid="{D8126BA1-D978-4245-91F7-5C8803CC64DD}"/>
    <cellStyle name="Comma 16 2 2 3 3 2" xfId="9472" xr:uid="{8C378B6F-5EA8-496F-BBB9-66AB56195F40}"/>
    <cellStyle name="Comma 16 2 2 3 4" xfId="6662" xr:uid="{D904993C-F18D-4CA3-AE61-6C311FB33F4A}"/>
    <cellStyle name="Comma 16 2 2 4" xfId="1731" xr:uid="{5FAD719C-5B2A-4D83-BAAE-C98A1DB6BF26}"/>
    <cellStyle name="Comma 16 2 2 4 2" xfId="4541" xr:uid="{14283D44-EE7B-4CF9-9C13-4E0593CC99F3}"/>
    <cellStyle name="Comma 16 2 2 4 2 2" xfId="10177" xr:uid="{6E9166BB-1576-4BC6-A25E-4554F5570BCC}"/>
    <cellStyle name="Comma 16 2 2 4 3" xfId="7367" xr:uid="{6EA418C9-DD2F-4328-B3EC-B87CAEA635FA}"/>
    <cellStyle name="Comma 16 2 2 5" xfId="3140" xr:uid="{B999B31E-07EB-4225-9A61-10E45AB451E9}"/>
    <cellStyle name="Comma 16 2 2 5 2" xfId="8776" xr:uid="{2073BAF3-71A6-4AA5-8791-CEBD6CBE8776}"/>
    <cellStyle name="Comma 16 2 2 6" xfId="5966" xr:uid="{7F4648CB-A644-4421-A666-7E2C50DB85A8}"/>
    <cellStyle name="Comma 16 2 3" xfId="502" xr:uid="{E78732EF-D411-4F33-8D97-56B7EECDFCCE}"/>
    <cellStyle name="Comma 16 2 3 2" xfId="1198" xr:uid="{0010EB9E-E2DC-4591-8A61-23AB5218294A}"/>
    <cellStyle name="Comma 16 2 3 2 2" xfId="2599" xr:uid="{7CD970B1-8553-44B7-9B48-BF3BBC2284C6}"/>
    <cellStyle name="Comma 16 2 3 2 2 2" xfId="5409" xr:uid="{9CB4850B-0508-4793-9B97-B1395A13B8FA}"/>
    <cellStyle name="Comma 16 2 3 2 2 2 2" xfId="11045" xr:uid="{4D163666-FE03-43A7-BC97-DD9B8C920806}"/>
    <cellStyle name="Comma 16 2 3 2 2 3" xfId="8235" xr:uid="{5B436192-216B-4611-87AF-44D761FCE86B}"/>
    <cellStyle name="Comma 16 2 3 2 3" xfId="4008" xr:uid="{7C5F68AC-553F-47F6-AEFB-8BBBAFA162BC}"/>
    <cellStyle name="Comma 16 2 3 2 3 2" xfId="9644" xr:uid="{79F79705-A4C9-4BBD-B6A7-C0F0C1D0C90E}"/>
    <cellStyle name="Comma 16 2 3 2 4" xfId="6834" xr:uid="{7F6BE0F0-2ECB-4147-B791-BAE84EC207D9}"/>
    <cellStyle name="Comma 16 2 3 3" xfId="1903" xr:uid="{0C65DC28-9701-410C-B690-75C68585B700}"/>
    <cellStyle name="Comma 16 2 3 3 2" xfId="4713" xr:uid="{7E4A2344-F0B0-4824-9E30-262C452BF673}"/>
    <cellStyle name="Comma 16 2 3 3 2 2" xfId="10349" xr:uid="{90D780B6-C806-4548-B477-6AE411812924}"/>
    <cellStyle name="Comma 16 2 3 3 3" xfId="7539" xr:uid="{859C7834-C26A-4732-B6D0-1962DCD24210}"/>
    <cellStyle name="Comma 16 2 3 4" xfId="3312" xr:uid="{14793A7F-89FB-4C64-90D4-1D56551AFAE1}"/>
    <cellStyle name="Comma 16 2 3 4 2" xfId="8948" xr:uid="{79DFD6BB-048F-4598-AB58-41E5F3ECFF42}"/>
    <cellStyle name="Comma 16 2 3 5" xfId="6138" xr:uid="{F81F38E9-2524-4707-94DC-A3FC44AEEB9F}"/>
    <cellStyle name="Comma 16 2 4" xfId="854" xr:uid="{8E3AD6E6-6217-4795-B77D-0EF7EC707483}"/>
    <cellStyle name="Comma 16 2 4 2" xfId="2255" xr:uid="{3F925C82-9C08-4FF3-B3BC-5DDC284CCAA7}"/>
    <cellStyle name="Comma 16 2 4 2 2" xfId="5065" xr:uid="{16A50E28-3C25-49EA-B2F7-004B3DF6083F}"/>
    <cellStyle name="Comma 16 2 4 2 2 2" xfId="10701" xr:uid="{4AE318E6-5A45-4589-A164-6B7FC7F3EFF7}"/>
    <cellStyle name="Comma 16 2 4 2 3" xfId="7891" xr:uid="{C78137CE-8F66-4933-B1E5-32907B80032A}"/>
    <cellStyle name="Comma 16 2 4 3" xfId="3664" xr:uid="{0C20592B-84AA-4670-A9EF-BC4FA4DAFFBC}"/>
    <cellStyle name="Comma 16 2 4 3 2" xfId="9300" xr:uid="{558E26C8-3A5B-4F71-80EE-E70A68DF67C3}"/>
    <cellStyle name="Comma 16 2 4 4" xfId="6490" xr:uid="{91DB1B3A-0424-462E-A6F1-10C4EEDFA3BE}"/>
    <cellStyle name="Comma 16 2 5" xfId="1559" xr:uid="{243B07EB-7000-4ECB-843B-AF8BECE3499F}"/>
    <cellStyle name="Comma 16 2 5 2" xfId="4369" xr:uid="{B19F0848-1D03-42D1-ACBA-C8D84743BBB7}"/>
    <cellStyle name="Comma 16 2 5 2 2" xfId="10005" xr:uid="{DC146FC7-9BC3-4B34-9728-0A25189D62DD}"/>
    <cellStyle name="Comma 16 2 5 3" xfId="7195" xr:uid="{27E02A4D-E68D-4C51-863B-8346C597150E}"/>
    <cellStyle name="Comma 16 2 6" xfId="2968" xr:uid="{14BD0896-7792-42F1-90B8-CAF5981ABC36}"/>
    <cellStyle name="Comma 16 2 6 2" xfId="8604" xr:uid="{C033362A-9F11-48E1-8BE3-A3FC3A81B164}"/>
    <cellStyle name="Comma 16 2 7" xfId="5794" xr:uid="{5ADEE16F-F377-4213-8782-31D267F82632}"/>
    <cellStyle name="Comma 16 3" xfId="250" xr:uid="{4D380D74-0B77-4DEF-9EF2-5471B2C36DD5}"/>
    <cellStyle name="Comma 16 3 2" xfId="594" xr:uid="{259334F8-D078-4862-AD92-1FF3FBDFB90A}"/>
    <cellStyle name="Comma 16 3 2 2" xfId="1290" xr:uid="{AA6C2A37-18D8-455A-88A8-9EF2C8900AB1}"/>
    <cellStyle name="Comma 16 3 2 2 2" xfId="2691" xr:uid="{4A677190-2500-4AD9-8736-C667A3756F83}"/>
    <cellStyle name="Comma 16 3 2 2 2 2" xfId="5501" xr:uid="{E90E2CB7-1AEF-4492-BC57-37F2B2A75784}"/>
    <cellStyle name="Comma 16 3 2 2 2 2 2" xfId="11137" xr:uid="{6589C69E-319B-429F-8A2C-F54A62840F18}"/>
    <cellStyle name="Comma 16 3 2 2 2 3" xfId="8327" xr:uid="{FAA01E85-50F1-4B94-ABFE-0E9E4FC871D2}"/>
    <cellStyle name="Comma 16 3 2 2 3" xfId="4100" xr:uid="{1F42C10B-63C7-4E97-A780-E0FB9E2935FB}"/>
    <cellStyle name="Comma 16 3 2 2 3 2" xfId="9736" xr:uid="{60AE8D2F-AE4A-4F1D-9FAD-6D3CB924F391}"/>
    <cellStyle name="Comma 16 3 2 2 4" xfId="6926" xr:uid="{79E58984-6876-4E46-B6B7-D8009E6304F6}"/>
    <cellStyle name="Comma 16 3 2 3" xfId="1995" xr:uid="{DCF2213D-57A4-42F3-8AFC-98BCAF4C769A}"/>
    <cellStyle name="Comma 16 3 2 3 2" xfId="4805" xr:uid="{3EA2BAA3-FDDE-424B-A0AA-410D362CF6EE}"/>
    <cellStyle name="Comma 16 3 2 3 2 2" xfId="10441" xr:uid="{3B460610-3369-430B-9CEC-228501970BD0}"/>
    <cellStyle name="Comma 16 3 2 3 3" xfId="7631" xr:uid="{95148CAC-1616-454B-B331-2B1366B7B461}"/>
    <cellStyle name="Comma 16 3 2 4" xfId="3404" xr:uid="{5CD4D075-6741-446C-800A-F29738EF38FB}"/>
    <cellStyle name="Comma 16 3 2 4 2" xfId="9040" xr:uid="{E47BD12C-2687-4316-B48E-48E8104A51E3}"/>
    <cellStyle name="Comma 16 3 2 5" xfId="6230" xr:uid="{6953A335-EE95-45C6-9382-2179694A6F9F}"/>
    <cellStyle name="Comma 16 3 3" xfId="946" xr:uid="{0ADFCB3C-82B9-43BC-904F-131454EF7DB9}"/>
    <cellStyle name="Comma 16 3 3 2" xfId="2347" xr:uid="{9E25B8B7-4D5B-4E74-A8D6-CE968CC18B90}"/>
    <cellStyle name="Comma 16 3 3 2 2" xfId="5157" xr:uid="{1C03C64E-38F3-4B99-B8F2-5C65913D37B3}"/>
    <cellStyle name="Comma 16 3 3 2 2 2" xfId="10793" xr:uid="{C09BDD3F-2613-4E2F-88BF-BB7310891D8A}"/>
    <cellStyle name="Comma 16 3 3 2 3" xfId="7983" xr:uid="{6690988F-EC41-4337-924A-0323124B6615}"/>
    <cellStyle name="Comma 16 3 3 3" xfId="3756" xr:uid="{F9FD7219-569D-41BF-9D00-1C3F98665626}"/>
    <cellStyle name="Comma 16 3 3 3 2" xfId="9392" xr:uid="{6E0D43D5-CB83-4792-A437-08251A9AC35E}"/>
    <cellStyle name="Comma 16 3 3 4" xfId="6582" xr:uid="{1C8F2814-DF2B-44E1-9D3C-ADD3C40CBD0F}"/>
    <cellStyle name="Comma 16 3 4" xfId="1651" xr:uid="{CFDA4A12-2884-49F4-A0A9-E4BBB0D30CD7}"/>
    <cellStyle name="Comma 16 3 4 2" xfId="4461" xr:uid="{1B6DC5AB-E0CE-4D38-8857-DF56DEA86A96}"/>
    <cellStyle name="Comma 16 3 4 2 2" xfId="10097" xr:uid="{10D740D1-42F2-4AA9-869F-F22EAD055204}"/>
    <cellStyle name="Comma 16 3 4 3" xfId="7287" xr:uid="{BAFEE47C-5182-4E3A-B37D-E83C750DB5BA}"/>
    <cellStyle name="Comma 16 3 5" xfId="3060" xr:uid="{88B3531C-AFFE-4B10-B82C-951CB9E1425A}"/>
    <cellStyle name="Comma 16 3 5 2" xfId="8696" xr:uid="{FABA4442-7741-469F-B591-06A912EF6BF3}"/>
    <cellStyle name="Comma 16 3 6" xfId="5886" xr:uid="{E33B1ECE-97BE-4732-8BEB-490A039B279E}"/>
    <cellStyle name="Comma 16 4" xfId="422" xr:uid="{F82F0EB9-9F95-4DED-B5A4-C9396A9189E4}"/>
    <cellStyle name="Comma 16 4 2" xfId="1118" xr:uid="{A6E76DD9-31B4-4DDD-B2EF-DCB01C1CB224}"/>
    <cellStyle name="Comma 16 4 2 2" xfId="2519" xr:uid="{976E3B17-DB9E-4DBC-82AF-1FD7DC48C7D6}"/>
    <cellStyle name="Comma 16 4 2 2 2" xfId="5329" xr:uid="{01EDBC8E-4149-4519-9009-B0DBF9E00DE5}"/>
    <cellStyle name="Comma 16 4 2 2 2 2" xfId="10965" xr:uid="{C0A751DC-A7F6-47D0-80CE-E2FF471E1179}"/>
    <cellStyle name="Comma 16 4 2 2 3" xfId="8155" xr:uid="{A56A3B70-2051-4B6E-9FE7-7DC3CEAAD366}"/>
    <cellStyle name="Comma 16 4 2 3" xfId="3928" xr:uid="{95176ABB-AA34-48D5-87D4-B9B999BABAF7}"/>
    <cellStyle name="Comma 16 4 2 3 2" xfId="9564" xr:uid="{F756E5AF-1FA4-4FAB-80A1-7369377F62E3}"/>
    <cellStyle name="Comma 16 4 2 4" xfId="6754" xr:uid="{3CC34138-88F9-4765-9AE9-5ACBC71BC889}"/>
    <cellStyle name="Comma 16 4 3" xfId="1823" xr:uid="{C7E69BF9-E85A-4674-A6BF-EB4F288AB1FB}"/>
    <cellStyle name="Comma 16 4 3 2" xfId="4633" xr:uid="{5C1C2D6D-B616-4A1A-9486-06F407A5604C}"/>
    <cellStyle name="Comma 16 4 3 2 2" xfId="10269" xr:uid="{3BAD4332-8676-40F6-9F77-AF0B761828DD}"/>
    <cellStyle name="Comma 16 4 3 3" xfId="7459" xr:uid="{CEB99BBE-3028-4674-944E-1257ECD72C99}"/>
    <cellStyle name="Comma 16 4 4" xfId="3232" xr:uid="{A9C2A866-C3F3-482B-8A68-A08D73751D37}"/>
    <cellStyle name="Comma 16 4 4 2" xfId="8868" xr:uid="{74294D38-1387-4837-B309-D7D77CA337B6}"/>
    <cellStyle name="Comma 16 4 5" xfId="6058" xr:uid="{86D167C1-3A13-4BCC-8051-82C26EE8F1CF}"/>
    <cellStyle name="Comma 16 5" xfId="774" xr:uid="{A28B3A2A-8C83-4F42-80BD-8D02902CD147}"/>
    <cellStyle name="Comma 16 5 2" xfId="2175" xr:uid="{2816F798-A1A3-460F-A369-F5FFCB56CF2D}"/>
    <cellStyle name="Comma 16 5 2 2" xfId="4985" xr:uid="{81F0C228-893A-43F9-8327-A3CF2A980D33}"/>
    <cellStyle name="Comma 16 5 2 2 2" xfId="10621" xr:uid="{C00793F9-0A6E-4379-8180-96BAA3E53862}"/>
    <cellStyle name="Comma 16 5 2 3" xfId="7811" xr:uid="{E8537AE2-C730-4018-AE25-B38E61E5568B}"/>
    <cellStyle name="Comma 16 5 3" xfId="3584" xr:uid="{FCEE2A7E-A843-4368-BCB1-97B0D3206C17}"/>
    <cellStyle name="Comma 16 5 3 2" xfId="9220" xr:uid="{14496DCE-E737-4BE2-8190-69B0AADE05DA}"/>
    <cellStyle name="Comma 16 5 4" xfId="6410" xr:uid="{5B1A0762-3D40-4779-9BD3-64BBA8919ACB}"/>
    <cellStyle name="Comma 16 6" xfId="1479" xr:uid="{07F3232D-598A-4C08-B309-C9A30FA649F3}"/>
    <cellStyle name="Comma 16 6 2" xfId="4289" xr:uid="{750F8B05-81D6-4811-8161-C428505F6020}"/>
    <cellStyle name="Comma 16 6 2 2" xfId="9925" xr:uid="{4F4C82BE-7571-465C-9BDD-57D7E16D3A54}"/>
    <cellStyle name="Comma 16 6 3" xfId="7115" xr:uid="{3FC012FD-5054-432E-8B73-B632FE85382B}"/>
    <cellStyle name="Comma 16 7" xfId="2888" xr:uid="{EAB1539C-AD1A-486A-8E5C-2F0F88447FEA}"/>
    <cellStyle name="Comma 16 7 2" xfId="8524" xr:uid="{B2317702-A6E0-4D0F-8108-B1C4A0694729}"/>
    <cellStyle name="Comma 16 8" xfId="5714" xr:uid="{7103A855-48C1-4224-B94D-91010593FBFD}"/>
    <cellStyle name="Comma 17" xfId="80" xr:uid="{59E8D029-44C1-4BAF-BB55-582EE05429C7}"/>
    <cellStyle name="Comma 17 2" xfId="160" xr:uid="{452751FE-FA5C-4337-A0AE-A79FC2CE47BB}"/>
    <cellStyle name="Comma 17 2 2" xfId="332" xr:uid="{C3168F3B-AA8E-4032-84D2-34101FFBD801}"/>
    <cellStyle name="Comma 17 2 2 2" xfId="676" xr:uid="{2F054CD3-A245-4197-8936-27E4B485B7F8}"/>
    <cellStyle name="Comma 17 2 2 2 2" xfId="1372" xr:uid="{372730B2-0CF5-4DE0-818E-CE58D0F1D987}"/>
    <cellStyle name="Comma 17 2 2 2 2 2" xfId="2773" xr:uid="{1E7C1651-89FF-403D-814B-D296A22B9FED}"/>
    <cellStyle name="Comma 17 2 2 2 2 2 2" xfId="5583" xr:uid="{F48B4908-5AE8-46FA-BF30-712E91B5F61A}"/>
    <cellStyle name="Comma 17 2 2 2 2 2 2 2" xfId="11219" xr:uid="{4576C440-0397-44DB-B95C-B7C98CE41584}"/>
    <cellStyle name="Comma 17 2 2 2 2 2 3" xfId="8409" xr:uid="{4CB17EFA-48FF-4060-99C0-E0E45B88FC01}"/>
    <cellStyle name="Comma 17 2 2 2 2 3" xfId="4182" xr:uid="{D4CE619F-0216-4024-8EC3-63D94752A84E}"/>
    <cellStyle name="Comma 17 2 2 2 2 3 2" xfId="9818" xr:uid="{094F841B-D58C-44EA-A2F4-35CC2E3AF4ED}"/>
    <cellStyle name="Comma 17 2 2 2 2 4" xfId="7008" xr:uid="{F9F58832-0F9E-4437-85DB-9EA6AD6E7453}"/>
    <cellStyle name="Comma 17 2 2 2 3" xfId="2077" xr:uid="{A0ACB492-D944-4CFE-B482-3C580CFA1B40}"/>
    <cellStyle name="Comma 17 2 2 2 3 2" xfId="4887" xr:uid="{4B5A55E8-359C-48C0-9211-78EE97761DBB}"/>
    <cellStyle name="Comma 17 2 2 2 3 2 2" xfId="10523" xr:uid="{548DB726-64B0-4A2D-859F-3110471772AF}"/>
    <cellStyle name="Comma 17 2 2 2 3 3" xfId="7713" xr:uid="{9638EF14-0C89-4183-BA22-A3282043353F}"/>
    <cellStyle name="Comma 17 2 2 2 4" xfId="3486" xr:uid="{88BEDB05-47AB-4C45-B5F9-68FE096DD24A}"/>
    <cellStyle name="Comma 17 2 2 2 4 2" xfId="9122" xr:uid="{1578D522-6597-4B0F-AF62-A800A7DA60A6}"/>
    <cellStyle name="Comma 17 2 2 2 5" xfId="6312" xr:uid="{44EAEB5A-2D1F-412F-AD2B-B9841729233D}"/>
    <cellStyle name="Comma 17 2 2 3" xfId="1028" xr:uid="{E2C4C245-5987-437B-A482-954E35860315}"/>
    <cellStyle name="Comma 17 2 2 3 2" xfId="2429" xr:uid="{DEFCD8D8-D5D8-4020-BE66-0884248C1824}"/>
    <cellStyle name="Comma 17 2 2 3 2 2" xfId="5239" xr:uid="{70314D7B-CB2C-4F14-A311-DB98A2189DAD}"/>
    <cellStyle name="Comma 17 2 2 3 2 2 2" xfId="10875" xr:uid="{342DD7E6-578F-4DEA-BE87-B671855F48FF}"/>
    <cellStyle name="Comma 17 2 2 3 2 3" xfId="8065" xr:uid="{80BE9C5A-AB44-4262-9268-B39C78162AFE}"/>
    <cellStyle name="Comma 17 2 2 3 3" xfId="3838" xr:uid="{87DFFA36-8105-4AEE-9DBA-E34409A263C3}"/>
    <cellStyle name="Comma 17 2 2 3 3 2" xfId="9474" xr:uid="{211C8A88-9B9B-4D3A-AA54-A8F340DBECEF}"/>
    <cellStyle name="Comma 17 2 2 3 4" xfId="6664" xr:uid="{A2E78662-8E1E-47FA-8D64-5C75868E3892}"/>
    <cellStyle name="Comma 17 2 2 4" xfId="1733" xr:uid="{496C96E7-9C3C-40FB-A2E6-DB2B0A4F5AA7}"/>
    <cellStyle name="Comma 17 2 2 4 2" xfId="4543" xr:uid="{EACE4AC5-2A14-4122-9184-FFDF366785F0}"/>
    <cellStyle name="Comma 17 2 2 4 2 2" xfId="10179" xr:uid="{D8AA0830-FAE6-4819-921B-7C39377F27F8}"/>
    <cellStyle name="Comma 17 2 2 4 3" xfId="7369" xr:uid="{DBF0CB92-D633-4CE1-B09F-05AA00E7FBFB}"/>
    <cellStyle name="Comma 17 2 2 5" xfId="3142" xr:uid="{8F9EF2BD-47AE-49DF-B0D6-E8B3613663D4}"/>
    <cellStyle name="Comma 17 2 2 5 2" xfId="8778" xr:uid="{7448885B-488D-4BF3-B20B-B03796D92F00}"/>
    <cellStyle name="Comma 17 2 2 6" xfId="5968" xr:uid="{53D0061A-D859-44DD-A6FE-829F78FECBB0}"/>
    <cellStyle name="Comma 17 2 3" xfId="504" xr:uid="{F157790F-A24F-40C5-816F-458CF312E84C}"/>
    <cellStyle name="Comma 17 2 3 2" xfId="1200" xr:uid="{BB6BA492-87BC-424A-8063-968D9F2386CD}"/>
    <cellStyle name="Comma 17 2 3 2 2" xfId="2601" xr:uid="{3CB5B015-741A-406E-AEE4-97AB8EF79D18}"/>
    <cellStyle name="Comma 17 2 3 2 2 2" xfId="5411" xr:uid="{11826A06-0FEA-4147-B02A-1DA2318F9EBA}"/>
    <cellStyle name="Comma 17 2 3 2 2 2 2" xfId="11047" xr:uid="{1FA0A487-57B1-4D1F-8265-EF259874DEDD}"/>
    <cellStyle name="Comma 17 2 3 2 2 3" xfId="8237" xr:uid="{40593B55-430B-4070-93ED-AEF5819EFD4B}"/>
    <cellStyle name="Comma 17 2 3 2 3" xfId="4010" xr:uid="{8C9939F2-E42E-4FC7-B81A-75B504B6A911}"/>
    <cellStyle name="Comma 17 2 3 2 3 2" xfId="9646" xr:uid="{FEBB0F5B-4894-4D3A-B137-1BB721D4023D}"/>
    <cellStyle name="Comma 17 2 3 2 4" xfId="6836" xr:uid="{0D2CB0C8-9418-44CB-8413-41AB49371FB5}"/>
    <cellStyle name="Comma 17 2 3 3" xfId="1905" xr:uid="{BA3C5B48-B706-439D-8932-918AFE828EE8}"/>
    <cellStyle name="Comma 17 2 3 3 2" xfId="4715" xr:uid="{B27845AC-216B-44E7-AD65-95B5BD77CC12}"/>
    <cellStyle name="Comma 17 2 3 3 2 2" xfId="10351" xr:uid="{44D80DC8-7FDF-44C9-8BFB-F5C93A1CFDF8}"/>
    <cellStyle name="Comma 17 2 3 3 3" xfId="7541" xr:uid="{B96FCB9C-A804-4E05-A654-85CC02720186}"/>
    <cellStyle name="Comma 17 2 3 4" xfId="3314" xr:uid="{B04210D6-8CEF-406D-8ABB-6D3707053DE6}"/>
    <cellStyle name="Comma 17 2 3 4 2" xfId="8950" xr:uid="{64F1F55C-CAAA-476B-BD09-4842F82C5FE6}"/>
    <cellStyle name="Comma 17 2 3 5" xfId="6140" xr:uid="{B84A7ADE-48E0-42C5-B251-5DCA4D59BF31}"/>
    <cellStyle name="Comma 17 2 4" xfId="856" xr:uid="{71BA3199-4F44-4EBD-90E2-BB58E32F5555}"/>
    <cellStyle name="Comma 17 2 4 2" xfId="2257" xr:uid="{FB50BE7F-0DE0-404F-97A2-F415A1F4206C}"/>
    <cellStyle name="Comma 17 2 4 2 2" xfId="5067" xr:uid="{D5BB20F9-59CD-4AAC-89CF-1A46C84C2D0E}"/>
    <cellStyle name="Comma 17 2 4 2 2 2" xfId="10703" xr:uid="{9A75FFE8-A3B5-4A64-92D3-0445B041CEA7}"/>
    <cellStyle name="Comma 17 2 4 2 3" xfId="7893" xr:uid="{0A7285CF-B17F-4E70-8A33-584E3FC08EC1}"/>
    <cellStyle name="Comma 17 2 4 3" xfId="3666" xr:uid="{6FF8FE65-5478-4260-ACAF-39BE35A66EEA}"/>
    <cellStyle name="Comma 17 2 4 3 2" xfId="9302" xr:uid="{42AA0783-DA4E-42F9-B360-BB25B7284963}"/>
    <cellStyle name="Comma 17 2 4 4" xfId="6492" xr:uid="{3FA02218-5C48-482C-8B9C-993D1AB4E51A}"/>
    <cellStyle name="Comma 17 2 5" xfId="1561" xr:uid="{52AD55E4-6258-43BF-9971-D97A9142CF85}"/>
    <cellStyle name="Comma 17 2 5 2" xfId="4371" xr:uid="{D75A0400-2E8D-4428-A039-C95F35C60C86}"/>
    <cellStyle name="Comma 17 2 5 2 2" xfId="10007" xr:uid="{64DB374A-9D0C-4A7A-9512-22289FAF892F}"/>
    <cellStyle name="Comma 17 2 5 3" xfId="7197" xr:uid="{94438BD3-ACA1-4763-9492-0ACF50CC0C55}"/>
    <cellStyle name="Comma 17 2 6" xfId="2970" xr:uid="{48FB9B35-B01F-4F0B-BAB4-9275EA88581A}"/>
    <cellStyle name="Comma 17 2 6 2" xfId="8606" xr:uid="{FB538449-1DC6-4D7A-8D00-1940F4394379}"/>
    <cellStyle name="Comma 17 2 7" xfId="5796" xr:uid="{AAD42A0A-D4BE-4920-9663-DF444695D452}"/>
    <cellStyle name="Comma 17 3" xfId="252" xr:uid="{5619C0CF-86BF-4134-AB00-64E906D96369}"/>
    <cellStyle name="Comma 17 3 2" xfId="596" xr:uid="{4F014E5C-1EB2-4FD7-8A6D-C2EB588B839C}"/>
    <cellStyle name="Comma 17 3 2 2" xfId="1292" xr:uid="{1AB92914-AC38-4575-8F05-402467852843}"/>
    <cellStyle name="Comma 17 3 2 2 2" xfId="2693" xr:uid="{38EE9971-472D-4D17-B75F-A677739DDB7C}"/>
    <cellStyle name="Comma 17 3 2 2 2 2" xfId="5503" xr:uid="{FB0DA4E4-0DFA-46B1-911C-9BA4A7D2C2B2}"/>
    <cellStyle name="Comma 17 3 2 2 2 2 2" xfId="11139" xr:uid="{E1009FDC-71CE-4B9D-990D-C2B69CB2CC68}"/>
    <cellStyle name="Comma 17 3 2 2 2 3" xfId="8329" xr:uid="{978B1CDF-87A4-4E09-AF36-519ECEC44BDA}"/>
    <cellStyle name="Comma 17 3 2 2 3" xfId="4102" xr:uid="{D5E4027E-06DA-4D21-A319-1975EED80A2C}"/>
    <cellStyle name="Comma 17 3 2 2 3 2" xfId="9738" xr:uid="{63F1D449-945A-4027-81F7-51FD47A56E75}"/>
    <cellStyle name="Comma 17 3 2 2 4" xfId="6928" xr:uid="{0150C103-E0D3-4B3C-B78A-182B2A104989}"/>
    <cellStyle name="Comma 17 3 2 3" xfId="1997" xr:uid="{2157B9D7-CA14-4B12-8803-864B979631E0}"/>
    <cellStyle name="Comma 17 3 2 3 2" xfId="4807" xr:uid="{C649A1DF-8180-44DD-B62A-02F7E7DCD154}"/>
    <cellStyle name="Comma 17 3 2 3 2 2" xfId="10443" xr:uid="{28810F8A-9507-4959-B6D0-08B0EB56D4A5}"/>
    <cellStyle name="Comma 17 3 2 3 3" xfId="7633" xr:uid="{95EBF5DE-D74E-4B23-9CA3-442C165A7EC7}"/>
    <cellStyle name="Comma 17 3 2 4" xfId="3406" xr:uid="{D4AC6A39-BA54-48DB-8357-B33280F2638B}"/>
    <cellStyle name="Comma 17 3 2 4 2" xfId="9042" xr:uid="{E8755BE4-153B-4A58-8415-B1F4E6089644}"/>
    <cellStyle name="Comma 17 3 2 5" xfId="6232" xr:uid="{08277B4D-0747-41F5-90C2-397FFBA578A3}"/>
    <cellStyle name="Comma 17 3 3" xfId="948" xr:uid="{4BB2C139-EB6A-43C9-A57D-21A810CE64A8}"/>
    <cellStyle name="Comma 17 3 3 2" xfId="2349" xr:uid="{B9DD77E1-EBA3-4352-8C71-2A5D5A048D6C}"/>
    <cellStyle name="Comma 17 3 3 2 2" xfId="5159" xr:uid="{87EB96F4-A8FB-4CD8-A7D2-E3937D3D6D05}"/>
    <cellStyle name="Comma 17 3 3 2 2 2" xfId="10795" xr:uid="{B4A1777A-C2C3-4604-9EE6-50E60E7FFF72}"/>
    <cellStyle name="Comma 17 3 3 2 3" xfId="7985" xr:uid="{6F5AD1D6-3DD0-4E04-99A7-333AA19594BC}"/>
    <cellStyle name="Comma 17 3 3 3" xfId="3758" xr:uid="{F94B668E-B5E0-4A61-8E7D-F0DB34CC2F31}"/>
    <cellStyle name="Comma 17 3 3 3 2" xfId="9394" xr:uid="{1E3F9383-627A-4A62-B811-2E4DE9F6926D}"/>
    <cellStyle name="Comma 17 3 3 4" xfId="6584" xr:uid="{E19D7502-7AE3-46EB-B38D-9285F3F27CC1}"/>
    <cellStyle name="Comma 17 3 4" xfId="1653" xr:uid="{420BAB27-9249-46B7-BA57-3C6CEF4541F8}"/>
    <cellStyle name="Comma 17 3 4 2" xfId="4463" xr:uid="{57D53FAB-1D55-4C6A-825E-AA9AEBE3834E}"/>
    <cellStyle name="Comma 17 3 4 2 2" xfId="10099" xr:uid="{572475E3-A346-4AAE-98A2-2BF810C3E06D}"/>
    <cellStyle name="Comma 17 3 4 3" xfId="7289" xr:uid="{45EE1B73-3C05-455F-BBA7-7551B98C37ED}"/>
    <cellStyle name="Comma 17 3 5" xfId="3062" xr:uid="{CA90212B-70AF-41BC-BCC9-8F9DA7453864}"/>
    <cellStyle name="Comma 17 3 5 2" xfId="8698" xr:uid="{E05AFEDE-BF04-44B4-85E6-FF8473A4BFBF}"/>
    <cellStyle name="Comma 17 3 6" xfId="5888" xr:uid="{D46B5464-3DDF-4487-9C7F-E354B46EB595}"/>
    <cellStyle name="Comma 17 4" xfId="424" xr:uid="{D5415ED7-D549-4902-B89E-434F67827B56}"/>
    <cellStyle name="Comma 17 4 2" xfId="1120" xr:uid="{29DE2E08-2095-4DC9-979D-F43E97CA7551}"/>
    <cellStyle name="Comma 17 4 2 2" xfId="2521" xr:uid="{1AF2543A-920C-4FDE-A1C0-C40D2406318F}"/>
    <cellStyle name="Comma 17 4 2 2 2" xfId="5331" xr:uid="{5C021A14-0ED5-4B13-A3D0-5B1DD30A7C9E}"/>
    <cellStyle name="Comma 17 4 2 2 2 2" xfId="10967" xr:uid="{6559F70E-C4A0-4B19-824C-E512B0D09102}"/>
    <cellStyle name="Comma 17 4 2 2 3" xfId="8157" xr:uid="{F4A2144F-CC6A-450D-B93E-D20E74BB2FB3}"/>
    <cellStyle name="Comma 17 4 2 3" xfId="3930" xr:uid="{49B1885C-0F10-4E48-9D99-4CBF8A830A1D}"/>
    <cellStyle name="Comma 17 4 2 3 2" xfId="9566" xr:uid="{DA10ACDE-0097-40FB-9999-AB1DD41BFAAB}"/>
    <cellStyle name="Comma 17 4 2 4" xfId="6756" xr:uid="{FE8490C1-99B3-4A2D-8E7F-E6508F77D9D4}"/>
    <cellStyle name="Comma 17 4 3" xfId="1825" xr:uid="{403EDAE1-E404-4A90-8DED-AFC8AB19C28A}"/>
    <cellStyle name="Comma 17 4 3 2" xfId="4635" xr:uid="{12220A59-40A0-48C5-A75D-6E22124C0C72}"/>
    <cellStyle name="Comma 17 4 3 2 2" xfId="10271" xr:uid="{E0935D53-D7DA-4256-A5C5-75445571ECB5}"/>
    <cellStyle name="Comma 17 4 3 3" xfId="7461" xr:uid="{756B0FA3-F31A-46A1-ADF5-168812A53614}"/>
    <cellStyle name="Comma 17 4 4" xfId="3234" xr:uid="{05C3F444-77B2-40FC-BA80-5B4238C70B69}"/>
    <cellStyle name="Comma 17 4 4 2" xfId="8870" xr:uid="{BB3279F7-D2E5-4EAF-BEC8-53196F89E9F2}"/>
    <cellStyle name="Comma 17 4 5" xfId="6060" xr:uid="{1B84ED10-CB6D-41AE-85E0-49C681ADE32F}"/>
    <cellStyle name="Comma 17 5" xfId="776" xr:uid="{73E86A80-DDDE-4232-BFFD-C6AC73CFD638}"/>
    <cellStyle name="Comma 17 5 2" xfId="2177" xr:uid="{BC9C0D49-EEC5-458F-93F2-FC1A76295E58}"/>
    <cellStyle name="Comma 17 5 2 2" xfId="4987" xr:uid="{E811EE78-95B0-41DB-B8E6-F7C8ABE39551}"/>
    <cellStyle name="Comma 17 5 2 2 2" xfId="10623" xr:uid="{22B017CC-5802-4ABA-8EF6-08B8B34FC2B0}"/>
    <cellStyle name="Comma 17 5 2 3" xfId="7813" xr:uid="{FDA1A760-6EF2-4015-B049-37CE8BB7B08C}"/>
    <cellStyle name="Comma 17 5 3" xfId="3586" xr:uid="{B04D6A81-75D5-476D-B252-86897EC70E00}"/>
    <cellStyle name="Comma 17 5 3 2" xfId="9222" xr:uid="{707DC18B-7191-482B-9CBC-05F3D0B14D70}"/>
    <cellStyle name="Comma 17 5 4" xfId="6412" xr:uid="{045D3730-3BE2-4F82-91AD-E9A1D69E49AF}"/>
    <cellStyle name="Comma 17 6" xfId="1481" xr:uid="{1724669D-38FF-4F99-980E-B6DD3D526FC6}"/>
    <cellStyle name="Comma 17 6 2" xfId="4291" xr:uid="{9B64331F-1D01-4183-ACDC-BB9759FD3F2A}"/>
    <cellStyle name="Comma 17 6 2 2" xfId="9927" xr:uid="{08F1C82F-F14B-4F37-B1F5-575229E20BDE}"/>
    <cellStyle name="Comma 17 6 3" xfId="7117" xr:uid="{EC48F4C1-3605-44DD-9C21-F8AE32943364}"/>
    <cellStyle name="Comma 17 7" xfId="2890" xr:uid="{03782263-B30E-4D63-9F7D-BF606A5565C9}"/>
    <cellStyle name="Comma 17 7 2" xfId="8526" xr:uid="{D87C7E94-E504-4059-B902-B89F9F2799C1}"/>
    <cellStyle name="Comma 17 8" xfId="5716" xr:uid="{F469000A-6B0E-48EF-A597-AB6BCEED67FA}"/>
    <cellStyle name="Comma 18" xfId="82" xr:uid="{671E306D-DF64-4FC0-BB73-525AFA48A3F5}"/>
    <cellStyle name="Comma 18 2" xfId="254" xr:uid="{14ED8302-FDC5-4A6C-9AE8-9F465D18C49A}"/>
    <cellStyle name="Comma 18 2 2" xfId="598" xr:uid="{08374EE6-4ED2-42BA-A036-F5BA4F9BB092}"/>
    <cellStyle name="Comma 18 2 2 2" xfId="1294" xr:uid="{E9595D83-9586-40BF-9DF7-4560FCB4C93E}"/>
    <cellStyle name="Comma 18 2 2 2 2" xfId="2695" xr:uid="{24FC359A-1D83-4DE8-9DD1-05694B517A29}"/>
    <cellStyle name="Comma 18 2 2 2 2 2" xfId="5505" xr:uid="{E0078AD6-D6C0-4C18-8BAE-FD691FE268E5}"/>
    <cellStyle name="Comma 18 2 2 2 2 2 2" xfId="11141" xr:uid="{53FE5C28-660A-406B-9B67-60AB83278C96}"/>
    <cellStyle name="Comma 18 2 2 2 2 3" xfId="8331" xr:uid="{5757AB70-6F38-45B0-AAF3-9299938733D3}"/>
    <cellStyle name="Comma 18 2 2 2 3" xfId="4104" xr:uid="{BF7BB9BF-EBE0-4E8A-A040-0028D084C4DB}"/>
    <cellStyle name="Comma 18 2 2 2 3 2" xfId="9740" xr:uid="{9E2921BB-271B-4F9F-8B6F-372E719886F0}"/>
    <cellStyle name="Comma 18 2 2 2 4" xfId="6930" xr:uid="{CB0C861B-3F4F-4A49-97BF-61A9D966ECBF}"/>
    <cellStyle name="Comma 18 2 2 3" xfId="1999" xr:uid="{80B5579E-5D41-4A1C-B2A4-D97684916317}"/>
    <cellStyle name="Comma 18 2 2 3 2" xfId="4809" xr:uid="{97D2FD19-F31A-4D40-9BBA-55CC80DACDB5}"/>
    <cellStyle name="Comma 18 2 2 3 2 2" xfId="10445" xr:uid="{8056A56F-C569-472F-8562-924B2CC16CE7}"/>
    <cellStyle name="Comma 18 2 2 3 3" xfId="7635" xr:uid="{0F6F4EAE-FC9B-4CF4-96A3-12B8311757A2}"/>
    <cellStyle name="Comma 18 2 2 4" xfId="3408" xr:uid="{E1E7185E-A510-41FD-A4C6-A28A35247221}"/>
    <cellStyle name="Comma 18 2 2 4 2" xfId="9044" xr:uid="{82952054-418B-44E5-8BCB-87A0F38616D0}"/>
    <cellStyle name="Comma 18 2 2 5" xfId="6234" xr:uid="{DB2B8D03-F08B-405F-8860-442159B2AE7B}"/>
    <cellStyle name="Comma 18 2 3" xfId="950" xr:uid="{E7E106A4-240E-4A23-9353-DE33593FE27B}"/>
    <cellStyle name="Comma 18 2 3 2" xfId="2351" xr:uid="{4A2ACAC2-F99B-4A32-8877-7F5B0C605935}"/>
    <cellStyle name="Comma 18 2 3 2 2" xfId="5161" xr:uid="{D7EBA1EC-7B7A-466B-947A-2B0A75187914}"/>
    <cellStyle name="Comma 18 2 3 2 2 2" xfId="10797" xr:uid="{B37F0B94-73DE-4CD0-96D3-41291F679D2C}"/>
    <cellStyle name="Comma 18 2 3 2 3" xfId="7987" xr:uid="{96622462-56BE-4FC2-B0A7-BFDB5EA54310}"/>
    <cellStyle name="Comma 18 2 3 3" xfId="3760" xr:uid="{A6C70FBC-EA5F-4F21-A149-983734A263CC}"/>
    <cellStyle name="Comma 18 2 3 3 2" xfId="9396" xr:uid="{F67C6438-B075-4D8A-9758-1E1EE5515269}"/>
    <cellStyle name="Comma 18 2 3 4" xfId="6586" xr:uid="{5CFA0CA6-B2DF-4B3E-AFD7-3F5E9E3E78CE}"/>
    <cellStyle name="Comma 18 2 4" xfId="1655" xr:uid="{2FB3A94A-5F3F-49B8-9BE5-E30F76C72977}"/>
    <cellStyle name="Comma 18 2 4 2" xfId="4465" xr:uid="{2EA6D5A4-332B-4E06-A0B4-066C791613F0}"/>
    <cellStyle name="Comma 18 2 4 2 2" xfId="10101" xr:uid="{5B589331-C015-4CF6-B193-C6E191E47216}"/>
    <cellStyle name="Comma 18 2 4 3" xfId="7291" xr:uid="{07BEC882-18B4-4D95-B8DA-520C34060A51}"/>
    <cellStyle name="Comma 18 2 5" xfId="3064" xr:uid="{D9CB16B6-C8C0-4290-9126-BE07CD3B5065}"/>
    <cellStyle name="Comma 18 2 5 2" xfId="8700" xr:uid="{D07FA475-FC8F-4ED2-BE0B-BBDC5C373A57}"/>
    <cellStyle name="Comma 18 2 6" xfId="5890" xr:uid="{21004718-01BD-42FA-BF82-1E906F7B9D65}"/>
    <cellStyle name="Comma 18 3" xfId="426" xr:uid="{CB2946B9-0ED5-4CEA-8456-A056789B3845}"/>
    <cellStyle name="Comma 18 3 2" xfId="1122" xr:uid="{FC44EC3D-7A77-4658-BF28-E99982D940E8}"/>
    <cellStyle name="Comma 18 3 2 2" xfId="2523" xr:uid="{38B92444-E1BE-45FC-810F-EB4E3340311B}"/>
    <cellStyle name="Comma 18 3 2 2 2" xfId="5333" xr:uid="{E0A4E40A-2BCC-47B3-970C-C9AF968514F5}"/>
    <cellStyle name="Comma 18 3 2 2 2 2" xfId="10969" xr:uid="{6CA058DD-D06A-455E-AA80-DA667615769F}"/>
    <cellStyle name="Comma 18 3 2 2 3" xfId="8159" xr:uid="{B724D738-0C07-4833-84B6-94EADAD4F106}"/>
    <cellStyle name="Comma 18 3 2 3" xfId="3932" xr:uid="{4D8FD02B-AD06-445E-9516-C76C36F55E02}"/>
    <cellStyle name="Comma 18 3 2 3 2" xfId="9568" xr:uid="{2BDB5A94-A5D4-4555-BC5A-5CA731B5C44E}"/>
    <cellStyle name="Comma 18 3 2 4" xfId="6758" xr:uid="{D1199896-6896-4260-82FF-E8010901C550}"/>
    <cellStyle name="Comma 18 3 3" xfId="1827" xr:uid="{8A6787D3-14D4-4DC8-8C85-A971AF2A0D89}"/>
    <cellStyle name="Comma 18 3 3 2" xfId="4637" xr:uid="{4DE79CF5-A168-41AB-800C-7E0E0C217FCE}"/>
    <cellStyle name="Comma 18 3 3 2 2" xfId="10273" xr:uid="{1765C2CF-901B-4AA7-A79B-C4B7AF99980C}"/>
    <cellStyle name="Comma 18 3 3 3" xfId="7463" xr:uid="{99A720B3-2649-486A-9B19-F1AB5574BE95}"/>
    <cellStyle name="Comma 18 3 4" xfId="3236" xr:uid="{EA455D91-5815-4658-BECD-0BAA9A5A117D}"/>
    <cellStyle name="Comma 18 3 4 2" xfId="8872" xr:uid="{FB80315A-D531-40C1-BB7B-E31F22078A58}"/>
    <cellStyle name="Comma 18 3 5" xfId="6062" xr:uid="{AA1F550E-50CB-4F6C-844C-BA9A41C119C6}"/>
    <cellStyle name="Comma 18 4" xfId="778" xr:uid="{0988A60B-95D3-4002-91DF-083A3B7D73BB}"/>
    <cellStyle name="Comma 18 4 2" xfId="2179" xr:uid="{58DD1014-E906-4D31-8354-13BCF831F5F1}"/>
    <cellStyle name="Comma 18 4 2 2" xfId="4989" xr:uid="{ACF3A82A-B948-4E3F-A13E-BF2E0D241E30}"/>
    <cellStyle name="Comma 18 4 2 2 2" xfId="10625" xr:uid="{C773A9C0-8BFF-4633-9C06-F3E030B0A99F}"/>
    <cellStyle name="Comma 18 4 2 3" xfId="7815" xr:uid="{B811D2B1-3245-4C1E-B6F4-CA41048068A8}"/>
    <cellStyle name="Comma 18 4 3" xfId="3588" xr:uid="{4497B658-4D7A-43AC-90E4-4A96E81BB0E3}"/>
    <cellStyle name="Comma 18 4 3 2" xfId="9224" xr:uid="{A93AC30C-41E3-4237-A7CE-AB859CD0A33F}"/>
    <cellStyle name="Comma 18 4 4" xfId="6414" xr:uid="{237E0EA2-561C-4817-B244-A9168DE4FD83}"/>
    <cellStyle name="Comma 18 5" xfId="1483" xr:uid="{3A7B7B59-192B-4D34-830E-BFCED0F080DC}"/>
    <cellStyle name="Comma 18 5 2" xfId="4293" xr:uid="{DFA06198-6C75-470A-8234-1AA9EBD849D5}"/>
    <cellStyle name="Comma 18 5 2 2" xfId="9929" xr:uid="{B9222126-9DA9-4DFB-BE04-6DF36599419F}"/>
    <cellStyle name="Comma 18 5 3" xfId="7119" xr:uid="{DA3E1B6B-9E88-4B10-B4BB-A5AAF3F52980}"/>
    <cellStyle name="Comma 18 6" xfId="2892" xr:uid="{379BBB93-FD05-43A7-8396-5395C526991E}"/>
    <cellStyle name="Comma 18 6 2" xfId="8528" xr:uid="{B3757535-FD2C-4505-8FE0-1C172EEC759D}"/>
    <cellStyle name="Comma 18 7" xfId="5718" xr:uid="{8B01E4AD-3305-4E25-9B8A-0D07E6098C32}"/>
    <cellStyle name="Comma 19" xfId="163" xr:uid="{0D8F4E25-8A74-4FA2-8427-D8F386643650}"/>
    <cellStyle name="Comma 19 2" xfId="335" xr:uid="{B30C5991-C940-424F-8BB3-A5ADD9C27B92}"/>
    <cellStyle name="Comma 19 2 2" xfId="679" xr:uid="{379539DF-8AD3-4F6C-9755-768267E06495}"/>
    <cellStyle name="Comma 19 2 2 2" xfId="1375" xr:uid="{379AC109-067C-4C43-BAF1-9D1EA9BEBE2B}"/>
    <cellStyle name="Comma 19 2 2 2 2" xfId="2776" xr:uid="{B182FBA4-A16D-467C-A6FC-DF17BEB8C2CA}"/>
    <cellStyle name="Comma 19 2 2 2 2 2" xfId="5586" xr:uid="{F21554B6-1779-4F97-B85C-F48A27490C66}"/>
    <cellStyle name="Comma 19 2 2 2 2 2 2" xfId="11222" xr:uid="{9132CD14-EC93-47FC-9876-A143F59D3793}"/>
    <cellStyle name="Comma 19 2 2 2 2 3" xfId="8412" xr:uid="{1EAEF917-5108-4861-9C5E-FB6814B4020E}"/>
    <cellStyle name="Comma 19 2 2 2 3" xfId="4185" xr:uid="{DFAE7443-135E-4C24-9D95-597B58F0F37A}"/>
    <cellStyle name="Comma 19 2 2 2 3 2" xfId="9821" xr:uid="{2C65E9AF-D0C3-436E-8420-C2D53B17B01E}"/>
    <cellStyle name="Comma 19 2 2 2 4" xfId="7011" xr:uid="{280DB45C-121D-46A7-814F-ABB51A681D21}"/>
    <cellStyle name="Comma 19 2 2 3" xfId="2080" xr:uid="{2CAD8DED-800A-4A8A-898A-931BB599DBB9}"/>
    <cellStyle name="Comma 19 2 2 3 2" xfId="4890" xr:uid="{59749FFE-F7D5-4AD2-97C3-CE236245B44E}"/>
    <cellStyle name="Comma 19 2 2 3 2 2" xfId="10526" xr:uid="{7CA61763-FD97-491F-B630-7D2C16C6B4A8}"/>
    <cellStyle name="Comma 19 2 2 3 3" xfId="7716" xr:uid="{2B406943-E07C-4D79-8AEC-529021D30F9B}"/>
    <cellStyle name="Comma 19 2 2 4" xfId="3489" xr:uid="{2103475F-1F8F-4B85-B030-67D29BFC6E16}"/>
    <cellStyle name="Comma 19 2 2 4 2" xfId="9125" xr:uid="{354F48AA-DF11-44EA-9704-884121849135}"/>
    <cellStyle name="Comma 19 2 2 5" xfId="6315" xr:uid="{F15631D5-5AB5-43DC-8ECD-A2966C27A6D6}"/>
    <cellStyle name="Comma 19 2 3" xfId="1031" xr:uid="{C2FB5E67-0E2A-4CBE-A38E-ED71A3E7A12A}"/>
    <cellStyle name="Comma 19 2 3 2" xfId="2432" xr:uid="{24D79F41-978D-495D-903A-079CAEA57A75}"/>
    <cellStyle name="Comma 19 2 3 2 2" xfId="5242" xr:uid="{12B7F7B1-0624-4695-8B3C-E7D30C02D250}"/>
    <cellStyle name="Comma 19 2 3 2 2 2" xfId="10878" xr:uid="{B3984044-CFC6-4D5C-927D-4893F7FEBA0A}"/>
    <cellStyle name="Comma 19 2 3 2 3" xfId="8068" xr:uid="{BDFD3469-6AF9-466D-8281-D9173A6CC14A}"/>
    <cellStyle name="Comma 19 2 3 3" xfId="3841" xr:uid="{B334E677-F63B-4E1C-8256-915C5FF99B25}"/>
    <cellStyle name="Comma 19 2 3 3 2" xfId="9477" xr:uid="{DF84AF98-C8C1-4D3D-93A5-3678C223A8A9}"/>
    <cellStyle name="Comma 19 2 3 4" xfId="6667" xr:uid="{D13DECCA-38E2-47E8-880D-380EC11D69A4}"/>
    <cellStyle name="Comma 19 2 4" xfId="1736" xr:uid="{E269CF9C-0084-4D17-9756-7E996951CF56}"/>
    <cellStyle name="Comma 19 2 4 2" xfId="4546" xr:uid="{A06DAD20-770D-41FD-9EEB-4413EC03E5BE}"/>
    <cellStyle name="Comma 19 2 4 2 2" xfId="10182" xr:uid="{4056CE3E-3704-4CFC-B473-EC640F8519A7}"/>
    <cellStyle name="Comma 19 2 4 3" xfId="7372" xr:uid="{DC03E6EC-83E7-4B63-8ADC-84605B98A99C}"/>
    <cellStyle name="Comma 19 2 5" xfId="3145" xr:uid="{5F993372-D97B-4246-82D1-AFCC342D60D1}"/>
    <cellStyle name="Comma 19 2 5 2" xfId="8781" xr:uid="{AB4F7EAD-61A4-410A-B859-3B7917C5EA70}"/>
    <cellStyle name="Comma 19 2 6" xfId="5971" xr:uid="{D1BF7BF4-4371-4AAC-8745-A9CB400AB1F3}"/>
    <cellStyle name="Comma 19 3" xfId="507" xr:uid="{99987EED-829F-4D5C-8AC9-E12F6A51B751}"/>
    <cellStyle name="Comma 19 3 2" xfId="1203" xr:uid="{68BD89FB-8C91-43A6-9E79-FF71FC5C38C5}"/>
    <cellStyle name="Comma 19 3 2 2" xfId="2604" xr:uid="{A5F2E81A-6639-4D08-92B5-16E69FBF3975}"/>
    <cellStyle name="Comma 19 3 2 2 2" xfId="5414" xr:uid="{4A638F5C-3E52-43F1-A4EC-E9AFFCF0C3E3}"/>
    <cellStyle name="Comma 19 3 2 2 2 2" xfId="11050" xr:uid="{9E03E626-68F2-4DEF-A25D-C206AA857D70}"/>
    <cellStyle name="Comma 19 3 2 2 3" xfId="8240" xr:uid="{FCAC7D81-094D-4FFC-9139-2CB6DC0F8AAE}"/>
    <cellStyle name="Comma 19 3 2 3" xfId="4013" xr:uid="{E5D1A5E4-B6E5-404C-8734-0C48BB56ED8A}"/>
    <cellStyle name="Comma 19 3 2 3 2" xfId="9649" xr:uid="{5FB2886D-6D41-4E1B-BB08-DA08CB0F1D6D}"/>
    <cellStyle name="Comma 19 3 2 4" xfId="6839" xr:uid="{F3E11942-AA8C-4623-AE1A-583A7B1736ED}"/>
    <cellStyle name="Comma 19 3 3" xfId="1908" xr:uid="{6258811B-1EA8-402F-B52A-123A8DB5D8CC}"/>
    <cellStyle name="Comma 19 3 3 2" xfId="4718" xr:uid="{8AD134E4-DF67-4F46-8B0C-0DE316F807C1}"/>
    <cellStyle name="Comma 19 3 3 2 2" xfId="10354" xr:uid="{13B2CE11-3C49-44C4-ACF8-E73E41C4ADE4}"/>
    <cellStyle name="Comma 19 3 3 3" xfId="7544" xr:uid="{0B32B389-86AD-41A7-AD86-71A52FAE211D}"/>
    <cellStyle name="Comma 19 3 4" xfId="3317" xr:uid="{49B931FC-485F-4B56-A675-4AD89C641585}"/>
    <cellStyle name="Comma 19 3 4 2" xfId="8953" xr:uid="{EFCFB53C-CB91-4F54-B35C-230F6A0FEB2F}"/>
    <cellStyle name="Comma 19 3 5" xfId="6143" xr:uid="{3AE535F5-6321-48D9-A0FE-44F542BE2485}"/>
    <cellStyle name="Comma 19 4" xfId="859" xr:uid="{54787979-A5BD-4DF2-A853-D7211C740A60}"/>
    <cellStyle name="Comma 19 4 2" xfId="2260" xr:uid="{ACA996CF-203C-4C3F-BAB7-5AA54CD537E4}"/>
    <cellStyle name="Comma 19 4 2 2" xfId="5070" xr:uid="{EAB8AEDD-8891-489F-A36E-B09139B4EE72}"/>
    <cellStyle name="Comma 19 4 2 2 2" xfId="10706" xr:uid="{E20D040D-210E-443A-B70B-FE871E623D74}"/>
    <cellStyle name="Comma 19 4 2 3" xfId="7896" xr:uid="{27063442-57E1-40BB-8A92-D7F531D4C780}"/>
    <cellStyle name="Comma 19 4 3" xfId="3669" xr:uid="{84BAAC91-0009-416E-9A66-29C26803F58B}"/>
    <cellStyle name="Comma 19 4 3 2" xfId="9305" xr:uid="{45D966A6-1B45-4C8A-AE0E-D0586C0F82E2}"/>
    <cellStyle name="Comma 19 4 4" xfId="6495" xr:uid="{B6D66D4C-F5A5-4089-BFC1-E83301BEE5F1}"/>
    <cellStyle name="Comma 19 5" xfId="1564" xr:uid="{85B601EF-D4EF-42B6-915D-95E7B2A10DFF}"/>
    <cellStyle name="Comma 19 5 2" xfId="4374" xr:uid="{BBFC925D-45C8-4584-A514-43D5EF999C7B}"/>
    <cellStyle name="Comma 19 5 2 2" xfId="10010" xr:uid="{F43A3770-2441-4B9E-9BE3-0D9ECE3E0E43}"/>
    <cellStyle name="Comma 19 5 3" xfId="7200" xr:uid="{A52038C1-3F0A-4A66-9D0F-2D6FF0317B5F}"/>
    <cellStyle name="Comma 19 6" xfId="2973" xr:uid="{63A2B7AD-7CF6-473E-94F5-B89749FC4E40}"/>
    <cellStyle name="Comma 19 6 2" xfId="8609" xr:uid="{4333357B-F916-4271-B894-08AA815F33F7}"/>
    <cellStyle name="Comma 19 7" xfId="5799" xr:uid="{74761060-218B-4309-89B3-F4BA0CB5E852}"/>
    <cellStyle name="Comma 2" xfId="5" xr:uid="{4AEACB18-8F6E-49FE-82A1-D8B950AB92C8}"/>
    <cellStyle name="Comma 2 10" xfId="5641" xr:uid="{349D45A4-C058-4323-B52A-FF1E7CAB56FB}"/>
    <cellStyle name="Comma 2 2" xfId="17" xr:uid="{8123F8FF-A6CA-45CA-B8B0-81D529809DCE}"/>
    <cellStyle name="Comma 2 2 2" xfId="49" xr:uid="{A8C7A505-9773-46D4-A760-EECDE9E42739}"/>
    <cellStyle name="Comma 2 2 2 2" xfId="129" xr:uid="{1436BBD7-2231-4306-BB41-9913B2B40635}"/>
    <cellStyle name="Comma 2 2 2 2 2" xfId="301" xr:uid="{23607912-ECC8-4DE7-B82F-A04791793723}"/>
    <cellStyle name="Comma 2 2 2 2 2 2" xfId="645" xr:uid="{327E6AC6-1E12-41BB-AF94-4A2DD207A125}"/>
    <cellStyle name="Comma 2 2 2 2 2 2 2" xfId="1341" xr:uid="{8B6EBE8D-9504-466C-BC5A-AEAD01651EFE}"/>
    <cellStyle name="Comma 2 2 2 2 2 2 2 2" xfId="2742" xr:uid="{B121856E-E9AF-4F6B-BA9D-D96782D629E5}"/>
    <cellStyle name="Comma 2 2 2 2 2 2 2 2 2" xfId="5552" xr:uid="{8BB2B5F1-F302-47A1-8D35-86AEEE626548}"/>
    <cellStyle name="Comma 2 2 2 2 2 2 2 2 2 2" xfId="11188" xr:uid="{D9F433C5-9F51-4CCF-A317-60D06677DA79}"/>
    <cellStyle name="Comma 2 2 2 2 2 2 2 2 3" xfId="8378" xr:uid="{D751D829-0561-4E6E-87CD-6FB6911ED9AE}"/>
    <cellStyle name="Comma 2 2 2 2 2 2 2 3" xfId="4151" xr:uid="{361FE4A6-3DC1-443E-9012-AFC2FD1061BB}"/>
    <cellStyle name="Comma 2 2 2 2 2 2 2 3 2" xfId="9787" xr:uid="{646E4DA1-CB46-4407-A013-77476D1D13A3}"/>
    <cellStyle name="Comma 2 2 2 2 2 2 2 4" xfId="6977" xr:uid="{CF898CB6-792D-466B-B27D-3A450FC1D6EE}"/>
    <cellStyle name="Comma 2 2 2 2 2 2 3" xfId="2046" xr:uid="{3C4164E4-DCAC-4206-8CD7-870C51D5B4C1}"/>
    <cellStyle name="Comma 2 2 2 2 2 2 3 2" xfId="4856" xr:uid="{F27FFE9E-C61E-4FB6-82F0-073E1C00F456}"/>
    <cellStyle name="Comma 2 2 2 2 2 2 3 2 2" xfId="10492" xr:uid="{3AFB789D-C2B7-4ACE-8890-94888D551537}"/>
    <cellStyle name="Comma 2 2 2 2 2 2 3 3" xfId="7682" xr:uid="{4C8ABB40-0D5E-4033-8DCA-F21F7D4D9112}"/>
    <cellStyle name="Comma 2 2 2 2 2 2 4" xfId="3455" xr:uid="{B5816A13-AFBD-4A42-A4C1-1788F6DB7275}"/>
    <cellStyle name="Comma 2 2 2 2 2 2 4 2" xfId="9091" xr:uid="{19AD9AD9-0F01-4F18-A770-323391D6C260}"/>
    <cellStyle name="Comma 2 2 2 2 2 2 5" xfId="6281" xr:uid="{D019C128-A835-4A2E-83F8-CB13FBAD45E0}"/>
    <cellStyle name="Comma 2 2 2 2 2 3" xfId="997" xr:uid="{29C31711-3378-4E76-8A46-0B32FD49F1AC}"/>
    <cellStyle name="Comma 2 2 2 2 2 3 2" xfId="2398" xr:uid="{CE18EF19-B609-4A7C-B61B-25F579AFF17A}"/>
    <cellStyle name="Comma 2 2 2 2 2 3 2 2" xfId="5208" xr:uid="{F5CD6FB9-03C4-4936-B319-3202B78FA02C}"/>
    <cellStyle name="Comma 2 2 2 2 2 3 2 2 2" xfId="10844" xr:uid="{F7FA516E-FEA9-4AF6-BEBF-2FD170F63BA2}"/>
    <cellStyle name="Comma 2 2 2 2 2 3 2 3" xfId="8034" xr:uid="{494559DE-24C1-4071-A1AF-595D3F1ECAF0}"/>
    <cellStyle name="Comma 2 2 2 2 2 3 3" xfId="3807" xr:uid="{E1F1D445-6F79-4F86-B345-D2B6DC406CFA}"/>
    <cellStyle name="Comma 2 2 2 2 2 3 3 2" xfId="9443" xr:uid="{E2341587-E63C-4F22-8A35-094F2D73BAF0}"/>
    <cellStyle name="Comma 2 2 2 2 2 3 4" xfId="6633" xr:uid="{6F7AB3E7-9953-4DA0-8075-13DF06AAB96D}"/>
    <cellStyle name="Comma 2 2 2 2 2 4" xfId="1702" xr:uid="{413C0FB7-DC79-4590-A329-336652255653}"/>
    <cellStyle name="Comma 2 2 2 2 2 4 2" xfId="4512" xr:uid="{4F2EFF27-4C33-4EF7-A8C5-D14D82782614}"/>
    <cellStyle name="Comma 2 2 2 2 2 4 2 2" xfId="10148" xr:uid="{1A667C13-1158-4B8C-BEC3-920E6B2ECD2E}"/>
    <cellStyle name="Comma 2 2 2 2 2 4 3" xfId="7338" xr:uid="{71DEA60C-93AE-419F-8792-75D5CBC74165}"/>
    <cellStyle name="Comma 2 2 2 2 2 5" xfId="3111" xr:uid="{DE596FD7-7B9D-4701-820C-1D1AB878CF19}"/>
    <cellStyle name="Comma 2 2 2 2 2 5 2" xfId="8747" xr:uid="{448825AD-7E17-47F3-B6CA-2A49092B9615}"/>
    <cellStyle name="Comma 2 2 2 2 2 6" xfId="5937" xr:uid="{A8BBE75B-7F07-4B94-9679-3F0702B5150E}"/>
    <cellStyle name="Comma 2 2 2 2 3" xfId="473" xr:uid="{145A5F62-D772-4D7C-B459-E5775525858B}"/>
    <cellStyle name="Comma 2 2 2 2 3 2" xfId="1169" xr:uid="{4726DA5F-C94A-4BAA-B7DA-1913047EB5B1}"/>
    <cellStyle name="Comma 2 2 2 2 3 2 2" xfId="2570" xr:uid="{E6E84D1D-157C-4620-BE4C-A57D61679BF5}"/>
    <cellStyle name="Comma 2 2 2 2 3 2 2 2" xfId="5380" xr:uid="{28F16285-A796-4F7F-A4D6-31760F8C3734}"/>
    <cellStyle name="Comma 2 2 2 2 3 2 2 2 2" xfId="11016" xr:uid="{DDCA5D63-47A9-46A2-9542-C0591025E812}"/>
    <cellStyle name="Comma 2 2 2 2 3 2 2 3" xfId="8206" xr:uid="{75FF5D8A-91D0-4120-94C8-AF406C223026}"/>
    <cellStyle name="Comma 2 2 2 2 3 2 3" xfId="3979" xr:uid="{DF318444-7B05-4E52-AC31-F462B5225DDA}"/>
    <cellStyle name="Comma 2 2 2 2 3 2 3 2" xfId="9615" xr:uid="{7E018E9E-7AC7-4151-A8CE-CB23A4A72E47}"/>
    <cellStyle name="Comma 2 2 2 2 3 2 4" xfId="6805" xr:uid="{73B04959-2891-4E8A-B118-6D9DDA29B2D9}"/>
    <cellStyle name="Comma 2 2 2 2 3 3" xfId="1874" xr:uid="{073B7C5E-F130-4F26-B700-4C2C87B1CA98}"/>
    <cellStyle name="Comma 2 2 2 2 3 3 2" xfId="4684" xr:uid="{7031B416-856B-4F6F-AD43-ADEBA8F79E58}"/>
    <cellStyle name="Comma 2 2 2 2 3 3 2 2" xfId="10320" xr:uid="{7BD9596B-D26D-4A8B-9BCD-F365EF3C8D52}"/>
    <cellStyle name="Comma 2 2 2 2 3 3 3" xfId="7510" xr:uid="{C96605FE-EC1F-42B0-B216-D425ECC25A32}"/>
    <cellStyle name="Comma 2 2 2 2 3 4" xfId="3283" xr:uid="{16DF3D6E-A25A-4591-B7E8-1AB44D25574D}"/>
    <cellStyle name="Comma 2 2 2 2 3 4 2" xfId="8919" xr:uid="{0AB78157-1874-4549-8E6C-B4E2A48B029C}"/>
    <cellStyle name="Comma 2 2 2 2 3 5" xfId="6109" xr:uid="{CE521A3D-DEDE-4CD7-A1BE-D1B259ED7E50}"/>
    <cellStyle name="Comma 2 2 2 2 4" xfId="825" xr:uid="{6A46C4BE-FAD5-496A-9F0B-7DABC5E321CF}"/>
    <cellStyle name="Comma 2 2 2 2 4 2" xfId="2226" xr:uid="{61196A3E-6526-4540-ACC7-80FF9A6C2060}"/>
    <cellStyle name="Comma 2 2 2 2 4 2 2" xfId="5036" xr:uid="{CEAD57B0-922C-4773-A725-5B73BA0476BF}"/>
    <cellStyle name="Comma 2 2 2 2 4 2 2 2" xfId="10672" xr:uid="{D66B8FEA-8F73-4586-88D6-94E21B49B103}"/>
    <cellStyle name="Comma 2 2 2 2 4 2 3" xfId="7862" xr:uid="{B079FF6E-AC57-4578-A35C-AAB5B1211875}"/>
    <cellStyle name="Comma 2 2 2 2 4 3" xfId="3635" xr:uid="{B4FC19B7-B2B1-48EC-AA79-79F796FC2626}"/>
    <cellStyle name="Comma 2 2 2 2 4 3 2" xfId="9271" xr:uid="{D1A41400-E556-4D71-BD01-5AD5B3DE70DD}"/>
    <cellStyle name="Comma 2 2 2 2 4 4" xfId="6461" xr:uid="{FD35B8FB-7B87-41D1-97C1-5F746328CE83}"/>
    <cellStyle name="Comma 2 2 2 2 5" xfId="1530" xr:uid="{EFE31401-7C6B-43B7-8097-E979C71555EA}"/>
    <cellStyle name="Comma 2 2 2 2 5 2" xfId="4340" xr:uid="{01A71263-F155-402D-9E97-0F75F85640EE}"/>
    <cellStyle name="Comma 2 2 2 2 5 2 2" xfId="9976" xr:uid="{2C04A5F3-171B-4C89-8E6A-02F0C9959E2D}"/>
    <cellStyle name="Comma 2 2 2 2 5 3" xfId="7166" xr:uid="{61D4C741-ACC9-475B-BBCD-449AD3128134}"/>
    <cellStyle name="Comma 2 2 2 2 6" xfId="2939" xr:uid="{8E5EBB02-0258-40F7-A95E-A9E75CE6E752}"/>
    <cellStyle name="Comma 2 2 2 2 6 2" xfId="8575" xr:uid="{E6C5C824-F56A-4543-94B0-A44A05F943CB}"/>
    <cellStyle name="Comma 2 2 2 2 7" xfId="5765" xr:uid="{8CCCB1C5-D2CF-439E-A29D-01BFDCE8BDEE}"/>
    <cellStyle name="Comma 2 2 2 3" xfId="221" xr:uid="{2DE0A2B4-B78B-4C66-ADAE-E7FB34D19F3D}"/>
    <cellStyle name="Comma 2 2 2 3 2" xfId="565" xr:uid="{C9A4C1C7-31DB-403A-B26F-D680FFB37FAB}"/>
    <cellStyle name="Comma 2 2 2 3 2 2" xfId="1261" xr:uid="{EF2D7871-95B3-4D4A-BDB4-50CF14FC951B}"/>
    <cellStyle name="Comma 2 2 2 3 2 2 2" xfId="2662" xr:uid="{76CA6A1E-AD07-466F-98B6-A04A55757330}"/>
    <cellStyle name="Comma 2 2 2 3 2 2 2 2" xfId="5472" xr:uid="{4CE83C2F-CEC6-4BE4-A497-6009DF53FB6F}"/>
    <cellStyle name="Comma 2 2 2 3 2 2 2 2 2" xfId="11108" xr:uid="{01F942FD-1EFB-4CF1-B975-F243F5FD984B}"/>
    <cellStyle name="Comma 2 2 2 3 2 2 2 3" xfId="8298" xr:uid="{8C1FE4F8-4ECE-4DA1-82A3-2DF147A08374}"/>
    <cellStyle name="Comma 2 2 2 3 2 2 3" xfId="4071" xr:uid="{C44E9763-E0BD-4D15-AB34-E0057BB33FE3}"/>
    <cellStyle name="Comma 2 2 2 3 2 2 3 2" xfId="9707" xr:uid="{C82FD329-A729-4235-950A-B081E24F8233}"/>
    <cellStyle name="Comma 2 2 2 3 2 2 4" xfId="6897" xr:uid="{88405087-8AA1-44CC-AA60-14E8A4C7C4B0}"/>
    <cellStyle name="Comma 2 2 2 3 2 3" xfId="1966" xr:uid="{D3C9FFF0-C443-4B3D-A167-C4FBF86947F2}"/>
    <cellStyle name="Comma 2 2 2 3 2 3 2" xfId="4776" xr:uid="{540FA845-D38B-4353-908C-880E4794EF36}"/>
    <cellStyle name="Comma 2 2 2 3 2 3 2 2" xfId="10412" xr:uid="{E3170FE5-61DC-45C7-B9F0-458ABC965C8C}"/>
    <cellStyle name="Comma 2 2 2 3 2 3 3" xfId="7602" xr:uid="{7E35379B-664D-44D0-9571-8F34DBA656AB}"/>
    <cellStyle name="Comma 2 2 2 3 2 4" xfId="3375" xr:uid="{17C67590-B2EC-4C23-A0D6-F8F0C85ADB87}"/>
    <cellStyle name="Comma 2 2 2 3 2 4 2" xfId="9011" xr:uid="{BB584926-98E1-4443-BAE7-2ADBDBF4DA7A}"/>
    <cellStyle name="Comma 2 2 2 3 2 5" xfId="6201" xr:uid="{789468CF-DCD0-4F4F-8FD3-E7239074F8F8}"/>
    <cellStyle name="Comma 2 2 2 3 3" xfId="917" xr:uid="{9963AB07-6F27-4288-A07A-D8AEA72B4DC8}"/>
    <cellStyle name="Comma 2 2 2 3 3 2" xfId="2318" xr:uid="{68C5DF04-E6FF-44AB-91C1-F59F204BA4E5}"/>
    <cellStyle name="Comma 2 2 2 3 3 2 2" xfId="5128" xr:uid="{9D83ADED-CE33-4A9B-90BE-C0F6BE2DC0C1}"/>
    <cellStyle name="Comma 2 2 2 3 3 2 2 2" xfId="10764" xr:uid="{5FDF8C4F-E3F6-433E-8B73-FAE17BC1AC0A}"/>
    <cellStyle name="Comma 2 2 2 3 3 2 3" xfId="7954" xr:uid="{65CACE38-C283-4021-BC82-B4C951D5B3F6}"/>
    <cellStyle name="Comma 2 2 2 3 3 3" xfId="3727" xr:uid="{0E1F398E-5785-4C37-B114-E3AA7B93AB3D}"/>
    <cellStyle name="Comma 2 2 2 3 3 3 2" xfId="9363" xr:uid="{B21BDD9D-3C67-4E50-B327-B1711E996C87}"/>
    <cellStyle name="Comma 2 2 2 3 3 4" xfId="6553" xr:uid="{091CED78-691A-40D3-BAA6-D4A3250AEAF5}"/>
    <cellStyle name="Comma 2 2 2 3 4" xfId="1622" xr:uid="{44681F25-A854-430C-8C48-F3A96AD63F2C}"/>
    <cellStyle name="Comma 2 2 2 3 4 2" xfId="4432" xr:uid="{4AA1286F-7268-418C-BBCF-9CFE2E301859}"/>
    <cellStyle name="Comma 2 2 2 3 4 2 2" xfId="10068" xr:uid="{70A35893-C62F-400F-B76E-C4F35315AD93}"/>
    <cellStyle name="Comma 2 2 2 3 4 3" xfId="7258" xr:uid="{D9B3691A-1304-4D9A-9F62-9FE04429AEE8}"/>
    <cellStyle name="Comma 2 2 2 3 5" xfId="3031" xr:uid="{298AD527-13BD-4723-A663-54A170145681}"/>
    <cellStyle name="Comma 2 2 2 3 5 2" xfId="8667" xr:uid="{B285F668-7E58-47B7-8606-BCFC7750A5E8}"/>
    <cellStyle name="Comma 2 2 2 3 6" xfId="5857" xr:uid="{290DA008-C38A-48F0-BC17-E0BEDFF2FA78}"/>
    <cellStyle name="Comma 2 2 2 4" xfId="393" xr:uid="{C01D59EC-7787-418D-8F8D-7C1B51ADEE1B}"/>
    <cellStyle name="Comma 2 2 2 4 2" xfId="1089" xr:uid="{85AC7C6F-55FC-4167-BE18-1344857FDAD7}"/>
    <cellStyle name="Comma 2 2 2 4 2 2" xfId="2490" xr:uid="{E8FDA4C8-7BFD-4130-A2B7-3E680C91615D}"/>
    <cellStyle name="Comma 2 2 2 4 2 2 2" xfId="5300" xr:uid="{0CBD9579-79C3-4265-92D2-43C84E540F9B}"/>
    <cellStyle name="Comma 2 2 2 4 2 2 2 2" xfId="10936" xr:uid="{4B6BE14F-E188-4C85-9DDF-5B18C2655CF8}"/>
    <cellStyle name="Comma 2 2 2 4 2 2 3" xfId="8126" xr:uid="{833DFE75-BD31-42BA-B653-1CF9E4BC32BB}"/>
    <cellStyle name="Comma 2 2 2 4 2 3" xfId="3899" xr:uid="{05ECAFCC-6781-43DB-998F-00EE938A06A8}"/>
    <cellStyle name="Comma 2 2 2 4 2 3 2" xfId="9535" xr:uid="{92C85765-66CE-4449-BABE-0577DC972ABC}"/>
    <cellStyle name="Comma 2 2 2 4 2 4" xfId="6725" xr:uid="{53679323-F590-449A-9CC7-32BDA2C2138C}"/>
    <cellStyle name="Comma 2 2 2 4 3" xfId="1794" xr:uid="{1725025E-D00E-4844-877E-5B01BE19C5B7}"/>
    <cellStyle name="Comma 2 2 2 4 3 2" xfId="4604" xr:uid="{7E84506F-4031-4D6D-B1E7-08E4D63E03EE}"/>
    <cellStyle name="Comma 2 2 2 4 3 2 2" xfId="10240" xr:uid="{02695D4C-D528-4596-B5F5-1A50D9DEA3F8}"/>
    <cellStyle name="Comma 2 2 2 4 3 3" xfId="7430" xr:uid="{BFBDD2AA-2FE7-4B4F-A7E3-DC38F3C474A9}"/>
    <cellStyle name="Comma 2 2 2 4 4" xfId="3203" xr:uid="{5E223769-B5A7-4AAF-A65D-06A610BA12B0}"/>
    <cellStyle name="Comma 2 2 2 4 4 2" xfId="8839" xr:uid="{9D1C686E-8980-4457-A4AB-EA38C1DEF013}"/>
    <cellStyle name="Comma 2 2 2 4 5" xfId="6029" xr:uid="{D0BC9E33-0AD5-470B-A482-6FC9D37B791B}"/>
    <cellStyle name="Comma 2 2 2 5" xfId="745" xr:uid="{3BFFF329-8923-468F-8026-ACE310CC735C}"/>
    <cellStyle name="Comma 2 2 2 5 2" xfId="2146" xr:uid="{DB13D8B2-05AB-4E7F-A214-899B6C127E32}"/>
    <cellStyle name="Comma 2 2 2 5 2 2" xfId="4956" xr:uid="{5F357BA6-56AB-4A31-B098-A2F06FDD8EC3}"/>
    <cellStyle name="Comma 2 2 2 5 2 2 2" xfId="10592" xr:uid="{A6A8E47D-DD58-4B78-BB83-97B8E76AB942}"/>
    <cellStyle name="Comma 2 2 2 5 2 3" xfId="7782" xr:uid="{64E8DCE7-0171-47A3-8531-C3D2FE7D29CF}"/>
    <cellStyle name="Comma 2 2 2 5 3" xfId="3555" xr:uid="{9CEEB85C-8A82-417B-BF67-4840D3EBE7A7}"/>
    <cellStyle name="Comma 2 2 2 5 3 2" xfId="9191" xr:uid="{AE786A5F-BCD0-466A-B361-37E886CACC45}"/>
    <cellStyle name="Comma 2 2 2 5 4" xfId="6381" xr:uid="{258AD856-F609-462A-9CED-6087BB2FBC1E}"/>
    <cellStyle name="Comma 2 2 2 6" xfId="1450" xr:uid="{D7DAE501-85DE-46C8-B548-AEA9A8B1C6D2}"/>
    <cellStyle name="Comma 2 2 2 6 2" xfId="4260" xr:uid="{4AA0C654-98D8-446F-8FC2-89B39ACF2564}"/>
    <cellStyle name="Comma 2 2 2 6 2 2" xfId="9896" xr:uid="{15EA4DD6-246A-4CC3-A228-64E41B6F062B}"/>
    <cellStyle name="Comma 2 2 2 6 3" xfId="7086" xr:uid="{AA3B0D12-B21D-46C3-81E2-65BA33CD4C2C}"/>
    <cellStyle name="Comma 2 2 2 7" xfId="2859" xr:uid="{159F8DF0-ACAA-46C2-8646-F16244D2A9C3}"/>
    <cellStyle name="Comma 2 2 2 7 2" xfId="8495" xr:uid="{1A575729-2709-4D50-828E-3CFF755C8DDC}"/>
    <cellStyle name="Comma 2 2 2 8" xfId="5685" xr:uid="{C6A70104-3CFF-48E8-954A-CA8D97F4D045}"/>
    <cellStyle name="Comma 2 2 3" xfId="97" xr:uid="{F904A4AE-8CC7-4530-9C33-AB60AAD6646A}"/>
    <cellStyle name="Comma 2 2 3 2" xfId="269" xr:uid="{8A1E48C2-4978-4A00-97D7-9280D05F0F8C}"/>
    <cellStyle name="Comma 2 2 3 2 2" xfId="613" xr:uid="{C9E92465-EC14-476E-B0B9-429E7FBE8347}"/>
    <cellStyle name="Comma 2 2 3 2 2 2" xfId="1309" xr:uid="{02F80C7A-8FC5-4BAE-840F-C835D5BE0F09}"/>
    <cellStyle name="Comma 2 2 3 2 2 2 2" xfId="2710" xr:uid="{EA998A43-BF2E-4C9A-87E6-655D5EFF737E}"/>
    <cellStyle name="Comma 2 2 3 2 2 2 2 2" xfId="5520" xr:uid="{5A04AE51-E985-4256-9C07-A31ACA25DFB3}"/>
    <cellStyle name="Comma 2 2 3 2 2 2 2 2 2" xfId="11156" xr:uid="{4560DCA5-7733-45FC-BE80-4FE1E003AF40}"/>
    <cellStyle name="Comma 2 2 3 2 2 2 2 3" xfId="8346" xr:uid="{AADB569D-B13C-4AEA-BC36-86A85583318A}"/>
    <cellStyle name="Comma 2 2 3 2 2 2 3" xfId="4119" xr:uid="{430D052D-26D8-442A-BCD3-C95471A27517}"/>
    <cellStyle name="Comma 2 2 3 2 2 2 3 2" xfId="9755" xr:uid="{38DF695F-52A6-4A6D-B472-BD388030B0B3}"/>
    <cellStyle name="Comma 2 2 3 2 2 2 4" xfId="6945" xr:uid="{8B4A0AF1-2897-43EB-B641-95E4D438BB6E}"/>
    <cellStyle name="Comma 2 2 3 2 2 3" xfId="2014" xr:uid="{7EBD50F7-E72B-4821-98BB-E91A333C8789}"/>
    <cellStyle name="Comma 2 2 3 2 2 3 2" xfId="4824" xr:uid="{713E7471-D58A-494A-B552-C68F9D047E5A}"/>
    <cellStyle name="Comma 2 2 3 2 2 3 2 2" xfId="10460" xr:uid="{EA7CDC4B-9E54-4FC1-A83B-679746C0F922}"/>
    <cellStyle name="Comma 2 2 3 2 2 3 3" xfId="7650" xr:uid="{29B23FDC-444C-46BF-A475-4AC8F566B45A}"/>
    <cellStyle name="Comma 2 2 3 2 2 4" xfId="3423" xr:uid="{FE22DAB1-333F-4AE0-804B-3A14842E171E}"/>
    <cellStyle name="Comma 2 2 3 2 2 4 2" xfId="9059" xr:uid="{21A8DBDD-CF7E-4173-82B7-6B5E9AD62EAB}"/>
    <cellStyle name="Comma 2 2 3 2 2 5" xfId="6249" xr:uid="{2AF63945-703B-42D2-8F8A-9319B3B506D0}"/>
    <cellStyle name="Comma 2 2 3 2 3" xfId="965" xr:uid="{0905D5DB-8B34-44A9-8E98-2F49440B8DBC}"/>
    <cellStyle name="Comma 2 2 3 2 3 2" xfId="2366" xr:uid="{67DE4E79-1755-4CEA-AAC1-E54C0FC3C1A9}"/>
    <cellStyle name="Comma 2 2 3 2 3 2 2" xfId="5176" xr:uid="{2869E084-479F-4E93-ACCA-C963EAA91E08}"/>
    <cellStyle name="Comma 2 2 3 2 3 2 2 2" xfId="10812" xr:uid="{1F48557C-BFB2-4FA8-ACA7-14E20B3B8093}"/>
    <cellStyle name="Comma 2 2 3 2 3 2 3" xfId="8002" xr:uid="{8EC9063A-1984-40AC-B389-1B92F42A6548}"/>
    <cellStyle name="Comma 2 2 3 2 3 3" xfId="3775" xr:uid="{DAEDE809-58E4-4004-AE5B-DB8EBF368B62}"/>
    <cellStyle name="Comma 2 2 3 2 3 3 2" xfId="9411" xr:uid="{9143F500-D89A-4D2D-8CDF-963F6361C7D0}"/>
    <cellStyle name="Comma 2 2 3 2 3 4" xfId="6601" xr:uid="{A7C1B654-E572-4E3D-A544-6C458DE83791}"/>
    <cellStyle name="Comma 2 2 3 2 4" xfId="1670" xr:uid="{4DD42719-53AC-465C-AC69-A6BE1E745845}"/>
    <cellStyle name="Comma 2 2 3 2 4 2" xfId="4480" xr:uid="{D4A59CFC-E668-4BF5-AEF8-2406DA28FA41}"/>
    <cellStyle name="Comma 2 2 3 2 4 2 2" xfId="10116" xr:uid="{B0CEAAF9-DEF5-4F4B-A751-07974B752BF4}"/>
    <cellStyle name="Comma 2 2 3 2 4 3" xfId="7306" xr:uid="{5C9D5BA1-6354-4F73-998F-CC665E545351}"/>
    <cellStyle name="Comma 2 2 3 2 5" xfId="3079" xr:uid="{245F4487-796B-4DB2-8234-3CE73F72F85C}"/>
    <cellStyle name="Comma 2 2 3 2 5 2" xfId="8715" xr:uid="{CDE50655-0D39-47BC-BE55-F5ED4FDCA54E}"/>
    <cellStyle name="Comma 2 2 3 2 6" xfId="5905" xr:uid="{6067FDA3-4960-4273-A7E8-74B67263D9AC}"/>
    <cellStyle name="Comma 2 2 3 3" xfId="441" xr:uid="{EFFF369E-3A73-46C4-9030-6E2ED1248652}"/>
    <cellStyle name="Comma 2 2 3 3 2" xfId="1137" xr:uid="{3149A1FD-6B38-4F9C-8E67-F23937DCED22}"/>
    <cellStyle name="Comma 2 2 3 3 2 2" xfId="2538" xr:uid="{D3BC194F-57D1-49D0-A83E-025BBFA838FD}"/>
    <cellStyle name="Comma 2 2 3 3 2 2 2" xfId="5348" xr:uid="{4B124841-2348-4CF4-B058-21745CC7858C}"/>
    <cellStyle name="Comma 2 2 3 3 2 2 2 2" xfId="10984" xr:uid="{D9FA7735-CB07-4EEA-9F74-FFE5066EF175}"/>
    <cellStyle name="Comma 2 2 3 3 2 2 3" xfId="8174" xr:uid="{5AD657D2-665C-4812-A41C-821241C3991E}"/>
    <cellStyle name="Comma 2 2 3 3 2 3" xfId="3947" xr:uid="{900CC42D-EBE7-4201-9691-2B8073BA11C7}"/>
    <cellStyle name="Comma 2 2 3 3 2 3 2" xfId="9583" xr:uid="{198FFC76-B9E8-4E89-8854-E6FF01F8E1E7}"/>
    <cellStyle name="Comma 2 2 3 3 2 4" xfId="6773" xr:uid="{F84338F7-5F50-417F-8BC5-E0DF20074712}"/>
    <cellStyle name="Comma 2 2 3 3 3" xfId="1842" xr:uid="{D72EED28-8709-41FB-8CA5-58E2879D3838}"/>
    <cellStyle name="Comma 2 2 3 3 3 2" xfId="4652" xr:uid="{03EDF3E7-37D3-43FB-B2D8-A71F9B7FB773}"/>
    <cellStyle name="Comma 2 2 3 3 3 2 2" xfId="10288" xr:uid="{128B9C94-76B5-4940-BB59-B5C27986EBB5}"/>
    <cellStyle name="Comma 2 2 3 3 3 3" xfId="7478" xr:uid="{EDF15BCF-03D0-48BC-9FEB-C0E0ECFF70B1}"/>
    <cellStyle name="Comma 2 2 3 3 4" xfId="3251" xr:uid="{A93DA788-D1E9-46F0-9112-2E56380C5678}"/>
    <cellStyle name="Comma 2 2 3 3 4 2" xfId="8887" xr:uid="{CFA7A932-1491-481E-B813-A7ADF5C229AD}"/>
    <cellStyle name="Comma 2 2 3 3 5" xfId="6077" xr:uid="{B37A4ABA-4409-4E8D-85E9-60451F1D8A74}"/>
    <cellStyle name="Comma 2 2 3 4" xfId="793" xr:uid="{A09CF561-C705-47B1-ACD1-2290EE7258B9}"/>
    <cellStyle name="Comma 2 2 3 4 2" xfId="2194" xr:uid="{8240D36B-F9A6-402C-AD33-8ECA2F6ED938}"/>
    <cellStyle name="Comma 2 2 3 4 2 2" xfId="5004" xr:uid="{F99E1B8D-DF30-4FF0-83CC-E4E9B793F71E}"/>
    <cellStyle name="Comma 2 2 3 4 2 2 2" xfId="10640" xr:uid="{D0104AE3-6FAB-4170-964B-6A025F5E45A2}"/>
    <cellStyle name="Comma 2 2 3 4 2 3" xfId="7830" xr:uid="{54178A43-01EE-4FA7-A79F-6246BAEB299C}"/>
    <cellStyle name="Comma 2 2 3 4 3" xfId="3603" xr:uid="{29B66E2B-5E6C-46F8-80D2-C98D92896530}"/>
    <cellStyle name="Comma 2 2 3 4 3 2" xfId="9239" xr:uid="{AAC425FC-20F6-4710-A724-86950326488D}"/>
    <cellStyle name="Comma 2 2 3 4 4" xfId="6429" xr:uid="{8327F085-EF68-4DB6-943C-32B5CDDABD69}"/>
    <cellStyle name="Comma 2 2 3 5" xfId="1498" xr:uid="{61B2752A-7ECC-46FF-B330-787B25D2CC68}"/>
    <cellStyle name="Comma 2 2 3 5 2" xfId="4308" xr:uid="{F8EBEC49-2BFC-45A7-9B4C-C81CA020C4B4}"/>
    <cellStyle name="Comma 2 2 3 5 2 2" xfId="9944" xr:uid="{829D656D-4105-40C2-94F6-606E79F8090E}"/>
    <cellStyle name="Comma 2 2 3 5 3" xfId="7134" xr:uid="{023664FF-E074-4DA8-98FD-3ACB0695E19B}"/>
    <cellStyle name="Comma 2 2 3 6" xfId="2907" xr:uid="{A70BFE1B-BED7-486E-8290-6C66F1B9F676}"/>
    <cellStyle name="Comma 2 2 3 6 2" xfId="8543" xr:uid="{4053B90C-EBF8-4BD8-8724-0CDBB13F4F28}"/>
    <cellStyle name="Comma 2 2 3 7" xfId="5733" xr:uid="{4A9D4135-9F6B-42E5-BF73-DF2C931D9D59}"/>
    <cellStyle name="Comma 2 2 4" xfId="189" xr:uid="{32C81691-B618-48E6-AA0F-47500EA439FA}"/>
    <cellStyle name="Comma 2 2 4 2" xfId="533" xr:uid="{FC05500A-AAAA-4CC3-9C81-B354DBED180A}"/>
    <cellStyle name="Comma 2 2 4 2 2" xfId="1229" xr:uid="{ABDAF2CA-27DE-4DDB-82BA-1E7A70403F20}"/>
    <cellStyle name="Comma 2 2 4 2 2 2" xfId="2630" xr:uid="{B9B5FDF4-0755-4E62-A196-1BE10BFC29F9}"/>
    <cellStyle name="Comma 2 2 4 2 2 2 2" xfId="5440" xr:uid="{FDFD11EA-4EE9-41AF-9582-FEBB8ACB73B2}"/>
    <cellStyle name="Comma 2 2 4 2 2 2 2 2" xfId="11076" xr:uid="{965A898B-46D5-4DC7-9336-7822FB4097E0}"/>
    <cellStyle name="Comma 2 2 4 2 2 2 3" xfId="8266" xr:uid="{20A071F8-1727-4280-9454-1404D13F1084}"/>
    <cellStyle name="Comma 2 2 4 2 2 3" xfId="4039" xr:uid="{27D1EFB7-9D72-4C74-81DD-B9C2F5AD296D}"/>
    <cellStyle name="Comma 2 2 4 2 2 3 2" xfId="9675" xr:uid="{A16995F4-582B-4385-955E-3F810C5025E1}"/>
    <cellStyle name="Comma 2 2 4 2 2 4" xfId="6865" xr:uid="{8E8EA74A-F37E-4BA4-AB20-3168E5A937B5}"/>
    <cellStyle name="Comma 2 2 4 2 3" xfId="1934" xr:uid="{855038B5-1287-42A3-9EB8-8A096D18957B}"/>
    <cellStyle name="Comma 2 2 4 2 3 2" xfId="4744" xr:uid="{44F3E390-4545-45EC-9C52-C2335AF6DB10}"/>
    <cellStyle name="Comma 2 2 4 2 3 2 2" xfId="10380" xr:uid="{F50B8EFF-12D5-4A22-AB83-9216130B903E}"/>
    <cellStyle name="Comma 2 2 4 2 3 3" xfId="7570" xr:uid="{BB3CEAFE-9B61-44A8-92D8-AA76F137FE93}"/>
    <cellStyle name="Comma 2 2 4 2 4" xfId="3343" xr:uid="{EC667F11-7AD4-4311-9FC1-47C867F0E363}"/>
    <cellStyle name="Comma 2 2 4 2 4 2" xfId="8979" xr:uid="{2A4A3311-F851-4A4B-A4DE-D47F4B31072E}"/>
    <cellStyle name="Comma 2 2 4 2 5" xfId="6169" xr:uid="{7454CD71-3FF9-419F-A84E-141C875293C9}"/>
    <cellStyle name="Comma 2 2 4 3" xfId="885" xr:uid="{A78F63C4-8955-404C-88B6-677478C468F6}"/>
    <cellStyle name="Comma 2 2 4 3 2" xfId="2286" xr:uid="{424174A8-7F8E-48A3-BD40-B5E882F9DF20}"/>
    <cellStyle name="Comma 2 2 4 3 2 2" xfId="5096" xr:uid="{62922D83-0EC1-4E0D-B3F9-1696FC1370D4}"/>
    <cellStyle name="Comma 2 2 4 3 2 2 2" xfId="10732" xr:uid="{BE7878A5-8E20-40CB-9614-4E0DC254B6BE}"/>
    <cellStyle name="Comma 2 2 4 3 2 3" xfId="7922" xr:uid="{26DCD35A-5733-43D6-BDA8-29D44A394489}"/>
    <cellStyle name="Comma 2 2 4 3 3" xfId="3695" xr:uid="{135427B2-B513-48D2-80E5-4159A0C194CA}"/>
    <cellStyle name="Comma 2 2 4 3 3 2" xfId="9331" xr:uid="{87D7B140-6410-49CB-BC88-6511327EFF35}"/>
    <cellStyle name="Comma 2 2 4 3 4" xfId="6521" xr:uid="{0D7B0A4B-6609-42B7-B00C-332DDD66B86A}"/>
    <cellStyle name="Comma 2 2 4 4" xfId="1590" xr:uid="{EDC3606F-2A9A-466E-A398-1A5225F71F78}"/>
    <cellStyle name="Comma 2 2 4 4 2" xfId="4400" xr:uid="{CC267862-01F2-4412-97D3-1E863A9EEB88}"/>
    <cellStyle name="Comma 2 2 4 4 2 2" xfId="10036" xr:uid="{F27FDF58-9EB1-41F7-8370-59DDECC7FC5A}"/>
    <cellStyle name="Comma 2 2 4 4 3" xfId="7226" xr:uid="{A5C302CF-5F73-4877-AE83-9DAA5EC009D6}"/>
    <cellStyle name="Comma 2 2 4 5" xfId="2999" xr:uid="{14367D9E-A0DF-4855-A1F6-C90B70174F57}"/>
    <cellStyle name="Comma 2 2 4 5 2" xfId="8635" xr:uid="{4BFA1D81-95A9-4B37-9E7E-7AE071297C32}"/>
    <cellStyle name="Comma 2 2 4 6" xfId="5825" xr:uid="{CF35E55F-C6EA-4931-AFC0-33F620263205}"/>
    <cellStyle name="Comma 2 2 5" xfId="361" xr:uid="{1490D060-F7C6-47B3-A953-3E9B30831DF4}"/>
    <cellStyle name="Comma 2 2 5 2" xfId="1057" xr:uid="{CB947C1C-2B63-4A1F-9011-0622289817F4}"/>
    <cellStyle name="Comma 2 2 5 2 2" xfId="2458" xr:uid="{73F28118-544B-4BDE-BAF7-BABF33EAAF7C}"/>
    <cellStyle name="Comma 2 2 5 2 2 2" xfId="5268" xr:uid="{89BCCED2-6CBB-4D52-892A-E34519DDAC2C}"/>
    <cellStyle name="Comma 2 2 5 2 2 2 2" xfId="10904" xr:uid="{4EF0AB10-B68B-401B-8C76-7B42D288845C}"/>
    <cellStyle name="Comma 2 2 5 2 2 3" xfId="8094" xr:uid="{9690411E-5243-43AF-8C4C-27374B1A403A}"/>
    <cellStyle name="Comma 2 2 5 2 3" xfId="3867" xr:uid="{EAD5E31B-83DB-45E3-9E7E-E585C7AACC40}"/>
    <cellStyle name="Comma 2 2 5 2 3 2" xfId="9503" xr:uid="{79A61CA6-992D-436C-8CDE-5494BBA7A811}"/>
    <cellStyle name="Comma 2 2 5 2 4" xfId="6693" xr:uid="{115BD47D-01AC-4711-895E-BAE3FC2FECC9}"/>
    <cellStyle name="Comma 2 2 5 3" xfId="1762" xr:uid="{4EA6823F-09CF-4DDF-8A7D-2D811AF0268B}"/>
    <cellStyle name="Comma 2 2 5 3 2" xfId="4572" xr:uid="{159CCD0C-322A-4817-B975-E8DAA460E5C7}"/>
    <cellStyle name="Comma 2 2 5 3 2 2" xfId="10208" xr:uid="{C6F272B0-CCF2-4176-AD61-BE74279CEA40}"/>
    <cellStyle name="Comma 2 2 5 3 3" xfId="7398" xr:uid="{E657A9BE-7E12-4994-80D9-EE0C04D502B9}"/>
    <cellStyle name="Comma 2 2 5 4" xfId="3171" xr:uid="{5837D46F-8AB9-4119-AB31-0EEB1C97BDD2}"/>
    <cellStyle name="Comma 2 2 5 4 2" xfId="8807" xr:uid="{07516E7D-253E-42E1-88F2-AB0A58983D02}"/>
    <cellStyle name="Comma 2 2 5 5" xfId="5997" xr:uid="{30BDEF77-9A17-4654-BB9F-67D1D2931088}"/>
    <cellStyle name="Comma 2 2 6" xfId="713" xr:uid="{15916E35-202F-4659-A8E2-B9050CE2B603}"/>
    <cellStyle name="Comma 2 2 6 2" xfId="2114" xr:uid="{07500F60-6E72-4270-AF07-0944CE94CB7B}"/>
    <cellStyle name="Comma 2 2 6 2 2" xfId="4924" xr:uid="{B98A1A65-61FD-4946-9F8E-D05B7A6CBBC8}"/>
    <cellStyle name="Comma 2 2 6 2 2 2" xfId="10560" xr:uid="{6BCCE5B4-8094-4A17-8763-AF2157F72669}"/>
    <cellStyle name="Comma 2 2 6 2 3" xfId="7750" xr:uid="{3F224071-D207-4FC7-9ACC-CE47BC94B5EB}"/>
    <cellStyle name="Comma 2 2 6 3" xfId="3523" xr:uid="{80FDEBCF-D916-4421-BE69-9A7DACFDA6A7}"/>
    <cellStyle name="Comma 2 2 6 3 2" xfId="9159" xr:uid="{660B4B03-AEC5-4C8E-A4FA-076920D63937}"/>
    <cellStyle name="Comma 2 2 6 4" xfId="6349" xr:uid="{E7B3B67A-9502-4627-A57E-4D70BCF98648}"/>
    <cellStyle name="Comma 2 2 7" xfId="1418" xr:uid="{4C840DB6-2F0E-4E11-9E62-49C5804B3195}"/>
    <cellStyle name="Comma 2 2 7 2" xfId="4228" xr:uid="{8CA2A0A9-90F6-4FE4-9996-12B72E9D7778}"/>
    <cellStyle name="Comma 2 2 7 2 2" xfId="9864" xr:uid="{E0F06C59-3893-44F0-B040-183E2B4B3BD2}"/>
    <cellStyle name="Comma 2 2 7 3" xfId="7054" xr:uid="{D7104054-4C67-4183-8FD5-39F5338A7388}"/>
    <cellStyle name="Comma 2 2 8" xfId="2827" xr:uid="{8B7BE6BA-FC5C-4D6E-8A1F-0C939583E499}"/>
    <cellStyle name="Comma 2 2 8 2" xfId="8463" xr:uid="{B9FD6885-3D67-4F3A-86C7-54A6C16B0A89}"/>
    <cellStyle name="Comma 2 2 9" xfId="5653" xr:uid="{1E518339-27A8-4CA8-A979-5D120C25BB7E}"/>
    <cellStyle name="Comma 2 3" xfId="37" xr:uid="{A89A3401-E008-4E54-872B-70C06BCBE535}"/>
    <cellStyle name="Comma 2 3 2" xfId="117" xr:uid="{9E3F7666-5408-497B-89B2-9BA7A3B7BA82}"/>
    <cellStyle name="Comma 2 3 2 2" xfId="289" xr:uid="{5E444571-CB18-4AFB-8E19-355C04E8141E}"/>
    <cellStyle name="Comma 2 3 2 2 2" xfId="633" xr:uid="{24E1C7A0-9F36-4922-BB1E-1E700F7FB625}"/>
    <cellStyle name="Comma 2 3 2 2 2 2" xfId="1329" xr:uid="{2796AF45-2CB7-497F-82A1-43965E880088}"/>
    <cellStyle name="Comma 2 3 2 2 2 2 2" xfId="2730" xr:uid="{C83AF187-1350-4420-9656-003F20747968}"/>
    <cellStyle name="Comma 2 3 2 2 2 2 2 2" xfId="5540" xr:uid="{4CC0DE70-EB97-4CF3-978B-FC135B319F4C}"/>
    <cellStyle name="Comma 2 3 2 2 2 2 2 2 2" xfId="11176" xr:uid="{B4BBAA56-8CDB-430E-999A-25D9EE224E2D}"/>
    <cellStyle name="Comma 2 3 2 2 2 2 2 3" xfId="8366" xr:uid="{9DBD6F7B-BB86-4AE9-8E84-5C6669F7FC4F}"/>
    <cellStyle name="Comma 2 3 2 2 2 2 3" xfId="4139" xr:uid="{7F171B01-C06E-4D42-A868-E6AD9F66779C}"/>
    <cellStyle name="Comma 2 3 2 2 2 2 3 2" xfId="9775" xr:uid="{89BD1573-AB56-4A26-9284-0D4B6AACADBF}"/>
    <cellStyle name="Comma 2 3 2 2 2 2 4" xfId="6965" xr:uid="{A2C4FAA8-C715-4B0E-93CB-698C837D93A9}"/>
    <cellStyle name="Comma 2 3 2 2 2 3" xfId="2034" xr:uid="{47F4396E-43E3-4F4F-A129-5A1B78099F35}"/>
    <cellStyle name="Comma 2 3 2 2 2 3 2" xfId="4844" xr:uid="{DFACD91C-4C11-4A90-B75F-5A08D34F88A3}"/>
    <cellStyle name="Comma 2 3 2 2 2 3 2 2" xfId="10480" xr:uid="{6EBDF6C1-ECF1-4144-A0E1-7DA877D487ED}"/>
    <cellStyle name="Comma 2 3 2 2 2 3 3" xfId="7670" xr:uid="{5165EFD6-1B16-4C3D-AA63-F0F9C139B779}"/>
    <cellStyle name="Comma 2 3 2 2 2 4" xfId="3443" xr:uid="{0B7CF729-7C71-4E74-9158-99367DCD57C7}"/>
    <cellStyle name="Comma 2 3 2 2 2 4 2" xfId="9079" xr:uid="{FFBC350F-62B1-4015-BB90-2DBEB13A123C}"/>
    <cellStyle name="Comma 2 3 2 2 2 5" xfId="6269" xr:uid="{A7E8640B-EF59-4E6F-ADE4-CB8E6DDA9725}"/>
    <cellStyle name="Comma 2 3 2 2 3" xfId="985" xr:uid="{1527576A-3678-4780-BCB5-85FEDD08285C}"/>
    <cellStyle name="Comma 2 3 2 2 3 2" xfId="2386" xr:uid="{2011C649-BC08-4AF0-B469-998F33F0B93C}"/>
    <cellStyle name="Comma 2 3 2 2 3 2 2" xfId="5196" xr:uid="{FE24B1B2-A220-4DA7-B0FD-50B1AEC8C32F}"/>
    <cellStyle name="Comma 2 3 2 2 3 2 2 2" xfId="10832" xr:uid="{5D5C02B0-8E9C-4D25-8EAA-4115D6F3A582}"/>
    <cellStyle name="Comma 2 3 2 2 3 2 3" xfId="8022" xr:uid="{172BAF03-EE44-4F61-8AC3-53D66717CFE1}"/>
    <cellStyle name="Comma 2 3 2 2 3 3" xfId="3795" xr:uid="{C81AEE90-3B81-45CC-984A-691B9B208190}"/>
    <cellStyle name="Comma 2 3 2 2 3 3 2" xfId="9431" xr:uid="{8EB75CDC-816E-4230-9F9E-297C8244902E}"/>
    <cellStyle name="Comma 2 3 2 2 3 4" xfId="6621" xr:uid="{B4AF9D14-205A-4466-AA55-3FB4A791EA8A}"/>
    <cellStyle name="Comma 2 3 2 2 4" xfId="1690" xr:uid="{13191276-2676-4206-8BF6-00CE59DF92E1}"/>
    <cellStyle name="Comma 2 3 2 2 4 2" xfId="4500" xr:uid="{FFFD7504-9E89-41D1-B191-71881DBB0BB7}"/>
    <cellStyle name="Comma 2 3 2 2 4 2 2" xfId="10136" xr:uid="{DF696F21-70F3-4DD1-B8F9-631D101762FA}"/>
    <cellStyle name="Comma 2 3 2 2 4 3" xfId="7326" xr:uid="{6D4F4E3F-A776-4B2C-B991-785AABE5AF16}"/>
    <cellStyle name="Comma 2 3 2 2 5" xfId="3099" xr:uid="{95A5248E-AC7B-4328-83B9-2E31441B4103}"/>
    <cellStyle name="Comma 2 3 2 2 5 2" xfId="8735" xr:uid="{EB0FD213-90DF-4FC4-804F-FA5B7640B678}"/>
    <cellStyle name="Comma 2 3 2 2 6" xfId="5925" xr:uid="{A0C0CEFD-2842-49AF-9D44-8B3072D3CF82}"/>
    <cellStyle name="Comma 2 3 2 3" xfId="461" xr:uid="{C5CF7396-0377-41FD-8144-5615B17628DD}"/>
    <cellStyle name="Comma 2 3 2 3 2" xfId="1157" xr:uid="{A2A9A575-32F7-4611-9678-2262B93D2547}"/>
    <cellStyle name="Comma 2 3 2 3 2 2" xfId="2558" xr:uid="{90283557-F1A2-43AA-A5F5-44712AFBCE9E}"/>
    <cellStyle name="Comma 2 3 2 3 2 2 2" xfId="5368" xr:uid="{2D695EF4-82AD-4424-B307-8FA49DD0F37A}"/>
    <cellStyle name="Comma 2 3 2 3 2 2 2 2" xfId="11004" xr:uid="{F2357143-D77D-4046-8229-39336DC26726}"/>
    <cellStyle name="Comma 2 3 2 3 2 2 3" xfId="8194" xr:uid="{A377AD27-8F01-42DF-AEFA-1EBFC7173D3E}"/>
    <cellStyle name="Comma 2 3 2 3 2 3" xfId="3967" xr:uid="{F0749F12-EA3F-4967-9583-96F9B30C221C}"/>
    <cellStyle name="Comma 2 3 2 3 2 3 2" xfId="9603" xr:uid="{D5706307-4FE8-4D5B-9452-B947EF58495E}"/>
    <cellStyle name="Comma 2 3 2 3 2 4" xfId="6793" xr:uid="{990BF3DA-2B65-4B07-AE28-5BC5643779A0}"/>
    <cellStyle name="Comma 2 3 2 3 3" xfId="1862" xr:uid="{5776EB14-DACD-453B-8530-9AE562154D49}"/>
    <cellStyle name="Comma 2 3 2 3 3 2" xfId="4672" xr:uid="{EB81C3F1-B49C-470B-A120-C5251C9C0A55}"/>
    <cellStyle name="Comma 2 3 2 3 3 2 2" xfId="10308" xr:uid="{971C6E54-93FB-4F1A-9F78-516EF25B0AD3}"/>
    <cellStyle name="Comma 2 3 2 3 3 3" xfId="7498" xr:uid="{1099061A-A5C9-4FBE-8F87-807020518910}"/>
    <cellStyle name="Comma 2 3 2 3 4" xfId="3271" xr:uid="{6D34DFA1-AB7C-4EA7-92CF-BA5785CB7787}"/>
    <cellStyle name="Comma 2 3 2 3 4 2" xfId="8907" xr:uid="{314E83BD-9538-42CB-A1C6-377D457FF0D0}"/>
    <cellStyle name="Comma 2 3 2 3 5" xfId="6097" xr:uid="{FC9C3498-C7C4-4EB4-87B8-48FC0F6799FA}"/>
    <cellStyle name="Comma 2 3 2 4" xfId="813" xr:uid="{EBCBFE64-51D4-4880-A178-18285BF868B9}"/>
    <cellStyle name="Comma 2 3 2 4 2" xfId="2214" xr:uid="{3FFDC570-3EB9-4149-AF14-473F6B64843A}"/>
    <cellStyle name="Comma 2 3 2 4 2 2" xfId="5024" xr:uid="{FD17D575-42EE-4E33-86BD-BA44B1746EE5}"/>
    <cellStyle name="Comma 2 3 2 4 2 2 2" xfId="10660" xr:uid="{B4A7ADA7-99AD-4FD2-999D-B86C643DE4E8}"/>
    <cellStyle name="Comma 2 3 2 4 2 3" xfId="7850" xr:uid="{ADDA08BF-29B2-4851-A77E-FCCF590E6731}"/>
    <cellStyle name="Comma 2 3 2 4 3" xfId="3623" xr:uid="{671FBD2E-4384-45E5-94AF-846B894FBB97}"/>
    <cellStyle name="Comma 2 3 2 4 3 2" xfId="9259" xr:uid="{A09B1148-CB53-46FD-ADFF-FA0F4CBAB636}"/>
    <cellStyle name="Comma 2 3 2 4 4" xfId="6449" xr:uid="{6B0DC208-F2AD-4674-8694-FCE8E31C07AC}"/>
    <cellStyle name="Comma 2 3 2 5" xfId="1518" xr:uid="{302D7165-F112-49E0-8F6B-812632432F2B}"/>
    <cellStyle name="Comma 2 3 2 5 2" xfId="4328" xr:uid="{87DFEF93-BB57-467C-A53F-6783BCA0A5F0}"/>
    <cellStyle name="Comma 2 3 2 5 2 2" xfId="9964" xr:uid="{93B003DA-9C79-4414-B3DD-B9DF65671B2F}"/>
    <cellStyle name="Comma 2 3 2 5 3" xfId="7154" xr:uid="{8B9B3C56-6D62-4882-B4A1-7AEB5227E507}"/>
    <cellStyle name="Comma 2 3 2 6" xfId="2927" xr:uid="{0C824A19-B271-463E-A92B-F93CF676FB88}"/>
    <cellStyle name="Comma 2 3 2 6 2" xfId="8563" xr:uid="{C2BD7DF7-0963-4ED8-AD27-216160D35DA5}"/>
    <cellStyle name="Comma 2 3 2 7" xfId="5753" xr:uid="{F596AE0C-9E9E-494A-BEC6-30759BC1648B}"/>
    <cellStyle name="Comma 2 3 3" xfId="209" xr:uid="{474D1BA2-044E-49B6-BFE1-E2AED055B43D}"/>
    <cellStyle name="Comma 2 3 3 2" xfId="553" xr:uid="{04BCF8DB-FB47-4516-8A43-9E0CF6CCD8E4}"/>
    <cellStyle name="Comma 2 3 3 2 2" xfId="1249" xr:uid="{D2D5BA37-9427-4152-946B-F78A6E457150}"/>
    <cellStyle name="Comma 2 3 3 2 2 2" xfId="2650" xr:uid="{2F65D223-6B7F-4DE6-9B3D-097396CAEE9E}"/>
    <cellStyle name="Comma 2 3 3 2 2 2 2" xfId="5460" xr:uid="{05AAC83E-B8F8-425D-9470-E3884BAF0DD5}"/>
    <cellStyle name="Comma 2 3 3 2 2 2 2 2" xfId="11096" xr:uid="{929FA875-4C20-4C37-802D-DD4E548173FB}"/>
    <cellStyle name="Comma 2 3 3 2 2 2 3" xfId="8286" xr:uid="{4B9BCB81-C07E-4A4C-93D1-B9FC9515FED5}"/>
    <cellStyle name="Comma 2 3 3 2 2 3" xfId="4059" xr:uid="{1CB9AFF6-8D04-479A-B0D9-6AB347884CE4}"/>
    <cellStyle name="Comma 2 3 3 2 2 3 2" xfId="9695" xr:uid="{3B896D44-DE88-4B5C-A7EF-F5EE35E5586E}"/>
    <cellStyle name="Comma 2 3 3 2 2 4" xfId="6885" xr:uid="{7C5E06A5-8E6E-42A5-92AE-B2BD183C8C2F}"/>
    <cellStyle name="Comma 2 3 3 2 3" xfId="1954" xr:uid="{D77BE2DD-CECE-407E-A11C-B27E5EA1E8C4}"/>
    <cellStyle name="Comma 2 3 3 2 3 2" xfId="4764" xr:uid="{69DC85BA-FE1E-4673-8871-5691EA8B9B80}"/>
    <cellStyle name="Comma 2 3 3 2 3 2 2" xfId="10400" xr:uid="{1CD6650C-CA62-453B-B42D-2E9F40763026}"/>
    <cellStyle name="Comma 2 3 3 2 3 3" xfId="7590" xr:uid="{249ABD98-1B58-41D3-B492-72CC3F05C1B8}"/>
    <cellStyle name="Comma 2 3 3 2 4" xfId="3363" xr:uid="{990ADBAB-6679-442E-8A36-9B2E428C0656}"/>
    <cellStyle name="Comma 2 3 3 2 4 2" xfId="8999" xr:uid="{73DF25F3-0497-4796-AC61-FB1967F7EF81}"/>
    <cellStyle name="Comma 2 3 3 2 5" xfId="6189" xr:uid="{08BEFAE9-D114-43B4-94F1-1573D7BC7935}"/>
    <cellStyle name="Comma 2 3 3 3" xfId="905" xr:uid="{3D90AC2F-C18F-4A60-9ADD-0FA772EE2910}"/>
    <cellStyle name="Comma 2 3 3 3 2" xfId="2306" xr:uid="{8E9580B1-E683-46E3-B2BD-4EB48E9F6EE2}"/>
    <cellStyle name="Comma 2 3 3 3 2 2" xfId="5116" xr:uid="{A53430B8-98E7-42D3-B478-07CAC4470488}"/>
    <cellStyle name="Comma 2 3 3 3 2 2 2" xfId="10752" xr:uid="{1B6B8726-5D3F-4A62-8A0C-A074BDBBF135}"/>
    <cellStyle name="Comma 2 3 3 3 2 3" xfId="7942" xr:uid="{D0BC5E08-71D7-49FF-89CB-5768E0DE9DDE}"/>
    <cellStyle name="Comma 2 3 3 3 3" xfId="3715" xr:uid="{865A3529-C317-4C4C-99D3-CB77C727D06D}"/>
    <cellStyle name="Comma 2 3 3 3 3 2" xfId="9351" xr:uid="{D0C530C1-65F8-4401-A286-752834EE858A}"/>
    <cellStyle name="Comma 2 3 3 3 4" xfId="6541" xr:uid="{91B3EA98-0AAB-49E0-BAB1-368042887033}"/>
    <cellStyle name="Comma 2 3 3 4" xfId="1610" xr:uid="{8C107FAA-02CE-4E2C-A1FD-04CBC3EA807C}"/>
    <cellStyle name="Comma 2 3 3 4 2" xfId="4420" xr:uid="{D3348780-A577-4B90-BBD2-A69D0A95041C}"/>
    <cellStyle name="Comma 2 3 3 4 2 2" xfId="10056" xr:uid="{65CE3C4D-B57C-407C-8CAB-88D038421A40}"/>
    <cellStyle name="Comma 2 3 3 4 3" xfId="7246" xr:uid="{FD34BEE5-96E2-481B-8D29-6920A436018E}"/>
    <cellStyle name="Comma 2 3 3 5" xfId="3019" xr:uid="{86672264-FAAF-42FF-8F63-9F3291CD63C4}"/>
    <cellStyle name="Comma 2 3 3 5 2" xfId="8655" xr:uid="{592DAA47-432B-4D20-B8B5-8A0B8A2B4719}"/>
    <cellStyle name="Comma 2 3 3 6" xfId="5845" xr:uid="{3A2EF4F3-DC27-4468-90B1-72A179498C2D}"/>
    <cellStyle name="Comma 2 3 4" xfId="381" xr:uid="{3AB10B98-3F64-46D8-9B2C-50D1F66E04DB}"/>
    <cellStyle name="Comma 2 3 4 2" xfId="1077" xr:uid="{40648470-66AF-43C2-BF5D-AC3DF43D9475}"/>
    <cellStyle name="Comma 2 3 4 2 2" xfId="2478" xr:uid="{8BC6DEB6-AAFB-4DED-AEE0-3A1D8CEC1192}"/>
    <cellStyle name="Comma 2 3 4 2 2 2" xfId="5288" xr:uid="{F4463B66-7BFA-4D17-9447-7E6550AD4093}"/>
    <cellStyle name="Comma 2 3 4 2 2 2 2" xfId="10924" xr:uid="{C7E39F80-106B-4995-903B-50D7325D672F}"/>
    <cellStyle name="Comma 2 3 4 2 2 3" xfId="8114" xr:uid="{8CD9AA54-FE85-41AC-852A-0185E393119D}"/>
    <cellStyle name="Comma 2 3 4 2 3" xfId="3887" xr:uid="{B4FD27E0-239E-4C0D-BD5B-D879D73858AF}"/>
    <cellStyle name="Comma 2 3 4 2 3 2" xfId="9523" xr:uid="{FF9D6BB9-B959-4E89-A211-12999A466C32}"/>
    <cellStyle name="Comma 2 3 4 2 4" xfId="6713" xr:uid="{20E05D40-537A-4C4F-A5DB-E689CA62092B}"/>
    <cellStyle name="Comma 2 3 4 3" xfId="1782" xr:uid="{86DC76CF-8121-4B3D-91CC-2E302EB2CA1F}"/>
    <cellStyle name="Comma 2 3 4 3 2" xfId="4592" xr:uid="{73384098-4699-46AA-B9ED-0B9C980382F2}"/>
    <cellStyle name="Comma 2 3 4 3 2 2" xfId="10228" xr:uid="{9848362F-3BF8-4356-A36F-E55A53008273}"/>
    <cellStyle name="Comma 2 3 4 3 3" xfId="7418" xr:uid="{F50A2A6F-949B-4758-B23B-8C493C8DAFB9}"/>
    <cellStyle name="Comma 2 3 4 4" xfId="3191" xr:uid="{663238F7-AA1B-40EC-A4AE-D2BC3703A214}"/>
    <cellStyle name="Comma 2 3 4 4 2" xfId="8827" xr:uid="{FAA3B485-A339-4673-8662-80716AA75B79}"/>
    <cellStyle name="Comma 2 3 4 5" xfId="6017" xr:uid="{76D6B4BD-7E9E-49B7-96B2-F34AB4DFECCB}"/>
    <cellStyle name="Comma 2 3 5" xfId="733" xr:uid="{83C7655F-C01E-43F9-90BA-BDB89624F33C}"/>
    <cellStyle name="Comma 2 3 5 2" xfId="2134" xr:uid="{BD650659-3940-4F3D-A55E-9E8FF87883D4}"/>
    <cellStyle name="Comma 2 3 5 2 2" xfId="4944" xr:uid="{E6B6B763-3B9A-4E8B-B7E4-5AE63CA0FDC8}"/>
    <cellStyle name="Comma 2 3 5 2 2 2" xfId="10580" xr:uid="{DF7639A0-B624-4764-B13B-B706127EE36D}"/>
    <cellStyle name="Comma 2 3 5 2 3" xfId="7770" xr:uid="{BB7DBC08-F37A-4A6F-9E1C-3F3D506E2311}"/>
    <cellStyle name="Comma 2 3 5 3" xfId="3543" xr:uid="{EEC16EFD-97EF-4214-9343-F33AAAE6A333}"/>
    <cellStyle name="Comma 2 3 5 3 2" xfId="9179" xr:uid="{38704F7F-D52E-417B-A6AB-659B815EECF9}"/>
    <cellStyle name="Comma 2 3 5 4" xfId="6369" xr:uid="{D42AB173-BB01-4403-939E-94123AA3F811}"/>
    <cellStyle name="Comma 2 3 6" xfId="1438" xr:uid="{1AC469E3-BA41-4A4B-A4DB-772F7A4C83A7}"/>
    <cellStyle name="Comma 2 3 6 2" xfId="4248" xr:uid="{7BF9A321-140C-4F50-80FF-CC1BF54E56B9}"/>
    <cellStyle name="Comma 2 3 6 2 2" xfId="9884" xr:uid="{10571614-2820-4C36-A336-38D258BA5CF9}"/>
    <cellStyle name="Comma 2 3 6 3" xfId="7074" xr:uid="{7A2F2EA8-BD5F-4C74-9C27-AEF4EBA180B7}"/>
    <cellStyle name="Comma 2 3 7" xfId="2847" xr:uid="{C4347AB7-D9CD-44CD-A76D-A9F080A3F375}"/>
    <cellStyle name="Comma 2 3 7 2" xfId="8483" xr:uid="{4BB1C0CE-1FE9-40DA-975D-393956D1B9D3}"/>
    <cellStyle name="Comma 2 3 8" xfId="5673" xr:uid="{B8A42AAD-5D22-466D-975C-5D83B66FB597}"/>
    <cellStyle name="Comma 2 4" xfId="85" xr:uid="{AADAD17B-4FCE-4AFE-91F8-7E441EC50E9F}"/>
    <cellStyle name="Comma 2 4 2" xfId="257" xr:uid="{F66249B6-022F-4132-A0E1-FF3F995A0FF3}"/>
    <cellStyle name="Comma 2 4 2 2" xfId="601" xr:uid="{777E5423-4281-4746-8186-222C2DEC4640}"/>
    <cellStyle name="Comma 2 4 2 2 2" xfId="1297" xr:uid="{15948CB5-B8BB-453C-9F26-35417564D69D}"/>
    <cellStyle name="Comma 2 4 2 2 2 2" xfId="2698" xr:uid="{409AD64C-7E51-4A72-A6B4-36CB3F9A9BDB}"/>
    <cellStyle name="Comma 2 4 2 2 2 2 2" xfId="5508" xr:uid="{451FC6D9-E24A-4775-8CD6-457AC24CBF37}"/>
    <cellStyle name="Comma 2 4 2 2 2 2 2 2" xfId="11144" xr:uid="{261E634F-19BA-49C7-BE4D-210791C9B2E9}"/>
    <cellStyle name="Comma 2 4 2 2 2 2 3" xfId="8334" xr:uid="{AC5EB394-E86F-4718-AB5B-CA348B591A98}"/>
    <cellStyle name="Comma 2 4 2 2 2 3" xfId="4107" xr:uid="{B303DDBE-FCBF-44DA-AEC1-8679FCBB26A1}"/>
    <cellStyle name="Comma 2 4 2 2 2 3 2" xfId="9743" xr:uid="{16B6ED58-3C4E-4945-8A0F-44FDAD56B030}"/>
    <cellStyle name="Comma 2 4 2 2 2 4" xfId="6933" xr:uid="{2CBE94E0-8A96-4968-B949-7237E55F0732}"/>
    <cellStyle name="Comma 2 4 2 2 3" xfId="2002" xr:uid="{CD471066-FA29-4A3C-B39E-36381316B74C}"/>
    <cellStyle name="Comma 2 4 2 2 3 2" xfId="4812" xr:uid="{31903CAD-CE4C-4BB8-9E32-58F87F8DD004}"/>
    <cellStyle name="Comma 2 4 2 2 3 2 2" xfId="10448" xr:uid="{6C7CF1B9-9851-4590-A919-3D1CA88E4176}"/>
    <cellStyle name="Comma 2 4 2 2 3 3" xfId="7638" xr:uid="{3AAACDEB-C115-40CE-9811-B78A72EB39F7}"/>
    <cellStyle name="Comma 2 4 2 2 4" xfId="3411" xr:uid="{7D13A06C-FA42-452F-825C-E1B39AA77B58}"/>
    <cellStyle name="Comma 2 4 2 2 4 2" xfId="9047" xr:uid="{0A39A6A5-9283-4825-88C3-7214EE6E7F64}"/>
    <cellStyle name="Comma 2 4 2 2 5" xfId="6237" xr:uid="{42E5D189-E43D-4877-A1FA-E41993C1FBF0}"/>
    <cellStyle name="Comma 2 4 2 3" xfId="953" xr:uid="{EF0E26AF-EE82-4522-ACCF-EC2685F22D12}"/>
    <cellStyle name="Comma 2 4 2 3 2" xfId="2354" xr:uid="{FDBF7C52-96FB-4E6B-8069-C583A986A9DB}"/>
    <cellStyle name="Comma 2 4 2 3 2 2" xfId="5164" xr:uid="{A1434697-AE63-4C45-9A81-F087FB8FE198}"/>
    <cellStyle name="Comma 2 4 2 3 2 2 2" xfId="10800" xr:uid="{4DEFCB57-3E1D-4528-8CE6-4E0764F3F7AC}"/>
    <cellStyle name="Comma 2 4 2 3 2 3" xfId="7990" xr:uid="{B585A647-4552-4D6A-8475-308BFA5A855F}"/>
    <cellStyle name="Comma 2 4 2 3 3" xfId="3763" xr:uid="{6F6AF2BB-2A3C-446E-ADC3-B5A8E8C43D81}"/>
    <cellStyle name="Comma 2 4 2 3 3 2" xfId="9399" xr:uid="{41EB5202-6C1F-4EFB-849D-E8C2A74391FC}"/>
    <cellStyle name="Comma 2 4 2 3 4" xfId="6589" xr:uid="{62E2B4F4-EBB4-4E84-A3FF-2E6BA0F46A45}"/>
    <cellStyle name="Comma 2 4 2 4" xfId="1658" xr:uid="{8B0D3765-BA31-49ED-A1AA-0C13B92C0405}"/>
    <cellStyle name="Comma 2 4 2 4 2" xfId="4468" xr:uid="{91ADC171-C9EA-42BC-850D-F50DD54D0BC0}"/>
    <cellStyle name="Comma 2 4 2 4 2 2" xfId="10104" xr:uid="{AB42EB6D-152F-4359-8876-AA92E76EDE97}"/>
    <cellStyle name="Comma 2 4 2 4 3" xfId="7294" xr:uid="{3B666D7A-2B83-4340-9063-4343ECED7737}"/>
    <cellStyle name="Comma 2 4 2 5" xfId="3067" xr:uid="{48A6A736-6859-4812-866A-669924C00AF6}"/>
    <cellStyle name="Comma 2 4 2 5 2" xfId="8703" xr:uid="{350DBAB8-17E8-4323-B6BD-49DB4C3321AE}"/>
    <cellStyle name="Comma 2 4 2 6" xfId="5893" xr:uid="{8635D4F2-B8BE-423D-8FC8-EDA2B76EB1CE}"/>
    <cellStyle name="Comma 2 4 3" xfId="429" xr:uid="{962CF3D1-B669-4EDC-8ABE-420664F3AE33}"/>
    <cellStyle name="Comma 2 4 3 2" xfId="1125" xr:uid="{83241320-A8D1-49F9-8BDB-0A39FFBA2D0E}"/>
    <cellStyle name="Comma 2 4 3 2 2" xfId="2526" xr:uid="{6DB0F1FE-1FC9-4B05-832D-68C005AA3594}"/>
    <cellStyle name="Comma 2 4 3 2 2 2" xfId="5336" xr:uid="{52CDCD5F-3702-4BCD-9228-E4F34C2F540F}"/>
    <cellStyle name="Comma 2 4 3 2 2 2 2" xfId="10972" xr:uid="{BE3EF134-2EE7-4037-AF83-04DBE166585A}"/>
    <cellStyle name="Comma 2 4 3 2 2 3" xfId="8162" xr:uid="{6480CF4F-40AF-40B6-9991-F1E60DC8EC54}"/>
    <cellStyle name="Comma 2 4 3 2 3" xfId="3935" xr:uid="{11012D46-6445-4EF4-812B-4DCAAD1B042B}"/>
    <cellStyle name="Comma 2 4 3 2 3 2" xfId="9571" xr:uid="{5D61006D-4897-406F-BF7F-E3AAA0908320}"/>
    <cellStyle name="Comma 2 4 3 2 4" xfId="6761" xr:uid="{C2924E30-68F5-4F54-8457-9A624E907075}"/>
    <cellStyle name="Comma 2 4 3 3" xfId="1830" xr:uid="{24507EFD-196F-42C3-87E6-A68D507AD6DE}"/>
    <cellStyle name="Comma 2 4 3 3 2" xfId="4640" xr:uid="{F0B54F0B-ABD2-4B43-92CD-A782C19C03CF}"/>
    <cellStyle name="Comma 2 4 3 3 2 2" xfId="10276" xr:uid="{A57AEE97-4A88-491A-8B17-0FC4847B9C8F}"/>
    <cellStyle name="Comma 2 4 3 3 3" xfId="7466" xr:uid="{44F81685-89D2-4FF2-8DC1-49A93DCE3570}"/>
    <cellStyle name="Comma 2 4 3 4" xfId="3239" xr:uid="{BFBE4A06-2EF5-4D09-A092-2CD5F93791D5}"/>
    <cellStyle name="Comma 2 4 3 4 2" xfId="8875" xr:uid="{C0665767-5E3A-448B-9DFB-40D1B7CDEB72}"/>
    <cellStyle name="Comma 2 4 3 5" xfId="6065" xr:uid="{7C2ECE99-578A-4386-BA98-1A9EE47C87C6}"/>
    <cellStyle name="Comma 2 4 4" xfId="781" xr:uid="{386CB056-993C-496A-8274-6689FD632907}"/>
    <cellStyle name="Comma 2 4 4 2" xfId="2182" xr:uid="{01559DD6-44D6-4A8D-A828-C043284882B4}"/>
    <cellStyle name="Comma 2 4 4 2 2" xfId="4992" xr:uid="{B45A71BE-5868-4132-A481-20B4E345DCE2}"/>
    <cellStyle name="Comma 2 4 4 2 2 2" xfId="10628" xr:uid="{D92920DC-9022-4568-BACA-A88BB0A78754}"/>
    <cellStyle name="Comma 2 4 4 2 3" xfId="7818" xr:uid="{CD449DC2-C4D5-4125-80CB-93B30FE625DE}"/>
    <cellStyle name="Comma 2 4 4 3" xfId="3591" xr:uid="{BF49E58D-E66D-46B0-9967-F063E55B0531}"/>
    <cellStyle name="Comma 2 4 4 3 2" xfId="9227" xr:uid="{414747DB-B2A3-4D8B-91B9-D3E166C83DCB}"/>
    <cellStyle name="Comma 2 4 4 4" xfId="6417" xr:uid="{8CF87DD3-59FE-4D96-AECD-EA40E5E18E1C}"/>
    <cellStyle name="Comma 2 4 5" xfId="1486" xr:uid="{FDD72774-8CCF-474B-8E55-B549316E6274}"/>
    <cellStyle name="Comma 2 4 5 2" xfId="4296" xr:uid="{2F9C00F6-7BF4-4541-AFB8-B81CB6DEF141}"/>
    <cellStyle name="Comma 2 4 5 2 2" xfId="9932" xr:uid="{6BC085D4-4FB6-4416-8271-7ED8AB36087E}"/>
    <cellStyle name="Comma 2 4 5 3" xfId="7122" xr:uid="{758F9878-99D8-4067-95A7-0C59BE9E4F5F}"/>
    <cellStyle name="Comma 2 4 6" xfId="2895" xr:uid="{FDD962D9-AF5C-477D-BB56-850DCD02BD31}"/>
    <cellStyle name="Comma 2 4 6 2" xfId="8531" xr:uid="{7EA9ECAD-B871-4A3B-88B5-CCCCA5777891}"/>
    <cellStyle name="Comma 2 4 7" xfId="5721" xr:uid="{7DF847BF-77A7-4939-A1AA-412587483E8B}"/>
    <cellStyle name="Comma 2 5" xfId="177" xr:uid="{704B7863-BCE0-43EB-A8CE-C440DAD973FC}"/>
    <cellStyle name="Comma 2 5 2" xfId="521" xr:uid="{BD0AA3E4-46E2-46B8-993A-F7065C4E63E3}"/>
    <cellStyle name="Comma 2 5 2 2" xfId="1217" xr:uid="{F898AD2D-5DF7-4292-A7A7-11D1FAAA42E2}"/>
    <cellStyle name="Comma 2 5 2 2 2" xfId="2618" xr:uid="{F1E12E8C-2A83-46EC-8305-283ACE0E7E62}"/>
    <cellStyle name="Comma 2 5 2 2 2 2" xfId="5428" xr:uid="{CBD4E07E-1192-435E-8EBE-EBEAC5991634}"/>
    <cellStyle name="Comma 2 5 2 2 2 2 2" xfId="11064" xr:uid="{BDCC5C14-0900-4E46-92A0-2000FFEC3D81}"/>
    <cellStyle name="Comma 2 5 2 2 2 3" xfId="8254" xr:uid="{A8A77ED6-6548-488B-B7DD-8778974494FF}"/>
    <cellStyle name="Comma 2 5 2 2 3" xfId="4027" xr:uid="{F65D339D-203F-44A9-A8CF-AE298917B4C3}"/>
    <cellStyle name="Comma 2 5 2 2 3 2" xfId="9663" xr:uid="{D4A08372-546B-4598-A373-8CC864D26AD0}"/>
    <cellStyle name="Comma 2 5 2 2 4" xfId="6853" xr:uid="{0040541E-9247-4510-860C-95417BA965D5}"/>
    <cellStyle name="Comma 2 5 2 3" xfId="1922" xr:uid="{B4CC46D5-7332-4FB9-AB0C-395999BBCAB8}"/>
    <cellStyle name="Comma 2 5 2 3 2" xfId="4732" xr:uid="{81B62ABC-4824-49B3-87CE-F09F382BF574}"/>
    <cellStyle name="Comma 2 5 2 3 2 2" xfId="10368" xr:uid="{9DC17BFF-48AB-4A19-96F1-EC84DBFB9C40}"/>
    <cellStyle name="Comma 2 5 2 3 3" xfId="7558" xr:uid="{67D353AF-9DF8-43B0-B995-007732554351}"/>
    <cellStyle name="Comma 2 5 2 4" xfId="3331" xr:uid="{0CB4AC58-1A8C-4102-8A71-57F747ACCA82}"/>
    <cellStyle name="Comma 2 5 2 4 2" xfId="8967" xr:uid="{0A0E8D4F-03A7-45C0-9478-23D3B97869E1}"/>
    <cellStyle name="Comma 2 5 2 5" xfId="6157" xr:uid="{C6EF1AE1-4043-43E1-BC99-CDA35A951DD0}"/>
    <cellStyle name="Comma 2 5 3" xfId="873" xr:uid="{270DA38E-E280-400E-86BE-671098C5F112}"/>
    <cellStyle name="Comma 2 5 3 2" xfId="2274" xr:uid="{94A8165D-BBAF-4C52-AF4A-0548F8353329}"/>
    <cellStyle name="Comma 2 5 3 2 2" xfId="5084" xr:uid="{1BCEB222-5792-40E9-8275-CDA9E3565A97}"/>
    <cellStyle name="Comma 2 5 3 2 2 2" xfId="10720" xr:uid="{21935280-D0F1-4BAD-9281-93A714E41EEE}"/>
    <cellStyle name="Comma 2 5 3 2 3" xfId="7910" xr:uid="{AB048E4A-1361-4F38-B67B-1FC9D4720CED}"/>
    <cellStyle name="Comma 2 5 3 3" xfId="3683" xr:uid="{33574AF6-7771-438E-936F-4B24DB096345}"/>
    <cellStyle name="Comma 2 5 3 3 2" xfId="9319" xr:uid="{9A3E3DC1-44CE-4569-9FDF-4AE1BD7CDCC1}"/>
    <cellStyle name="Comma 2 5 3 4" xfId="6509" xr:uid="{58AA9D67-8D20-4E7F-A401-C09EB14F680C}"/>
    <cellStyle name="Comma 2 5 4" xfId="1578" xr:uid="{008C49E8-3D25-415B-A0BE-C75A20037848}"/>
    <cellStyle name="Comma 2 5 4 2" xfId="4388" xr:uid="{3326BA75-A305-469A-9F37-D8BEFF77C404}"/>
    <cellStyle name="Comma 2 5 4 2 2" xfId="10024" xr:uid="{93425829-BBE2-4C76-A10F-78DD2F0C4F95}"/>
    <cellStyle name="Comma 2 5 4 3" xfId="7214" xr:uid="{3C62A4FA-57A0-4A33-904B-AA640786380D}"/>
    <cellStyle name="Comma 2 5 5" xfId="2987" xr:uid="{6B243144-B1F2-462E-BDA0-632A0D4185EE}"/>
    <cellStyle name="Comma 2 5 5 2" xfId="8623" xr:uid="{740BB221-EF9F-475D-BA40-D25338212F60}"/>
    <cellStyle name="Comma 2 5 6" xfId="5813" xr:uid="{C99A1831-F511-4914-BD96-36AC0D6867EE}"/>
    <cellStyle name="Comma 2 6" xfId="349" xr:uid="{FF8DE766-6605-48CE-A0DC-ECAD6BD2D357}"/>
    <cellStyle name="Comma 2 6 2" xfId="1045" xr:uid="{16907B75-0306-4B9C-AABC-2E3E05AE34C9}"/>
    <cellStyle name="Comma 2 6 2 2" xfId="2446" xr:uid="{2D0F9650-40D6-49D2-B2D4-3647201424A4}"/>
    <cellStyle name="Comma 2 6 2 2 2" xfId="5256" xr:uid="{7EF0CCC9-B407-4DAA-A60F-F6303AE15BF4}"/>
    <cellStyle name="Comma 2 6 2 2 2 2" xfId="10892" xr:uid="{078A7B7C-8EE3-4225-B35C-EF6001EE0D1E}"/>
    <cellStyle name="Comma 2 6 2 2 3" xfId="8082" xr:uid="{E38A447D-B530-46E3-9881-0355D1D8C025}"/>
    <cellStyle name="Comma 2 6 2 3" xfId="3855" xr:uid="{381AAA8C-FC23-4C21-8A2F-32FCFEC24FDB}"/>
    <cellStyle name="Comma 2 6 2 3 2" xfId="9491" xr:uid="{56CE57CD-25D0-48F6-907F-6EA7DF31601B}"/>
    <cellStyle name="Comma 2 6 2 4" xfId="6681" xr:uid="{96892154-D1DB-4B43-893C-A04A0ECD3F3A}"/>
    <cellStyle name="Comma 2 6 3" xfId="1750" xr:uid="{B4079335-80B7-48E4-800F-EADAB745C97D}"/>
    <cellStyle name="Comma 2 6 3 2" xfId="4560" xr:uid="{AFDEC139-C692-4B93-ADD2-EDE8FB62C717}"/>
    <cellStyle name="Comma 2 6 3 2 2" xfId="10196" xr:uid="{78A47F9D-3D18-4427-A897-6A84938FAB51}"/>
    <cellStyle name="Comma 2 6 3 3" xfId="7386" xr:uid="{AC538AED-55E9-49C7-84F8-0C00EC35AC31}"/>
    <cellStyle name="Comma 2 6 4" xfId="3159" xr:uid="{58D38FE4-6185-4DB6-A3B9-C9FCFFD67C45}"/>
    <cellStyle name="Comma 2 6 4 2" xfId="8795" xr:uid="{7CA444C0-FF60-4242-9AF9-A3CAB7DCB1D5}"/>
    <cellStyle name="Comma 2 6 5" xfId="5985" xr:uid="{A5743CF5-987B-4E67-8290-FAD28F1E4BDB}"/>
    <cellStyle name="Comma 2 7" xfId="701" xr:uid="{988E7577-4E56-4BBE-A54C-2F064D0D9058}"/>
    <cellStyle name="Comma 2 7 2" xfId="2102" xr:uid="{559D71AF-8F3B-463C-9017-1BD67E919C5B}"/>
    <cellStyle name="Comma 2 7 2 2" xfId="4912" xr:uid="{64DC477F-50CB-42F7-9319-E3C18A228C0E}"/>
    <cellStyle name="Comma 2 7 2 2 2" xfId="10548" xr:uid="{9EA925E7-267D-4B6A-8332-6FFF6916BE04}"/>
    <cellStyle name="Comma 2 7 2 3" xfId="7738" xr:uid="{F89D6F50-BC4F-47E3-9CB8-E485DC3858B6}"/>
    <cellStyle name="Comma 2 7 3" xfId="3511" xr:uid="{3EAFBDE7-A5CF-4D6E-8A46-0E5B698F26B4}"/>
    <cellStyle name="Comma 2 7 3 2" xfId="9147" xr:uid="{6C6A9195-FEEF-4491-8A3B-71130562DEFF}"/>
    <cellStyle name="Comma 2 7 4" xfId="6337" xr:uid="{65DBE465-98E3-476B-9850-A9BC25099DF8}"/>
    <cellStyle name="Comma 2 8" xfId="1406" xr:uid="{84F72CC4-21F3-4422-BAAC-AEAAC2CC6CF0}"/>
    <cellStyle name="Comma 2 8 2" xfId="4216" xr:uid="{D36DFA7A-0053-447F-9FC9-67C50F38948B}"/>
    <cellStyle name="Comma 2 8 2 2" xfId="9852" xr:uid="{742A4F81-9450-4C20-80C8-C3D1D1FE8071}"/>
    <cellStyle name="Comma 2 8 3" xfId="7042" xr:uid="{2BF549D9-B2D6-433F-B3BC-6CF450462272}"/>
    <cellStyle name="Comma 2 9" xfId="2815" xr:uid="{EDEC1402-8044-4E1B-8579-A842F6332120}"/>
    <cellStyle name="Comma 2 9 2" xfId="8451" xr:uid="{AAD28CB2-5F1A-451C-929D-54A428D97026}"/>
    <cellStyle name="Comma 20" xfId="165" xr:uid="{89924435-EEAC-493C-8A93-0CB097F8312A}"/>
    <cellStyle name="Comma 20 2" xfId="337" xr:uid="{5CD72E85-175B-490E-A05A-BE135E09AF84}"/>
    <cellStyle name="Comma 20 2 2" xfId="681" xr:uid="{A9593B1E-311E-418D-8EB3-63B67905D20B}"/>
    <cellStyle name="Comma 20 2 2 2" xfId="1377" xr:uid="{FBC878F9-5DBB-45E7-82B2-EAA43E8E2A6C}"/>
    <cellStyle name="Comma 20 2 2 2 2" xfId="2778" xr:uid="{8EB0A756-CE2B-4BFE-92DC-E0005454BD5C}"/>
    <cellStyle name="Comma 20 2 2 2 2 2" xfId="5588" xr:uid="{E874EB7E-632D-46BD-A9CC-16A025849FB2}"/>
    <cellStyle name="Comma 20 2 2 2 2 2 2" xfId="11224" xr:uid="{2DB9ED11-38B0-4826-9BDF-A5E373E1004A}"/>
    <cellStyle name="Comma 20 2 2 2 2 3" xfId="8414" xr:uid="{8CA0D4E5-8DC7-425A-A845-5EC460034CB3}"/>
    <cellStyle name="Comma 20 2 2 2 3" xfId="4187" xr:uid="{C291D9EA-8B06-4293-8D58-9BC4861FD97A}"/>
    <cellStyle name="Comma 20 2 2 2 3 2" xfId="9823" xr:uid="{BD3BB0FD-1775-45ED-8BBF-E2E8D813B5BA}"/>
    <cellStyle name="Comma 20 2 2 2 4" xfId="7013" xr:uid="{D9E22A90-1BD3-421D-ABDA-50715B51E8EF}"/>
    <cellStyle name="Comma 20 2 2 3" xfId="2082" xr:uid="{B905B244-8372-48D6-B834-5B6A5B18A8BC}"/>
    <cellStyle name="Comma 20 2 2 3 2" xfId="4892" xr:uid="{67C067D0-62A7-4C30-8806-C80378A11CB8}"/>
    <cellStyle name="Comma 20 2 2 3 2 2" xfId="10528" xr:uid="{9973F11D-7FB3-41A1-A5FF-6A74FD5D063E}"/>
    <cellStyle name="Comma 20 2 2 3 3" xfId="7718" xr:uid="{82B74096-B794-4DB6-AB97-12C4EBB4F4C8}"/>
    <cellStyle name="Comma 20 2 2 4" xfId="3491" xr:uid="{6A6DD236-CFCE-4816-890D-7575DC6368C5}"/>
    <cellStyle name="Comma 20 2 2 4 2" xfId="9127" xr:uid="{E438A5B9-549C-40F5-B58F-E5D255F42144}"/>
    <cellStyle name="Comma 20 2 2 5" xfId="6317" xr:uid="{59F5B5E1-E9A3-49A6-95DF-26CA438812FF}"/>
    <cellStyle name="Comma 20 2 3" xfId="1033" xr:uid="{F2394594-AA09-4914-B66E-4A1FC6C48574}"/>
    <cellStyle name="Comma 20 2 3 2" xfId="2434" xr:uid="{35B31F2C-A512-45C3-9979-A4C533F97526}"/>
    <cellStyle name="Comma 20 2 3 2 2" xfId="5244" xr:uid="{8856DE23-C08C-44BA-82FB-36DD5BC20A23}"/>
    <cellStyle name="Comma 20 2 3 2 2 2" xfId="10880" xr:uid="{4E2A7E34-30D3-46BE-AFFF-1E018D57FAC7}"/>
    <cellStyle name="Comma 20 2 3 2 3" xfId="8070" xr:uid="{80EF138A-61A6-4CBE-8C6F-26C2AB85FA96}"/>
    <cellStyle name="Comma 20 2 3 3" xfId="3843" xr:uid="{C8C4B629-0F0D-4C70-BE49-078844B7FCDD}"/>
    <cellStyle name="Comma 20 2 3 3 2" xfId="9479" xr:uid="{3FF55F56-DEB4-40CF-AC45-CAEED39665E6}"/>
    <cellStyle name="Comma 20 2 3 4" xfId="6669" xr:uid="{39C2C1D2-0050-4F2C-98DB-A929AAE6CE46}"/>
    <cellStyle name="Comma 20 2 4" xfId="1738" xr:uid="{118CB7B5-3FAE-4C32-A885-A14CC1285E83}"/>
    <cellStyle name="Comma 20 2 4 2" xfId="4548" xr:uid="{0C9A9C8E-240A-417F-B927-9338F5650466}"/>
    <cellStyle name="Comma 20 2 4 2 2" xfId="10184" xr:uid="{C6FD2D4A-3218-44E3-9CBB-9067BDCE4877}"/>
    <cellStyle name="Comma 20 2 4 3" xfId="7374" xr:uid="{810D4755-C703-46EF-A7D2-515FF67451BC}"/>
    <cellStyle name="Comma 20 2 5" xfId="3147" xr:uid="{48856D32-D60C-4E48-9A08-D156991B6EA5}"/>
    <cellStyle name="Comma 20 2 5 2" xfId="8783" xr:uid="{1207DB9A-CAF4-447E-BEB5-7F9E8572DA14}"/>
    <cellStyle name="Comma 20 2 6" xfId="5973" xr:uid="{4A62248D-2970-4A8D-A940-0A702EC84996}"/>
    <cellStyle name="Comma 20 3" xfId="509" xr:uid="{AD38F91D-E697-44B9-A2FA-2AEFC6AFE974}"/>
    <cellStyle name="Comma 20 3 2" xfId="1205" xr:uid="{63A3E13B-9189-473E-9ADC-A9605C8D16CD}"/>
    <cellStyle name="Comma 20 3 2 2" xfId="2606" xr:uid="{3EA55B59-D4D1-4C6B-BA19-B389319C5411}"/>
    <cellStyle name="Comma 20 3 2 2 2" xfId="5416" xr:uid="{22E1EDCE-EB0B-4109-8CDC-E4A2D119D053}"/>
    <cellStyle name="Comma 20 3 2 2 2 2" xfId="11052" xr:uid="{4F1F743C-AFAF-431D-A6B9-25194328C5B3}"/>
    <cellStyle name="Comma 20 3 2 2 3" xfId="8242" xr:uid="{5EBEBB5C-DCD6-4BB6-81FB-AA254A5ED4C7}"/>
    <cellStyle name="Comma 20 3 2 3" xfId="4015" xr:uid="{73F620F6-3812-493E-912B-F89EF184B91C}"/>
    <cellStyle name="Comma 20 3 2 3 2" xfId="9651" xr:uid="{DCC17633-D0E9-44B7-9D5A-131E082B8944}"/>
    <cellStyle name="Comma 20 3 2 4" xfId="6841" xr:uid="{18060975-22E3-4EC7-B39C-05F56F77E57A}"/>
    <cellStyle name="Comma 20 3 3" xfId="1910" xr:uid="{A95C8820-6F9E-49EA-B776-D95662A3A1A9}"/>
    <cellStyle name="Comma 20 3 3 2" xfId="4720" xr:uid="{7F7B8315-4A08-4A39-B49E-B6FCF6BF36DB}"/>
    <cellStyle name="Comma 20 3 3 2 2" xfId="10356" xr:uid="{EBD1A99E-CDCD-4D88-A017-F31526924794}"/>
    <cellStyle name="Comma 20 3 3 3" xfId="7546" xr:uid="{87E90C88-2BA1-465A-BB0A-70A1DDAC6299}"/>
    <cellStyle name="Comma 20 3 4" xfId="3319" xr:uid="{3C933931-998F-4232-A8E1-CA255EDC362E}"/>
    <cellStyle name="Comma 20 3 4 2" xfId="8955" xr:uid="{9CA0D004-5EFF-4B2C-9D32-96BCA92299BD}"/>
    <cellStyle name="Comma 20 3 5" xfId="6145" xr:uid="{C1BF41B5-2E8A-41CD-B6B4-B16E06D4B961}"/>
    <cellStyle name="Comma 20 4" xfId="861" xr:uid="{6CA66307-93A1-4CC4-8F4A-16A13EE68D71}"/>
    <cellStyle name="Comma 20 4 2" xfId="2262" xr:uid="{6728B875-A59C-4CB6-8AF4-FC1FDB084B5B}"/>
    <cellStyle name="Comma 20 4 2 2" xfId="5072" xr:uid="{67F2B6BC-E152-4DD5-81B9-1E97AF280C2B}"/>
    <cellStyle name="Comma 20 4 2 2 2" xfId="10708" xr:uid="{0FEE1451-22E3-4C65-8415-96CA26428F43}"/>
    <cellStyle name="Comma 20 4 2 3" xfId="7898" xr:uid="{61CE8A66-E2A3-46EE-9513-FB57556AB239}"/>
    <cellStyle name="Comma 20 4 3" xfId="3671" xr:uid="{034CC66D-F05E-4A5B-9DA5-7BE7BE8531B9}"/>
    <cellStyle name="Comma 20 4 3 2" xfId="9307" xr:uid="{6230E739-8458-4FED-A8C2-52FC882486F9}"/>
    <cellStyle name="Comma 20 4 4" xfId="6497" xr:uid="{CE509229-34B2-48ED-830E-540F28DA53E8}"/>
    <cellStyle name="Comma 20 5" xfId="1566" xr:uid="{9FCFECC6-A080-4E3C-9D7F-3BDFB01F6E30}"/>
    <cellStyle name="Comma 20 5 2" xfId="4376" xr:uid="{22CCBA8D-8680-4754-AE5B-3CCA103E7FD2}"/>
    <cellStyle name="Comma 20 5 2 2" xfId="10012" xr:uid="{B0BD4CD7-DE9D-4B3E-B614-EBA1BE9455E8}"/>
    <cellStyle name="Comma 20 5 3" xfId="7202" xr:uid="{93883DE8-D48B-4F76-B189-F08828E54F5E}"/>
    <cellStyle name="Comma 20 6" xfId="2975" xr:uid="{0419F376-8B65-4CA5-ADA0-CDC50DCD54ED}"/>
    <cellStyle name="Comma 20 6 2" xfId="8611" xr:uid="{CDF9A465-E1CF-410D-8757-4A39C5B7FB1E}"/>
    <cellStyle name="Comma 20 7" xfId="5801" xr:uid="{F446BC3C-5588-424E-B1F1-7B7BE1451002}"/>
    <cellStyle name="Comma 21" xfId="167" xr:uid="{D342AD11-7744-450A-BD02-8936E62FD10A}"/>
    <cellStyle name="Comma 21 2" xfId="339" xr:uid="{1AD17DCC-F3F4-46DA-8C5C-B97840E43281}"/>
    <cellStyle name="Comma 21 2 2" xfId="683" xr:uid="{4F861340-A6BC-48BF-A75E-277CC2644CE2}"/>
    <cellStyle name="Comma 21 2 2 2" xfId="1379" xr:uid="{717E547C-1C8F-4440-83A9-CF9E1AB80A09}"/>
    <cellStyle name="Comma 21 2 2 2 2" xfId="2780" xr:uid="{DE2856F8-8478-4283-A4D6-6963E6CF9E59}"/>
    <cellStyle name="Comma 21 2 2 2 2 2" xfId="5590" xr:uid="{C57BA56E-C425-4842-83D2-5677864B23DA}"/>
    <cellStyle name="Comma 21 2 2 2 2 2 2" xfId="11226" xr:uid="{D75B1798-530D-49EA-B712-BDB41CE8F96B}"/>
    <cellStyle name="Comma 21 2 2 2 2 3" xfId="8416" xr:uid="{EE5A3464-8483-42EA-8148-30D3656ED742}"/>
    <cellStyle name="Comma 21 2 2 2 3" xfId="4189" xr:uid="{02232ADE-D4A2-40C0-BB64-1A7716D44A98}"/>
    <cellStyle name="Comma 21 2 2 2 3 2" xfId="9825" xr:uid="{1CB4879F-44B5-4682-A687-BEDD88B6B9FC}"/>
    <cellStyle name="Comma 21 2 2 2 4" xfId="7015" xr:uid="{BC6E1A0C-8098-486F-ACE4-59436E3588AE}"/>
    <cellStyle name="Comma 21 2 2 3" xfId="2084" xr:uid="{8FA5E411-7D8D-4040-9469-25ECFFBF472F}"/>
    <cellStyle name="Comma 21 2 2 3 2" xfId="4894" xr:uid="{E808F850-81E4-41E9-BCEF-07EE5138A7FF}"/>
    <cellStyle name="Comma 21 2 2 3 2 2" xfId="10530" xr:uid="{3BE98138-0D47-4227-874A-E05FDA1F93CC}"/>
    <cellStyle name="Comma 21 2 2 3 3" xfId="7720" xr:uid="{04EE176A-B7CD-45EA-9EAD-18CF2C63B86B}"/>
    <cellStyle name="Comma 21 2 2 4" xfId="3493" xr:uid="{02D96447-3B72-42CC-935A-B94AF5E87109}"/>
    <cellStyle name="Comma 21 2 2 4 2" xfId="9129" xr:uid="{A7E9A216-BB09-45A1-AAB3-E0A07540EE00}"/>
    <cellStyle name="Comma 21 2 2 5" xfId="6319" xr:uid="{EED76856-0CC3-4FDF-821B-39DE49C4405F}"/>
    <cellStyle name="Comma 21 2 3" xfId="1035" xr:uid="{D5B16F12-45E5-4418-8E56-8C9BD5037D53}"/>
    <cellStyle name="Comma 21 2 3 2" xfId="2436" xr:uid="{0C312AA4-6623-469E-90B3-9C860967C351}"/>
    <cellStyle name="Comma 21 2 3 2 2" xfId="5246" xr:uid="{A8C79D52-FE86-4215-A356-6221E41180AC}"/>
    <cellStyle name="Comma 21 2 3 2 2 2" xfId="10882" xr:uid="{8340D289-7342-4D81-87E3-EC99DE6FD374}"/>
    <cellStyle name="Comma 21 2 3 2 3" xfId="8072" xr:uid="{4EB7505A-ABCB-42B4-963E-3FA70733F232}"/>
    <cellStyle name="Comma 21 2 3 3" xfId="3845" xr:uid="{9D615B44-987C-4127-BA33-AEE5B6D5DCA7}"/>
    <cellStyle name="Comma 21 2 3 3 2" xfId="9481" xr:uid="{005FD067-3E15-430F-B9E6-E244FB7D42B4}"/>
    <cellStyle name="Comma 21 2 3 4" xfId="6671" xr:uid="{D856C27C-139B-4C09-AC0E-00B95986370C}"/>
    <cellStyle name="Comma 21 2 4" xfId="1740" xr:uid="{65046ED3-A572-42CD-86B5-046460CAC388}"/>
    <cellStyle name="Comma 21 2 4 2" xfId="4550" xr:uid="{3822DEC1-C19B-4144-AF00-38DC97411C6F}"/>
    <cellStyle name="Comma 21 2 4 2 2" xfId="10186" xr:uid="{C2B66189-89B0-4DEA-8C5D-991F0EE3DDB7}"/>
    <cellStyle name="Comma 21 2 4 3" xfId="7376" xr:uid="{79AC8F6F-4B3E-4A95-BB5F-FBAB80EC0460}"/>
    <cellStyle name="Comma 21 2 5" xfId="3149" xr:uid="{5BE4D211-7DA8-4CA0-AB58-0C6017EC001A}"/>
    <cellStyle name="Comma 21 2 5 2" xfId="8785" xr:uid="{14D720B6-FB4F-4982-AD96-4273CDE653C4}"/>
    <cellStyle name="Comma 21 2 6" xfId="5975" xr:uid="{89735A1A-41C7-4D04-991E-E71771A0B505}"/>
    <cellStyle name="Comma 21 3" xfId="511" xr:uid="{EC8B30E8-D990-4A6B-BC52-FD3261CE569C}"/>
    <cellStyle name="Comma 21 3 2" xfId="1207" xr:uid="{16F51A06-FDA3-4FB9-834F-9FEAF1D0D51C}"/>
    <cellStyle name="Comma 21 3 2 2" xfId="2608" xr:uid="{ACC82AA0-704B-4A4C-BB6F-11EDAFEABDE8}"/>
    <cellStyle name="Comma 21 3 2 2 2" xfId="5418" xr:uid="{E3D68225-9513-499B-8B82-13F8DB292D41}"/>
    <cellStyle name="Comma 21 3 2 2 2 2" xfId="11054" xr:uid="{8E6FFF9A-04BC-4AE5-A861-83AACFE8E72B}"/>
    <cellStyle name="Comma 21 3 2 2 3" xfId="8244" xr:uid="{B554E8CE-4328-4FBC-8748-A0CE54EA60E3}"/>
    <cellStyle name="Comma 21 3 2 3" xfId="4017" xr:uid="{A66DA9B3-458D-4422-B862-C9F8F5CF277A}"/>
    <cellStyle name="Comma 21 3 2 3 2" xfId="9653" xr:uid="{79E0DD78-C2EC-4168-B17D-688AD3297BE6}"/>
    <cellStyle name="Comma 21 3 2 4" xfId="6843" xr:uid="{E4C53C0A-34E1-4073-A433-BBA29C80F7E1}"/>
    <cellStyle name="Comma 21 3 3" xfId="1912" xr:uid="{1952F296-86C8-419A-8567-57A04C12A50D}"/>
    <cellStyle name="Comma 21 3 3 2" xfId="4722" xr:uid="{357992FA-FD56-4ACB-8409-716659E06849}"/>
    <cellStyle name="Comma 21 3 3 2 2" xfId="10358" xr:uid="{87A00212-0174-405E-9031-B6D7ACEB0C7A}"/>
    <cellStyle name="Comma 21 3 3 3" xfId="7548" xr:uid="{0CE9F4E7-16B6-44B1-9FC2-F47F04B6FB5E}"/>
    <cellStyle name="Comma 21 3 4" xfId="3321" xr:uid="{CAED3DF3-80A6-4E5F-8479-A57607163E92}"/>
    <cellStyle name="Comma 21 3 4 2" xfId="8957" xr:uid="{405F35E1-4BB9-4AC8-865B-A1A066C8386E}"/>
    <cellStyle name="Comma 21 3 5" xfId="6147" xr:uid="{88A985BA-1865-453E-AFD8-4EE64A7C0A3E}"/>
    <cellStyle name="Comma 21 4" xfId="863" xr:uid="{D6C0C11F-C405-444F-B2DE-CAC2A3C20906}"/>
    <cellStyle name="Comma 21 4 2" xfId="2264" xr:uid="{19B677EF-FAC0-42BE-8896-16054CB7A540}"/>
    <cellStyle name="Comma 21 4 2 2" xfId="5074" xr:uid="{F644711C-979D-4F8C-B99A-D57BE5DCBFCA}"/>
    <cellStyle name="Comma 21 4 2 2 2" xfId="10710" xr:uid="{8E0E20C0-5745-4519-A815-3F2661150B0A}"/>
    <cellStyle name="Comma 21 4 2 3" xfId="7900" xr:uid="{8528A9B6-E867-47E5-82A3-CD995256E68F}"/>
    <cellStyle name="Comma 21 4 3" xfId="3673" xr:uid="{F0595CF8-ED73-4070-93D0-6209945654A1}"/>
    <cellStyle name="Comma 21 4 3 2" xfId="9309" xr:uid="{27E3E3ED-ABE5-4B41-B237-F9BF21C82511}"/>
    <cellStyle name="Comma 21 4 4" xfId="6499" xr:uid="{A14D69FE-BEFE-4B99-9186-555A80BD13CB}"/>
    <cellStyle name="Comma 21 5" xfId="1568" xr:uid="{1DEBC93B-CB69-4648-B1AC-6E3722C57B81}"/>
    <cellStyle name="Comma 21 5 2" xfId="4378" xr:uid="{81F040A7-718C-4D6C-B8A2-9FF0AB603A2C}"/>
    <cellStyle name="Comma 21 5 2 2" xfId="10014" xr:uid="{61B30A3B-1316-44F7-A6F6-3191F3EF3EC4}"/>
    <cellStyle name="Comma 21 5 3" xfId="7204" xr:uid="{58591C06-848C-42E0-9BF7-F95FAB0F2903}"/>
    <cellStyle name="Comma 21 6" xfId="2977" xr:uid="{AAA33FA7-480E-40BA-9D7E-CFDF27DA2647}"/>
    <cellStyle name="Comma 21 6 2" xfId="8613" xr:uid="{F57CDB63-C404-4F26-8239-944C7E89C81D}"/>
    <cellStyle name="Comma 21 7" xfId="5803" xr:uid="{A3E9F0A1-DAA7-4329-9144-169F42F1D4CF}"/>
    <cellStyle name="Comma 22" xfId="169" xr:uid="{3299B97A-6FEB-4477-88AC-64A95E389783}"/>
    <cellStyle name="Comma 22 2" xfId="341" xr:uid="{EE7C3D75-4968-4036-B672-3AF18E1E2604}"/>
    <cellStyle name="Comma 22 2 2" xfId="685" xr:uid="{AD9DB8AE-0F23-4A5C-B266-B283D1121D7A}"/>
    <cellStyle name="Comma 22 2 2 2" xfId="1381" xr:uid="{8D6270C9-9221-48EB-ABCB-ADA38B79749B}"/>
    <cellStyle name="Comma 22 2 2 2 2" xfId="2782" xr:uid="{FF72DAA9-A3F9-45A5-9B75-4144246A7938}"/>
    <cellStyle name="Comma 22 2 2 2 2 2" xfId="5592" xr:uid="{F4201266-A5E7-4C32-9B24-B20AE18D1D24}"/>
    <cellStyle name="Comma 22 2 2 2 2 2 2" xfId="11228" xr:uid="{2A43F2D8-8DB9-4EEB-9681-D64FF57158C1}"/>
    <cellStyle name="Comma 22 2 2 2 2 3" xfId="8418" xr:uid="{DD9F0878-AC9B-44BB-B209-B2E946B18B4D}"/>
    <cellStyle name="Comma 22 2 2 2 3" xfId="4191" xr:uid="{A1E57167-7474-448A-9D70-DA9E1F46FADD}"/>
    <cellStyle name="Comma 22 2 2 2 3 2" xfId="9827" xr:uid="{5E08161E-278D-4271-858E-A1C28D3AE2DB}"/>
    <cellStyle name="Comma 22 2 2 2 4" xfId="7017" xr:uid="{5FCBD9C4-CEA4-4EBD-9C02-747E36B656ED}"/>
    <cellStyle name="Comma 22 2 2 3" xfId="2086" xr:uid="{5A7793AC-89D7-4696-A304-F7CFBF164F0B}"/>
    <cellStyle name="Comma 22 2 2 3 2" xfId="4896" xr:uid="{7907A293-5338-41DD-9231-FFE9EC9B7944}"/>
    <cellStyle name="Comma 22 2 2 3 2 2" xfId="10532" xr:uid="{887E2C5F-F48F-4E3D-B1C5-F801493B9661}"/>
    <cellStyle name="Comma 22 2 2 3 3" xfId="7722" xr:uid="{09DE7640-197F-4D86-B45D-2796FDFC7878}"/>
    <cellStyle name="Comma 22 2 2 4" xfId="3495" xr:uid="{BB9FDDF0-352B-4BA3-AFEE-A950A5CA9978}"/>
    <cellStyle name="Comma 22 2 2 4 2" xfId="9131" xr:uid="{DA4B0C3B-4590-46B8-AEA1-D2885882CE95}"/>
    <cellStyle name="Comma 22 2 2 5" xfId="6321" xr:uid="{3634C44A-643D-4259-8EEA-F4EEFECB6A7C}"/>
    <cellStyle name="Comma 22 2 3" xfId="1037" xr:uid="{90556001-C9B3-4B57-AB65-48BCD2CD63B1}"/>
    <cellStyle name="Comma 22 2 3 2" xfId="2438" xr:uid="{BED2E9CB-FCC3-44BB-9D49-05318C2C9DA2}"/>
    <cellStyle name="Comma 22 2 3 2 2" xfId="5248" xr:uid="{4BAA29C2-34A3-4D82-83E2-89874E927047}"/>
    <cellStyle name="Comma 22 2 3 2 2 2" xfId="10884" xr:uid="{7AFFB04D-E8A4-45C6-8045-1B2EDE5C486E}"/>
    <cellStyle name="Comma 22 2 3 2 3" xfId="8074" xr:uid="{EC0C8BC5-8801-4781-8C07-F185842E2982}"/>
    <cellStyle name="Comma 22 2 3 3" xfId="3847" xr:uid="{E8D23D49-C1D2-439B-9BDC-DCA62BE1850E}"/>
    <cellStyle name="Comma 22 2 3 3 2" xfId="9483" xr:uid="{1FB36EAB-36AC-4FFF-9703-B14CCFFAED91}"/>
    <cellStyle name="Comma 22 2 3 4" xfId="6673" xr:uid="{01196EB1-635A-4087-9B89-0E6692242D42}"/>
    <cellStyle name="Comma 22 2 4" xfId="1742" xr:uid="{27CEDF5A-DA67-458A-B4FC-4D3B0D58190A}"/>
    <cellStyle name="Comma 22 2 4 2" xfId="4552" xr:uid="{176DC606-809F-4D1A-B059-8DFD028E6019}"/>
    <cellStyle name="Comma 22 2 4 2 2" xfId="10188" xr:uid="{01F4E097-D205-4244-A428-DE3F1C959AB0}"/>
    <cellStyle name="Comma 22 2 4 3" xfId="7378" xr:uid="{96B4525F-FF22-49D0-8DDA-C569204F64F6}"/>
    <cellStyle name="Comma 22 2 5" xfId="3151" xr:uid="{5C0DA1FB-FDEE-4299-9A73-F592BEABB879}"/>
    <cellStyle name="Comma 22 2 5 2" xfId="8787" xr:uid="{9FB68145-62A8-4919-A705-995D16A711A4}"/>
    <cellStyle name="Comma 22 2 6" xfId="5977" xr:uid="{35B21637-571A-4512-9D58-8DF2CFE89EBD}"/>
    <cellStyle name="Comma 22 3" xfId="513" xr:uid="{FC478BD5-C302-4F64-B29B-602BB46B26D8}"/>
    <cellStyle name="Comma 22 3 2" xfId="1209" xr:uid="{D37E4487-52AC-46EC-9D10-BF69F3DDE79E}"/>
    <cellStyle name="Comma 22 3 2 2" xfId="2610" xr:uid="{63538B80-0D97-48BF-8CC8-3193ED72908D}"/>
    <cellStyle name="Comma 22 3 2 2 2" xfId="5420" xr:uid="{A1A2C3C1-8B01-4703-9F13-8849EEDD21B5}"/>
    <cellStyle name="Comma 22 3 2 2 2 2" xfId="11056" xr:uid="{6491CED2-DFE3-487B-8ED1-AC0553AC4F59}"/>
    <cellStyle name="Comma 22 3 2 2 3" xfId="8246" xr:uid="{CACB6162-6CF5-4C01-9F6C-3E89EB226B14}"/>
    <cellStyle name="Comma 22 3 2 3" xfId="4019" xr:uid="{4C1159FC-C637-4114-9494-38E399CAEF8B}"/>
    <cellStyle name="Comma 22 3 2 3 2" xfId="9655" xr:uid="{EE8EA556-5EB4-4A52-B859-A7E50334C505}"/>
    <cellStyle name="Comma 22 3 2 4" xfId="6845" xr:uid="{30676B3E-1B27-48DF-A3FD-7648664FDBF5}"/>
    <cellStyle name="Comma 22 3 3" xfId="1914" xr:uid="{451AC004-E7DB-4408-AE3D-8BF12BB31B3D}"/>
    <cellStyle name="Comma 22 3 3 2" xfId="4724" xr:uid="{7ADA2331-CC25-464B-B5FD-328C93B2CF58}"/>
    <cellStyle name="Comma 22 3 3 2 2" xfId="10360" xr:uid="{8F8D4EB3-8E7D-47A7-953E-731D3CBD8005}"/>
    <cellStyle name="Comma 22 3 3 3" xfId="7550" xr:uid="{093727D0-FCAE-418E-83BD-A89BC890EA22}"/>
    <cellStyle name="Comma 22 3 4" xfId="3323" xr:uid="{5F30245A-6F60-43EB-8CA4-5D0C2B5D37B6}"/>
    <cellStyle name="Comma 22 3 4 2" xfId="8959" xr:uid="{86BB5793-E4FB-4474-B2AA-C94ECCCC322B}"/>
    <cellStyle name="Comma 22 3 5" xfId="6149" xr:uid="{657AE8F4-B174-437B-9E59-4EC938EF8390}"/>
    <cellStyle name="Comma 22 4" xfId="865" xr:uid="{A61D5D51-C8AE-46A8-925A-AAEB8A67E9B6}"/>
    <cellStyle name="Comma 22 4 2" xfId="2266" xr:uid="{94786EF2-21BD-4C89-88F8-824AA38554AC}"/>
    <cellStyle name="Comma 22 4 2 2" xfId="5076" xr:uid="{715FDAD8-46E4-4367-9323-3E2193A42D16}"/>
    <cellStyle name="Comma 22 4 2 2 2" xfId="10712" xr:uid="{E284EFBF-CE6F-4158-B686-F87A60FEDE9B}"/>
    <cellStyle name="Comma 22 4 2 3" xfId="7902" xr:uid="{E3DC8B73-FE61-4054-B125-BF1952D3BA9A}"/>
    <cellStyle name="Comma 22 4 3" xfId="3675" xr:uid="{DD9C7C32-FB20-4E1A-8B41-653AEDD42F1C}"/>
    <cellStyle name="Comma 22 4 3 2" xfId="9311" xr:uid="{E86BE21F-C873-48F9-83F7-DB169B687D33}"/>
    <cellStyle name="Comma 22 4 4" xfId="6501" xr:uid="{505FB875-3DA3-468A-B25C-B810F9718AAF}"/>
    <cellStyle name="Comma 22 5" xfId="1570" xr:uid="{6079B15B-6FF4-45C5-9090-3844377DB6A2}"/>
    <cellStyle name="Comma 22 5 2" xfId="4380" xr:uid="{33F0AE8A-07D8-4C70-8745-204C8D1403FA}"/>
    <cellStyle name="Comma 22 5 2 2" xfId="10016" xr:uid="{A85D7BD2-8B90-4BB5-97C7-36CD94F5D87C}"/>
    <cellStyle name="Comma 22 5 3" xfId="7206" xr:uid="{C1790699-75B4-4A61-B429-8D1C78BFEA19}"/>
    <cellStyle name="Comma 22 6" xfId="2979" xr:uid="{3F1072D9-FF4E-4A96-A335-5C32BC5F1EF6}"/>
    <cellStyle name="Comma 22 6 2" xfId="8615" xr:uid="{D07A70A6-8A2E-4F20-A637-DCB520567A08}"/>
    <cellStyle name="Comma 22 7" xfId="5805" xr:uid="{24EA60C4-35A6-4E3E-AC96-4EF03A383892}"/>
    <cellStyle name="Comma 23" xfId="171" xr:uid="{20A53E57-AFF2-4B61-8F4F-2095BBFDDACA}"/>
    <cellStyle name="Comma 23 2" xfId="343" xr:uid="{AB56F28D-624C-41D4-B37A-BF52F3583744}"/>
    <cellStyle name="Comma 23 2 2" xfId="687" xr:uid="{F2701F4F-F90B-44AF-8696-5565C8F1CE51}"/>
    <cellStyle name="Comma 23 2 2 2" xfId="1383" xr:uid="{182C709A-9EA9-4119-AF04-A2A3F686CDBC}"/>
    <cellStyle name="Comma 23 2 2 2 2" xfId="2784" xr:uid="{AECB44F4-1CEF-49E9-9128-30762D66FC5F}"/>
    <cellStyle name="Comma 23 2 2 2 2 2" xfId="5594" xr:uid="{FE554397-7356-49E1-BD6F-632272C9B060}"/>
    <cellStyle name="Comma 23 2 2 2 2 2 2" xfId="11230" xr:uid="{E0EB2F20-3B1B-4FD0-8D02-57620969B0B0}"/>
    <cellStyle name="Comma 23 2 2 2 2 3" xfId="8420" xr:uid="{1228976B-1367-417C-ACAF-241621FAFEFE}"/>
    <cellStyle name="Comma 23 2 2 2 3" xfId="4193" xr:uid="{B8F507B7-938D-450D-8107-72349D24BE19}"/>
    <cellStyle name="Comma 23 2 2 2 3 2" xfId="9829" xr:uid="{594C86B6-9FF2-4685-A348-458D0385D1E5}"/>
    <cellStyle name="Comma 23 2 2 2 4" xfId="7019" xr:uid="{0C69DD18-24D6-4750-A14E-5116883A3D1D}"/>
    <cellStyle name="Comma 23 2 2 3" xfId="2088" xr:uid="{CF00D969-E1F9-453E-8647-B65B88DDD1E3}"/>
    <cellStyle name="Comma 23 2 2 3 2" xfId="4898" xr:uid="{C8B36DDD-15B5-4E36-8991-D7D78767C9D0}"/>
    <cellStyle name="Comma 23 2 2 3 2 2" xfId="10534" xr:uid="{B960A0FE-014B-4E2E-86FF-3E873A81D3A5}"/>
    <cellStyle name="Comma 23 2 2 3 3" xfId="7724" xr:uid="{FD3A6533-5E0E-4F4C-92DC-302CA2B1FE1E}"/>
    <cellStyle name="Comma 23 2 2 4" xfId="3497" xr:uid="{9717BD5B-D7B1-47A5-8F30-1EC1BFBB1CE2}"/>
    <cellStyle name="Comma 23 2 2 4 2" xfId="9133" xr:uid="{EE460773-4D5C-4031-82B7-3DF4E6F41269}"/>
    <cellStyle name="Comma 23 2 2 5" xfId="6323" xr:uid="{C174AF6F-97F2-4963-BD22-5BAFC487F34F}"/>
    <cellStyle name="Comma 23 2 3" xfId="1039" xr:uid="{F2370684-F573-4294-9D0F-CB6118EDA002}"/>
    <cellStyle name="Comma 23 2 3 2" xfId="2440" xr:uid="{310D6572-604A-40BD-8FEE-079D4257F754}"/>
    <cellStyle name="Comma 23 2 3 2 2" xfId="5250" xr:uid="{13DCF6CC-4C5C-49BE-A462-154A085B288D}"/>
    <cellStyle name="Comma 23 2 3 2 2 2" xfId="10886" xr:uid="{F9F12FD1-E045-466D-B915-87562223B153}"/>
    <cellStyle name="Comma 23 2 3 2 3" xfId="8076" xr:uid="{383F2360-90C7-403D-9C9C-7C6C4D69FFCA}"/>
    <cellStyle name="Comma 23 2 3 3" xfId="3849" xr:uid="{9B25422A-EB73-4298-B14F-A6966995B62C}"/>
    <cellStyle name="Comma 23 2 3 3 2" xfId="9485" xr:uid="{806B6751-363D-4A8F-98C7-96C757750F44}"/>
    <cellStyle name="Comma 23 2 3 4" xfId="6675" xr:uid="{76651632-F3C6-428E-B358-E9F8A68566CA}"/>
    <cellStyle name="Comma 23 2 4" xfId="1744" xr:uid="{1445D7BB-C0A2-4527-8A95-40BA3BBD571A}"/>
    <cellStyle name="Comma 23 2 4 2" xfId="4554" xr:uid="{79A6A1C8-02C6-4D37-B005-BA9A37F99CD6}"/>
    <cellStyle name="Comma 23 2 4 2 2" xfId="10190" xr:uid="{CB715A36-F5DF-4403-8281-A42C321121A8}"/>
    <cellStyle name="Comma 23 2 4 3" xfId="7380" xr:uid="{2A9281F9-B12F-48BC-AFD7-36D5EB0FB068}"/>
    <cellStyle name="Comma 23 2 5" xfId="3153" xr:uid="{54695876-15AA-4E0D-99F3-7B1DB8CFD461}"/>
    <cellStyle name="Comma 23 2 5 2" xfId="8789" xr:uid="{66AC4125-4E49-4392-8B8A-80E7C7E5C5CA}"/>
    <cellStyle name="Comma 23 2 6" xfId="5979" xr:uid="{27400DCF-DEB3-4E20-8400-6B2B2A11DF0D}"/>
    <cellStyle name="Comma 23 3" xfId="515" xr:uid="{A262FBCC-0D1C-4EEA-B458-4456FC74E592}"/>
    <cellStyle name="Comma 23 3 2" xfId="1211" xr:uid="{BDB198A5-0B19-45C5-A559-EA6BA2F762EA}"/>
    <cellStyle name="Comma 23 3 2 2" xfId="2612" xr:uid="{C2C1EFEB-310C-4CA2-9FA5-7411A99F5DDB}"/>
    <cellStyle name="Comma 23 3 2 2 2" xfId="5422" xr:uid="{84E13075-26D1-4079-9158-8F4F65DE6FA7}"/>
    <cellStyle name="Comma 23 3 2 2 2 2" xfId="11058" xr:uid="{140485F7-33EF-40C6-8C21-4C3CD820F0F6}"/>
    <cellStyle name="Comma 23 3 2 2 3" xfId="8248" xr:uid="{B28E5C81-6CBD-443B-851B-D9B7BA786AB2}"/>
    <cellStyle name="Comma 23 3 2 3" xfId="4021" xr:uid="{3FCFC054-D61E-4636-8141-88400CE6F3E4}"/>
    <cellStyle name="Comma 23 3 2 3 2" xfId="9657" xr:uid="{C994307F-85EA-438A-980D-303BBB78060D}"/>
    <cellStyle name="Comma 23 3 2 4" xfId="6847" xr:uid="{6213C0F6-9201-450F-9256-3DBBEC906167}"/>
    <cellStyle name="Comma 23 3 3" xfId="1916" xr:uid="{ABA3723B-204A-4879-BC24-F2826503F627}"/>
    <cellStyle name="Comma 23 3 3 2" xfId="4726" xr:uid="{F5DA8CF7-95F7-4191-9601-80C56F5E7493}"/>
    <cellStyle name="Comma 23 3 3 2 2" xfId="10362" xr:uid="{46969166-CD5D-4542-B7CF-861317F17BF3}"/>
    <cellStyle name="Comma 23 3 3 3" xfId="7552" xr:uid="{4C745842-668B-4BD3-8A52-A7D497990C5D}"/>
    <cellStyle name="Comma 23 3 4" xfId="3325" xr:uid="{72935244-C59F-4624-BA56-E3543765B9F0}"/>
    <cellStyle name="Comma 23 3 4 2" xfId="8961" xr:uid="{EE270921-A7A4-4286-A793-A4B0F16B805A}"/>
    <cellStyle name="Comma 23 3 5" xfId="6151" xr:uid="{17F11270-04A9-452D-87C0-F9362179C258}"/>
    <cellStyle name="Comma 23 4" xfId="867" xr:uid="{718E3C28-ED14-448C-B18F-6978D61F4CAF}"/>
    <cellStyle name="Comma 23 4 2" xfId="2268" xr:uid="{C3588D5D-2174-4A68-ABD6-AA9EF341E004}"/>
    <cellStyle name="Comma 23 4 2 2" xfId="5078" xr:uid="{96E1189C-868B-4EFB-8D8E-BD47E4E1EB78}"/>
    <cellStyle name="Comma 23 4 2 2 2" xfId="10714" xr:uid="{A1FA0EC9-1C36-4C1B-BE42-E08C675823B4}"/>
    <cellStyle name="Comma 23 4 2 3" xfId="7904" xr:uid="{9F5426BF-85D4-4755-A913-2EB2627BE6F6}"/>
    <cellStyle name="Comma 23 4 3" xfId="3677" xr:uid="{F15CFA86-8DE0-4113-BC4C-C72D665F1BBB}"/>
    <cellStyle name="Comma 23 4 3 2" xfId="9313" xr:uid="{E765924B-1575-4653-BC80-C0ED85FE9402}"/>
    <cellStyle name="Comma 23 4 4" xfId="6503" xr:uid="{E6664A7F-F251-4F29-9194-370B5EEE3108}"/>
    <cellStyle name="Comma 23 5" xfId="1572" xr:uid="{4900678F-4502-4420-B294-FB6FADDC59A6}"/>
    <cellStyle name="Comma 23 5 2" xfId="4382" xr:uid="{0F2E6AFD-B47E-4CED-A557-CCDAAFDBA255}"/>
    <cellStyle name="Comma 23 5 2 2" xfId="10018" xr:uid="{5B4EC529-658A-4454-82E5-B3425FE4BCC8}"/>
    <cellStyle name="Comma 23 5 3" xfId="7208" xr:uid="{92674E71-EC2A-4C46-AC09-B9E9867CDBCD}"/>
    <cellStyle name="Comma 23 6" xfId="2981" xr:uid="{6AC5A5D1-2AD0-4092-82BC-E8A74694C636}"/>
    <cellStyle name="Comma 23 6 2" xfId="8617" xr:uid="{53534BBF-B945-45FC-8680-06DCACE4EFBF}"/>
    <cellStyle name="Comma 23 7" xfId="5807" xr:uid="{2EE82479-163E-47A0-9AB7-B0867D2E9592}"/>
    <cellStyle name="Comma 24" xfId="173" xr:uid="{F60CD294-DD0E-4428-BD06-E4E38775A1AF}"/>
    <cellStyle name="Comma 24 2" xfId="517" xr:uid="{D3FAC97A-5FC2-4634-9AD4-3E63A6D4EF93}"/>
    <cellStyle name="Comma 24 2 2" xfId="1213" xr:uid="{C5B1A8EA-5404-40BA-A89A-CA007D6F5885}"/>
    <cellStyle name="Comma 24 2 2 2" xfId="2614" xr:uid="{D9DF022F-4FAB-4995-9685-16EA29C98F7C}"/>
    <cellStyle name="Comma 24 2 2 2 2" xfId="5424" xr:uid="{4CC718EB-13DF-4BCF-9118-ADC90F6466DD}"/>
    <cellStyle name="Comma 24 2 2 2 2 2" xfId="11060" xr:uid="{48A0E48D-B571-4F97-A51E-0B69BE93A661}"/>
    <cellStyle name="Comma 24 2 2 2 3" xfId="8250" xr:uid="{AABFFB5D-1A64-4BAC-9D7E-77EED6E17178}"/>
    <cellStyle name="Comma 24 2 2 3" xfId="4023" xr:uid="{7C32FE0D-A47D-4865-A920-8506C78847BF}"/>
    <cellStyle name="Comma 24 2 2 3 2" xfId="9659" xr:uid="{394819C4-D044-4AF9-96CE-E31522BF6249}"/>
    <cellStyle name="Comma 24 2 2 4" xfId="6849" xr:uid="{AD284E50-9578-4E12-BDBD-AEBAADC126E2}"/>
    <cellStyle name="Comma 24 2 3" xfId="1918" xr:uid="{B23269C8-13DA-4B97-A035-D271A7A81A1A}"/>
    <cellStyle name="Comma 24 2 3 2" xfId="4728" xr:uid="{358ABE3A-7428-4351-82E0-465F53E4DE0E}"/>
    <cellStyle name="Comma 24 2 3 2 2" xfId="10364" xr:uid="{444D4B9F-5EB2-4C1B-8F43-590EC8213FC0}"/>
    <cellStyle name="Comma 24 2 3 3" xfId="7554" xr:uid="{0BE400D0-7887-4B8A-9303-3896D4088A93}"/>
    <cellStyle name="Comma 24 2 4" xfId="3327" xr:uid="{B89F7B0B-0229-40C4-A023-C7FEECE60E01}"/>
    <cellStyle name="Comma 24 2 4 2" xfId="8963" xr:uid="{A347E7DE-618F-4761-B9FD-52B86B6AB1F9}"/>
    <cellStyle name="Comma 24 2 5" xfId="6153" xr:uid="{82833195-F027-4465-A574-1C0B9834AE95}"/>
    <cellStyle name="Comma 24 3" xfId="869" xr:uid="{6DB21698-12E9-42E3-B64A-D2C3276EECF7}"/>
    <cellStyle name="Comma 24 3 2" xfId="2270" xr:uid="{363AE487-D24C-448B-8BA5-D9088E2399CB}"/>
    <cellStyle name="Comma 24 3 2 2" xfId="5080" xr:uid="{961208ED-0B01-41C7-BA58-AD879B6E09BA}"/>
    <cellStyle name="Comma 24 3 2 2 2" xfId="10716" xr:uid="{F782CD16-031A-4E70-9A4B-BD5FF5DABCF0}"/>
    <cellStyle name="Comma 24 3 2 3" xfId="7906" xr:uid="{8B97D22F-38F2-40FB-8C97-15EEEAB20397}"/>
    <cellStyle name="Comma 24 3 3" xfId="3679" xr:uid="{D3EDB62E-152E-4256-8912-7C74B28C1F8D}"/>
    <cellStyle name="Comma 24 3 3 2" xfId="9315" xr:uid="{78130A24-9966-4240-87B8-227EB5393BED}"/>
    <cellStyle name="Comma 24 3 4" xfId="6505" xr:uid="{2D7BEB4E-5474-485A-B1DD-1888801C14FA}"/>
    <cellStyle name="Comma 24 4" xfId="1574" xr:uid="{AAE4A813-B4D9-48AA-9C1E-081FF1F1485B}"/>
    <cellStyle name="Comma 24 4 2" xfId="4384" xr:uid="{256F9F1C-E225-4381-A7A5-7DF298B490AC}"/>
    <cellStyle name="Comma 24 4 2 2" xfId="10020" xr:uid="{2A1DF087-D142-4414-8F35-5CC1A1894DBE}"/>
    <cellStyle name="Comma 24 4 3" xfId="7210" xr:uid="{43587923-2784-44D3-8BCF-E2FF60CFBC63}"/>
    <cellStyle name="Comma 24 5" xfId="2983" xr:uid="{CFD30BD5-5D44-4D2A-9716-B135BC065920}"/>
    <cellStyle name="Comma 24 5 2" xfId="8619" xr:uid="{FE7AD41B-A2D3-4CC4-8B67-59EEDDD97068}"/>
    <cellStyle name="Comma 24 6" xfId="5809" xr:uid="{5A9559E4-B0B7-4C8D-834E-910DC4F84CD5}"/>
    <cellStyle name="Comma 25" xfId="345" xr:uid="{EDCACAEA-F9B0-4877-81D1-6FC89A5ABD79}"/>
    <cellStyle name="Comma 25 2" xfId="1041" xr:uid="{D59C8353-BA25-4E1B-BF0D-6ED30409D750}"/>
    <cellStyle name="Comma 25 2 2" xfId="2442" xr:uid="{CF3C1DFA-EADA-46CF-8953-36B365F6FC92}"/>
    <cellStyle name="Comma 25 2 2 2" xfId="5252" xr:uid="{6109002C-4B18-4812-BED2-D91248BC1893}"/>
    <cellStyle name="Comma 25 2 2 2 2" xfId="10888" xr:uid="{54E95390-B9B9-46D6-8DB1-97A5F62D7A02}"/>
    <cellStyle name="Comma 25 2 2 3" xfId="8078" xr:uid="{9D3D9F88-9723-4420-AA0A-E41F58BEECB6}"/>
    <cellStyle name="Comma 25 2 3" xfId="3851" xr:uid="{E3C0E3AC-B89A-4A1C-927E-AE02CFAED279}"/>
    <cellStyle name="Comma 25 2 3 2" xfId="9487" xr:uid="{C3B54C62-C057-43AB-88E2-56C963DDF73B}"/>
    <cellStyle name="Comma 25 2 4" xfId="6677" xr:uid="{4BFCB629-B972-41C0-AAE9-462A6346C7FA}"/>
    <cellStyle name="Comma 25 3" xfId="1746" xr:uid="{9708BC47-4873-4945-8F72-9AE4BC562701}"/>
    <cellStyle name="Comma 25 3 2" xfId="4556" xr:uid="{58CE174F-570D-4BE0-BE62-36DFDBE7CD0A}"/>
    <cellStyle name="Comma 25 3 2 2" xfId="10192" xr:uid="{ECE79023-7D56-4438-A100-5B03F4E67317}"/>
    <cellStyle name="Comma 25 3 3" xfId="7382" xr:uid="{CDB7AAB5-7F35-45B9-A184-0ECB9C46FB44}"/>
    <cellStyle name="Comma 25 4" xfId="3155" xr:uid="{BE9C2C98-51EA-400A-965B-A3AF2BAABB2F}"/>
    <cellStyle name="Comma 25 4 2" xfId="8791" xr:uid="{D65D566F-5C09-42A4-9369-EAE676CD3C01}"/>
    <cellStyle name="Comma 25 5" xfId="5981" xr:uid="{6E96B7A5-BBF5-4B6A-9307-AFF0750B8D6E}"/>
    <cellStyle name="Comma 26" xfId="689" xr:uid="{F1EEC130-8027-49E9-87E7-295D33126F91}"/>
    <cellStyle name="Comma 26 2" xfId="1385" xr:uid="{8A3ED2B8-5D4C-4244-814A-472B7E867886}"/>
    <cellStyle name="Comma 26 2 2" xfId="2786" xr:uid="{9DA2D847-402D-4B5A-B9CB-16F20DA30984}"/>
    <cellStyle name="Comma 26 2 2 2" xfId="5596" xr:uid="{EECCC910-7521-425A-B499-A0A3D7658654}"/>
    <cellStyle name="Comma 26 2 2 2 2" xfId="11232" xr:uid="{80FCC337-0ABB-4D6C-B8BB-D54615492219}"/>
    <cellStyle name="Comma 26 2 2 3" xfId="8422" xr:uid="{EDF291F7-3A71-40EB-A1EC-F30DD2496124}"/>
    <cellStyle name="Comma 26 2 3" xfId="4195" xr:uid="{FD37BE81-7D44-4C5D-A457-784EC770A56C}"/>
    <cellStyle name="Comma 26 2 3 2" xfId="9831" xr:uid="{6FE6B1DE-8943-4B18-A013-A7EBB2D154B5}"/>
    <cellStyle name="Comma 26 2 4" xfId="7021" xr:uid="{8EC2536A-AE81-413C-BF60-219A72611C09}"/>
    <cellStyle name="Comma 26 3" xfId="2090" xr:uid="{D159F257-13E7-49C8-B649-E4F141D7A3DF}"/>
    <cellStyle name="Comma 26 3 2" xfId="4900" xr:uid="{5E1FBD69-0E57-40EC-86F1-CE48C38EF375}"/>
    <cellStyle name="Comma 26 3 2 2" xfId="10536" xr:uid="{7306DA69-FF0D-4BAA-B214-65F5FD143EDE}"/>
    <cellStyle name="Comma 26 3 3" xfId="7726" xr:uid="{BCC4028A-14F1-4322-967D-2CBAC8848873}"/>
    <cellStyle name="Comma 26 4" xfId="3499" xr:uid="{94AF602E-5532-4FFC-9E53-CF588E20972D}"/>
    <cellStyle name="Comma 26 4 2" xfId="9135" xr:uid="{8C0FCE46-3C02-494E-8BFB-B981FA9E7885}"/>
    <cellStyle name="Comma 26 5" xfId="6325" xr:uid="{196796AD-C0BF-491B-9357-7538B5A27E34}"/>
    <cellStyle name="Comma 27" xfId="691" xr:uid="{9DF7ACEE-7B25-45A1-AA7F-B2041B50066D}"/>
    <cellStyle name="Comma 27 2" xfId="1387" xr:uid="{48648111-7992-499D-8DCF-F53630481AEF}"/>
    <cellStyle name="Comma 27 2 2" xfId="2788" xr:uid="{DA31ABB5-3C47-497D-A949-A90199D3AB59}"/>
    <cellStyle name="Comma 27 2 2 2" xfId="5598" xr:uid="{BE12C43A-1214-4DA5-824B-5691F826C80B}"/>
    <cellStyle name="Comma 27 2 2 2 2" xfId="11234" xr:uid="{19000724-A0A2-4740-B055-7BE12A748173}"/>
    <cellStyle name="Comma 27 2 2 3" xfId="8424" xr:uid="{AA62494A-F896-425A-9128-4E2307DD7EAE}"/>
    <cellStyle name="Comma 27 2 3" xfId="4197" xr:uid="{EE13AB68-6A60-46E6-A222-F08D6332C462}"/>
    <cellStyle name="Comma 27 2 3 2" xfId="9833" xr:uid="{B5FF3E8C-24CE-4BBD-B862-1B36E107D3DD}"/>
    <cellStyle name="Comma 27 2 4" xfId="7023" xr:uid="{E5C63201-CD32-4B72-BF43-5193BFCCF891}"/>
    <cellStyle name="Comma 27 3" xfId="2092" xr:uid="{AB23E608-D008-4E6F-AF9B-6E8DE9294F87}"/>
    <cellStyle name="Comma 27 3 2" xfId="4902" xr:uid="{48BF0DB4-26BC-4D5A-8E17-5AE2F00804F1}"/>
    <cellStyle name="Comma 27 3 2 2" xfId="10538" xr:uid="{2CD21F09-EC40-4C0C-AC24-CBC473070558}"/>
    <cellStyle name="Comma 27 3 3" xfId="7728" xr:uid="{43DE727F-3A1F-4549-B976-3FF638F8F546}"/>
    <cellStyle name="Comma 27 4" xfId="3501" xr:uid="{8A4667A7-9C0C-450D-BB7A-F343865984A0}"/>
    <cellStyle name="Comma 27 4 2" xfId="9137" xr:uid="{1852260E-E96F-493F-882B-0D949EF3F90D}"/>
    <cellStyle name="Comma 27 5" xfId="6327" xr:uid="{DCF98248-963F-42F9-82F1-2D32B954C884}"/>
    <cellStyle name="Comma 28" xfId="693" xr:uid="{0E3D55B2-252B-41A5-A788-52B3B3C9B8DA}"/>
    <cellStyle name="Comma 28 2" xfId="1389" xr:uid="{F5FAA4EA-7325-411A-9D51-E305C8BDEE71}"/>
    <cellStyle name="Comma 28 2 2" xfId="2790" xr:uid="{FADBD4E5-324A-4D6C-9BF1-8D695D68512B}"/>
    <cellStyle name="Comma 28 2 2 2" xfId="5600" xr:uid="{A77D72A8-79B6-4E33-BF23-DB22774A6D77}"/>
    <cellStyle name="Comma 28 2 2 2 2" xfId="11236" xr:uid="{2F91CBB7-9C4C-40B9-B1C6-97069B4C59EB}"/>
    <cellStyle name="Comma 28 2 2 3" xfId="8426" xr:uid="{8F85DF3A-7CA0-4AD8-A233-46FEA2A41AC2}"/>
    <cellStyle name="Comma 28 2 3" xfId="4199" xr:uid="{CFA0B76F-8DAA-4976-83ED-DE480B118C0F}"/>
    <cellStyle name="Comma 28 2 3 2" xfId="9835" xr:uid="{89FB3ABA-B759-45A4-8E7C-B6E0B1540343}"/>
    <cellStyle name="Comma 28 2 4" xfId="7025" xr:uid="{23DF19CB-0A81-4FD0-879B-87C58DB6D0C8}"/>
    <cellStyle name="Comma 28 3" xfId="2094" xr:uid="{A5501D51-FDAF-4B69-999B-E726E8B7DF57}"/>
    <cellStyle name="Comma 28 3 2" xfId="4904" xr:uid="{EB92321F-5928-481A-AE08-DF29ABD1C501}"/>
    <cellStyle name="Comma 28 3 2 2" xfId="10540" xr:uid="{C7961427-CE1C-45CA-B21F-223B3F1C7734}"/>
    <cellStyle name="Comma 28 3 3" xfId="7730" xr:uid="{A246EBD0-3EBC-4E03-960F-882CB126444F}"/>
    <cellStyle name="Comma 28 4" xfId="3503" xr:uid="{F923365A-D5C2-493A-9A26-114F8DBCF45C}"/>
    <cellStyle name="Comma 28 4 2" xfId="9139" xr:uid="{43B7F07E-E6FF-409B-8386-AC569A035ABC}"/>
    <cellStyle name="Comma 28 5" xfId="6329" xr:uid="{29DBB13E-40F5-487E-99DF-EED9868A3AFE}"/>
    <cellStyle name="Comma 29" xfId="695" xr:uid="{50F74927-3B72-4F76-8706-432224432256}"/>
    <cellStyle name="Comma 29 2" xfId="1391" xr:uid="{EF84951B-15F3-4C83-BA36-4477F5D45BC4}"/>
    <cellStyle name="Comma 29 2 2" xfId="2792" xr:uid="{D12B7B57-D0B0-40A8-9753-C5B79206B041}"/>
    <cellStyle name="Comma 29 2 2 2" xfId="5602" xr:uid="{7B0C1190-EDAF-48D0-9A3C-D66E1AF84461}"/>
    <cellStyle name="Comma 29 2 2 2 2" xfId="11238" xr:uid="{93E60797-16B3-4ECE-ABA8-81C1B5E487A2}"/>
    <cellStyle name="Comma 29 2 2 3" xfId="8428" xr:uid="{CCF44B6E-FFD2-437B-BC6B-15C557683368}"/>
    <cellStyle name="Comma 29 2 3" xfId="4201" xr:uid="{02288148-1430-4E2C-B5A1-8FE636F2298B}"/>
    <cellStyle name="Comma 29 2 3 2" xfId="9837" xr:uid="{9D72A338-4EAA-4502-9702-1627E70A3675}"/>
    <cellStyle name="Comma 29 2 4" xfId="7027" xr:uid="{C60E6CFB-A318-46F6-AA2B-DFBF320B675A}"/>
    <cellStyle name="Comma 29 3" xfId="2096" xr:uid="{0BC9C1E8-FC43-47CC-B061-10A77C9CF283}"/>
    <cellStyle name="Comma 29 3 2" xfId="4906" xr:uid="{54AEE0EC-0981-4A71-823B-DBA6DC5A9CAC}"/>
    <cellStyle name="Comma 29 3 2 2" xfId="10542" xr:uid="{1906D9ED-7B07-4B3F-A5A3-D66593B261C8}"/>
    <cellStyle name="Comma 29 3 3" xfId="7732" xr:uid="{461A470C-4B8C-4BDF-9276-32257A45C6F5}"/>
    <cellStyle name="Comma 29 4" xfId="3505" xr:uid="{E584D4A8-B3AB-44C1-99ED-264E532EE84D}"/>
    <cellStyle name="Comma 29 4 2" xfId="9141" xr:uid="{72842712-B840-44B9-B03F-9E18B4B13458}"/>
    <cellStyle name="Comma 29 5" xfId="6331" xr:uid="{2B762B6F-9DE3-497F-A05A-878DD4F0A2AF}"/>
    <cellStyle name="Comma 3" xfId="7" xr:uid="{837CFFA8-1F36-4911-8655-EC49B2EA3D6E}"/>
    <cellStyle name="Comma 3 10" xfId="5643" xr:uid="{998D5A68-86DB-4EA6-A600-2F4565B6E461}"/>
    <cellStyle name="Comma 3 2" xfId="19" xr:uid="{2E1730E8-1954-46DB-AF95-5F7A67B7D6D2}"/>
    <cellStyle name="Comma 3 2 2" xfId="51" xr:uid="{8BB4DB16-7D31-4DAE-AAAD-475A19AC4D6F}"/>
    <cellStyle name="Comma 3 2 2 2" xfId="131" xr:uid="{09A2047D-5F8B-48B6-BB95-A3887316ED2A}"/>
    <cellStyle name="Comma 3 2 2 2 2" xfId="303" xr:uid="{86167C8B-8BCE-41C9-8802-ADB3DEC81B37}"/>
    <cellStyle name="Comma 3 2 2 2 2 2" xfId="647" xr:uid="{B18CA131-D649-4960-8F32-A95B41283E21}"/>
    <cellStyle name="Comma 3 2 2 2 2 2 2" xfId="1343" xr:uid="{48B33F04-B7C0-463A-811D-40E48C4DA9A5}"/>
    <cellStyle name="Comma 3 2 2 2 2 2 2 2" xfId="2744" xr:uid="{2F297730-91C0-438F-82D8-C063ED70DCFC}"/>
    <cellStyle name="Comma 3 2 2 2 2 2 2 2 2" xfId="5554" xr:uid="{83138545-F5D9-45C5-B37A-D24AB143C628}"/>
    <cellStyle name="Comma 3 2 2 2 2 2 2 2 2 2" xfId="11190" xr:uid="{842D5DF6-2056-40BA-BB42-0632B5FD0BD3}"/>
    <cellStyle name="Comma 3 2 2 2 2 2 2 2 3" xfId="8380" xr:uid="{64FEA2B7-F437-4723-AB35-A42CDEAE6696}"/>
    <cellStyle name="Comma 3 2 2 2 2 2 2 3" xfId="4153" xr:uid="{5F9A5DCE-D1B5-44BB-A303-8B03A0E2E248}"/>
    <cellStyle name="Comma 3 2 2 2 2 2 2 3 2" xfId="9789" xr:uid="{B018BD48-412E-4315-B981-6631B749730C}"/>
    <cellStyle name="Comma 3 2 2 2 2 2 2 4" xfId="6979" xr:uid="{657F836B-EDF7-4AA0-85A4-DE93E633B1B3}"/>
    <cellStyle name="Comma 3 2 2 2 2 2 3" xfId="2048" xr:uid="{8BBBA18D-792E-4972-9510-C5D484EC67E1}"/>
    <cellStyle name="Comma 3 2 2 2 2 2 3 2" xfId="4858" xr:uid="{FBEE6595-F04F-48FD-A425-23D9EB9689B4}"/>
    <cellStyle name="Comma 3 2 2 2 2 2 3 2 2" xfId="10494" xr:uid="{8D9B2E23-0BD0-4F1F-BDD6-970A13FC6E67}"/>
    <cellStyle name="Comma 3 2 2 2 2 2 3 3" xfId="7684" xr:uid="{92603BC9-1B41-43F6-BA10-AEED9B618E91}"/>
    <cellStyle name="Comma 3 2 2 2 2 2 4" xfId="3457" xr:uid="{C157782F-B891-46BD-81D7-AEB0A33AB33A}"/>
    <cellStyle name="Comma 3 2 2 2 2 2 4 2" xfId="9093" xr:uid="{A4F440E3-BFE9-43FB-8695-B1F4E85547CB}"/>
    <cellStyle name="Comma 3 2 2 2 2 2 5" xfId="6283" xr:uid="{97E2397A-BBC3-45FA-99A0-EB027E2EE3AA}"/>
    <cellStyle name="Comma 3 2 2 2 2 3" xfId="999" xr:uid="{255F4155-E185-43DF-8B75-00A3610455D7}"/>
    <cellStyle name="Comma 3 2 2 2 2 3 2" xfId="2400" xr:uid="{BAC2826A-E957-48B6-B402-EDEC72461CC1}"/>
    <cellStyle name="Comma 3 2 2 2 2 3 2 2" xfId="5210" xr:uid="{55FD252F-ABEB-487F-BA7F-E221A2C111F4}"/>
    <cellStyle name="Comma 3 2 2 2 2 3 2 2 2" xfId="10846" xr:uid="{952EA02B-0206-47A3-AC50-918E8F6A817B}"/>
    <cellStyle name="Comma 3 2 2 2 2 3 2 3" xfId="8036" xr:uid="{37CA4B01-2213-4C8C-9A0E-F42241B33656}"/>
    <cellStyle name="Comma 3 2 2 2 2 3 3" xfId="3809" xr:uid="{70C35BB1-8AD9-4C06-9D52-5418124383A1}"/>
    <cellStyle name="Comma 3 2 2 2 2 3 3 2" xfId="9445" xr:uid="{E95FB23C-AD98-401A-A46F-DCBF27717AE8}"/>
    <cellStyle name="Comma 3 2 2 2 2 3 4" xfId="6635" xr:uid="{79F95A8F-3E15-4334-910F-40CA2C2D7A2B}"/>
    <cellStyle name="Comma 3 2 2 2 2 4" xfId="1704" xr:uid="{CAF08A99-6100-4F38-91B2-EC97048EC6DA}"/>
    <cellStyle name="Comma 3 2 2 2 2 4 2" xfId="4514" xr:uid="{DE2DDF6B-C2EF-4494-9262-69365E8BA482}"/>
    <cellStyle name="Comma 3 2 2 2 2 4 2 2" xfId="10150" xr:uid="{10C031B6-128A-456C-967C-6D5C15D051E9}"/>
    <cellStyle name="Comma 3 2 2 2 2 4 3" xfId="7340" xr:uid="{8F32C98C-F94F-4BFC-8230-F31AF2653549}"/>
    <cellStyle name="Comma 3 2 2 2 2 5" xfId="3113" xr:uid="{4C2BFAEC-F92D-4864-BF16-E2C7051BAFFD}"/>
    <cellStyle name="Comma 3 2 2 2 2 5 2" xfId="8749" xr:uid="{F243271A-F6DA-4BB5-95E0-CF198A0BD3BB}"/>
    <cellStyle name="Comma 3 2 2 2 2 6" xfId="5939" xr:uid="{CC2778F2-693D-4742-A71D-1EEA46D745EA}"/>
    <cellStyle name="Comma 3 2 2 2 3" xfId="475" xr:uid="{F5701F82-14F1-4F73-8E2D-26A6B1DB917F}"/>
    <cellStyle name="Comma 3 2 2 2 3 2" xfId="1171" xr:uid="{1ED85923-16B5-4BB8-AD59-A0B7E6C9D896}"/>
    <cellStyle name="Comma 3 2 2 2 3 2 2" xfId="2572" xr:uid="{17F27143-5AE6-4C10-8D35-8A8F123E6C8F}"/>
    <cellStyle name="Comma 3 2 2 2 3 2 2 2" xfId="5382" xr:uid="{02C45AB1-2E7E-4CF8-9E58-835C29862D04}"/>
    <cellStyle name="Comma 3 2 2 2 3 2 2 2 2" xfId="11018" xr:uid="{F28783C1-5029-4563-90DE-63AAF333E0D0}"/>
    <cellStyle name="Comma 3 2 2 2 3 2 2 3" xfId="8208" xr:uid="{314F32E0-94D3-402A-A7C6-5E8B981D130F}"/>
    <cellStyle name="Comma 3 2 2 2 3 2 3" xfId="3981" xr:uid="{52E7DCC7-F64C-4354-B3FF-FC0D51888081}"/>
    <cellStyle name="Comma 3 2 2 2 3 2 3 2" xfId="9617" xr:uid="{78BCB1A4-EC12-4EAA-B088-D068095B086F}"/>
    <cellStyle name="Comma 3 2 2 2 3 2 4" xfId="6807" xr:uid="{6B1E4F31-9A69-4C4A-8C35-E8269FDFFF0C}"/>
    <cellStyle name="Comma 3 2 2 2 3 3" xfId="1876" xr:uid="{697B6125-81A4-4FF2-A877-62EE9E7FCC0B}"/>
    <cellStyle name="Comma 3 2 2 2 3 3 2" xfId="4686" xr:uid="{71CCE87E-1910-4CE4-B247-AC2ACDBB9734}"/>
    <cellStyle name="Comma 3 2 2 2 3 3 2 2" xfId="10322" xr:uid="{DA78CB24-A33A-4E64-9EC9-8059040CBD60}"/>
    <cellStyle name="Comma 3 2 2 2 3 3 3" xfId="7512" xr:uid="{78554685-46AF-47FA-822D-E72712925FD4}"/>
    <cellStyle name="Comma 3 2 2 2 3 4" xfId="3285" xr:uid="{58ADFB31-A89C-4F6A-ACBC-0559044D6A21}"/>
    <cellStyle name="Comma 3 2 2 2 3 4 2" xfId="8921" xr:uid="{D6439C8D-39BE-4F06-92E7-2BC8E4907924}"/>
    <cellStyle name="Comma 3 2 2 2 3 5" xfId="6111" xr:uid="{710260A8-1A25-4FF5-8BD4-B02C5DD241D8}"/>
    <cellStyle name="Comma 3 2 2 2 4" xfId="827" xr:uid="{08A1ABD5-7CE1-4978-815F-BD3E37703D12}"/>
    <cellStyle name="Comma 3 2 2 2 4 2" xfId="2228" xr:uid="{0F270695-8139-44E3-A62E-89C43393C04B}"/>
    <cellStyle name="Comma 3 2 2 2 4 2 2" xfId="5038" xr:uid="{9B95CAFB-F42C-4E3C-A395-B1D324C8793B}"/>
    <cellStyle name="Comma 3 2 2 2 4 2 2 2" xfId="10674" xr:uid="{A78A5DBC-9618-4385-95A8-4C4C387D4922}"/>
    <cellStyle name="Comma 3 2 2 2 4 2 3" xfId="7864" xr:uid="{A8C9769D-3B39-4675-9C83-293E3B61FF3A}"/>
    <cellStyle name="Comma 3 2 2 2 4 3" xfId="3637" xr:uid="{5A1D87BA-626E-41DB-B2CC-BC8FD83AD5B6}"/>
    <cellStyle name="Comma 3 2 2 2 4 3 2" xfId="9273" xr:uid="{65A08A01-0C49-4DDD-8D2A-AB248D7480A7}"/>
    <cellStyle name="Comma 3 2 2 2 4 4" xfId="6463" xr:uid="{5CCFE5A4-8E63-42BA-AFB7-94C05B353446}"/>
    <cellStyle name="Comma 3 2 2 2 5" xfId="1532" xr:uid="{848A03D3-6781-48B4-AEA5-F693D7F8D718}"/>
    <cellStyle name="Comma 3 2 2 2 5 2" xfId="4342" xr:uid="{369605B6-189A-42A7-9D74-1FB0DBD45070}"/>
    <cellStyle name="Comma 3 2 2 2 5 2 2" xfId="9978" xr:uid="{C44B03CC-637A-4039-90D9-E56302CD6D5A}"/>
    <cellStyle name="Comma 3 2 2 2 5 3" xfId="7168" xr:uid="{AAF9218C-2FA3-492D-B232-CDD5B00D3DBB}"/>
    <cellStyle name="Comma 3 2 2 2 6" xfId="2941" xr:uid="{7081A898-7412-4417-8BF2-D9983AF07ED7}"/>
    <cellStyle name="Comma 3 2 2 2 6 2" xfId="8577" xr:uid="{D5C683A3-766D-4A72-8A93-2A785A39399D}"/>
    <cellStyle name="Comma 3 2 2 2 7" xfId="5767" xr:uid="{4134A110-0D78-4018-8707-01634BE82F52}"/>
    <cellStyle name="Comma 3 2 2 3" xfId="223" xr:uid="{48358D67-21C4-4A75-A2F7-0415235706C9}"/>
    <cellStyle name="Comma 3 2 2 3 2" xfId="567" xr:uid="{493E6BE3-4024-4E0A-AB41-D9A42D02796C}"/>
    <cellStyle name="Comma 3 2 2 3 2 2" xfId="1263" xr:uid="{C9363943-BE00-49A0-B582-7FFEE3B9FBB2}"/>
    <cellStyle name="Comma 3 2 2 3 2 2 2" xfId="2664" xr:uid="{7573948E-CF3A-4386-A346-11CAC88A4506}"/>
    <cellStyle name="Comma 3 2 2 3 2 2 2 2" xfId="5474" xr:uid="{05003EE1-A22F-43C1-920C-F09500B263BC}"/>
    <cellStyle name="Comma 3 2 2 3 2 2 2 2 2" xfId="11110" xr:uid="{E9906B70-3FD2-4425-8560-2433BF5EC42D}"/>
    <cellStyle name="Comma 3 2 2 3 2 2 2 3" xfId="8300" xr:uid="{1DCDC400-7C63-4383-833B-55398E5C2561}"/>
    <cellStyle name="Comma 3 2 2 3 2 2 3" xfId="4073" xr:uid="{743C4CFF-01B9-4C6D-A3F9-24101104E2A3}"/>
    <cellStyle name="Comma 3 2 2 3 2 2 3 2" xfId="9709" xr:uid="{7FD7529F-5787-40B4-B720-E8348CD3F1AD}"/>
    <cellStyle name="Comma 3 2 2 3 2 2 4" xfId="6899" xr:uid="{BF5A495F-CD9E-4795-8707-A374E1147605}"/>
    <cellStyle name="Comma 3 2 2 3 2 3" xfId="1968" xr:uid="{A0CE5BBF-929C-4BD9-BDAE-18BEE6F259F9}"/>
    <cellStyle name="Comma 3 2 2 3 2 3 2" xfId="4778" xr:uid="{2C5DEB92-CB11-412D-9E1F-E26771AE9959}"/>
    <cellStyle name="Comma 3 2 2 3 2 3 2 2" xfId="10414" xr:uid="{17380456-CD70-406B-84EC-DC1CFFCA8C54}"/>
    <cellStyle name="Comma 3 2 2 3 2 3 3" xfId="7604" xr:uid="{437879B2-7229-4AD4-9D68-524BD16F7C15}"/>
    <cellStyle name="Comma 3 2 2 3 2 4" xfId="3377" xr:uid="{4F447985-ACC6-4170-BD83-0D0A112E6686}"/>
    <cellStyle name="Comma 3 2 2 3 2 4 2" xfId="9013" xr:uid="{338014ED-8693-44DF-A438-D7D2F342FCFD}"/>
    <cellStyle name="Comma 3 2 2 3 2 5" xfId="6203" xr:uid="{4F1DA272-8B11-4A6F-9734-960A2F5BD50A}"/>
    <cellStyle name="Comma 3 2 2 3 3" xfId="919" xr:uid="{19C050D7-2798-4E17-9451-797590E1538A}"/>
    <cellStyle name="Comma 3 2 2 3 3 2" xfId="2320" xr:uid="{24710C35-0661-407B-B420-542175EA3722}"/>
    <cellStyle name="Comma 3 2 2 3 3 2 2" xfId="5130" xr:uid="{7F0A0095-5D0A-4A1C-B285-F44D7A068F26}"/>
    <cellStyle name="Comma 3 2 2 3 3 2 2 2" xfId="10766" xr:uid="{0408469E-44CF-4718-A85B-991C6D196EE4}"/>
    <cellStyle name="Comma 3 2 2 3 3 2 3" xfId="7956" xr:uid="{717C67D8-D37D-4E91-B2AB-4AC0CC03C7FB}"/>
    <cellStyle name="Comma 3 2 2 3 3 3" xfId="3729" xr:uid="{408B6EBD-5336-4E28-B831-BF7B2670C244}"/>
    <cellStyle name="Comma 3 2 2 3 3 3 2" xfId="9365" xr:uid="{FF1A5826-18E7-4380-8BA0-752A56191599}"/>
    <cellStyle name="Comma 3 2 2 3 3 4" xfId="6555" xr:uid="{FE8A7A12-2B13-4A21-B313-963D79C9607E}"/>
    <cellStyle name="Comma 3 2 2 3 4" xfId="1624" xr:uid="{D09589E3-C14C-4A4A-A8B1-AEFD848944D1}"/>
    <cellStyle name="Comma 3 2 2 3 4 2" xfId="4434" xr:uid="{65446542-0F03-40E4-BBE1-F17B8858FA66}"/>
    <cellStyle name="Comma 3 2 2 3 4 2 2" xfId="10070" xr:uid="{80CD37FC-5713-464C-A2F2-12E6A63A1873}"/>
    <cellStyle name="Comma 3 2 2 3 4 3" xfId="7260" xr:uid="{47998082-4045-40F3-9708-E4D85F6C44AD}"/>
    <cellStyle name="Comma 3 2 2 3 5" xfId="3033" xr:uid="{114E5CAF-7948-4E8C-87E7-4F031A59E3DF}"/>
    <cellStyle name="Comma 3 2 2 3 5 2" xfId="8669" xr:uid="{67E3C119-F18A-4AB1-BAEC-E83FEFC32885}"/>
    <cellStyle name="Comma 3 2 2 3 6" xfId="5859" xr:uid="{E29DF7FA-C517-48DF-97A1-2F0C81CD5801}"/>
    <cellStyle name="Comma 3 2 2 4" xfId="395" xr:uid="{EDF168CA-5A15-46D1-AC13-C7362769B17A}"/>
    <cellStyle name="Comma 3 2 2 4 2" xfId="1091" xr:uid="{3D8F37FE-B20C-4D67-8F71-C904BF30BD5F}"/>
    <cellStyle name="Comma 3 2 2 4 2 2" xfId="2492" xr:uid="{C0436A5A-1356-439A-8F38-6B247B540A6B}"/>
    <cellStyle name="Comma 3 2 2 4 2 2 2" xfId="5302" xr:uid="{1421368A-D531-4ED3-A454-F594F6CDD9DB}"/>
    <cellStyle name="Comma 3 2 2 4 2 2 2 2" xfId="10938" xr:uid="{5B59941A-F710-48B5-A1C1-091108564A60}"/>
    <cellStyle name="Comma 3 2 2 4 2 2 3" xfId="8128" xr:uid="{990DCC40-46CD-4DF8-924F-7CB1B256623C}"/>
    <cellStyle name="Comma 3 2 2 4 2 3" xfId="3901" xr:uid="{E9F27192-BB1F-466B-978A-96149AF0BD16}"/>
    <cellStyle name="Comma 3 2 2 4 2 3 2" xfId="9537" xr:uid="{E74C1078-C16B-4A68-A9CF-9B40648C9984}"/>
    <cellStyle name="Comma 3 2 2 4 2 4" xfId="6727" xr:uid="{4E5C3259-7A97-4323-9C5D-229A68E63673}"/>
    <cellStyle name="Comma 3 2 2 4 3" xfId="1796" xr:uid="{BFDD794F-4E72-4A51-B559-534F20103A1B}"/>
    <cellStyle name="Comma 3 2 2 4 3 2" xfId="4606" xr:uid="{C2F50459-8CA0-495F-B8E7-156ED78DD278}"/>
    <cellStyle name="Comma 3 2 2 4 3 2 2" xfId="10242" xr:uid="{735B659D-73B4-4A4F-B1A7-B9D504B326B0}"/>
    <cellStyle name="Comma 3 2 2 4 3 3" xfId="7432" xr:uid="{F3537B40-6585-4B63-AB5B-85237B3AC300}"/>
    <cellStyle name="Comma 3 2 2 4 4" xfId="3205" xr:uid="{88FA078F-9320-4318-854C-24824EEAC38E}"/>
    <cellStyle name="Comma 3 2 2 4 4 2" xfId="8841" xr:uid="{BE5617E8-A8B2-4D49-A65E-1F99A2694421}"/>
    <cellStyle name="Comma 3 2 2 4 5" xfId="6031" xr:uid="{DAB355E6-CB0A-44AD-BFBF-6303733827AF}"/>
    <cellStyle name="Comma 3 2 2 5" xfId="747" xr:uid="{F6A87B10-1BCC-4E6A-85CA-66FD3F80120D}"/>
    <cellStyle name="Comma 3 2 2 5 2" xfId="2148" xr:uid="{4CC44506-30DA-4314-A638-F7A79ABE5414}"/>
    <cellStyle name="Comma 3 2 2 5 2 2" xfId="4958" xr:uid="{A0E2447B-47CA-445D-B8C2-0C83E60275B8}"/>
    <cellStyle name="Comma 3 2 2 5 2 2 2" xfId="10594" xr:uid="{473D93A9-57E9-46B2-912A-CEF29BE09CAE}"/>
    <cellStyle name="Comma 3 2 2 5 2 3" xfId="7784" xr:uid="{0FAE1676-F304-45F7-939D-7359569E8785}"/>
    <cellStyle name="Comma 3 2 2 5 3" xfId="3557" xr:uid="{8EA903BE-0839-4C80-90F2-E4871CCEA5D5}"/>
    <cellStyle name="Comma 3 2 2 5 3 2" xfId="9193" xr:uid="{5A516893-FAE1-4775-B25C-8ED9ED2A4665}"/>
    <cellStyle name="Comma 3 2 2 5 4" xfId="6383" xr:uid="{F5DCF10F-E9AA-48F0-8984-76D5687920E9}"/>
    <cellStyle name="Comma 3 2 2 6" xfId="1452" xr:uid="{4CDB1C00-9F9D-4A8B-92D8-C7E36D05F026}"/>
    <cellStyle name="Comma 3 2 2 6 2" xfId="4262" xr:uid="{8EAAECBD-76CE-47F0-B86D-FFF8C515A4BA}"/>
    <cellStyle name="Comma 3 2 2 6 2 2" xfId="9898" xr:uid="{A6FB0B4F-0CE9-47E5-8380-6BB091567068}"/>
    <cellStyle name="Comma 3 2 2 6 3" xfId="7088" xr:uid="{64D8AF27-7FF6-4E67-8E3F-2363D4DCD211}"/>
    <cellStyle name="Comma 3 2 2 7" xfId="2861" xr:uid="{1506DC96-4F48-4828-8E2E-EA75C4A32835}"/>
    <cellStyle name="Comma 3 2 2 7 2" xfId="8497" xr:uid="{B657A510-A2F1-4ABE-965D-E49C304556E3}"/>
    <cellStyle name="Comma 3 2 2 8" xfId="5687" xr:uid="{0FD2EF76-0F5F-4AE6-9723-E4EAFEA8F9FE}"/>
    <cellStyle name="Comma 3 2 3" xfId="99" xr:uid="{B392323F-8242-403D-AFCA-C183EB48DF81}"/>
    <cellStyle name="Comma 3 2 3 2" xfId="271" xr:uid="{20E378C8-07A6-4895-9D69-892B15C601EF}"/>
    <cellStyle name="Comma 3 2 3 2 2" xfId="615" xr:uid="{BA6A3CB4-CC14-4BF0-BD79-11B946667945}"/>
    <cellStyle name="Comma 3 2 3 2 2 2" xfId="1311" xr:uid="{0E82456E-9552-46B5-9892-DF01BCB9E03C}"/>
    <cellStyle name="Comma 3 2 3 2 2 2 2" xfId="2712" xr:uid="{0D45C809-22C7-4976-9523-146BBD17FBDE}"/>
    <cellStyle name="Comma 3 2 3 2 2 2 2 2" xfId="5522" xr:uid="{05D83606-4901-45C5-B378-3BBE8917F094}"/>
    <cellStyle name="Comma 3 2 3 2 2 2 2 2 2" xfId="11158" xr:uid="{71314C4A-0B81-474E-BD1E-0FD3622C8D75}"/>
    <cellStyle name="Comma 3 2 3 2 2 2 2 3" xfId="8348" xr:uid="{729B7C69-A99B-4C36-A5BA-9017819A3B76}"/>
    <cellStyle name="Comma 3 2 3 2 2 2 3" xfId="4121" xr:uid="{6ED674C1-B29E-4A92-9823-47F626DB6C8F}"/>
    <cellStyle name="Comma 3 2 3 2 2 2 3 2" xfId="9757" xr:uid="{15ADA215-57D4-47F5-86F0-E1D694F7C42F}"/>
    <cellStyle name="Comma 3 2 3 2 2 2 4" xfId="6947" xr:uid="{00EB01F7-C1A8-4273-A56E-030C7865C999}"/>
    <cellStyle name="Comma 3 2 3 2 2 3" xfId="2016" xr:uid="{0C24AE2D-C5C0-42FE-A3FD-15F3232FC91A}"/>
    <cellStyle name="Comma 3 2 3 2 2 3 2" xfId="4826" xr:uid="{0E9FFE29-069E-460E-B994-DC240CF4EF14}"/>
    <cellStyle name="Comma 3 2 3 2 2 3 2 2" xfId="10462" xr:uid="{89DED1ED-506B-41A5-AAED-CCF7B42D07A3}"/>
    <cellStyle name="Comma 3 2 3 2 2 3 3" xfId="7652" xr:uid="{6C6D091E-A590-4DE6-ACAD-23E986B4061E}"/>
    <cellStyle name="Comma 3 2 3 2 2 4" xfId="3425" xr:uid="{6D9A3107-1A62-40D5-AAB0-A04A9B646092}"/>
    <cellStyle name="Comma 3 2 3 2 2 4 2" xfId="9061" xr:uid="{9CD9DF8C-CF9C-4D66-ACE8-2CEA82EBBD12}"/>
    <cellStyle name="Comma 3 2 3 2 2 5" xfId="6251" xr:uid="{AE74010A-2DA6-4C91-9E2B-5A6F541D7520}"/>
    <cellStyle name="Comma 3 2 3 2 3" xfId="967" xr:uid="{4A4D0D36-0812-42FD-BFFB-C080451C3D5A}"/>
    <cellStyle name="Comma 3 2 3 2 3 2" xfId="2368" xr:uid="{F5941BF9-A88B-47E7-BC98-E1054291E726}"/>
    <cellStyle name="Comma 3 2 3 2 3 2 2" xfId="5178" xr:uid="{1846D135-B160-47C9-A04D-981895764FBC}"/>
    <cellStyle name="Comma 3 2 3 2 3 2 2 2" xfId="10814" xr:uid="{E9303D67-C5AD-41EC-AE61-495F13516BCB}"/>
    <cellStyle name="Comma 3 2 3 2 3 2 3" xfId="8004" xr:uid="{753703DB-730F-4E07-94BB-9FC3A1648BE5}"/>
    <cellStyle name="Comma 3 2 3 2 3 3" xfId="3777" xr:uid="{55B7A80A-F60A-4E95-BD9C-EBCB18DA91A5}"/>
    <cellStyle name="Comma 3 2 3 2 3 3 2" xfId="9413" xr:uid="{18FA507E-825D-483A-A0DE-8E4A9C92911E}"/>
    <cellStyle name="Comma 3 2 3 2 3 4" xfId="6603" xr:uid="{4D9BFA46-ADFC-43AA-817A-B61F21627BA9}"/>
    <cellStyle name="Comma 3 2 3 2 4" xfId="1672" xr:uid="{D3363279-983A-4A10-B14D-916138A76AD9}"/>
    <cellStyle name="Comma 3 2 3 2 4 2" xfId="4482" xr:uid="{9970BD5B-36FB-4F47-AD9C-8F55119B8739}"/>
    <cellStyle name="Comma 3 2 3 2 4 2 2" xfId="10118" xr:uid="{868225A7-A304-4487-A9A0-D4D82AE49391}"/>
    <cellStyle name="Comma 3 2 3 2 4 3" xfId="7308" xr:uid="{2461CB08-5EA0-4CF7-A9FE-7E9B7AFAA320}"/>
    <cellStyle name="Comma 3 2 3 2 5" xfId="3081" xr:uid="{5018CE4E-A039-49D2-AF4B-CEEC323B3F07}"/>
    <cellStyle name="Comma 3 2 3 2 5 2" xfId="8717" xr:uid="{4791421F-AB3F-4B35-AEBD-71082F8F665A}"/>
    <cellStyle name="Comma 3 2 3 2 6" xfId="5907" xr:uid="{9C2992A2-A575-4120-8BEF-DDA5E8C36E8E}"/>
    <cellStyle name="Comma 3 2 3 3" xfId="443" xr:uid="{EBFDE946-DA6E-40F1-BB79-9F1EB95909AB}"/>
    <cellStyle name="Comma 3 2 3 3 2" xfId="1139" xr:uid="{6A16D736-361A-4B44-8948-02194C2F0670}"/>
    <cellStyle name="Comma 3 2 3 3 2 2" xfId="2540" xr:uid="{D9647CC1-91E7-4338-AC4F-2AD6018A5B68}"/>
    <cellStyle name="Comma 3 2 3 3 2 2 2" xfId="5350" xr:uid="{AA36BFBD-751F-427E-8F51-2D256EF9FE64}"/>
    <cellStyle name="Comma 3 2 3 3 2 2 2 2" xfId="10986" xr:uid="{077FBFC1-BF17-4FC6-8B01-02BDB4FCF8BD}"/>
    <cellStyle name="Comma 3 2 3 3 2 2 3" xfId="8176" xr:uid="{AFD7628E-359E-43C0-875B-EE28EF756394}"/>
    <cellStyle name="Comma 3 2 3 3 2 3" xfId="3949" xr:uid="{A184E197-E847-4EB6-9B59-7D3EF1637B71}"/>
    <cellStyle name="Comma 3 2 3 3 2 3 2" xfId="9585" xr:uid="{3C8194EA-32C7-42C4-A3DB-C24FA0B49C20}"/>
    <cellStyle name="Comma 3 2 3 3 2 4" xfId="6775" xr:uid="{FBA49E81-2CEC-4446-BE17-02E1FE33B0D3}"/>
    <cellStyle name="Comma 3 2 3 3 3" xfId="1844" xr:uid="{DB532F91-1DCE-4DB6-B75A-67F015519C5E}"/>
    <cellStyle name="Comma 3 2 3 3 3 2" xfId="4654" xr:uid="{37C9E7C2-9908-41D6-AE81-F422FBD9D143}"/>
    <cellStyle name="Comma 3 2 3 3 3 2 2" xfId="10290" xr:uid="{EC1297B3-F8DA-448C-BB6E-49DC3D7D63A9}"/>
    <cellStyle name="Comma 3 2 3 3 3 3" xfId="7480" xr:uid="{4DFBAB58-8300-4716-8F7D-098C78725EC5}"/>
    <cellStyle name="Comma 3 2 3 3 4" xfId="3253" xr:uid="{95EC95A1-89A9-4FF0-ADAA-55A14D53FBEC}"/>
    <cellStyle name="Comma 3 2 3 3 4 2" xfId="8889" xr:uid="{B184C152-B477-4C6F-A340-51EF3C1E776B}"/>
    <cellStyle name="Comma 3 2 3 3 5" xfId="6079" xr:uid="{199F40E8-C34B-4A59-8A33-78807B0D6BA8}"/>
    <cellStyle name="Comma 3 2 3 4" xfId="795" xr:uid="{E6EC3B5B-A538-4EE7-844E-B5EF57D67B51}"/>
    <cellStyle name="Comma 3 2 3 4 2" xfId="2196" xr:uid="{27FAAEBE-6717-4E74-A6CA-75ACC7C310E1}"/>
    <cellStyle name="Comma 3 2 3 4 2 2" xfId="5006" xr:uid="{DE18EDA2-B5C3-4D22-AD64-07248893E640}"/>
    <cellStyle name="Comma 3 2 3 4 2 2 2" xfId="10642" xr:uid="{793DA28B-C985-4410-91F9-69785A9A7D73}"/>
    <cellStyle name="Comma 3 2 3 4 2 3" xfId="7832" xr:uid="{02839EF0-3C99-4433-A260-174C7462BF98}"/>
    <cellStyle name="Comma 3 2 3 4 3" xfId="3605" xr:uid="{AC2F0985-3CB5-49FE-886C-1830B96DFAAC}"/>
    <cellStyle name="Comma 3 2 3 4 3 2" xfId="9241" xr:uid="{F14B4B11-CA1D-493B-9125-1140E194F182}"/>
    <cellStyle name="Comma 3 2 3 4 4" xfId="6431" xr:uid="{4B1A47C6-9D8A-4E52-B997-88EADE75F95C}"/>
    <cellStyle name="Comma 3 2 3 5" xfId="1500" xr:uid="{E7FB62BC-2B5A-4AD9-A2D0-1472991908DB}"/>
    <cellStyle name="Comma 3 2 3 5 2" xfId="4310" xr:uid="{904BB0BB-4822-4A41-9A58-7BABDBAD2C53}"/>
    <cellStyle name="Comma 3 2 3 5 2 2" xfId="9946" xr:uid="{95140617-9AEA-4F30-A5ED-1124B9CFBB94}"/>
    <cellStyle name="Comma 3 2 3 5 3" xfId="7136" xr:uid="{B1D96830-C3A7-49BE-864E-AE582C1CAD92}"/>
    <cellStyle name="Comma 3 2 3 6" xfId="2909" xr:uid="{A5E3A354-C517-4507-85F0-7C0764410278}"/>
    <cellStyle name="Comma 3 2 3 6 2" xfId="8545" xr:uid="{F4B3218E-EE35-463B-9463-B226E59A235D}"/>
    <cellStyle name="Comma 3 2 3 7" xfId="5735" xr:uid="{AD2E260F-CD5B-46D9-AE73-111BA4360C73}"/>
    <cellStyle name="Comma 3 2 4" xfId="191" xr:uid="{E7F45AC3-2AC2-45A7-948A-C235D7F4FD9C}"/>
    <cellStyle name="Comma 3 2 4 2" xfId="535" xr:uid="{84C3E8BC-AE4A-4204-BF9F-222308ADC856}"/>
    <cellStyle name="Comma 3 2 4 2 2" xfId="1231" xr:uid="{34C15CF7-854B-4B4B-B7F4-8FA2051F5864}"/>
    <cellStyle name="Comma 3 2 4 2 2 2" xfId="2632" xr:uid="{C299A1FC-C3BD-4492-A60E-45E6D9950157}"/>
    <cellStyle name="Comma 3 2 4 2 2 2 2" xfId="5442" xr:uid="{60DA98BB-66A3-4734-836E-95808F360393}"/>
    <cellStyle name="Comma 3 2 4 2 2 2 2 2" xfId="11078" xr:uid="{D1DA1D00-A649-46FD-80F6-D08B6D70E0DC}"/>
    <cellStyle name="Comma 3 2 4 2 2 2 3" xfId="8268" xr:uid="{5C585023-2805-4C31-8218-A3088F4A7A90}"/>
    <cellStyle name="Comma 3 2 4 2 2 3" xfId="4041" xr:uid="{DE830A16-1B33-49A9-8B77-4E0E2B29859B}"/>
    <cellStyle name="Comma 3 2 4 2 2 3 2" xfId="9677" xr:uid="{08056AAA-4902-4BA7-ADB6-F76AFEC715F4}"/>
    <cellStyle name="Comma 3 2 4 2 2 4" xfId="6867" xr:uid="{0FCF5A84-3A41-4409-9A8F-1FAFDA9E946F}"/>
    <cellStyle name="Comma 3 2 4 2 3" xfId="1936" xr:uid="{D6B355F8-267C-4928-BEB1-AD0496F7E821}"/>
    <cellStyle name="Comma 3 2 4 2 3 2" xfId="4746" xr:uid="{E08966C2-21D9-4F59-A3FB-85609F3D0C5E}"/>
    <cellStyle name="Comma 3 2 4 2 3 2 2" xfId="10382" xr:uid="{1DEBAAD7-C1B8-4876-AB6A-15C7F4CC6C32}"/>
    <cellStyle name="Comma 3 2 4 2 3 3" xfId="7572" xr:uid="{9DB99B27-96B3-47F1-B318-159481D3CD6F}"/>
    <cellStyle name="Comma 3 2 4 2 4" xfId="3345" xr:uid="{86BB87F3-5BDF-4D65-9C8E-989A4CA564C5}"/>
    <cellStyle name="Comma 3 2 4 2 4 2" xfId="8981" xr:uid="{81CFE153-FAA0-440E-A6E2-73BE816985CA}"/>
    <cellStyle name="Comma 3 2 4 2 5" xfId="6171" xr:uid="{BD0BFAFB-4CDE-4B22-B899-5B1EDF0F5BD6}"/>
    <cellStyle name="Comma 3 2 4 3" xfId="887" xr:uid="{37F6D552-13BA-4F6A-A551-EE95CD1A434D}"/>
    <cellStyle name="Comma 3 2 4 3 2" xfId="2288" xr:uid="{8D1336A4-3335-4CBC-BF21-D8FE57EF6C0D}"/>
    <cellStyle name="Comma 3 2 4 3 2 2" xfId="5098" xr:uid="{040B002C-398A-41DB-B684-D815B8A5A57D}"/>
    <cellStyle name="Comma 3 2 4 3 2 2 2" xfId="10734" xr:uid="{C3E00479-B02A-453A-AFBC-FB31717D4D2B}"/>
    <cellStyle name="Comma 3 2 4 3 2 3" xfId="7924" xr:uid="{94A32A88-B6E1-410B-BAC7-7736135A2248}"/>
    <cellStyle name="Comma 3 2 4 3 3" xfId="3697" xr:uid="{41B33E07-AC11-4310-8017-9C5289B2F883}"/>
    <cellStyle name="Comma 3 2 4 3 3 2" xfId="9333" xr:uid="{C1BAAE21-8BBA-4A6B-84CB-229DE6802599}"/>
    <cellStyle name="Comma 3 2 4 3 4" xfId="6523" xr:uid="{C8440F2C-D9BC-41BE-8310-7268AEA641E2}"/>
    <cellStyle name="Comma 3 2 4 4" xfId="1592" xr:uid="{3024FD36-A277-48C0-9E8B-D74EA2F47DC1}"/>
    <cellStyle name="Comma 3 2 4 4 2" xfId="4402" xr:uid="{42435381-1F71-4DBA-871A-D375EB01D31D}"/>
    <cellStyle name="Comma 3 2 4 4 2 2" xfId="10038" xr:uid="{58414F7A-4692-4E3E-B28C-6F935202188A}"/>
    <cellStyle name="Comma 3 2 4 4 3" xfId="7228" xr:uid="{C0D51D70-5EFE-4CE6-868E-C7B6D91E6237}"/>
    <cellStyle name="Comma 3 2 4 5" xfId="3001" xr:uid="{70C03AF3-E560-4DCD-A6C0-CDADE72A13ED}"/>
    <cellStyle name="Comma 3 2 4 5 2" xfId="8637" xr:uid="{72067366-C6EE-4C3B-BC8D-18E01F485C6B}"/>
    <cellStyle name="Comma 3 2 4 6" xfId="5827" xr:uid="{066A008C-A701-46CE-8C45-AD66861CB7F2}"/>
    <cellStyle name="Comma 3 2 5" xfId="363" xr:uid="{F537E85C-C419-4D69-994A-97536FDF156E}"/>
    <cellStyle name="Comma 3 2 5 2" xfId="1059" xr:uid="{42CB27D5-CD47-4F20-9822-5AF1229A3F0C}"/>
    <cellStyle name="Comma 3 2 5 2 2" xfId="2460" xr:uid="{7FE99E95-5EE3-457D-AC1E-F4D450824442}"/>
    <cellStyle name="Comma 3 2 5 2 2 2" xfId="5270" xr:uid="{55F5AA74-F873-488D-BADA-3507B66F820A}"/>
    <cellStyle name="Comma 3 2 5 2 2 2 2" xfId="10906" xr:uid="{AD66E7FF-7A42-4321-83C8-67746CC6C618}"/>
    <cellStyle name="Comma 3 2 5 2 2 3" xfId="8096" xr:uid="{4BABE129-4B33-4805-BC3D-DB514FC51BDD}"/>
    <cellStyle name="Comma 3 2 5 2 3" xfId="3869" xr:uid="{BA425DD2-C97D-46B6-A0FA-F7E9BD0AB16E}"/>
    <cellStyle name="Comma 3 2 5 2 3 2" xfId="9505" xr:uid="{B4F81025-96A3-4F32-ADFC-4D2DB822849A}"/>
    <cellStyle name="Comma 3 2 5 2 4" xfId="6695" xr:uid="{2B015800-4FCA-424F-B982-C82EE20B2290}"/>
    <cellStyle name="Comma 3 2 5 3" xfId="1764" xr:uid="{B458625F-2913-4A95-A3C9-404DD8406C32}"/>
    <cellStyle name="Comma 3 2 5 3 2" xfId="4574" xr:uid="{511AEB54-6644-428E-A082-343571BF8B56}"/>
    <cellStyle name="Comma 3 2 5 3 2 2" xfId="10210" xr:uid="{6F953EC3-BDF4-4906-AA25-54AF052C98B6}"/>
    <cellStyle name="Comma 3 2 5 3 3" xfId="7400" xr:uid="{70932801-5C16-4FB3-96C7-D915E3AE9F5A}"/>
    <cellStyle name="Comma 3 2 5 4" xfId="3173" xr:uid="{A2E7CB18-143C-40BE-A8FB-A45C9246DFE2}"/>
    <cellStyle name="Comma 3 2 5 4 2" xfId="8809" xr:uid="{37D3C603-7887-4312-9A30-6D66112E4A12}"/>
    <cellStyle name="Comma 3 2 5 5" xfId="5999" xr:uid="{61B52CB0-977F-45A5-8E67-140681E0E228}"/>
    <cellStyle name="Comma 3 2 6" xfId="715" xr:uid="{E4BC78DE-70CE-4164-8BC9-2C0169FBC3EA}"/>
    <cellStyle name="Comma 3 2 6 2" xfId="2116" xr:uid="{BC180306-EA04-4982-9998-E8AC01427355}"/>
    <cellStyle name="Comma 3 2 6 2 2" xfId="4926" xr:uid="{12F8B174-01CD-4DFA-A1E4-7CB08707E1BC}"/>
    <cellStyle name="Comma 3 2 6 2 2 2" xfId="10562" xr:uid="{CCB48DA7-BACC-43BC-AA68-F9403CA6D42C}"/>
    <cellStyle name="Comma 3 2 6 2 3" xfId="7752" xr:uid="{C2DE7976-E47A-46DF-A3C6-80BC8CC6A487}"/>
    <cellStyle name="Comma 3 2 6 3" xfId="3525" xr:uid="{2A13D04A-F66B-41AC-9BC3-5B60F1D69997}"/>
    <cellStyle name="Comma 3 2 6 3 2" xfId="9161" xr:uid="{9817396E-7167-4879-93F8-9F17022F2375}"/>
    <cellStyle name="Comma 3 2 6 4" xfId="6351" xr:uid="{CB7F5742-3B3D-4D36-9848-FD104D9269A3}"/>
    <cellStyle name="Comma 3 2 7" xfId="1420" xr:uid="{09DD87E5-F79F-4B35-A05C-843CD1E21FE6}"/>
    <cellStyle name="Comma 3 2 7 2" xfId="4230" xr:uid="{22D6B5FE-44B3-4864-B0DA-E5F25AD3CC58}"/>
    <cellStyle name="Comma 3 2 7 2 2" xfId="9866" xr:uid="{705E7109-4C6A-465A-8FE6-E13B06AA288A}"/>
    <cellStyle name="Comma 3 2 7 3" xfId="7056" xr:uid="{817400F7-1D63-411C-A888-5CE261CB6B8E}"/>
    <cellStyle name="Comma 3 2 8" xfId="2829" xr:uid="{558038BD-57B3-4022-870E-0CE0227D9C99}"/>
    <cellStyle name="Comma 3 2 8 2" xfId="8465" xr:uid="{D150DD93-87E0-4454-BCB2-AAF722F0F016}"/>
    <cellStyle name="Comma 3 2 9" xfId="5655" xr:uid="{3892745E-F0C4-4F7B-BA61-864CF547AFC2}"/>
    <cellStyle name="Comma 3 3" xfId="39" xr:uid="{98BF412A-A04A-452A-BBA1-2F6D06F52F27}"/>
    <cellStyle name="Comma 3 3 2" xfId="119" xr:uid="{D8D99B41-8656-4F31-B057-BCC3ED6F9A77}"/>
    <cellStyle name="Comma 3 3 2 2" xfId="291" xr:uid="{297E5061-4403-45B8-9A70-616854B6FC30}"/>
    <cellStyle name="Comma 3 3 2 2 2" xfId="635" xr:uid="{BB78FB24-4C10-417A-9C52-31FDF245A1D0}"/>
    <cellStyle name="Comma 3 3 2 2 2 2" xfId="1331" xr:uid="{6D20C5A2-CA6A-4C68-A39F-C4FD2FAA16FD}"/>
    <cellStyle name="Comma 3 3 2 2 2 2 2" xfId="2732" xr:uid="{DC2B8C1D-E63A-41DA-B845-0DC2643D90E8}"/>
    <cellStyle name="Comma 3 3 2 2 2 2 2 2" xfId="5542" xr:uid="{71F973DF-94A2-4078-A5AE-1B36A0F39D7B}"/>
    <cellStyle name="Comma 3 3 2 2 2 2 2 2 2" xfId="11178" xr:uid="{69A2B745-1DB5-4500-8152-A533BF9B9CBA}"/>
    <cellStyle name="Comma 3 3 2 2 2 2 2 3" xfId="8368" xr:uid="{E1F26FF2-49AA-4CE1-A2F2-C28422C22CC7}"/>
    <cellStyle name="Comma 3 3 2 2 2 2 3" xfId="4141" xr:uid="{DA698EFA-5B72-4675-AAB6-D22BF0C950FD}"/>
    <cellStyle name="Comma 3 3 2 2 2 2 3 2" xfId="9777" xr:uid="{20058D9F-71A5-48D4-BCC3-D7653D3571C0}"/>
    <cellStyle name="Comma 3 3 2 2 2 2 4" xfId="6967" xr:uid="{20B4BD04-331B-4049-9CAB-98E05AB07629}"/>
    <cellStyle name="Comma 3 3 2 2 2 3" xfId="2036" xr:uid="{31638B11-7F4B-4109-8D9C-BF89C2656BF2}"/>
    <cellStyle name="Comma 3 3 2 2 2 3 2" xfId="4846" xr:uid="{EBFDF0FA-3819-4BC1-B7FF-D456A4F78C6D}"/>
    <cellStyle name="Comma 3 3 2 2 2 3 2 2" xfId="10482" xr:uid="{9880C16E-EB3B-4BB8-8B38-AF4F5590DE9D}"/>
    <cellStyle name="Comma 3 3 2 2 2 3 3" xfId="7672" xr:uid="{36D3E054-2B5E-48E6-A556-6D32CB3096C4}"/>
    <cellStyle name="Comma 3 3 2 2 2 4" xfId="3445" xr:uid="{FA0FF03F-9BB1-4427-A073-EA7C83DFBF6B}"/>
    <cellStyle name="Comma 3 3 2 2 2 4 2" xfId="9081" xr:uid="{6EFE4656-A9C8-4D1F-84D9-647FCB5D0C4C}"/>
    <cellStyle name="Comma 3 3 2 2 2 5" xfId="6271" xr:uid="{3E07EAE1-A6A4-44E0-BD51-A9136435F252}"/>
    <cellStyle name="Comma 3 3 2 2 3" xfId="987" xr:uid="{D39424C1-E8AE-4DE5-9E0F-6993253C4736}"/>
    <cellStyle name="Comma 3 3 2 2 3 2" xfId="2388" xr:uid="{ABE8E07E-D4A4-4E51-AEFE-B5DBF51FBD1E}"/>
    <cellStyle name="Comma 3 3 2 2 3 2 2" xfId="5198" xr:uid="{0CD06B16-7E0E-41D1-B48C-98B16F48D137}"/>
    <cellStyle name="Comma 3 3 2 2 3 2 2 2" xfId="10834" xr:uid="{03B86B88-7943-4671-9A42-D90D0DDB61B5}"/>
    <cellStyle name="Comma 3 3 2 2 3 2 3" xfId="8024" xr:uid="{327D4418-AAFB-4B14-928D-38440A15B2C4}"/>
    <cellStyle name="Comma 3 3 2 2 3 3" xfId="3797" xr:uid="{C13F89ED-5185-4D1C-9DB0-5CC703B4C603}"/>
    <cellStyle name="Comma 3 3 2 2 3 3 2" xfId="9433" xr:uid="{0A360236-4217-4862-88E0-B22E29F69D50}"/>
    <cellStyle name="Comma 3 3 2 2 3 4" xfId="6623" xr:uid="{1FB894D3-E241-41FB-985C-5A5414177FE5}"/>
    <cellStyle name="Comma 3 3 2 2 4" xfId="1692" xr:uid="{40978F2B-0E62-4037-90EA-07BCA6E82443}"/>
    <cellStyle name="Comma 3 3 2 2 4 2" xfId="4502" xr:uid="{4E5BF0CD-7286-47B7-8016-B1CF3E14E708}"/>
    <cellStyle name="Comma 3 3 2 2 4 2 2" xfId="10138" xr:uid="{BFC5453F-89F0-44D4-81A9-FD31FA1F9497}"/>
    <cellStyle name="Comma 3 3 2 2 4 3" xfId="7328" xr:uid="{4934B5E0-AE79-4720-99ED-88A8F3DB8BE1}"/>
    <cellStyle name="Comma 3 3 2 2 5" xfId="3101" xr:uid="{1DFFE188-8233-439C-A38A-38CE6406A14D}"/>
    <cellStyle name="Comma 3 3 2 2 5 2" xfId="8737" xr:uid="{7C9E0536-AB01-4897-9DD2-AD39D1608DEC}"/>
    <cellStyle name="Comma 3 3 2 2 6" xfId="5927" xr:uid="{8E56DCA0-FD3B-4E04-8F56-5DCF2EF3B564}"/>
    <cellStyle name="Comma 3 3 2 3" xfId="463" xr:uid="{828D59F2-EB5A-46DE-A6FB-766ECDA449D8}"/>
    <cellStyle name="Comma 3 3 2 3 2" xfId="1159" xr:uid="{E60408D4-D029-4B4C-847C-B8F9E65FB2C3}"/>
    <cellStyle name="Comma 3 3 2 3 2 2" xfId="2560" xr:uid="{6C726C6E-3667-4F9A-9627-46A73CF2125A}"/>
    <cellStyle name="Comma 3 3 2 3 2 2 2" xfId="5370" xr:uid="{2EE82E18-B353-483D-B8DB-2DEB29A2BBE8}"/>
    <cellStyle name="Comma 3 3 2 3 2 2 2 2" xfId="11006" xr:uid="{AAB262F5-4AB8-4548-8C42-4C33781D57A2}"/>
    <cellStyle name="Comma 3 3 2 3 2 2 3" xfId="8196" xr:uid="{3B385610-C444-4401-B379-8735202FDB82}"/>
    <cellStyle name="Comma 3 3 2 3 2 3" xfId="3969" xr:uid="{3D67FF5D-16B3-48C7-BAB7-FA07BC2A8F40}"/>
    <cellStyle name="Comma 3 3 2 3 2 3 2" xfId="9605" xr:uid="{869AAD1F-5761-4752-AFC6-A4BD11ABE146}"/>
    <cellStyle name="Comma 3 3 2 3 2 4" xfId="6795" xr:uid="{14C40D14-1DA6-48B0-987A-2818BF5CD08A}"/>
    <cellStyle name="Comma 3 3 2 3 3" xfId="1864" xr:uid="{0EDFB402-8E0B-44AE-9AE3-26CA43E54D25}"/>
    <cellStyle name="Comma 3 3 2 3 3 2" xfId="4674" xr:uid="{C51E2B2E-1E63-47C1-BA0C-13D0E25A2BED}"/>
    <cellStyle name="Comma 3 3 2 3 3 2 2" xfId="10310" xr:uid="{4660547D-7F36-404C-9022-42B71292C37F}"/>
    <cellStyle name="Comma 3 3 2 3 3 3" xfId="7500" xr:uid="{903A56C9-FFDE-400F-B42C-BD0ACF0BC378}"/>
    <cellStyle name="Comma 3 3 2 3 4" xfId="3273" xr:uid="{785D0B03-97B8-49E9-B392-C08315F87E8E}"/>
    <cellStyle name="Comma 3 3 2 3 4 2" xfId="8909" xr:uid="{5416050C-9C1B-4193-B788-6BE0AE66252D}"/>
    <cellStyle name="Comma 3 3 2 3 5" xfId="6099" xr:uid="{13E91084-B74F-4851-A629-2368B64DDF8D}"/>
    <cellStyle name="Comma 3 3 2 4" xfId="815" xr:uid="{CC01D1A7-2872-41EA-B7D5-88AD510A85E6}"/>
    <cellStyle name="Comma 3 3 2 4 2" xfId="2216" xr:uid="{4839E374-B88D-4695-831B-C259EA1A5D83}"/>
    <cellStyle name="Comma 3 3 2 4 2 2" xfId="5026" xr:uid="{0131FB4D-2E35-4564-A9DC-AC529360312A}"/>
    <cellStyle name="Comma 3 3 2 4 2 2 2" xfId="10662" xr:uid="{45528449-AD4D-4E69-9FEC-A15257B4B34A}"/>
    <cellStyle name="Comma 3 3 2 4 2 3" xfId="7852" xr:uid="{5B7C758F-DC54-4F9E-91C0-5CF576E4B479}"/>
    <cellStyle name="Comma 3 3 2 4 3" xfId="3625" xr:uid="{2A238186-4AA0-4A28-A8C9-D21EB5792F89}"/>
    <cellStyle name="Comma 3 3 2 4 3 2" xfId="9261" xr:uid="{42FBF882-31D7-4254-AFBD-27D888EA8E38}"/>
    <cellStyle name="Comma 3 3 2 4 4" xfId="6451" xr:uid="{7C0D0D5F-1325-44BE-B51D-BB4609513D63}"/>
    <cellStyle name="Comma 3 3 2 5" xfId="1520" xr:uid="{E12A68EE-6785-49D1-9E41-E79F0976A69D}"/>
    <cellStyle name="Comma 3 3 2 5 2" xfId="4330" xr:uid="{64FC159D-D57F-490E-BACE-C19936FF2398}"/>
    <cellStyle name="Comma 3 3 2 5 2 2" xfId="9966" xr:uid="{D7BC6FB4-9C21-4E38-9A91-0189024673E7}"/>
    <cellStyle name="Comma 3 3 2 5 3" xfId="7156" xr:uid="{6395C3B0-001B-4C93-8D8D-3874D7434E3A}"/>
    <cellStyle name="Comma 3 3 2 6" xfId="2929" xr:uid="{D9B72AF5-5D55-483F-BAF9-255891DE0D48}"/>
    <cellStyle name="Comma 3 3 2 6 2" xfId="8565" xr:uid="{4453DA49-D41C-4301-80E8-92CA0A9967E0}"/>
    <cellStyle name="Comma 3 3 2 7" xfId="5755" xr:uid="{A9F9B215-0BDE-40ED-BFCE-2CB58BA26C7B}"/>
    <cellStyle name="Comma 3 3 3" xfId="211" xr:uid="{3898058C-68AA-4A56-AB8F-68F65D96928F}"/>
    <cellStyle name="Comma 3 3 3 2" xfId="555" xr:uid="{C0FDEEA3-1749-4311-8071-CBAFFB179F1C}"/>
    <cellStyle name="Comma 3 3 3 2 2" xfId="1251" xr:uid="{5B5BE1A9-FEBE-4A99-B120-0AF88873A940}"/>
    <cellStyle name="Comma 3 3 3 2 2 2" xfId="2652" xr:uid="{F3069DCC-A169-4DF6-B4C1-EC19F3FC6C7A}"/>
    <cellStyle name="Comma 3 3 3 2 2 2 2" xfId="5462" xr:uid="{42D3C689-E062-4365-887C-11A4BEEDFA47}"/>
    <cellStyle name="Comma 3 3 3 2 2 2 2 2" xfId="11098" xr:uid="{44466F34-26FB-44BF-B495-D65B93DF9D09}"/>
    <cellStyle name="Comma 3 3 3 2 2 2 3" xfId="8288" xr:uid="{F6E9DB7B-3247-4DB3-A1CE-8EBDCCACEF84}"/>
    <cellStyle name="Comma 3 3 3 2 2 3" xfId="4061" xr:uid="{9CD7E116-4294-415C-9AA2-6E21CAD57A25}"/>
    <cellStyle name="Comma 3 3 3 2 2 3 2" xfId="9697" xr:uid="{C5DDED70-3A9E-497D-BC4B-BA620DF1F123}"/>
    <cellStyle name="Comma 3 3 3 2 2 4" xfId="6887" xr:uid="{AFB2778F-395B-4074-A921-66370D91F7EB}"/>
    <cellStyle name="Comma 3 3 3 2 3" xfId="1956" xr:uid="{042F51A6-71EB-459D-99E8-C646C7657F5E}"/>
    <cellStyle name="Comma 3 3 3 2 3 2" xfId="4766" xr:uid="{27DB9B76-B96F-4D93-AD67-9A6869F296A6}"/>
    <cellStyle name="Comma 3 3 3 2 3 2 2" xfId="10402" xr:uid="{05B8E0EA-B059-4B71-A881-E037BDD6F736}"/>
    <cellStyle name="Comma 3 3 3 2 3 3" xfId="7592" xr:uid="{00074476-BD68-49B8-8936-FBA613882E65}"/>
    <cellStyle name="Comma 3 3 3 2 4" xfId="3365" xr:uid="{8CD9858F-3475-4530-8765-9F1A1D3431C6}"/>
    <cellStyle name="Comma 3 3 3 2 4 2" xfId="9001" xr:uid="{9CA0E85E-AE83-4883-90EE-BFF32B950752}"/>
    <cellStyle name="Comma 3 3 3 2 5" xfId="6191" xr:uid="{1A9BC32C-B3FC-4293-B8D8-C044CD397586}"/>
    <cellStyle name="Comma 3 3 3 3" xfId="907" xr:uid="{F440D4D4-5E79-4820-8D66-95F7F336CC6F}"/>
    <cellStyle name="Comma 3 3 3 3 2" xfId="2308" xr:uid="{67080657-0178-4FDA-8157-8ED2F45E0F20}"/>
    <cellStyle name="Comma 3 3 3 3 2 2" xfId="5118" xr:uid="{795F228D-62AD-4AF8-9FB6-FF2A7095BEF5}"/>
    <cellStyle name="Comma 3 3 3 3 2 2 2" xfId="10754" xr:uid="{41CFCE1D-7C7A-4451-B3FA-063C29F4D91C}"/>
    <cellStyle name="Comma 3 3 3 3 2 3" xfId="7944" xr:uid="{AABD607E-E1C8-4DF8-BBAA-2B340969A2C4}"/>
    <cellStyle name="Comma 3 3 3 3 3" xfId="3717" xr:uid="{DCA4485E-6091-4765-BA94-9D813696260D}"/>
    <cellStyle name="Comma 3 3 3 3 3 2" xfId="9353" xr:uid="{5C00C8F6-323B-4CEE-821D-1EB1292A54ED}"/>
    <cellStyle name="Comma 3 3 3 3 4" xfId="6543" xr:uid="{57F73F48-E5C1-41A7-9B45-A641A6215E07}"/>
    <cellStyle name="Comma 3 3 3 4" xfId="1612" xr:uid="{DF0296C6-5B4B-4897-992B-825A65D988FD}"/>
    <cellStyle name="Comma 3 3 3 4 2" xfId="4422" xr:uid="{D2260EEE-3613-49D0-8AA8-56F4FAEB90BE}"/>
    <cellStyle name="Comma 3 3 3 4 2 2" xfId="10058" xr:uid="{615103DC-382C-4F66-AF7E-00E38241EEED}"/>
    <cellStyle name="Comma 3 3 3 4 3" xfId="7248" xr:uid="{560EDC87-184B-414C-8ACD-94F58E0EBB61}"/>
    <cellStyle name="Comma 3 3 3 5" xfId="3021" xr:uid="{A38FC9C9-2A7F-4C14-956E-5D4635D00C7E}"/>
    <cellStyle name="Comma 3 3 3 5 2" xfId="8657" xr:uid="{E8D799A5-999C-4DCD-8711-752D313127E8}"/>
    <cellStyle name="Comma 3 3 3 6" xfId="5847" xr:uid="{2E1FAA4F-868D-4047-BEEB-21A3A6EFBEC5}"/>
    <cellStyle name="Comma 3 3 4" xfId="383" xr:uid="{A1BD3E62-B254-4F97-AB62-612E28BA2C3D}"/>
    <cellStyle name="Comma 3 3 4 2" xfId="1079" xr:uid="{68C69366-2452-4344-A439-833020369F76}"/>
    <cellStyle name="Comma 3 3 4 2 2" xfId="2480" xr:uid="{B3393FED-C563-4EA4-8E04-DD8087941C3E}"/>
    <cellStyle name="Comma 3 3 4 2 2 2" xfId="5290" xr:uid="{65614358-6418-4E0C-B8CB-6F50520E21CC}"/>
    <cellStyle name="Comma 3 3 4 2 2 2 2" xfId="10926" xr:uid="{9AFE9866-5E6F-4FFE-99E7-4C96C302F046}"/>
    <cellStyle name="Comma 3 3 4 2 2 3" xfId="8116" xr:uid="{59EC6F1D-EA0F-4313-93FC-AC0EF523671A}"/>
    <cellStyle name="Comma 3 3 4 2 3" xfId="3889" xr:uid="{9446CF76-050B-43ED-9CAE-97A8E0A6DBE3}"/>
    <cellStyle name="Comma 3 3 4 2 3 2" xfId="9525" xr:uid="{0E708806-F65F-434C-A810-280AFBCF487B}"/>
    <cellStyle name="Comma 3 3 4 2 4" xfId="6715" xr:uid="{2DB087D7-4C7D-4670-8465-25284523F43A}"/>
    <cellStyle name="Comma 3 3 4 3" xfId="1784" xr:uid="{3569044F-1370-48DC-9FA9-162AA87DCF77}"/>
    <cellStyle name="Comma 3 3 4 3 2" xfId="4594" xr:uid="{645FA3D8-0FC1-4A10-B035-9A4BA1F2B921}"/>
    <cellStyle name="Comma 3 3 4 3 2 2" xfId="10230" xr:uid="{095C1508-3D4C-48DE-8149-7D720D7B9950}"/>
    <cellStyle name="Comma 3 3 4 3 3" xfId="7420" xr:uid="{4E8FBAD2-690B-4115-BE3D-702F17D910E5}"/>
    <cellStyle name="Comma 3 3 4 4" xfId="3193" xr:uid="{63B0929E-8622-4740-8371-CEA3DB07AB29}"/>
    <cellStyle name="Comma 3 3 4 4 2" xfId="8829" xr:uid="{C621D882-93B3-41DD-AABD-3DE138ED193A}"/>
    <cellStyle name="Comma 3 3 4 5" xfId="6019" xr:uid="{B63C6B15-896D-4BB1-A264-A1F2625DD250}"/>
    <cellStyle name="Comma 3 3 5" xfId="735" xr:uid="{187B29DB-9305-4A2C-8AA6-FFD71DD6D7C2}"/>
    <cellStyle name="Comma 3 3 5 2" xfId="2136" xr:uid="{61F64838-6F19-49F4-8861-5E4D48920503}"/>
    <cellStyle name="Comma 3 3 5 2 2" xfId="4946" xr:uid="{6C45F5F2-9C90-4382-8D88-C1B6035E19B9}"/>
    <cellStyle name="Comma 3 3 5 2 2 2" xfId="10582" xr:uid="{E7B86F71-521D-41FD-91FF-3B78BFF97571}"/>
    <cellStyle name="Comma 3 3 5 2 3" xfId="7772" xr:uid="{0206A2A4-1368-46D3-BAC2-E9E56DE1BC50}"/>
    <cellStyle name="Comma 3 3 5 3" xfId="3545" xr:uid="{B47D4600-A4EA-4BD2-98B5-34920A4BD0E5}"/>
    <cellStyle name="Comma 3 3 5 3 2" xfId="9181" xr:uid="{31E6089D-F06F-4B92-B19C-669BBDDBEE0C}"/>
    <cellStyle name="Comma 3 3 5 4" xfId="6371" xr:uid="{E03FCF9F-F704-4608-AC0C-CD9C0182F54C}"/>
    <cellStyle name="Comma 3 3 6" xfId="1440" xr:uid="{43895541-BC71-43E2-9012-FE342FFE5C92}"/>
    <cellStyle name="Comma 3 3 6 2" xfId="4250" xr:uid="{EB20B669-81A4-4261-A373-FCD157172207}"/>
    <cellStyle name="Comma 3 3 6 2 2" xfId="9886" xr:uid="{35F54239-0C9A-45CB-8507-A4D06880C07E}"/>
    <cellStyle name="Comma 3 3 6 3" xfId="7076" xr:uid="{023DF0DA-E023-4BE7-B0F5-4E7CAF22CA3A}"/>
    <cellStyle name="Comma 3 3 7" xfId="2849" xr:uid="{DB430AA7-F593-42E8-9F17-57001731E538}"/>
    <cellStyle name="Comma 3 3 7 2" xfId="8485" xr:uid="{9C51D7CD-993B-49C1-ACDB-A272493DE18F}"/>
    <cellStyle name="Comma 3 3 8" xfId="5675" xr:uid="{6ABB650F-352B-4148-B0C3-1C9FCD92FDB7}"/>
    <cellStyle name="Comma 3 4" xfId="87" xr:uid="{1BC93E59-0E74-4F6C-8BAA-A2FB5C23036B}"/>
    <cellStyle name="Comma 3 4 2" xfId="259" xr:uid="{0F732119-C2F1-4A1F-B40F-10623F537706}"/>
    <cellStyle name="Comma 3 4 2 2" xfId="603" xr:uid="{6E81142F-5D49-4809-AB25-F28CD564934E}"/>
    <cellStyle name="Comma 3 4 2 2 2" xfId="1299" xr:uid="{849A3251-0476-43A9-BB70-3A8A61940EDC}"/>
    <cellStyle name="Comma 3 4 2 2 2 2" xfId="2700" xr:uid="{11D881D2-AF15-4677-B4A3-7431822C7B9C}"/>
    <cellStyle name="Comma 3 4 2 2 2 2 2" xfId="5510" xr:uid="{2351CDA9-BD27-4F02-9B55-A72598C27872}"/>
    <cellStyle name="Comma 3 4 2 2 2 2 2 2" xfId="11146" xr:uid="{6BE572E4-FB67-4A27-AD24-ADAAC9B9B3D9}"/>
    <cellStyle name="Comma 3 4 2 2 2 2 3" xfId="8336" xr:uid="{DAF79474-CBE2-40F6-91D5-2F09C84508C0}"/>
    <cellStyle name="Comma 3 4 2 2 2 3" xfId="4109" xr:uid="{4C42138F-5182-4B7F-9A3C-E590BB120777}"/>
    <cellStyle name="Comma 3 4 2 2 2 3 2" xfId="9745" xr:uid="{FCF73D62-AF0F-49E6-8C8C-5138E7469733}"/>
    <cellStyle name="Comma 3 4 2 2 2 4" xfId="6935" xr:uid="{24A49ACF-C0D7-497A-BE13-B6E519379247}"/>
    <cellStyle name="Comma 3 4 2 2 3" xfId="2004" xr:uid="{6024BA84-FBC6-4ECC-9461-E0BF0C778CA1}"/>
    <cellStyle name="Comma 3 4 2 2 3 2" xfId="4814" xr:uid="{8E35231C-0FDA-47A9-9D08-DC2BE910757F}"/>
    <cellStyle name="Comma 3 4 2 2 3 2 2" xfId="10450" xr:uid="{78B0CA44-0EDD-4D25-B5E2-D77B2FE30430}"/>
    <cellStyle name="Comma 3 4 2 2 3 3" xfId="7640" xr:uid="{7BC1C536-CC8F-41DA-A66B-B03C74A76D50}"/>
    <cellStyle name="Comma 3 4 2 2 4" xfId="3413" xr:uid="{9665A4AA-E3B6-4EB5-A158-2A172C3FB9C2}"/>
    <cellStyle name="Comma 3 4 2 2 4 2" xfId="9049" xr:uid="{AD1D3DDB-70A4-4565-9748-B7E9FDCE6B65}"/>
    <cellStyle name="Comma 3 4 2 2 5" xfId="6239" xr:uid="{4BA8DE69-95D2-4DA5-B74E-60FB4F6E30B2}"/>
    <cellStyle name="Comma 3 4 2 3" xfId="955" xr:uid="{E54A3E41-1849-44ED-907C-74A52ECA1389}"/>
    <cellStyle name="Comma 3 4 2 3 2" xfId="2356" xr:uid="{818413A3-B546-4AED-8FB0-5DD7E251241E}"/>
    <cellStyle name="Comma 3 4 2 3 2 2" xfId="5166" xr:uid="{F850A32A-4634-49BD-A332-3DFFA3A2D285}"/>
    <cellStyle name="Comma 3 4 2 3 2 2 2" xfId="10802" xr:uid="{CDE34B5A-094C-4576-BE7D-347E8893CC03}"/>
    <cellStyle name="Comma 3 4 2 3 2 3" xfId="7992" xr:uid="{B29FCED6-BB1E-4824-B199-34979844E68E}"/>
    <cellStyle name="Comma 3 4 2 3 3" xfId="3765" xr:uid="{4322B2E9-2752-48EB-B2FA-154D85298099}"/>
    <cellStyle name="Comma 3 4 2 3 3 2" xfId="9401" xr:uid="{944BC296-0F12-43C9-B6B7-A931764EC017}"/>
    <cellStyle name="Comma 3 4 2 3 4" xfId="6591" xr:uid="{2B3A759B-ABF4-4176-B16B-111B43EB2091}"/>
    <cellStyle name="Comma 3 4 2 4" xfId="1660" xr:uid="{8D04761E-A85E-4891-978F-D32C13FC1414}"/>
    <cellStyle name="Comma 3 4 2 4 2" xfId="4470" xr:uid="{C0922B7F-DB68-4435-BF6F-0FD577C8F87F}"/>
    <cellStyle name="Comma 3 4 2 4 2 2" xfId="10106" xr:uid="{3F40C97B-1EA7-4AD8-9C8E-07CC126F469D}"/>
    <cellStyle name="Comma 3 4 2 4 3" xfId="7296" xr:uid="{11410EA8-93E7-46A6-B759-2B4FA81922AD}"/>
    <cellStyle name="Comma 3 4 2 5" xfId="3069" xr:uid="{94AB7B4F-E3BC-4F64-99DB-A3275682C8FD}"/>
    <cellStyle name="Comma 3 4 2 5 2" xfId="8705" xr:uid="{774CE2DD-3D83-4DD2-9A93-0481AD3D1510}"/>
    <cellStyle name="Comma 3 4 2 6" xfId="5895" xr:uid="{A701F09E-8B97-4745-8FAE-3C97BF6742F5}"/>
    <cellStyle name="Comma 3 4 3" xfId="431" xr:uid="{BB73DCB6-A1F7-4F38-8D3C-18BFD4227D8E}"/>
    <cellStyle name="Comma 3 4 3 2" xfId="1127" xr:uid="{68160788-B502-4458-BC24-F620DAF7A770}"/>
    <cellStyle name="Comma 3 4 3 2 2" xfId="2528" xr:uid="{749E7A1B-49B0-40D9-9C9B-4A8EB10DE8A5}"/>
    <cellStyle name="Comma 3 4 3 2 2 2" xfId="5338" xr:uid="{32EF0D12-5437-4FED-96F0-D60EABB9CB9A}"/>
    <cellStyle name="Comma 3 4 3 2 2 2 2" xfId="10974" xr:uid="{B231CE79-9253-4E67-9BBA-4B259C55351D}"/>
    <cellStyle name="Comma 3 4 3 2 2 3" xfId="8164" xr:uid="{96782888-D30D-4D65-ADBE-FB81FF807DC9}"/>
    <cellStyle name="Comma 3 4 3 2 3" xfId="3937" xr:uid="{CDCFDAFC-627B-464B-9457-B1FA1EF071E3}"/>
    <cellStyle name="Comma 3 4 3 2 3 2" xfId="9573" xr:uid="{CA8030E8-1882-4069-8966-B3D8FCBA5434}"/>
    <cellStyle name="Comma 3 4 3 2 4" xfId="6763" xr:uid="{8B3BD5E3-A651-49FA-A3A1-6493469FDCF8}"/>
    <cellStyle name="Comma 3 4 3 3" xfId="1832" xr:uid="{6A9A1CBD-AF18-4487-83D3-56CB1745F5AE}"/>
    <cellStyle name="Comma 3 4 3 3 2" xfId="4642" xr:uid="{8EF77E10-08B2-4480-8F9A-D320591BB747}"/>
    <cellStyle name="Comma 3 4 3 3 2 2" xfId="10278" xr:uid="{B3BBC1B7-C5A2-4340-BA22-4B9920091C9C}"/>
    <cellStyle name="Comma 3 4 3 3 3" xfId="7468" xr:uid="{ABE5203A-F8D7-4C12-AD81-2F754C192F40}"/>
    <cellStyle name="Comma 3 4 3 4" xfId="3241" xr:uid="{E25520E0-E553-44AD-A2DD-E34FA1F22D8C}"/>
    <cellStyle name="Comma 3 4 3 4 2" xfId="8877" xr:uid="{F4AF5FFD-5EC9-4D37-A849-42E13AA1C4B2}"/>
    <cellStyle name="Comma 3 4 3 5" xfId="6067" xr:uid="{89B7D3C5-C2BF-429B-B44E-A1CB487CC51D}"/>
    <cellStyle name="Comma 3 4 4" xfId="783" xr:uid="{85DE3F74-4A10-4878-BE75-6193ADAFA01D}"/>
    <cellStyle name="Comma 3 4 4 2" xfId="2184" xr:uid="{026E88D9-E01D-4661-BCB8-EF63AA657E02}"/>
    <cellStyle name="Comma 3 4 4 2 2" xfId="4994" xr:uid="{33FD6253-8998-4BED-8471-5457A28D1491}"/>
    <cellStyle name="Comma 3 4 4 2 2 2" xfId="10630" xr:uid="{71702DAE-A542-4408-AC2E-070B11488DB0}"/>
    <cellStyle name="Comma 3 4 4 2 3" xfId="7820" xr:uid="{F6EB1856-631A-4D79-AA13-E54523EC2D9C}"/>
    <cellStyle name="Comma 3 4 4 3" xfId="3593" xr:uid="{DA3AF9BA-635A-48BF-8431-EF0BE894BC7F}"/>
    <cellStyle name="Comma 3 4 4 3 2" xfId="9229" xr:uid="{F31449EA-0795-4BC4-86FE-8A753B5FF8E7}"/>
    <cellStyle name="Comma 3 4 4 4" xfId="6419" xr:uid="{934A1E4B-DBB3-44E0-9CB5-F03F7B995B9E}"/>
    <cellStyle name="Comma 3 4 5" xfId="1488" xr:uid="{9274272D-27F6-4085-A4BE-3BE2EDF53C9F}"/>
    <cellStyle name="Comma 3 4 5 2" xfId="4298" xr:uid="{4E6DBD52-F8AF-4807-8DE7-B518089D0B02}"/>
    <cellStyle name="Comma 3 4 5 2 2" xfId="9934" xr:uid="{46CFFF8B-F024-453E-87F4-300AB85880E5}"/>
    <cellStyle name="Comma 3 4 5 3" xfId="7124" xr:uid="{6DA18052-F659-4C73-BADE-8E6C85A9F18E}"/>
    <cellStyle name="Comma 3 4 6" xfId="2897" xr:uid="{2C2467B4-17B0-4AF7-9177-7876A6EBC13E}"/>
    <cellStyle name="Comma 3 4 6 2" xfId="8533" xr:uid="{C521FA51-3004-4BF7-9260-B1CA13884930}"/>
    <cellStyle name="Comma 3 4 7" xfId="5723" xr:uid="{7A643DE1-4D0D-4AB5-94CF-B138CFD2B7E7}"/>
    <cellStyle name="Comma 3 5" xfId="179" xr:uid="{00A0D5AF-5AFF-4BEF-8535-1915BB254497}"/>
    <cellStyle name="Comma 3 5 2" xfId="523" xr:uid="{FF49D767-3B85-4B57-874A-2060CBF3C3EE}"/>
    <cellStyle name="Comma 3 5 2 2" xfId="1219" xr:uid="{810FD5E2-A246-4568-A4BB-6CD1FF835AA4}"/>
    <cellStyle name="Comma 3 5 2 2 2" xfId="2620" xr:uid="{BE180ED9-7692-4959-9A68-38D3052A864B}"/>
    <cellStyle name="Comma 3 5 2 2 2 2" xfId="5430" xr:uid="{13331B2D-DE0B-49C7-AD38-5481D3738A71}"/>
    <cellStyle name="Comma 3 5 2 2 2 2 2" xfId="11066" xr:uid="{06A9022E-D592-4F3A-8B6B-DB9342771E74}"/>
    <cellStyle name="Comma 3 5 2 2 2 3" xfId="8256" xr:uid="{AA3DFFF6-C0A2-499D-AA5C-B511102DE5DA}"/>
    <cellStyle name="Comma 3 5 2 2 3" xfId="4029" xr:uid="{FEA722D0-F8B9-4BDD-8CEC-396ED785443A}"/>
    <cellStyle name="Comma 3 5 2 2 3 2" xfId="9665" xr:uid="{DA0C1945-149A-48FC-87B9-D3080562C8CE}"/>
    <cellStyle name="Comma 3 5 2 2 4" xfId="6855" xr:uid="{BFBE2506-B2F2-4A36-858C-D101A6189390}"/>
    <cellStyle name="Comma 3 5 2 3" xfId="1924" xr:uid="{DE467C45-8ABC-4B68-BE85-F89E36F4835E}"/>
    <cellStyle name="Comma 3 5 2 3 2" xfId="4734" xr:uid="{996C97B9-A4BB-4EF2-B1FA-422DC994FF4B}"/>
    <cellStyle name="Comma 3 5 2 3 2 2" xfId="10370" xr:uid="{90D5F8B8-F546-47FB-AD17-EB77F483A1BD}"/>
    <cellStyle name="Comma 3 5 2 3 3" xfId="7560" xr:uid="{CED6A8E1-4107-4C2E-B80A-5AD657012FD0}"/>
    <cellStyle name="Comma 3 5 2 4" xfId="3333" xr:uid="{03A1E0E5-950F-400A-89F6-296D7D5AB1D7}"/>
    <cellStyle name="Comma 3 5 2 4 2" xfId="8969" xr:uid="{46A57EDB-9DBF-41AA-BD63-A19EAAAAA3F9}"/>
    <cellStyle name="Comma 3 5 2 5" xfId="6159" xr:uid="{124D1CEC-A05B-4F14-B8F8-2BDC911A5DFD}"/>
    <cellStyle name="Comma 3 5 3" xfId="875" xr:uid="{34C32A88-9CCE-441B-8818-B0C6ADCFB1B1}"/>
    <cellStyle name="Comma 3 5 3 2" xfId="2276" xr:uid="{A0EE3007-3D68-4E9B-A649-81EB1F841003}"/>
    <cellStyle name="Comma 3 5 3 2 2" xfId="5086" xr:uid="{40429E3A-AA84-453B-ADA7-7F33D3268727}"/>
    <cellStyle name="Comma 3 5 3 2 2 2" xfId="10722" xr:uid="{2E32BBF4-DDF8-4649-BEEE-45F57006F599}"/>
    <cellStyle name="Comma 3 5 3 2 3" xfId="7912" xr:uid="{2DF7D197-15AA-4318-BAB5-BE25FC27E97F}"/>
    <cellStyle name="Comma 3 5 3 3" xfId="3685" xr:uid="{40023206-2E11-4BED-9B7D-3D06F88DDB41}"/>
    <cellStyle name="Comma 3 5 3 3 2" xfId="9321" xr:uid="{4C4FC253-EF8A-4052-B49C-FF64A050CF4D}"/>
    <cellStyle name="Comma 3 5 3 4" xfId="6511" xr:uid="{FA261B4A-A14D-424F-A1F3-48918FE736F4}"/>
    <cellStyle name="Comma 3 5 4" xfId="1580" xr:uid="{B3D112F3-373F-43B1-B69D-3921FEBE5E02}"/>
    <cellStyle name="Comma 3 5 4 2" xfId="4390" xr:uid="{0E833863-0308-4925-A1D7-0AE1FE2D39D3}"/>
    <cellStyle name="Comma 3 5 4 2 2" xfId="10026" xr:uid="{7855BC8D-A37B-4B62-B8EE-C675178217CD}"/>
    <cellStyle name="Comma 3 5 4 3" xfId="7216" xr:uid="{78183A04-E4E8-4A5E-8620-E4096A3D833E}"/>
    <cellStyle name="Comma 3 5 5" xfId="2989" xr:uid="{477C6D88-66A4-4F78-AA27-C6D195767C79}"/>
    <cellStyle name="Comma 3 5 5 2" xfId="8625" xr:uid="{98D4C70F-BC41-4A4C-9C45-AFD4C60D659F}"/>
    <cellStyle name="Comma 3 5 6" xfId="5815" xr:uid="{9126E125-370B-4B16-8A89-F0C4B43E6A19}"/>
    <cellStyle name="Comma 3 6" xfId="351" xr:uid="{F78FF82B-99A2-4FB5-9A61-288B1B5BBAC9}"/>
    <cellStyle name="Comma 3 6 2" xfId="1047" xr:uid="{6EF0A126-22DE-4102-B49A-C73FA5FC1F03}"/>
    <cellStyle name="Comma 3 6 2 2" xfId="2448" xr:uid="{2C4B2D0C-A12D-4BAE-9C32-8453D2659EED}"/>
    <cellStyle name="Comma 3 6 2 2 2" xfId="5258" xr:uid="{DF11ED71-C8B9-4917-80C0-0DD7D3A46E8A}"/>
    <cellStyle name="Comma 3 6 2 2 2 2" xfId="10894" xr:uid="{713F4BFC-0A0F-4873-BD7B-89087591AFC6}"/>
    <cellStyle name="Comma 3 6 2 2 3" xfId="8084" xr:uid="{BF2FB7DC-89A9-4CF7-AC0C-695D27954DEB}"/>
    <cellStyle name="Comma 3 6 2 3" xfId="3857" xr:uid="{1E7BF8D7-D473-4882-8CD8-E9C1A86F528F}"/>
    <cellStyle name="Comma 3 6 2 3 2" xfId="9493" xr:uid="{9E2DC5F1-8E97-4B0A-9195-273E135AF261}"/>
    <cellStyle name="Comma 3 6 2 4" xfId="6683" xr:uid="{AFB8C439-3783-4989-B453-8010A03C3074}"/>
    <cellStyle name="Comma 3 6 3" xfId="1752" xr:uid="{F7999435-E021-49D1-B209-25B16FA57E45}"/>
    <cellStyle name="Comma 3 6 3 2" xfId="4562" xr:uid="{53CE3A28-1A73-4CDC-AB04-E35784FBA851}"/>
    <cellStyle name="Comma 3 6 3 2 2" xfId="10198" xr:uid="{B5D3CB87-593D-4996-B909-2E8061CF1FF2}"/>
    <cellStyle name="Comma 3 6 3 3" xfId="7388" xr:uid="{CAC060B7-C0FB-4496-BD16-8FB1A7B28E5C}"/>
    <cellStyle name="Comma 3 6 4" xfId="3161" xr:uid="{E70E576A-384A-417A-B006-48DEB5A3181F}"/>
    <cellStyle name="Comma 3 6 4 2" xfId="8797" xr:uid="{CB70704E-4852-4F9D-8672-28BAAE5FA1CC}"/>
    <cellStyle name="Comma 3 6 5" xfId="5987" xr:uid="{EFB796F3-7503-4B7D-8B69-F646E203751B}"/>
    <cellStyle name="Comma 3 7" xfId="703" xr:uid="{120D93EB-6D83-4197-83DD-3A0F8D0AE459}"/>
    <cellStyle name="Comma 3 7 2" xfId="2104" xr:uid="{C28C3656-D728-47C8-9E0D-DA8E7A011BF0}"/>
    <cellStyle name="Comma 3 7 2 2" xfId="4914" xr:uid="{034993AC-E65E-4F58-BD0A-02B5437387EB}"/>
    <cellStyle name="Comma 3 7 2 2 2" xfId="10550" xr:uid="{AD370E00-2630-4E1E-9017-3D0E1BC1CFC3}"/>
    <cellStyle name="Comma 3 7 2 3" xfId="7740" xr:uid="{1CF7367B-7A11-40CF-98EA-F190FFFA6E82}"/>
    <cellStyle name="Comma 3 7 3" xfId="3513" xr:uid="{80E54C1B-9AC9-4E64-9AAC-4101001BAD98}"/>
    <cellStyle name="Comma 3 7 3 2" xfId="9149" xr:uid="{12C9C1AD-D37D-4E7A-9073-5E455708748A}"/>
    <cellStyle name="Comma 3 7 4" xfId="6339" xr:uid="{FDC48E82-53D4-4532-932F-2F7550A1EB6F}"/>
    <cellStyle name="Comma 3 8" xfId="1408" xr:uid="{39496E0B-D5DA-4533-BC2D-631129F7FCCA}"/>
    <cellStyle name="Comma 3 8 2" xfId="4218" xr:uid="{8BFE8676-1100-4E70-BEEF-D73654F1FE67}"/>
    <cellStyle name="Comma 3 8 2 2" xfId="9854" xr:uid="{696A246E-0F20-436F-893F-FA2EDECC3E65}"/>
    <cellStyle name="Comma 3 8 3" xfId="7044" xr:uid="{E05BBFBF-6A4F-456B-9774-3FAF09BFEC8F}"/>
    <cellStyle name="Comma 3 9" xfId="2817" xr:uid="{B99E8FB5-C535-4B9A-98D1-4996AF8936CD}"/>
    <cellStyle name="Comma 3 9 2" xfId="8453" xr:uid="{9E2A0013-8EB4-4293-9CC1-F24E766CD323}"/>
    <cellStyle name="Comma 30" xfId="697" xr:uid="{9CF18AE0-9A27-4198-846F-F6816A31BE60}"/>
    <cellStyle name="Comma 30 2" xfId="2098" xr:uid="{0B209589-F6F5-41BB-8E5D-6DC95A553CE5}"/>
    <cellStyle name="Comma 30 2 2" xfId="4908" xr:uid="{48C90127-16A4-427E-8217-CA460CFC7B63}"/>
    <cellStyle name="Comma 30 2 2 2" xfId="10544" xr:uid="{7FCB7840-5039-4660-BCB4-D47C8E1366A5}"/>
    <cellStyle name="Comma 30 2 3" xfId="7734" xr:uid="{61AD0243-CE3B-4A65-ADB9-7FAADC7DE184}"/>
    <cellStyle name="Comma 30 3" xfId="3507" xr:uid="{6C48810F-F02E-41CB-A420-1177A7B6D56C}"/>
    <cellStyle name="Comma 30 3 2" xfId="9143" xr:uid="{B645E889-A313-444C-8556-860D4394F7B8}"/>
    <cellStyle name="Comma 30 4" xfId="6333" xr:uid="{2A373EA6-1192-400D-A9BA-E8A605FA2AA5}"/>
    <cellStyle name="Comma 31" xfId="1392" xr:uid="{809C8BD7-5101-49A3-9013-86CFB4D5A7DB}"/>
    <cellStyle name="Comma 31 2" xfId="2793" xr:uid="{0E5A0CF6-6720-4413-AC0C-A8B2323BC2BB}"/>
    <cellStyle name="Comma 31 2 2" xfId="5603" xr:uid="{4A9A89A2-C7F2-41F3-8780-B403EB3B3337}"/>
    <cellStyle name="Comma 31 2 2 2" xfId="11239" xr:uid="{F4CA4D59-BABF-430B-9AA1-F3E35F0D3C60}"/>
    <cellStyle name="Comma 31 2 3" xfId="8429" xr:uid="{DFDA3F60-5B8F-4726-9986-AD62A06AD327}"/>
    <cellStyle name="Comma 31 3" xfId="4202" xr:uid="{41F42908-0321-4EDD-AFF4-184061A0340F}"/>
    <cellStyle name="Comma 31 3 2" xfId="9838" xr:uid="{9830B4B1-6098-4B35-9DAE-7AF97176C1D0}"/>
    <cellStyle name="Comma 31 4" xfId="7028" xr:uid="{791C3314-6827-4767-805E-E749BAE37EB6}"/>
    <cellStyle name="Comma 32" xfId="1396" xr:uid="{48A57E28-0C03-4FB9-933C-93F851EC48CD}"/>
    <cellStyle name="Comma 32 2" xfId="2797" xr:uid="{F6BD915B-8993-4F60-877A-DA89DA6DBCF5}"/>
    <cellStyle name="Comma 32 2 2" xfId="5607" xr:uid="{FC623007-DB19-4D0A-971B-8DE29EB333F8}"/>
    <cellStyle name="Comma 32 2 2 2" xfId="11243" xr:uid="{FDC66C8A-90DC-4FC8-91BC-AA216669084C}"/>
    <cellStyle name="Comma 32 2 3" xfId="8433" xr:uid="{0D750297-ADA3-486D-8037-7D91564FEEDA}"/>
    <cellStyle name="Comma 32 3" xfId="4206" xr:uid="{C07A3ED4-1E86-417C-968B-4DEB44801D55}"/>
    <cellStyle name="Comma 32 3 2" xfId="9842" xr:uid="{7C008216-CF4A-4E0A-B2C8-9E0B6F8FD71B}"/>
    <cellStyle name="Comma 32 4" xfId="7032" xr:uid="{8B01E036-80B9-45C0-8F46-63294D9132C0}"/>
    <cellStyle name="Comma 33" xfId="1398" xr:uid="{792B2E38-C583-4950-B412-388AC20F088D}"/>
    <cellStyle name="Comma 33 2" xfId="2799" xr:uid="{27A8927D-D3EA-4136-B8C1-1CBCC3990AEF}"/>
    <cellStyle name="Comma 33 2 2" xfId="5609" xr:uid="{F58482F6-2D85-4BFE-8069-7D2F8CAE811D}"/>
    <cellStyle name="Comma 33 2 2 2" xfId="11245" xr:uid="{FD4AED4A-BB3C-458C-BC1E-823B881693F6}"/>
    <cellStyle name="Comma 33 2 3" xfId="8435" xr:uid="{A5BC3FE0-4FDD-409E-B83A-6F85E0B54F66}"/>
    <cellStyle name="Comma 33 3" xfId="4208" xr:uid="{8ED4DC74-6597-4BE9-9F31-3018CA317FEE}"/>
    <cellStyle name="Comma 33 3 2" xfId="9844" xr:uid="{16882E3C-7925-4BBF-A923-73A65C3D4B6D}"/>
    <cellStyle name="Comma 33 4" xfId="7034" xr:uid="{37CE816C-06E5-44C4-B837-AB98C4EFFE54}"/>
    <cellStyle name="Comma 34" xfId="1400" xr:uid="{1D14DB1D-F0FB-48B2-A83A-193F7D582AC9}"/>
    <cellStyle name="Comma 34 2" xfId="2801" xr:uid="{31ABF347-3DAB-46B5-A572-83B897B9A055}"/>
    <cellStyle name="Comma 34 2 2" xfId="5611" xr:uid="{6E247C8E-AEAA-46FD-8006-D49B673E60BF}"/>
    <cellStyle name="Comma 34 2 2 2" xfId="11247" xr:uid="{F0257292-73C2-4255-B7A2-DAECE9A8B056}"/>
    <cellStyle name="Comma 34 2 3" xfId="8437" xr:uid="{FCAF40B9-E29A-4992-B7FC-5B6A9033AA7C}"/>
    <cellStyle name="Comma 34 3" xfId="4210" xr:uid="{D1A9A8F0-82DC-4134-B06F-27720317A1EA}"/>
    <cellStyle name="Comma 34 3 2" xfId="9846" xr:uid="{B0DBF1C6-2E84-4DB7-B9BA-BE2724578BE2}"/>
    <cellStyle name="Comma 34 4" xfId="7036" xr:uid="{4A815CD0-656D-48B6-885C-9A3B33FCBC7F}"/>
    <cellStyle name="Comma 35" xfId="1402" xr:uid="{ADB8564C-BA15-4443-AA76-DC0F345AD8A0}"/>
    <cellStyle name="Comma 35 2" xfId="4212" xr:uid="{49F8EF20-D8EE-4DFE-9926-CF8A10019141}"/>
    <cellStyle name="Comma 35 2 2" xfId="9848" xr:uid="{412FED26-BF95-4EAA-87B1-4846F8FB71AC}"/>
    <cellStyle name="Comma 35 3" xfId="7038" xr:uid="{CD2802F0-DAAF-4CA2-AACC-1CAF76F58123}"/>
    <cellStyle name="Comma 36" xfId="2802" xr:uid="{33EB0686-011E-48F5-8313-BBF35E8ED9B4}"/>
    <cellStyle name="Comma 36 2" xfId="5612" xr:uid="{7586415D-AF09-45B3-A76C-6A5D3EA28220}"/>
    <cellStyle name="Comma 36 2 2" xfId="11248" xr:uid="{03CD1DB1-C0B8-4099-84F6-BA1EC80A8ACC}"/>
    <cellStyle name="Comma 36 3" xfId="8438" xr:uid="{4765BE4D-04E0-449E-9E2C-49EB663C55E6}"/>
    <cellStyle name="Comma 37" xfId="2806" xr:uid="{4A3A721A-1890-4178-A43F-DB54EBD874A8}"/>
    <cellStyle name="Comma 37 2" xfId="5616" xr:uid="{8D40DE90-771E-4E53-A846-C6CA78D6D576}"/>
    <cellStyle name="Comma 37 2 2" xfId="11252" xr:uid="{C64FF8B7-913F-4CC8-B00C-E8324D647B3D}"/>
    <cellStyle name="Comma 37 3" xfId="8442" xr:uid="{09CD66B1-B023-419E-B8C1-5D8418C08B19}"/>
    <cellStyle name="Comma 38" xfId="2808" xr:uid="{947A50A0-0440-4302-9CF4-213A5CEB1CA4}"/>
    <cellStyle name="Comma 38 2" xfId="5618" xr:uid="{A5EF4D82-5FAD-442F-A966-EDF4CD1E6296}"/>
    <cellStyle name="Comma 38 2 2" xfId="11254" xr:uid="{9864FDD7-108F-468C-82D2-1725684AA9EA}"/>
    <cellStyle name="Comma 38 3" xfId="8444" xr:uid="{CB31730E-C9E3-4BCE-BA32-E9B91F11C8AC}"/>
    <cellStyle name="Comma 39" xfId="2810" xr:uid="{57093103-47D1-4D4C-96B4-A83EB2900E08}"/>
    <cellStyle name="Comma 39 2" xfId="5620" xr:uid="{3F94F865-C080-47E3-A1DB-BF08675A2B06}"/>
    <cellStyle name="Comma 39 2 2" xfId="11256" xr:uid="{D808BEF6-97CB-4DB3-91F5-2CA0A3D155EE}"/>
    <cellStyle name="Comma 39 3" xfId="8446" xr:uid="{6036EDBC-C48E-498C-AA45-F56C64FB6D0D}"/>
    <cellStyle name="Comma 4" xfId="9" xr:uid="{8DB0CBEE-8B18-4256-9E8F-52708E2B5E47}"/>
    <cellStyle name="Comma 4 10" xfId="5645" xr:uid="{166C9E9E-488C-4C44-9CE3-F440FD805DCD}"/>
    <cellStyle name="Comma 4 2" xfId="21" xr:uid="{77ACF634-816F-48BA-96B3-0A45E76E40C0}"/>
    <cellStyle name="Comma 4 2 2" xfId="53" xr:uid="{F3963BD7-BF42-4F1B-BF46-3464427893B5}"/>
    <cellStyle name="Comma 4 2 2 2" xfId="133" xr:uid="{6215C0BF-E7AC-4C56-ADBE-CDAD19AB4A53}"/>
    <cellStyle name="Comma 4 2 2 2 2" xfId="305" xr:uid="{87D1349A-627E-45C2-AFC6-CBE1C8515074}"/>
    <cellStyle name="Comma 4 2 2 2 2 2" xfId="649" xr:uid="{46DD9F37-34E6-402A-BBDB-C30E03F4B287}"/>
    <cellStyle name="Comma 4 2 2 2 2 2 2" xfId="1345" xr:uid="{A1A800B6-BC9F-4642-8F04-39600D1C4E45}"/>
    <cellStyle name="Comma 4 2 2 2 2 2 2 2" xfId="2746" xr:uid="{A89C5A71-A7B3-4756-8DD9-C7E934FE826F}"/>
    <cellStyle name="Comma 4 2 2 2 2 2 2 2 2" xfId="5556" xr:uid="{D39E083C-6468-42AB-8778-CD86DD628789}"/>
    <cellStyle name="Comma 4 2 2 2 2 2 2 2 2 2" xfId="11192" xr:uid="{BE3F74C6-2B9D-4537-82B4-54FAFF537894}"/>
    <cellStyle name="Comma 4 2 2 2 2 2 2 2 3" xfId="8382" xr:uid="{28891FAD-9290-4235-898C-B5A3547E9F78}"/>
    <cellStyle name="Comma 4 2 2 2 2 2 2 3" xfId="4155" xr:uid="{334B2DFA-AE6C-484A-B877-864B1A820B3F}"/>
    <cellStyle name="Comma 4 2 2 2 2 2 2 3 2" xfId="9791" xr:uid="{A20ED416-09A7-4709-9840-87E5E7EDCB19}"/>
    <cellStyle name="Comma 4 2 2 2 2 2 2 4" xfId="6981" xr:uid="{E06D37D1-8104-4582-B5AD-7469FAD5F60F}"/>
    <cellStyle name="Comma 4 2 2 2 2 2 3" xfId="2050" xr:uid="{CE18C71B-ABFC-4547-89BD-32152504A0BB}"/>
    <cellStyle name="Comma 4 2 2 2 2 2 3 2" xfId="4860" xr:uid="{75614BA1-35AE-486B-969D-E7903A03D142}"/>
    <cellStyle name="Comma 4 2 2 2 2 2 3 2 2" xfId="10496" xr:uid="{E172F459-04FF-49A5-8CD8-442F63CE2EE6}"/>
    <cellStyle name="Comma 4 2 2 2 2 2 3 3" xfId="7686" xr:uid="{DDA7C1A8-2F8C-4A11-ABD9-CA0BA2057099}"/>
    <cellStyle name="Comma 4 2 2 2 2 2 4" xfId="3459" xr:uid="{A548E7CA-056C-4D92-BD46-46A0587B8F03}"/>
    <cellStyle name="Comma 4 2 2 2 2 2 4 2" xfId="9095" xr:uid="{B9F509FB-B360-4A37-B129-B06E18DAF5A9}"/>
    <cellStyle name="Comma 4 2 2 2 2 2 5" xfId="6285" xr:uid="{2F837CE0-8C43-4E9A-BD8F-2DDD2AF6C798}"/>
    <cellStyle name="Comma 4 2 2 2 2 3" xfId="1001" xr:uid="{5E2D08CF-2D6A-4208-BB4E-5726309E5A28}"/>
    <cellStyle name="Comma 4 2 2 2 2 3 2" xfId="2402" xr:uid="{1E58A8B6-980F-4B56-880E-388FB2D0FA0A}"/>
    <cellStyle name="Comma 4 2 2 2 2 3 2 2" xfId="5212" xr:uid="{945CB5C0-211A-4DF7-91D4-4CF91FE785A5}"/>
    <cellStyle name="Comma 4 2 2 2 2 3 2 2 2" xfId="10848" xr:uid="{DCC0C0C5-BED9-41B5-A9DA-89952365F8CF}"/>
    <cellStyle name="Comma 4 2 2 2 2 3 2 3" xfId="8038" xr:uid="{304AAC63-0DA4-42CA-8F69-54AF84EDC0D7}"/>
    <cellStyle name="Comma 4 2 2 2 2 3 3" xfId="3811" xr:uid="{6FE1317C-4327-415B-BBAC-A24DD0ED8C25}"/>
    <cellStyle name="Comma 4 2 2 2 2 3 3 2" xfId="9447" xr:uid="{A78E560A-B743-4746-BD21-C40AAFD059C4}"/>
    <cellStyle name="Comma 4 2 2 2 2 3 4" xfId="6637" xr:uid="{AFAF1124-1503-4818-A7D8-FAD789A8AD2C}"/>
    <cellStyle name="Comma 4 2 2 2 2 4" xfId="1706" xr:uid="{35B7B56A-2DEB-4DE0-B992-7A72900445B5}"/>
    <cellStyle name="Comma 4 2 2 2 2 4 2" xfId="4516" xr:uid="{397B4970-611E-484E-8220-4AF2D5BF4E3E}"/>
    <cellStyle name="Comma 4 2 2 2 2 4 2 2" xfId="10152" xr:uid="{30EB3BAE-92EB-478C-A6D4-EB67AA0B8A35}"/>
    <cellStyle name="Comma 4 2 2 2 2 4 3" xfId="7342" xr:uid="{23E29A87-8977-4E0C-AF2E-25BEFCE1A020}"/>
    <cellStyle name="Comma 4 2 2 2 2 5" xfId="3115" xr:uid="{61EA831C-A2B4-4AFD-8DDF-6BC6F2BE1244}"/>
    <cellStyle name="Comma 4 2 2 2 2 5 2" xfId="8751" xr:uid="{0FB6173C-EF21-4D38-8FFE-AAD9C09D03EB}"/>
    <cellStyle name="Comma 4 2 2 2 2 6" xfId="5941" xr:uid="{68FB2D90-C63E-4356-BFCD-978CF0E0C50C}"/>
    <cellStyle name="Comma 4 2 2 2 3" xfId="477" xr:uid="{E151E8EA-725A-4661-9FC0-BDE8D2B4F1E4}"/>
    <cellStyle name="Comma 4 2 2 2 3 2" xfId="1173" xr:uid="{FEDA8ADA-9281-4CC8-B36B-FF580987DA27}"/>
    <cellStyle name="Comma 4 2 2 2 3 2 2" xfId="2574" xr:uid="{64170BAD-F8A0-4CD9-8406-A8924377B339}"/>
    <cellStyle name="Comma 4 2 2 2 3 2 2 2" xfId="5384" xr:uid="{8F6AEBCF-E22F-4322-85B0-69F57049B5D6}"/>
    <cellStyle name="Comma 4 2 2 2 3 2 2 2 2" xfId="11020" xr:uid="{B3FF4650-3A56-4D79-9214-9F23BBE7FA5D}"/>
    <cellStyle name="Comma 4 2 2 2 3 2 2 3" xfId="8210" xr:uid="{78496638-F8B2-42FB-A814-C9B64B6B1F35}"/>
    <cellStyle name="Comma 4 2 2 2 3 2 3" xfId="3983" xr:uid="{086F8D22-74F6-4BED-A2AC-FA2953012791}"/>
    <cellStyle name="Comma 4 2 2 2 3 2 3 2" xfId="9619" xr:uid="{EA3BD9FF-F56E-484B-8AC7-3B216425A64B}"/>
    <cellStyle name="Comma 4 2 2 2 3 2 4" xfId="6809" xr:uid="{9A7E6964-AFF9-4A5A-8C2E-845AFF3F38AA}"/>
    <cellStyle name="Comma 4 2 2 2 3 3" xfId="1878" xr:uid="{A7D40B0D-89AB-49DB-9C5F-E8E71ADB9349}"/>
    <cellStyle name="Comma 4 2 2 2 3 3 2" xfId="4688" xr:uid="{6E077D3F-AC13-4D8F-B929-5B731B356243}"/>
    <cellStyle name="Comma 4 2 2 2 3 3 2 2" xfId="10324" xr:uid="{7C628DD3-AE42-4D1C-BB61-3D278BF2DE68}"/>
    <cellStyle name="Comma 4 2 2 2 3 3 3" xfId="7514" xr:uid="{6D1B027F-DA55-4911-9363-BF20A57D5647}"/>
    <cellStyle name="Comma 4 2 2 2 3 4" xfId="3287" xr:uid="{9F170FEE-8A44-46EE-9566-98D12EC3D190}"/>
    <cellStyle name="Comma 4 2 2 2 3 4 2" xfId="8923" xr:uid="{37116E5E-0463-4559-A9DD-38794DC5C597}"/>
    <cellStyle name="Comma 4 2 2 2 3 5" xfId="6113" xr:uid="{F6D69BF2-33BD-458B-8A1D-A09AB8DB73D7}"/>
    <cellStyle name="Comma 4 2 2 2 4" xfId="829" xr:uid="{AD220D6E-353E-4AC7-BBC2-741361AB1C99}"/>
    <cellStyle name="Comma 4 2 2 2 4 2" xfId="2230" xr:uid="{EDCA57A5-0244-4B59-A702-6D44D59A278C}"/>
    <cellStyle name="Comma 4 2 2 2 4 2 2" xfId="5040" xr:uid="{47365876-CBA8-4293-8F49-174256727951}"/>
    <cellStyle name="Comma 4 2 2 2 4 2 2 2" xfId="10676" xr:uid="{8EE1A705-CBE6-4F94-8239-027936D759AD}"/>
    <cellStyle name="Comma 4 2 2 2 4 2 3" xfId="7866" xr:uid="{1CE0DB7F-7712-4CC3-9ED4-CD88606D7A7C}"/>
    <cellStyle name="Comma 4 2 2 2 4 3" xfId="3639" xr:uid="{0C8D95D4-0658-4142-BB63-43DBB58A167D}"/>
    <cellStyle name="Comma 4 2 2 2 4 3 2" xfId="9275" xr:uid="{A9F412E6-FC16-4DFC-8739-4C4A80765338}"/>
    <cellStyle name="Comma 4 2 2 2 4 4" xfId="6465" xr:uid="{9439700D-9A58-4ABD-B0B2-D8671C283937}"/>
    <cellStyle name="Comma 4 2 2 2 5" xfId="1534" xr:uid="{F28C5C3E-B143-4050-BCD1-86661D46155E}"/>
    <cellStyle name="Comma 4 2 2 2 5 2" xfId="4344" xr:uid="{AD1270AB-0A00-4257-9A2F-4E7593112C73}"/>
    <cellStyle name="Comma 4 2 2 2 5 2 2" xfId="9980" xr:uid="{807DB6D6-809D-481D-A1C3-A9AE65D3C628}"/>
    <cellStyle name="Comma 4 2 2 2 5 3" xfId="7170" xr:uid="{DCE3FCF6-7214-4BFE-848A-53444F9DD6D0}"/>
    <cellStyle name="Comma 4 2 2 2 6" xfId="2943" xr:uid="{F3FD7A80-3506-47F4-9832-854B8F096EFC}"/>
    <cellStyle name="Comma 4 2 2 2 6 2" xfId="8579" xr:uid="{45FEDD74-DE3E-439C-A146-E86BC9894A39}"/>
    <cellStyle name="Comma 4 2 2 2 7" xfId="5769" xr:uid="{443E0423-3F67-400C-834A-DE8CA0504174}"/>
    <cellStyle name="Comma 4 2 2 3" xfId="225" xr:uid="{8B90416E-17F9-46B8-9D1F-01507728970C}"/>
    <cellStyle name="Comma 4 2 2 3 2" xfId="569" xr:uid="{0E719C2E-F79C-46B6-83F8-BB479B9B0E35}"/>
    <cellStyle name="Comma 4 2 2 3 2 2" xfId="1265" xr:uid="{BF9DB44A-CAB4-442B-B19D-73599538F3E4}"/>
    <cellStyle name="Comma 4 2 2 3 2 2 2" xfId="2666" xr:uid="{96B22243-2555-488C-A73B-D9609BAE1FE0}"/>
    <cellStyle name="Comma 4 2 2 3 2 2 2 2" xfId="5476" xr:uid="{AA34960A-2DA6-4F3D-8CC4-BF7F2405C873}"/>
    <cellStyle name="Comma 4 2 2 3 2 2 2 2 2" xfId="11112" xr:uid="{0AA96886-C9D3-4255-BF00-0DBD7CED0006}"/>
    <cellStyle name="Comma 4 2 2 3 2 2 2 3" xfId="8302" xr:uid="{F1EE7A7F-2A83-4489-A002-AFC7CBE9E2D8}"/>
    <cellStyle name="Comma 4 2 2 3 2 2 3" xfId="4075" xr:uid="{73263E6D-8ECE-47EB-B1AC-CAFA7A2C1F57}"/>
    <cellStyle name="Comma 4 2 2 3 2 2 3 2" xfId="9711" xr:uid="{0D23FB47-D49E-41E3-AA70-F42EEAD4FCEB}"/>
    <cellStyle name="Comma 4 2 2 3 2 2 4" xfId="6901" xr:uid="{C38E963B-E885-4F04-AE71-225C54A6C98E}"/>
    <cellStyle name="Comma 4 2 2 3 2 3" xfId="1970" xr:uid="{C076D0BC-DA2E-437F-9CD9-6910870631B4}"/>
    <cellStyle name="Comma 4 2 2 3 2 3 2" xfId="4780" xr:uid="{033D1CCC-17BA-4B81-B1D3-F45111930432}"/>
    <cellStyle name="Comma 4 2 2 3 2 3 2 2" xfId="10416" xr:uid="{1030EE94-28AB-4962-958D-547803366F23}"/>
    <cellStyle name="Comma 4 2 2 3 2 3 3" xfId="7606" xr:uid="{B3579344-DAC7-4F8E-A96C-209614D0F6FC}"/>
    <cellStyle name="Comma 4 2 2 3 2 4" xfId="3379" xr:uid="{7660D0E7-050C-4FEC-85AD-4C754727B617}"/>
    <cellStyle name="Comma 4 2 2 3 2 4 2" xfId="9015" xr:uid="{9399A261-A5B4-41FA-9D4B-0513EFC6120C}"/>
    <cellStyle name="Comma 4 2 2 3 2 5" xfId="6205" xr:uid="{3DC2A930-246C-443D-8F3B-F3DA5BBBF12A}"/>
    <cellStyle name="Comma 4 2 2 3 3" xfId="921" xr:uid="{B046FE0D-7417-4691-A1C9-879D1699BC4B}"/>
    <cellStyle name="Comma 4 2 2 3 3 2" xfId="2322" xr:uid="{F91660A5-8FB4-42E6-9BD0-53D568BBF06E}"/>
    <cellStyle name="Comma 4 2 2 3 3 2 2" xfId="5132" xr:uid="{7973A7C5-8313-486E-9B34-E0184A4F8390}"/>
    <cellStyle name="Comma 4 2 2 3 3 2 2 2" xfId="10768" xr:uid="{59450D73-4020-426C-BF96-4B0934BB054F}"/>
    <cellStyle name="Comma 4 2 2 3 3 2 3" xfId="7958" xr:uid="{45889508-C593-42B6-A8B7-77A546E781DA}"/>
    <cellStyle name="Comma 4 2 2 3 3 3" xfId="3731" xr:uid="{2CD1F8BB-10E6-4AF9-A8BF-2AD98FD1CC1E}"/>
    <cellStyle name="Comma 4 2 2 3 3 3 2" xfId="9367" xr:uid="{2EE851EA-F245-4CE4-8B2B-458431F25056}"/>
    <cellStyle name="Comma 4 2 2 3 3 4" xfId="6557" xr:uid="{C790D8CE-5DB5-4ACC-93C8-D5AE90A26BE4}"/>
    <cellStyle name="Comma 4 2 2 3 4" xfId="1626" xr:uid="{2606ECA8-AB81-4EF1-AB27-C0F79B0D0F03}"/>
    <cellStyle name="Comma 4 2 2 3 4 2" xfId="4436" xr:uid="{AB464CF2-0D00-41DC-A26F-C7FAC8565379}"/>
    <cellStyle name="Comma 4 2 2 3 4 2 2" xfId="10072" xr:uid="{529005CB-9A24-4299-823F-17BCB0601245}"/>
    <cellStyle name="Comma 4 2 2 3 4 3" xfId="7262" xr:uid="{B13AA378-7F70-48CC-AC46-FAA7FE418A4A}"/>
    <cellStyle name="Comma 4 2 2 3 5" xfId="3035" xr:uid="{75E4FD3F-8836-4A55-AC13-F22AE7741C13}"/>
    <cellStyle name="Comma 4 2 2 3 5 2" xfId="8671" xr:uid="{552148B6-C9F2-4D35-84E8-55DFCCFDB28A}"/>
    <cellStyle name="Comma 4 2 2 3 6" xfId="5861" xr:uid="{D45A72CA-9280-4C68-979E-5DE0AA9CAC1E}"/>
    <cellStyle name="Comma 4 2 2 4" xfId="397" xr:uid="{511A8887-C2DD-4BE5-BDB2-33D24202EB98}"/>
    <cellStyle name="Comma 4 2 2 4 2" xfId="1093" xr:uid="{628322E6-1B6E-44BA-9D7D-409481ECE1CD}"/>
    <cellStyle name="Comma 4 2 2 4 2 2" xfId="2494" xr:uid="{F3836F5A-8332-40C7-85BF-87D371F36163}"/>
    <cellStyle name="Comma 4 2 2 4 2 2 2" xfId="5304" xr:uid="{A1438F1D-F0E1-409C-B058-FED85ABB0CD6}"/>
    <cellStyle name="Comma 4 2 2 4 2 2 2 2" xfId="10940" xr:uid="{9F64D578-EBA3-4F17-BEF0-472EFF4DE970}"/>
    <cellStyle name="Comma 4 2 2 4 2 2 3" xfId="8130" xr:uid="{86061C34-CBC8-4120-9B1E-42663CB4FE06}"/>
    <cellStyle name="Comma 4 2 2 4 2 3" xfId="3903" xr:uid="{CC8FF409-F2A4-4728-8983-7B880CBE7A29}"/>
    <cellStyle name="Comma 4 2 2 4 2 3 2" xfId="9539" xr:uid="{3C1FEC5C-24EB-4975-80F0-A57701CAE3C3}"/>
    <cellStyle name="Comma 4 2 2 4 2 4" xfId="6729" xr:uid="{326258E9-DC62-4A3C-884B-24F06CA4F16D}"/>
    <cellStyle name="Comma 4 2 2 4 3" xfId="1798" xr:uid="{DE67F91E-61F3-4128-A317-6CD0F3238F92}"/>
    <cellStyle name="Comma 4 2 2 4 3 2" xfId="4608" xr:uid="{3F02C16F-E083-4879-82D1-C299D83A1E10}"/>
    <cellStyle name="Comma 4 2 2 4 3 2 2" xfId="10244" xr:uid="{0337AA8E-3ED2-4BDC-84E9-64BB29B30AEF}"/>
    <cellStyle name="Comma 4 2 2 4 3 3" xfId="7434" xr:uid="{FCC00FBC-09BD-4CF2-B796-EF922CCC4B34}"/>
    <cellStyle name="Comma 4 2 2 4 4" xfId="3207" xr:uid="{0511E198-901B-46F1-AE5D-73CCA35F8E6C}"/>
    <cellStyle name="Comma 4 2 2 4 4 2" xfId="8843" xr:uid="{7E1ADB20-C9C1-4851-8B4A-9C2BDCF64ACE}"/>
    <cellStyle name="Comma 4 2 2 4 5" xfId="6033" xr:uid="{16726E7C-D9C0-463E-88B3-EF7912282502}"/>
    <cellStyle name="Comma 4 2 2 5" xfId="749" xr:uid="{B59CBFE5-0837-44E1-8825-502BB64D4254}"/>
    <cellStyle name="Comma 4 2 2 5 2" xfId="2150" xr:uid="{C849BF13-B099-45A1-AF7A-F57EBB6458FF}"/>
    <cellStyle name="Comma 4 2 2 5 2 2" xfId="4960" xr:uid="{9BE2E34B-F43B-4D73-8065-B92D2166927F}"/>
    <cellStyle name="Comma 4 2 2 5 2 2 2" xfId="10596" xr:uid="{A1EA5CAF-1E8F-4E8D-8A2F-6B408250BCB9}"/>
    <cellStyle name="Comma 4 2 2 5 2 3" xfId="7786" xr:uid="{9F62F286-6692-4D7B-9598-D9B51FA5DA66}"/>
    <cellStyle name="Comma 4 2 2 5 3" xfId="3559" xr:uid="{4AB37655-FD75-4615-9EAF-493F70D3CF72}"/>
    <cellStyle name="Comma 4 2 2 5 3 2" xfId="9195" xr:uid="{3C1DE92E-2B47-4DD1-BFCD-1266F78E4C80}"/>
    <cellStyle name="Comma 4 2 2 5 4" xfId="6385" xr:uid="{EC99D705-364C-4EF5-8A21-1F6FEBF67B47}"/>
    <cellStyle name="Comma 4 2 2 6" xfId="1454" xr:uid="{8FC0E111-9D09-4BC7-9881-2153701AE121}"/>
    <cellStyle name="Comma 4 2 2 6 2" xfId="4264" xr:uid="{003F98B8-4608-49C0-9D8E-486847547083}"/>
    <cellStyle name="Comma 4 2 2 6 2 2" xfId="9900" xr:uid="{412BA1BA-514E-4E52-85DD-F28B6A027320}"/>
    <cellStyle name="Comma 4 2 2 6 3" xfId="7090" xr:uid="{8AE80DAC-DC3B-483A-A9C7-F6335665E4A6}"/>
    <cellStyle name="Comma 4 2 2 7" xfId="2863" xr:uid="{4E1149C5-7341-4B71-AE4D-694A75BBCD71}"/>
    <cellStyle name="Comma 4 2 2 7 2" xfId="8499" xr:uid="{EED4C9AF-762E-472E-BB82-94AD8D09CA5B}"/>
    <cellStyle name="Comma 4 2 2 8" xfId="5689" xr:uid="{F8483ABC-8F39-4E85-A0AB-5775BFF43B04}"/>
    <cellStyle name="Comma 4 2 3" xfId="101" xr:uid="{FE44A9AF-17EA-4965-996F-EEF5DFBFF325}"/>
    <cellStyle name="Comma 4 2 3 2" xfId="273" xr:uid="{33E91DFC-CDA8-4F94-AD22-C61AADD03ED4}"/>
    <cellStyle name="Comma 4 2 3 2 2" xfId="617" xr:uid="{93AD6F40-A827-4FCB-9D03-25F4DEC6A9CE}"/>
    <cellStyle name="Comma 4 2 3 2 2 2" xfId="1313" xr:uid="{13C22DA9-BCB3-47F1-AFDF-D2AD0F252165}"/>
    <cellStyle name="Comma 4 2 3 2 2 2 2" xfId="2714" xr:uid="{9D4AE2EC-54E7-442E-A0A2-ABB12404F0D0}"/>
    <cellStyle name="Comma 4 2 3 2 2 2 2 2" xfId="5524" xr:uid="{D5601E72-0404-49A0-B857-8507E0A5DC76}"/>
    <cellStyle name="Comma 4 2 3 2 2 2 2 2 2" xfId="11160" xr:uid="{8BD23D18-977B-4EF6-B599-C4FCA4AC5DB3}"/>
    <cellStyle name="Comma 4 2 3 2 2 2 2 3" xfId="8350" xr:uid="{E899D5CC-4E0B-4253-9BD6-35374DE4198E}"/>
    <cellStyle name="Comma 4 2 3 2 2 2 3" xfId="4123" xr:uid="{52E4050D-4CB2-4357-8B0D-FD90D7644B6E}"/>
    <cellStyle name="Comma 4 2 3 2 2 2 3 2" xfId="9759" xr:uid="{CCE387D2-F5BE-4470-9048-562FAA0ADBB3}"/>
    <cellStyle name="Comma 4 2 3 2 2 2 4" xfId="6949" xr:uid="{6AA99545-BD46-4FCE-86C7-B38929850638}"/>
    <cellStyle name="Comma 4 2 3 2 2 3" xfId="2018" xr:uid="{3DA0A303-5AC6-449D-9C61-4ABF6CA791ED}"/>
    <cellStyle name="Comma 4 2 3 2 2 3 2" xfId="4828" xr:uid="{9C71AE66-5A11-496F-A46B-D9DA7065AEB4}"/>
    <cellStyle name="Comma 4 2 3 2 2 3 2 2" xfId="10464" xr:uid="{091CB676-384C-45B2-9451-50189510E9C7}"/>
    <cellStyle name="Comma 4 2 3 2 2 3 3" xfId="7654" xr:uid="{78DEF86B-F1D7-4339-80C5-2C1633F88FFA}"/>
    <cellStyle name="Comma 4 2 3 2 2 4" xfId="3427" xr:uid="{9D34B0E8-B533-457D-841E-D883D397062C}"/>
    <cellStyle name="Comma 4 2 3 2 2 4 2" xfId="9063" xr:uid="{486C4222-E79B-4D60-A2D1-3675A633EC47}"/>
    <cellStyle name="Comma 4 2 3 2 2 5" xfId="6253" xr:uid="{FDCA13C2-4FE9-4647-A746-834D28091A7A}"/>
    <cellStyle name="Comma 4 2 3 2 3" xfId="969" xr:uid="{734F9156-DDB0-4B1D-8E08-809BC696AFF7}"/>
    <cellStyle name="Comma 4 2 3 2 3 2" xfId="2370" xr:uid="{24C1AE68-10B9-419E-81A2-669EE5896659}"/>
    <cellStyle name="Comma 4 2 3 2 3 2 2" xfId="5180" xr:uid="{BFCE6B9A-BEFC-47CE-8347-F6C76E1EA775}"/>
    <cellStyle name="Comma 4 2 3 2 3 2 2 2" xfId="10816" xr:uid="{EB7B85B4-91EE-4995-9C2B-EEEBBC0689C8}"/>
    <cellStyle name="Comma 4 2 3 2 3 2 3" xfId="8006" xr:uid="{881C57A5-FA18-41A4-9BC7-EE9E11A63180}"/>
    <cellStyle name="Comma 4 2 3 2 3 3" xfId="3779" xr:uid="{42ADF040-2031-47EE-8995-3A77564A58A3}"/>
    <cellStyle name="Comma 4 2 3 2 3 3 2" xfId="9415" xr:uid="{F97B24D7-7120-4D43-BE1F-782C9242D832}"/>
    <cellStyle name="Comma 4 2 3 2 3 4" xfId="6605" xr:uid="{8D689129-422F-4AF0-8114-77107CF6BF99}"/>
    <cellStyle name="Comma 4 2 3 2 4" xfId="1674" xr:uid="{0F536B15-BDFB-4F4D-B7F8-870C687B42F4}"/>
    <cellStyle name="Comma 4 2 3 2 4 2" xfId="4484" xr:uid="{02CA82E3-63FF-46AA-A277-D18CA8219729}"/>
    <cellStyle name="Comma 4 2 3 2 4 2 2" xfId="10120" xr:uid="{8AAC836F-1F09-485E-8892-4598ADD73C8A}"/>
    <cellStyle name="Comma 4 2 3 2 4 3" xfId="7310" xr:uid="{37F84EB7-B0BE-4F4D-BC24-CF68F6118789}"/>
    <cellStyle name="Comma 4 2 3 2 5" xfId="3083" xr:uid="{04DE5B99-9F7A-4B44-A89C-1B52627EF801}"/>
    <cellStyle name="Comma 4 2 3 2 5 2" xfId="8719" xr:uid="{4B536BDF-2E6C-4DCD-8205-CC875194E8BC}"/>
    <cellStyle name="Comma 4 2 3 2 6" xfId="5909" xr:uid="{922C0437-868F-4E13-BD8C-30F313D5B972}"/>
    <cellStyle name="Comma 4 2 3 3" xfId="445" xr:uid="{A0755629-AA3B-481A-9DB4-FB3652D2F7A4}"/>
    <cellStyle name="Comma 4 2 3 3 2" xfId="1141" xr:uid="{6734E0E5-690C-4361-B976-14949DFAA358}"/>
    <cellStyle name="Comma 4 2 3 3 2 2" xfId="2542" xr:uid="{EFF832B6-8484-46A4-A195-003FEE38D3E8}"/>
    <cellStyle name="Comma 4 2 3 3 2 2 2" xfId="5352" xr:uid="{4ACCA0A3-05CB-4AEB-BAF4-139AD5228F4B}"/>
    <cellStyle name="Comma 4 2 3 3 2 2 2 2" xfId="10988" xr:uid="{071D2D40-5E87-4332-B039-16A281BA0A5A}"/>
    <cellStyle name="Comma 4 2 3 3 2 2 3" xfId="8178" xr:uid="{FE940ED6-C13F-4911-8295-2875D8E5DFF8}"/>
    <cellStyle name="Comma 4 2 3 3 2 3" xfId="3951" xr:uid="{B7A3CF97-DEC4-41D9-87FB-0E7F2281314E}"/>
    <cellStyle name="Comma 4 2 3 3 2 3 2" xfId="9587" xr:uid="{B12F8440-D52F-4293-B829-FDAF51F4889B}"/>
    <cellStyle name="Comma 4 2 3 3 2 4" xfId="6777" xr:uid="{83B274C4-663A-4B78-843E-29B9B34827E8}"/>
    <cellStyle name="Comma 4 2 3 3 3" xfId="1846" xr:uid="{45BB63DE-AE99-4077-814C-C6B170C9D326}"/>
    <cellStyle name="Comma 4 2 3 3 3 2" xfId="4656" xr:uid="{3843921C-21E4-4674-ACB0-0EFE9648AAA5}"/>
    <cellStyle name="Comma 4 2 3 3 3 2 2" xfId="10292" xr:uid="{184DA09E-7FAC-4675-96A6-1FB5AB814823}"/>
    <cellStyle name="Comma 4 2 3 3 3 3" xfId="7482" xr:uid="{1C3AFA3C-2CB0-4CD7-A662-A3696C27623E}"/>
    <cellStyle name="Comma 4 2 3 3 4" xfId="3255" xr:uid="{ECD14BBA-CE78-42A7-A77C-6D5F830B6DF0}"/>
    <cellStyle name="Comma 4 2 3 3 4 2" xfId="8891" xr:uid="{35E8F787-040A-440F-9EFD-7AB44FB65F78}"/>
    <cellStyle name="Comma 4 2 3 3 5" xfId="6081" xr:uid="{B049F19E-F398-4EA5-AE67-58CBFA50BECB}"/>
    <cellStyle name="Comma 4 2 3 4" xfId="797" xr:uid="{8F31F59F-ED1B-45C3-A938-C46597AE26AA}"/>
    <cellStyle name="Comma 4 2 3 4 2" xfId="2198" xr:uid="{CB10012B-7CCB-478E-BD64-0843202437B5}"/>
    <cellStyle name="Comma 4 2 3 4 2 2" xfId="5008" xr:uid="{F1A8E62A-0732-47E4-A163-9BCFF729F178}"/>
    <cellStyle name="Comma 4 2 3 4 2 2 2" xfId="10644" xr:uid="{DAFEF52E-9704-484A-A8D8-6A08AF7C1250}"/>
    <cellStyle name="Comma 4 2 3 4 2 3" xfId="7834" xr:uid="{5368ECC6-D37F-4613-AB6D-BBBAC7FE2453}"/>
    <cellStyle name="Comma 4 2 3 4 3" xfId="3607" xr:uid="{1169721B-473A-4F55-9FAD-5C5BD53B25A4}"/>
    <cellStyle name="Comma 4 2 3 4 3 2" xfId="9243" xr:uid="{6958244B-60E4-4138-B200-18DC8110B003}"/>
    <cellStyle name="Comma 4 2 3 4 4" xfId="6433" xr:uid="{D08EC706-EACE-4014-B835-21A993C79179}"/>
    <cellStyle name="Comma 4 2 3 5" xfId="1502" xr:uid="{B6F59C07-528D-4311-AC27-A8E1D8538F81}"/>
    <cellStyle name="Comma 4 2 3 5 2" xfId="4312" xr:uid="{AD5C9E83-5634-4A8C-AAC5-B043421CDCEE}"/>
    <cellStyle name="Comma 4 2 3 5 2 2" xfId="9948" xr:uid="{5B4F3B63-57CD-4A5B-A9BD-9F4544BEE170}"/>
    <cellStyle name="Comma 4 2 3 5 3" xfId="7138" xr:uid="{CD022CA5-8474-4E52-85B8-FA5DE13D675B}"/>
    <cellStyle name="Comma 4 2 3 6" xfId="2911" xr:uid="{4E7264DE-9B95-4827-8FB2-4961179E21F1}"/>
    <cellStyle name="Comma 4 2 3 6 2" xfId="8547" xr:uid="{2AD623A3-753E-47C3-BBB7-663D6DC52F90}"/>
    <cellStyle name="Comma 4 2 3 7" xfId="5737" xr:uid="{02274352-F06F-4042-AC4B-6D936D27CE56}"/>
    <cellStyle name="Comma 4 2 4" xfId="193" xr:uid="{D24CFAC3-C7AC-4662-8F8E-7AD20C89B5EB}"/>
    <cellStyle name="Comma 4 2 4 2" xfId="537" xr:uid="{592E0D4B-EE10-4EEE-8F2A-B05778C6B2C3}"/>
    <cellStyle name="Comma 4 2 4 2 2" xfId="1233" xr:uid="{144284CE-753B-4765-9F44-D89E9CC29057}"/>
    <cellStyle name="Comma 4 2 4 2 2 2" xfId="2634" xr:uid="{3FD2B83F-C7F0-44FB-830F-FB4EEB872C03}"/>
    <cellStyle name="Comma 4 2 4 2 2 2 2" xfId="5444" xr:uid="{748825E1-84BA-4FB7-9757-80E3BF4A388E}"/>
    <cellStyle name="Comma 4 2 4 2 2 2 2 2" xfId="11080" xr:uid="{FC7FFEDB-BE51-4638-8C8A-8A28BC834348}"/>
    <cellStyle name="Comma 4 2 4 2 2 2 3" xfId="8270" xr:uid="{62B431D2-4D75-478B-ABB6-F8CAB0C278CA}"/>
    <cellStyle name="Comma 4 2 4 2 2 3" xfId="4043" xr:uid="{F15C411F-CE95-4FEA-8940-C600C7FDE153}"/>
    <cellStyle name="Comma 4 2 4 2 2 3 2" xfId="9679" xr:uid="{883796F6-528E-4361-A854-CAD9D7BB5E6D}"/>
    <cellStyle name="Comma 4 2 4 2 2 4" xfId="6869" xr:uid="{BAB9A2EC-B2E4-487A-A5C9-90487832E440}"/>
    <cellStyle name="Comma 4 2 4 2 3" xfId="1938" xr:uid="{A8184133-E776-47F4-812C-9A67D683B62A}"/>
    <cellStyle name="Comma 4 2 4 2 3 2" xfId="4748" xr:uid="{67AA13BC-7DC1-4BD4-9AA3-42956F3503B5}"/>
    <cellStyle name="Comma 4 2 4 2 3 2 2" xfId="10384" xr:uid="{7723960A-1E77-48B9-AE3A-93CFEED600E9}"/>
    <cellStyle name="Comma 4 2 4 2 3 3" xfId="7574" xr:uid="{FF849002-B9F6-40C6-BE3F-206B087F7FE0}"/>
    <cellStyle name="Comma 4 2 4 2 4" xfId="3347" xr:uid="{137581BE-3087-4900-8056-9B5C4BDD2656}"/>
    <cellStyle name="Comma 4 2 4 2 4 2" xfId="8983" xr:uid="{B2A9BD5A-5098-444B-86D0-D43A3FC99721}"/>
    <cellStyle name="Comma 4 2 4 2 5" xfId="6173" xr:uid="{8B983640-D3CB-42E3-92BC-8FB2D2673466}"/>
    <cellStyle name="Comma 4 2 4 3" xfId="889" xr:uid="{9F70FEBF-D989-4BFE-BD5E-75D3AA032814}"/>
    <cellStyle name="Comma 4 2 4 3 2" xfId="2290" xr:uid="{FFDB02F3-FEF7-458E-838E-8AF8F2FD90D1}"/>
    <cellStyle name="Comma 4 2 4 3 2 2" xfId="5100" xr:uid="{54678C08-BD78-453D-BCA3-3B7C66BB4730}"/>
    <cellStyle name="Comma 4 2 4 3 2 2 2" xfId="10736" xr:uid="{0C439B1F-F4BF-4030-9382-5EB492EE6283}"/>
    <cellStyle name="Comma 4 2 4 3 2 3" xfId="7926" xr:uid="{66BE0411-7EDB-4248-82FF-A7A834A85F2B}"/>
    <cellStyle name="Comma 4 2 4 3 3" xfId="3699" xr:uid="{15D55122-F8E0-47A6-951E-C17389E45D68}"/>
    <cellStyle name="Comma 4 2 4 3 3 2" xfId="9335" xr:uid="{239B69D1-FA53-4560-BD74-52788E63C995}"/>
    <cellStyle name="Comma 4 2 4 3 4" xfId="6525" xr:uid="{3142D521-42A7-4F95-8B14-CB8E4917CE23}"/>
    <cellStyle name="Comma 4 2 4 4" xfId="1594" xr:uid="{A7D610E3-8604-4691-9DD7-4274748AF7AA}"/>
    <cellStyle name="Comma 4 2 4 4 2" xfId="4404" xr:uid="{E84CAFDD-434A-4CDB-8B21-A006E90EFADC}"/>
    <cellStyle name="Comma 4 2 4 4 2 2" xfId="10040" xr:uid="{E6FFDECB-3EE5-465E-A84F-342B489D0818}"/>
    <cellStyle name="Comma 4 2 4 4 3" xfId="7230" xr:uid="{F7CB3E0D-E395-42EE-A3DF-046844443028}"/>
    <cellStyle name="Comma 4 2 4 5" xfId="3003" xr:uid="{7BE1AB07-8BD7-4BBB-B400-E3281A6DA17A}"/>
    <cellStyle name="Comma 4 2 4 5 2" xfId="8639" xr:uid="{0CE744F5-582D-4277-A9B4-83697D14F23E}"/>
    <cellStyle name="Comma 4 2 4 6" xfId="5829" xr:uid="{8AE57105-A76C-486F-B232-B9EB274EB4A4}"/>
    <cellStyle name="Comma 4 2 5" xfId="365" xr:uid="{1E43A584-352A-44EB-9205-C33B3FD4450C}"/>
    <cellStyle name="Comma 4 2 5 2" xfId="1061" xr:uid="{5AC7DC40-4E1A-4594-BC21-7BE7F9E838F4}"/>
    <cellStyle name="Comma 4 2 5 2 2" xfId="2462" xr:uid="{BEBD2D78-1CAF-4C14-887F-9591A1740CA0}"/>
    <cellStyle name="Comma 4 2 5 2 2 2" xfId="5272" xr:uid="{5BE1F074-A697-4172-AEE0-9D80573BEA47}"/>
    <cellStyle name="Comma 4 2 5 2 2 2 2" xfId="10908" xr:uid="{1A87CB1D-5BCC-4CD5-AEEB-600C04F91AFE}"/>
    <cellStyle name="Comma 4 2 5 2 2 3" xfId="8098" xr:uid="{A7D0B62F-864C-4603-AAD6-2F8DFB10541E}"/>
    <cellStyle name="Comma 4 2 5 2 3" xfId="3871" xr:uid="{729EAA39-724A-4404-801A-86A8D1101871}"/>
    <cellStyle name="Comma 4 2 5 2 3 2" xfId="9507" xr:uid="{B769A656-AEEC-406C-9924-10032DBC5B96}"/>
    <cellStyle name="Comma 4 2 5 2 4" xfId="6697" xr:uid="{798AA2E3-162A-43B2-B0CB-BD5387F47A7C}"/>
    <cellStyle name="Comma 4 2 5 3" xfId="1766" xr:uid="{5C965D25-213A-4415-888C-1E5E6FC9FD0F}"/>
    <cellStyle name="Comma 4 2 5 3 2" xfId="4576" xr:uid="{EA186EEF-974F-4C93-8664-1FBF82AE5CB7}"/>
    <cellStyle name="Comma 4 2 5 3 2 2" xfId="10212" xr:uid="{D15335B2-937C-4BF6-8E2D-70BD0CDADE16}"/>
    <cellStyle name="Comma 4 2 5 3 3" xfId="7402" xr:uid="{D649C1E8-949C-4FE2-AC9D-A0106883BCFA}"/>
    <cellStyle name="Comma 4 2 5 4" xfId="3175" xr:uid="{54C7DBA1-938E-4514-8A40-46F5FA8E66BE}"/>
    <cellStyle name="Comma 4 2 5 4 2" xfId="8811" xr:uid="{053916D0-5CE4-4CE5-BDC1-C7B2002D2C69}"/>
    <cellStyle name="Comma 4 2 5 5" xfId="6001" xr:uid="{E7498AA4-1D83-4A9E-892D-B23CAAF101D2}"/>
    <cellStyle name="Comma 4 2 6" xfId="717" xr:uid="{687F40DE-4C84-481B-A6EB-2663BA6500A6}"/>
    <cellStyle name="Comma 4 2 6 2" xfId="2118" xr:uid="{F6A525E5-EAD0-450E-84EF-CD56787D1610}"/>
    <cellStyle name="Comma 4 2 6 2 2" xfId="4928" xr:uid="{28547EBA-BC69-45C5-B2B0-49722DB9ABD0}"/>
    <cellStyle name="Comma 4 2 6 2 2 2" xfId="10564" xr:uid="{31DA2118-7550-48BF-957B-51EB54E3F00B}"/>
    <cellStyle name="Comma 4 2 6 2 3" xfId="7754" xr:uid="{5F0A618A-D970-41F1-A24F-D642D9AA4F33}"/>
    <cellStyle name="Comma 4 2 6 3" xfId="3527" xr:uid="{7EDBD017-B723-4A1A-98D7-E674BC809FB3}"/>
    <cellStyle name="Comma 4 2 6 3 2" xfId="9163" xr:uid="{2C2CF1B5-56A3-4EE9-8F9C-4BC5FBE34154}"/>
    <cellStyle name="Comma 4 2 6 4" xfId="6353" xr:uid="{2B50E0D7-564B-4731-B455-0A9BCE60C18B}"/>
    <cellStyle name="Comma 4 2 7" xfId="1422" xr:uid="{FE28AF03-0312-4E35-8C06-A61086D9651A}"/>
    <cellStyle name="Comma 4 2 7 2" xfId="4232" xr:uid="{E75114FE-E7AA-4C52-85D4-48A13F202EB5}"/>
    <cellStyle name="Comma 4 2 7 2 2" xfId="9868" xr:uid="{FD608BD7-1A64-4A2F-A589-26E5157FBF82}"/>
    <cellStyle name="Comma 4 2 7 3" xfId="7058" xr:uid="{D1647E72-ACB9-4ED3-9FBE-EFFCB7E0BE40}"/>
    <cellStyle name="Comma 4 2 8" xfId="2831" xr:uid="{BB837084-F4F2-4213-B0E2-988E8D42C9A2}"/>
    <cellStyle name="Comma 4 2 8 2" xfId="8467" xr:uid="{15C9CB8E-E26F-4217-8540-CFBBEECA3F4A}"/>
    <cellStyle name="Comma 4 2 9" xfId="5657" xr:uid="{1DD8CCBC-7DFE-4A51-95A9-21B9B716A506}"/>
    <cellStyle name="Comma 4 3" xfId="41" xr:uid="{243AACE7-606A-44BE-A666-1692BE50D76B}"/>
    <cellStyle name="Comma 4 3 2" xfId="121" xr:uid="{FFCB2501-494F-4F41-BF98-1E06C11F244E}"/>
    <cellStyle name="Comma 4 3 2 2" xfId="293" xr:uid="{BFA8DD32-C6BF-4447-887B-4DAF00E8D4D1}"/>
    <cellStyle name="Comma 4 3 2 2 2" xfId="637" xr:uid="{59379DE0-E7FD-42D6-B644-724C94AA483E}"/>
    <cellStyle name="Comma 4 3 2 2 2 2" xfId="1333" xr:uid="{687A11A5-2521-4D0E-B698-9D0EDEE2568C}"/>
    <cellStyle name="Comma 4 3 2 2 2 2 2" xfId="2734" xr:uid="{D3F12624-D2F7-4C3C-890D-8DD7CD1B650D}"/>
    <cellStyle name="Comma 4 3 2 2 2 2 2 2" xfId="5544" xr:uid="{3F79B097-A3D4-42B7-8A59-F215C3937907}"/>
    <cellStyle name="Comma 4 3 2 2 2 2 2 2 2" xfId="11180" xr:uid="{A7B65ECE-9426-4570-AD0A-460AE2B7D3A4}"/>
    <cellStyle name="Comma 4 3 2 2 2 2 2 3" xfId="8370" xr:uid="{3CC64B5E-095E-4D8B-B4F1-EA0681F8C231}"/>
    <cellStyle name="Comma 4 3 2 2 2 2 3" xfId="4143" xr:uid="{495ACF8D-C047-4172-B4DE-02D9B1F923F9}"/>
    <cellStyle name="Comma 4 3 2 2 2 2 3 2" xfId="9779" xr:uid="{A37F4773-7E8C-4A8B-AF14-D594455C36D1}"/>
    <cellStyle name="Comma 4 3 2 2 2 2 4" xfId="6969" xr:uid="{E5D4CEE1-ECEC-4702-8656-9CD2AD22FD0F}"/>
    <cellStyle name="Comma 4 3 2 2 2 3" xfId="2038" xr:uid="{E18DE1D8-2509-42DB-B6A1-79EC942C36FF}"/>
    <cellStyle name="Comma 4 3 2 2 2 3 2" xfId="4848" xr:uid="{298A47EB-6476-4EBE-B9A2-D094C6BDD0DD}"/>
    <cellStyle name="Comma 4 3 2 2 2 3 2 2" xfId="10484" xr:uid="{FB98659E-CC84-48B3-AFB1-A2EF27CBF4DB}"/>
    <cellStyle name="Comma 4 3 2 2 2 3 3" xfId="7674" xr:uid="{69837851-ED67-4370-9C81-D8B3044BEE46}"/>
    <cellStyle name="Comma 4 3 2 2 2 4" xfId="3447" xr:uid="{0B31D1A5-25D2-41E7-83DA-5FE43F2728FD}"/>
    <cellStyle name="Comma 4 3 2 2 2 4 2" xfId="9083" xr:uid="{7E2EFE5F-2624-4D17-AE96-7E924A91D2ED}"/>
    <cellStyle name="Comma 4 3 2 2 2 5" xfId="6273" xr:uid="{DD3696D6-FC48-4083-93EF-26560D53F904}"/>
    <cellStyle name="Comma 4 3 2 2 3" xfId="989" xr:uid="{6C64FAFA-699F-4036-8814-D143136CEFE6}"/>
    <cellStyle name="Comma 4 3 2 2 3 2" xfId="2390" xr:uid="{7E77E4D6-AE43-47C9-A7CE-F688368AAFAB}"/>
    <cellStyle name="Comma 4 3 2 2 3 2 2" xfId="5200" xr:uid="{3BC64B13-C1F5-4A6F-9FBD-97D1D3B32F3A}"/>
    <cellStyle name="Comma 4 3 2 2 3 2 2 2" xfId="10836" xr:uid="{284E3504-C354-4098-9ABF-078B2C9E0015}"/>
    <cellStyle name="Comma 4 3 2 2 3 2 3" xfId="8026" xr:uid="{8BDCE81D-B0ED-4731-80DB-7E5967ADD197}"/>
    <cellStyle name="Comma 4 3 2 2 3 3" xfId="3799" xr:uid="{7F7416F9-88E9-46E5-8620-53A21D44410B}"/>
    <cellStyle name="Comma 4 3 2 2 3 3 2" xfId="9435" xr:uid="{D394CCA0-A582-4000-814C-F5A0A63BFDF9}"/>
    <cellStyle name="Comma 4 3 2 2 3 4" xfId="6625" xr:uid="{887DD5BA-227E-47EE-B146-93A52258332D}"/>
    <cellStyle name="Comma 4 3 2 2 4" xfId="1694" xr:uid="{49FEAA85-2EEC-4121-BB90-5F7232592CF7}"/>
    <cellStyle name="Comma 4 3 2 2 4 2" xfId="4504" xr:uid="{DB625BC4-CBE6-4BD3-BBAC-317D45C60145}"/>
    <cellStyle name="Comma 4 3 2 2 4 2 2" xfId="10140" xr:uid="{1A198F11-96ED-4303-81C2-21058AB84170}"/>
    <cellStyle name="Comma 4 3 2 2 4 3" xfId="7330" xr:uid="{67FAA567-32EC-4664-8CFE-194C387980A1}"/>
    <cellStyle name="Comma 4 3 2 2 5" xfId="3103" xr:uid="{E346D010-AD04-4469-8B38-965518AD2F3B}"/>
    <cellStyle name="Comma 4 3 2 2 5 2" xfId="8739" xr:uid="{A690FE4D-4F36-4FAD-8BDD-A2979ECA3E67}"/>
    <cellStyle name="Comma 4 3 2 2 6" xfId="5929" xr:uid="{C14F299B-3D84-434A-9042-9DA14C98921E}"/>
    <cellStyle name="Comma 4 3 2 3" xfId="465" xr:uid="{EBA6520D-F664-40B2-9B86-4DF16DF73FA7}"/>
    <cellStyle name="Comma 4 3 2 3 2" xfId="1161" xr:uid="{1B8FB190-3362-470A-AE2A-CD7662785DC5}"/>
    <cellStyle name="Comma 4 3 2 3 2 2" xfId="2562" xr:uid="{8969BBCD-ECFC-44D1-B10E-669CA4017FC8}"/>
    <cellStyle name="Comma 4 3 2 3 2 2 2" xfId="5372" xr:uid="{E7CEF707-2749-43B2-95BF-E6A0D4352FBC}"/>
    <cellStyle name="Comma 4 3 2 3 2 2 2 2" xfId="11008" xr:uid="{0E0DF387-A30A-44D0-895A-18A898899DC4}"/>
    <cellStyle name="Comma 4 3 2 3 2 2 3" xfId="8198" xr:uid="{2ED87D8A-0438-4727-B9AA-FA759EC8515F}"/>
    <cellStyle name="Comma 4 3 2 3 2 3" xfId="3971" xr:uid="{4B2C5CC0-F419-4642-AB01-8B5EFAEE939C}"/>
    <cellStyle name="Comma 4 3 2 3 2 3 2" xfId="9607" xr:uid="{EB5F1F4F-BD38-45F8-B27E-310677E4CF55}"/>
    <cellStyle name="Comma 4 3 2 3 2 4" xfId="6797" xr:uid="{7B0885ED-DC96-447B-B49A-BE58E29C94C7}"/>
    <cellStyle name="Comma 4 3 2 3 3" xfId="1866" xr:uid="{9BA97FE2-333D-454B-A701-1D74767280B4}"/>
    <cellStyle name="Comma 4 3 2 3 3 2" xfId="4676" xr:uid="{8100919B-7176-4256-B84D-34FD61F8BAA9}"/>
    <cellStyle name="Comma 4 3 2 3 3 2 2" xfId="10312" xr:uid="{AC63F8DE-4E8E-43B1-BAF1-BEBAFC826C0A}"/>
    <cellStyle name="Comma 4 3 2 3 3 3" xfId="7502" xr:uid="{27F1E6C6-5E82-4A2C-AA83-92A8799D4A0D}"/>
    <cellStyle name="Comma 4 3 2 3 4" xfId="3275" xr:uid="{ADC37975-8431-46B4-AB0E-472488021D65}"/>
    <cellStyle name="Comma 4 3 2 3 4 2" xfId="8911" xr:uid="{7EE59EBD-81AC-4B8C-A8F5-9BCBF135648F}"/>
    <cellStyle name="Comma 4 3 2 3 5" xfId="6101" xr:uid="{F1D5BAFC-7852-47AF-8498-CE2E3458514F}"/>
    <cellStyle name="Comma 4 3 2 4" xfId="817" xr:uid="{B55A5670-8E2E-4037-B36E-5A31298C8654}"/>
    <cellStyle name="Comma 4 3 2 4 2" xfId="2218" xr:uid="{75638E6D-47DF-4672-9FD6-96B0B900B469}"/>
    <cellStyle name="Comma 4 3 2 4 2 2" xfId="5028" xr:uid="{B92FFB53-C280-42F2-94EF-B066A2D6C18B}"/>
    <cellStyle name="Comma 4 3 2 4 2 2 2" xfId="10664" xr:uid="{A49B0578-5EC2-4E37-8657-A9296AE9C8C9}"/>
    <cellStyle name="Comma 4 3 2 4 2 3" xfId="7854" xr:uid="{6E65B2EE-1892-4880-8E42-FE9732647312}"/>
    <cellStyle name="Comma 4 3 2 4 3" xfId="3627" xr:uid="{765FF1FD-87FD-4342-A988-ECC604704A17}"/>
    <cellStyle name="Comma 4 3 2 4 3 2" xfId="9263" xr:uid="{A7F15400-AC44-42A7-AB63-7464BCFCC793}"/>
    <cellStyle name="Comma 4 3 2 4 4" xfId="6453" xr:uid="{C1DCD5C3-DC56-4074-B36D-3908BB58A6F1}"/>
    <cellStyle name="Comma 4 3 2 5" xfId="1522" xr:uid="{F4F2C3A0-1B77-485F-8F86-8B5288C3FA0B}"/>
    <cellStyle name="Comma 4 3 2 5 2" xfId="4332" xr:uid="{2AE535D4-09B0-4D77-B09C-A0C946682761}"/>
    <cellStyle name="Comma 4 3 2 5 2 2" xfId="9968" xr:uid="{D5E18F21-FF51-4231-B060-5F9D62AB6042}"/>
    <cellStyle name="Comma 4 3 2 5 3" xfId="7158" xr:uid="{2718FF51-027A-49EE-8776-FE3F10C885DA}"/>
    <cellStyle name="Comma 4 3 2 6" xfId="2931" xr:uid="{EAEC05BE-E7FA-4082-A9DC-776A208C2B00}"/>
    <cellStyle name="Comma 4 3 2 6 2" xfId="8567" xr:uid="{9AEAA9AC-1AE5-4914-B6D8-66B3AA3F53D8}"/>
    <cellStyle name="Comma 4 3 2 7" xfId="5757" xr:uid="{50410CED-F063-462F-80E6-4D8FE2FF9785}"/>
    <cellStyle name="Comma 4 3 3" xfId="213" xr:uid="{8629E26F-25B6-443F-B2B1-804F4FBA6525}"/>
    <cellStyle name="Comma 4 3 3 2" xfId="557" xr:uid="{B8FDA97A-F11D-4779-8C6D-4005165C897B}"/>
    <cellStyle name="Comma 4 3 3 2 2" xfId="1253" xr:uid="{B1B1A495-498F-4AE0-9556-33A026793F66}"/>
    <cellStyle name="Comma 4 3 3 2 2 2" xfId="2654" xr:uid="{2263BAB5-0552-4266-BCE4-7AE5B01D68C8}"/>
    <cellStyle name="Comma 4 3 3 2 2 2 2" xfId="5464" xr:uid="{5F89EA9A-ABB5-462C-B5BC-28B5CBDB7B23}"/>
    <cellStyle name="Comma 4 3 3 2 2 2 2 2" xfId="11100" xr:uid="{E6392CB3-D85B-4ABD-9FAE-0396CC41A4D6}"/>
    <cellStyle name="Comma 4 3 3 2 2 2 3" xfId="8290" xr:uid="{98E30D0A-DC0F-42BB-A5E1-852D1DF13C7E}"/>
    <cellStyle name="Comma 4 3 3 2 2 3" xfId="4063" xr:uid="{E055F06C-8668-4813-8297-B8B1B3454A6E}"/>
    <cellStyle name="Comma 4 3 3 2 2 3 2" xfId="9699" xr:uid="{5926315F-1346-454B-866E-4AA0338DD41F}"/>
    <cellStyle name="Comma 4 3 3 2 2 4" xfId="6889" xr:uid="{0F37CA5D-FF92-4E3E-BA7D-D9122596B8D0}"/>
    <cellStyle name="Comma 4 3 3 2 3" xfId="1958" xr:uid="{ABBA73C8-32B3-4562-B10F-432CEA26F5DD}"/>
    <cellStyle name="Comma 4 3 3 2 3 2" xfId="4768" xr:uid="{6C703DBD-4C9F-4897-B6F3-C09906C79AFE}"/>
    <cellStyle name="Comma 4 3 3 2 3 2 2" xfId="10404" xr:uid="{00988DF3-D407-4C03-9643-C3A3BA60F0B1}"/>
    <cellStyle name="Comma 4 3 3 2 3 3" xfId="7594" xr:uid="{073F96F4-BDB8-4A6A-9F39-6BE15252364B}"/>
    <cellStyle name="Comma 4 3 3 2 4" xfId="3367" xr:uid="{E13763B8-F59C-408D-A6BF-3E1CD839C5DF}"/>
    <cellStyle name="Comma 4 3 3 2 4 2" xfId="9003" xr:uid="{9ED3B7EE-ADF3-466A-9DD6-F2467AD35D1B}"/>
    <cellStyle name="Comma 4 3 3 2 5" xfId="6193" xr:uid="{9F97DF55-12F5-4E6D-B1FA-50A3A43161BA}"/>
    <cellStyle name="Comma 4 3 3 3" xfId="909" xr:uid="{B6438F2F-8104-4D89-BAFE-32A8B228E977}"/>
    <cellStyle name="Comma 4 3 3 3 2" xfId="2310" xr:uid="{31DB3686-82C0-49D3-B6B6-39D54514A7EF}"/>
    <cellStyle name="Comma 4 3 3 3 2 2" xfId="5120" xr:uid="{CFC66414-6330-4B23-B2D7-5F76838C8639}"/>
    <cellStyle name="Comma 4 3 3 3 2 2 2" xfId="10756" xr:uid="{CBCCEF5A-ABA1-4A02-8011-8269349CF4EC}"/>
    <cellStyle name="Comma 4 3 3 3 2 3" xfId="7946" xr:uid="{F45894AB-0F61-4071-8279-11C369783385}"/>
    <cellStyle name="Comma 4 3 3 3 3" xfId="3719" xr:uid="{6E452F5B-1B4E-44F6-ACD8-D03D8A0C1787}"/>
    <cellStyle name="Comma 4 3 3 3 3 2" xfId="9355" xr:uid="{0AE15F48-B839-44EE-9BC9-5C971F494E59}"/>
    <cellStyle name="Comma 4 3 3 3 4" xfId="6545" xr:uid="{5BE5C493-CA77-44A1-8B8A-F59028689EB3}"/>
    <cellStyle name="Comma 4 3 3 4" xfId="1614" xr:uid="{04BD0038-572B-4CB1-80E3-C5E66DA96FC2}"/>
    <cellStyle name="Comma 4 3 3 4 2" xfId="4424" xr:uid="{789734EC-7092-40B2-A364-CEAD8D8C9B3F}"/>
    <cellStyle name="Comma 4 3 3 4 2 2" xfId="10060" xr:uid="{70DD3062-27D9-4C0A-9277-F5D2009ABBB9}"/>
    <cellStyle name="Comma 4 3 3 4 3" xfId="7250" xr:uid="{319FC01A-2218-4097-9999-29DE4EE381E8}"/>
    <cellStyle name="Comma 4 3 3 5" xfId="3023" xr:uid="{EC14E631-F0A0-42CB-B7E0-730BB4FAC776}"/>
    <cellStyle name="Comma 4 3 3 5 2" xfId="8659" xr:uid="{5870BA76-3AF2-4834-91EC-4A253AE877D8}"/>
    <cellStyle name="Comma 4 3 3 6" xfId="5849" xr:uid="{542EA9BE-8890-4F1B-810F-5D38D14F04EA}"/>
    <cellStyle name="Comma 4 3 4" xfId="385" xr:uid="{83C7375F-751B-49EF-8A8E-445081110256}"/>
    <cellStyle name="Comma 4 3 4 2" xfId="1081" xr:uid="{6EB34EEB-7C48-4F45-99DA-8DE24181D3E2}"/>
    <cellStyle name="Comma 4 3 4 2 2" xfId="2482" xr:uid="{DC7B772E-6A9E-471C-B595-B031BE594BA8}"/>
    <cellStyle name="Comma 4 3 4 2 2 2" xfId="5292" xr:uid="{17575763-B954-40A4-82DC-132AED50FCCA}"/>
    <cellStyle name="Comma 4 3 4 2 2 2 2" xfId="10928" xr:uid="{9FC702DC-3E96-4042-88A6-B9D8A6E8A295}"/>
    <cellStyle name="Comma 4 3 4 2 2 3" xfId="8118" xr:uid="{81CB590B-F41E-4335-9C99-F66F8620DF28}"/>
    <cellStyle name="Comma 4 3 4 2 3" xfId="3891" xr:uid="{80615A3F-39F7-4E36-9D54-8B99C94BC21C}"/>
    <cellStyle name="Comma 4 3 4 2 3 2" xfId="9527" xr:uid="{4E80BA54-B642-4CFE-AF01-F0CFE9D632CD}"/>
    <cellStyle name="Comma 4 3 4 2 4" xfId="6717" xr:uid="{29580220-57FD-4658-B1B4-D81FBABFEF29}"/>
    <cellStyle name="Comma 4 3 4 3" xfId="1786" xr:uid="{19877810-8AC3-47B8-854B-FDA9A8D410D0}"/>
    <cellStyle name="Comma 4 3 4 3 2" xfId="4596" xr:uid="{870F624D-95F0-4B98-908A-1583B5932BD1}"/>
    <cellStyle name="Comma 4 3 4 3 2 2" xfId="10232" xr:uid="{2163012D-B498-4F5E-AE6B-3150A3E72C5E}"/>
    <cellStyle name="Comma 4 3 4 3 3" xfId="7422" xr:uid="{D702DC50-4CE2-4FB9-BD37-61969CC3ABB3}"/>
    <cellStyle name="Comma 4 3 4 4" xfId="3195" xr:uid="{D0E22C71-B5BA-4135-A3E5-6C00632B6EF0}"/>
    <cellStyle name="Comma 4 3 4 4 2" xfId="8831" xr:uid="{D45391A2-33C9-4FFC-A566-ED558697FDD3}"/>
    <cellStyle name="Comma 4 3 4 5" xfId="6021" xr:uid="{36604B74-8A92-4BA3-B411-B74B5037E7C3}"/>
    <cellStyle name="Comma 4 3 5" xfId="737" xr:uid="{1FCB78DE-42A6-47A4-9411-EB22AED76EDA}"/>
    <cellStyle name="Comma 4 3 5 2" xfId="2138" xr:uid="{EA648DD9-4AE5-4E85-8D06-B1CC48AFAEFB}"/>
    <cellStyle name="Comma 4 3 5 2 2" xfId="4948" xr:uid="{EBBDA8A3-20DA-48B5-A1FA-9729AB80C4AA}"/>
    <cellStyle name="Comma 4 3 5 2 2 2" xfId="10584" xr:uid="{C7A19E27-DD10-4BC3-8039-BAE08AA3465E}"/>
    <cellStyle name="Comma 4 3 5 2 3" xfId="7774" xr:uid="{AF5A00C1-A303-405D-A495-AEBB2F60BA54}"/>
    <cellStyle name="Comma 4 3 5 3" xfId="3547" xr:uid="{86619531-5B65-4449-8437-79A932C1AD8D}"/>
    <cellStyle name="Comma 4 3 5 3 2" xfId="9183" xr:uid="{D40CF4A2-4AF9-478F-BB2D-89139BB4AE29}"/>
    <cellStyle name="Comma 4 3 5 4" xfId="6373" xr:uid="{2EEE1699-4F03-4CAA-9F35-2869C390447C}"/>
    <cellStyle name="Comma 4 3 6" xfId="1442" xr:uid="{E6223F38-D6BC-414A-8AD0-8CF7A1A67434}"/>
    <cellStyle name="Comma 4 3 6 2" xfId="4252" xr:uid="{F9ED5A0B-78CA-4BBC-B75D-059D87562277}"/>
    <cellStyle name="Comma 4 3 6 2 2" xfId="9888" xr:uid="{6438A060-79A0-49C8-95BF-1E9F50403ED8}"/>
    <cellStyle name="Comma 4 3 6 3" xfId="7078" xr:uid="{E32581EF-4DE7-4D5E-971B-F9441CC17ADC}"/>
    <cellStyle name="Comma 4 3 7" xfId="2851" xr:uid="{839E6CF4-03B8-48CF-B4C1-AA5F8BE9BBC7}"/>
    <cellStyle name="Comma 4 3 7 2" xfId="8487" xr:uid="{6ADDFAF8-A550-4F80-9AE1-FEB168A2990D}"/>
    <cellStyle name="Comma 4 3 8" xfId="5677" xr:uid="{F9C78A55-C393-4FAD-B8B6-E5BE7D8AB710}"/>
    <cellStyle name="Comma 4 4" xfId="89" xr:uid="{C6F79936-7941-4219-BCFD-A1EC6E8FBB8F}"/>
    <cellStyle name="Comma 4 4 2" xfId="261" xr:uid="{09373075-70F1-4A33-89FB-13DC12628106}"/>
    <cellStyle name="Comma 4 4 2 2" xfId="605" xr:uid="{221EA9CD-88AA-4A11-87CC-2C8FDA4CBF7E}"/>
    <cellStyle name="Comma 4 4 2 2 2" xfId="1301" xr:uid="{921E8B7C-4F16-403D-960F-79E0C093BF9F}"/>
    <cellStyle name="Comma 4 4 2 2 2 2" xfId="2702" xr:uid="{FAD91689-B0DC-4907-9BAC-168B65C0B62F}"/>
    <cellStyle name="Comma 4 4 2 2 2 2 2" xfId="5512" xr:uid="{91490314-B05B-44EF-8A38-F6A955E91384}"/>
    <cellStyle name="Comma 4 4 2 2 2 2 2 2" xfId="11148" xr:uid="{C451EEFD-6839-4828-A424-3EFD45CE1456}"/>
    <cellStyle name="Comma 4 4 2 2 2 2 3" xfId="8338" xr:uid="{AC4C2B95-9A31-4C68-A68B-9846636A3083}"/>
    <cellStyle name="Comma 4 4 2 2 2 3" xfId="4111" xr:uid="{67168DC9-F7C3-44A2-91FE-3A9F189E1E0E}"/>
    <cellStyle name="Comma 4 4 2 2 2 3 2" xfId="9747" xr:uid="{910CE68B-C4FE-46CB-97CC-39EBA74B8880}"/>
    <cellStyle name="Comma 4 4 2 2 2 4" xfId="6937" xr:uid="{14889BC4-F5B4-4A01-AFE7-0581BD284492}"/>
    <cellStyle name="Comma 4 4 2 2 3" xfId="2006" xr:uid="{2FA2152F-28A3-4E98-B37D-6DC973329D9E}"/>
    <cellStyle name="Comma 4 4 2 2 3 2" xfId="4816" xr:uid="{2A115250-D3EA-4B6B-8CE9-2B463B485C00}"/>
    <cellStyle name="Comma 4 4 2 2 3 2 2" xfId="10452" xr:uid="{C64E7C0B-55B0-4608-A4CB-28D50A143938}"/>
    <cellStyle name="Comma 4 4 2 2 3 3" xfId="7642" xr:uid="{23F8B4E0-AF87-46E7-AD1D-C65F1CDABF37}"/>
    <cellStyle name="Comma 4 4 2 2 4" xfId="3415" xr:uid="{303B475E-1646-4A52-8574-B38B63E37315}"/>
    <cellStyle name="Comma 4 4 2 2 4 2" xfId="9051" xr:uid="{8BB47098-B1E3-4282-8FB0-E104C3A6FDAB}"/>
    <cellStyle name="Comma 4 4 2 2 5" xfId="6241" xr:uid="{EEF07550-D595-47D5-90D2-EC3A782B4957}"/>
    <cellStyle name="Comma 4 4 2 3" xfId="957" xr:uid="{1230558C-5E66-4E89-B902-26F117A38276}"/>
    <cellStyle name="Comma 4 4 2 3 2" xfId="2358" xr:uid="{783E8B6E-BBCB-4A85-9138-A1207B0BAC1C}"/>
    <cellStyle name="Comma 4 4 2 3 2 2" xfId="5168" xr:uid="{AEE5F57F-6141-4C9A-91BB-866ACBEA91B6}"/>
    <cellStyle name="Comma 4 4 2 3 2 2 2" xfId="10804" xr:uid="{052A0FC3-0AF1-44BB-9150-3E8B1A984044}"/>
    <cellStyle name="Comma 4 4 2 3 2 3" xfId="7994" xr:uid="{D90E7A98-4EAE-4555-AF08-3A8DA29B7EB2}"/>
    <cellStyle name="Comma 4 4 2 3 3" xfId="3767" xr:uid="{20642801-A0E4-4DBB-8389-E79FAF62D2C0}"/>
    <cellStyle name="Comma 4 4 2 3 3 2" xfId="9403" xr:uid="{BBCD25FF-3880-4609-AD0F-C0A528C0F25B}"/>
    <cellStyle name="Comma 4 4 2 3 4" xfId="6593" xr:uid="{36FB4A2F-B82F-4EBA-B2DA-DAD5BD36D315}"/>
    <cellStyle name="Comma 4 4 2 4" xfId="1662" xr:uid="{7FFD0268-3017-4428-9000-1B3CBB1DCE74}"/>
    <cellStyle name="Comma 4 4 2 4 2" xfId="4472" xr:uid="{4542A3BE-BD41-4388-8280-7CBA4EE4A420}"/>
    <cellStyle name="Comma 4 4 2 4 2 2" xfId="10108" xr:uid="{4314FA20-EF27-4345-AFD6-6AC8FCB11A30}"/>
    <cellStyle name="Comma 4 4 2 4 3" xfId="7298" xr:uid="{D3E0EEE9-EF47-4DFB-87B1-6D0ED6237AF2}"/>
    <cellStyle name="Comma 4 4 2 5" xfId="3071" xr:uid="{71795E74-78D4-4819-BC07-280D2306BEB9}"/>
    <cellStyle name="Comma 4 4 2 5 2" xfId="8707" xr:uid="{592D658E-C792-4011-A5D7-851C97667B01}"/>
    <cellStyle name="Comma 4 4 2 6" xfId="5897" xr:uid="{07E691BA-0AD2-40FB-AC9C-32FB2B983AD7}"/>
    <cellStyle name="Comma 4 4 3" xfId="433" xr:uid="{4A342952-D5FE-4F59-AA66-6A5BB721E432}"/>
    <cellStyle name="Comma 4 4 3 2" xfId="1129" xr:uid="{1C03B569-5F73-4622-B0AB-3D043339290B}"/>
    <cellStyle name="Comma 4 4 3 2 2" xfId="2530" xr:uid="{D747813A-E95E-45CA-8EA9-CC87651BF8B6}"/>
    <cellStyle name="Comma 4 4 3 2 2 2" xfId="5340" xr:uid="{D39DE82F-D828-4905-95BC-93A2E53C64B9}"/>
    <cellStyle name="Comma 4 4 3 2 2 2 2" xfId="10976" xr:uid="{6CCC499C-FBCC-4AA4-B651-A3B07F23E52D}"/>
    <cellStyle name="Comma 4 4 3 2 2 3" xfId="8166" xr:uid="{F40B8ED3-F970-44F0-94F5-05CFD2772A06}"/>
    <cellStyle name="Comma 4 4 3 2 3" xfId="3939" xr:uid="{851D36BA-E235-4BAD-9B7D-9DD6F2CE3799}"/>
    <cellStyle name="Comma 4 4 3 2 3 2" xfId="9575" xr:uid="{9E27F211-D463-4140-9741-A7184A423B5C}"/>
    <cellStyle name="Comma 4 4 3 2 4" xfId="6765" xr:uid="{21625739-0D00-4F65-95AF-8C4EA1705A71}"/>
    <cellStyle name="Comma 4 4 3 3" xfId="1834" xr:uid="{C26F0C62-156E-4588-8C79-88ACCA624E2A}"/>
    <cellStyle name="Comma 4 4 3 3 2" xfId="4644" xr:uid="{4A786A99-7564-4DFE-8F9F-A35A555A13F0}"/>
    <cellStyle name="Comma 4 4 3 3 2 2" xfId="10280" xr:uid="{B1EBBA32-EDAD-4961-AAEA-357E2A6A3B72}"/>
    <cellStyle name="Comma 4 4 3 3 3" xfId="7470" xr:uid="{9C22B8BA-5122-4ABA-8DEC-4BEB9CD4919E}"/>
    <cellStyle name="Comma 4 4 3 4" xfId="3243" xr:uid="{2DC8BB05-E89E-4828-BBC0-752CEC502763}"/>
    <cellStyle name="Comma 4 4 3 4 2" xfId="8879" xr:uid="{48DFD0FC-334F-4875-B886-80486922539E}"/>
    <cellStyle name="Comma 4 4 3 5" xfId="6069" xr:uid="{E60F1CDE-578A-4ACD-8501-27F5A47840E7}"/>
    <cellStyle name="Comma 4 4 4" xfId="785" xr:uid="{371AE21C-5607-4020-AF30-25B608F05435}"/>
    <cellStyle name="Comma 4 4 4 2" xfId="2186" xr:uid="{85670AB0-2CCF-4AA4-AB02-EA28BAD855A6}"/>
    <cellStyle name="Comma 4 4 4 2 2" xfId="4996" xr:uid="{9306E338-C1C2-47A7-A69B-CFDC14ED6B21}"/>
    <cellStyle name="Comma 4 4 4 2 2 2" xfId="10632" xr:uid="{8F3FF326-32F1-43ED-A7F4-9DBE592F1302}"/>
    <cellStyle name="Comma 4 4 4 2 3" xfId="7822" xr:uid="{58D171BB-F8CC-4CCE-B71B-7AD6F36F00BD}"/>
    <cellStyle name="Comma 4 4 4 3" xfId="3595" xr:uid="{0AFDD440-152A-4DBE-8EA4-D6CB0399B156}"/>
    <cellStyle name="Comma 4 4 4 3 2" xfId="9231" xr:uid="{A6498933-6DED-4296-BCD0-8779CC6FFE4A}"/>
    <cellStyle name="Comma 4 4 4 4" xfId="6421" xr:uid="{EE11D88D-4F3A-4398-A9D1-3A651B4CFD84}"/>
    <cellStyle name="Comma 4 4 5" xfId="1490" xr:uid="{2C9EE9EE-7B95-4BC0-8E86-CD8A364AD7F3}"/>
    <cellStyle name="Comma 4 4 5 2" xfId="4300" xr:uid="{868018DC-44A6-45E7-91EA-AE123D696422}"/>
    <cellStyle name="Comma 4 4 5 2 2" xfId="9936" xr:uid="{15AED2A4-C915-44EC-A48A-269DA4FBDA88}"/>
    <cellStyle name="Comma 4 4 5 3" xfId="7126" xr:uid="{7AB190E2-ABA8-4561-A5B4-0D7040C918FC}"/>
    <cellStyle name="Comma 4 4 6" xfId="2899" xr:uid="{26481C56-6FCB-43F9-9769-69D134EBA83D}"/>
    <cellStyle name="Comma 4 4 6 2" xfId="8535" xr:uid="{AFA29BA3-5B86-449F-A1AE-6C8C8B901679}"/>
    <cellStyle name="Comma 4 4 7" xfId="5725" xr:uid="{720D92EA-1CAE-4308-A054-B9C6BD9B8406}"/>
    <cellStyle name="Comma 4 5" xfId="181" xr:uid="{02DA8D6E-D04C-4B93-8D98-A47DD769A3B8}"/>
    <cellStyle name="Comma 4 5 2" xfId="525" xr:uid="{5D809C3F-49DE-4FE3-873D-E83B1B1CB956}"/>
    <cellStyle name="Comma 4 5 2 2" xfId="1221" xr:uid="{57E9D3BA-7F63-4263-9934-E479E9055B5A}"/>
    <cellStyle name="Comma 4 5 2 2 2" xfId="2622" xr:uid="{863E54EA-BC85-4910-AD79-AFAFC7460EB4}"/>
    <cellStyle name="Comma 4 5 2 2 2 2" xfId="5432" xr:uid="{ED40A566-D73E-4FFF-A44B-0DDDE76ABBD1}"/>
    <cellStyle name="Comma 4 5 2 2 2 2 2" xfId="11068" xr:uid="{2C553C54-2131-4ED9-863F-A29A3222468E}"/>
    <cellStyle name="Comma 4 5 2 2 2 3" xfId="8258" xr:uid="{0130D408-6009-431B-9791-C99ECCB38626}"/>
    <cellStyle name="Comma 4 5 2 2 3" xfId="4031" xr:uid="{AE90EE76-EE7B-4AB8-BF40-2AA2EFC00CCD}"/>
    <cellStyle name="Comma 4 5 2 2 3 2" xfId="9667" xr:uid="{9EEBAEE5-6EC7-4A7E-8FCB-7D18F43FAD0A}"/>
    <cellStyle name="Comma 4 5 2 2 4" xfId="6857" xr:uid="{C36F0F27-B029-4256-8F75-B8F11AF369A1}"/>
    <cellStyle name="Comma 4 5 2 3" xfId="1926" xr:uid="{7A4C9AB2-5610-4234-933D-6BC5F392E3B9}"/>
    <cellStyle name="Comma 4 5 2 3 2" xfId="4736" xr:uid="{0FBEF709-60C7-40F8-9855-3A5686029C89}"/>
    <cellStyle name="Comma 4 5 2 3 2 2" xfId="10372" xr:uid="{82DB22F3-7C7C-44E8-BF2B-E67EEF0A83C9}"/>
    <cellStyle name="Comma 4 5 2 3 3" xfId="7562" xr:uid="{8565B9E1-6B43-4BD9-A88B-47ABB2C11EFB}"/>
    <cellStyle name="Comma 4 5 2 4" xfId="3335" xr:uid="{D857E7F8-24C7-4533-A23D-E26BD3CFC837}"/>
    <cellStyle name="Comma 4 5 2 4 2" xfId="8971" xr:uid="{D80DA886-8185-4016-BD0E-6F36808E2581}"/>
    <cellStyle name="Comma 4 5 2 5" xfId="6161" xr:uid="{5A1CA6AC-8063-486E-9B0A-60F66F1F2F79}"/>
    <cellStyle name="Comma 4 5 3" xfId="877" xr:uid="{0D633457-81AB-4DFE-BBBD-3C6539065645}"/>
    <cellStyle name="Comma 4 5 3 2" xfId="2278" xr:uid="{264DFD21-9E0D-4D90-AD84-8494403AAED9}"/>
    <cellStyle name="Comma 4 5 3 2 2" xfId="5088" xr:uid="{7A27B1AB-41D8-4A95-A8B1-34C198F1A723}"/>
    <cellStyle name="Comma 4 5 3 2 2 2" xfId="10724" xr:uid="{21D8EFF8-B95D-4A4F-A7B4-AEE68FC2B703}"/>
    <cellStyle name="Comma 4 5 3 2 3" xfId="7914" xr:uid="{86DEC07B-75B4-45D6-82D3-5318BE22A7F2}"/>
    <cellStyle name="Comma 4 5 3 3" xfId="3687" xr:uid="{828D3BD4-447B-4237-90EB-C1608F915F7A}"/>
    <cellStyle name="Comma 4 5 3 3 2" xfId="9323" xr:uid="{E4766707-0D3C-481E-B090-676D3780C7A8}"/>
    <cellStyle name="Comma 4 5 3 4" xfId="6513" xr:uid="{627196C5-5B39-4544-90F8-D29771114895}"/>
    <cellStyle name="Comma 4 5 4" xfId="1582" xr:uid="{CF5F9B6B-8676-4E91-ACB6-B856B45C40DD}"/>
    <cellStyle name="Comma 4 5 4 2" xfId="4392" xr:uid="{C0F8F616-BCEB-4F8F-80DB-AB23F872EE25}"/>
    <cellStyle name="Comma 4 5 4 2 2" xfId="10028" xr:uid="{D05D6390-5442-42F8-B189-2E4AFD621091}"/>
    <cellStyle name="Comma 4 5 4 3" xfId="7218" xr:uid="{80A18553-B01B-4B8A-AD0E-0A3DB7D91CC0}"/>
    <cellStyle name="Comma 4 5 5" xfId="2991" xr:uid="{C85DB1F8-B63E-406F-BEF4-7D5284086942}"/>
    <cellStyle name="Comma 4 5 5 2" xfId="8627" xr:uid="{EFAF344C-4FA2-4902-AF48-3E4910758A08}"/>
    <cellStyle name="Comma 4 5 6" xfId="5817" xr:uid="{D38DA7C3-C180-4FA1-8B80-609B3FCD5962}"/>
    <cellStyle name="Comma 4 6" xfId="353" xr:uid="{27133E2B-DE38-4D1E-A4CF-52D2F1330E77}"/>
    <cellStyle name="Comma 4 6 2" xfId="1049" xr:uid="{DBD84558-02C8-4122-9ED4-CCF94EB7163B}"/>
    <cellStyle name="Comma 4 6 2 2" xfId="2450" xr:uid="{49C8C04C-DE27-4025-9F31-F84943E98E86}"/>
    <cellStyle name="Comma 4 6 2 2 2" xfId="5260" xr:uid="{64D95001-B0D4-4258-A417-9202E716176E}"/>
    <cellStyle name="Comma 4 6 2 2 2 2" xfId="10896" xr:uid="{5E439185-A9F4-4FE7-B520-2F9D7FB1B1AC}"/>
    <cellStyle name="Comma 4 6 2 2 3" xfId="8086" xr:uid="{16F7C3DF-E9A4-434A-B4CB-2376D882AC79}"/>
    <cellStyle name="Comma 4 6 2 3" xfId="3859" xr:uid="{13129981-2B2F-4B4D-BEAB-F12E2F502C72}"/>
    <cellStyle name="Comma 4 6 2 3 2" xfId="9495" xr:uid="{F8D5BFC8-F26F-4E10-94C3-716382ED62A1}"/>
    <cellStyle name="Comma 4 6 2 4" xfId="6685" xr:uid="{738B8419-B8EF-4231-B36E-E9A0423A4080}"/>
    <cellStyle name="Comma 4 6 3" xfId="1754" xr:uid="{3D2E9C54-05EC-4CEF-80F7-1A77F91A8B03}"/>
    <cellStyle name="Comma 4 6 3 2" xfId="4564" xr:uid="{171EEA72-D01C-4568-B5E3-56E647B352FA}"/>
    <cellStyle name="Comma 4 6 3 2 2" xfId="10200" xr:uid="{26E5AB54-E3E2-495C-A1D9-7F8CEB695236}"/>
    <cellStyle name="Comma 4 6 3 3" xfId="7390" xr:uid="{0733E319-ABD2-412B-BDB5-C7A254D3CDAE}"/>
    <cellStyle name="Comma 4 6 4" xfId="3163" xr:uid="{7C2846E3-67FE-4FD8-A5AA-4F2004F65FB4}"/>
    <cellStyle name="Comma 4 6 4 2" xfId="8799" xr:uid="{172B95D2-FAA9-4E52-9863-15CD65732976}"/>
    <cellStyle name="Comma 4 6 5" xfId="5989" xr:uid="{D7B0B97B-1DCB-463D-91E8-09A6F78BF14D}"/>
    <cellStyle name="Comma 4 7" xfId="705" xr:uid="{CC73CF40-BF46-44C0-99C6-873CBCCB5B31}"/>
    <cellStyle name="Comma 4 7 2" xfId="2106" xr:uid="{CF25CF5A-4CD9-4980-8AB6-006DDC46BA1E}"/>
    <cellStyle name="Comma 4 7 2 2" xfId="4916" xr:uid="{1A652314-2218-4299-AA6A-766AEF57B541}"/>
    <cellStyle name="Comma 4 7 2 2 2" xfId="10552" xr:uid="{5429A629-7307-420B-9213-F4635A51F977}"/>
    <cellStyle name="Comma 4 7 2 3" xfId="7742" xr:uid="{488E4DBD-A8BC-4BD2-B9AA-A84DCC5B24DE}"/>
    <cellStyle name="Comma 4 7 3" xfId="3515" xr:uid="{18C825C5-4C79-4A24-9E5B-DCA34C23D4B0}"/>
    <cellStyle name="Comma 4 7 3 2" xfId="9151" xr:uid="{B6ADEA3B-B96B-406F-9AEF-CFD6BC9B5AD0}"/>
    <cellStyle name="Comma 4 7 4" xfId="6341" xr:uid="{071FA7E7-F40E-4647-802F-55DF45C9FC73}"/>
    <cellStyle name="Comma 4 8" xfId="1410" xr:uid="{DE444B43-E633-4FB9-9CB8-D1F817ECB63F}"/>
    <cellStyle name="Comma 4 8 2" xfId="4220" xr:uid="{4144AC34-07F2-4035-A648-E7536504226E}"/>
    <cellStyle name="Comma 4 8 2 2" xfId="9856" xr:uid="{3C7A8FA5-30C4-4243-AF35-E721CE96B4FC}"/>
    <cellStyle name="Comma 4 8 3" xfId="7046" xr:uid="{8385DD23-5AC0-404F-8FFA-492C0EDBD722}"/>
    <cellStyle name="Comma 4 9" xfId="2819" xr:uid="{E1A4351E-5784-4F29-829F-6A4136DE1E8C}"/>
    <cellStyle name="Comma 4 9 2" xfId="8455" xr:uid="{0F8CD653-ADA4-4D7E-B0AF-CB5BEDABF53C}"/>
    <cellStyle name="Comma 40" xfId="2812" xr:uid="{5ADFA33D-3C41-47AF-B15E-352E1E0DD4A3}"/>
    <cellStyle name="Comma 40 2" xfId="8448" xr:uid="{4783CD5F-0848-4838-BA94-FA9931E80FEF}"/>
    <cellStyle name="Comma 41" xfId="5623" xr:uid="{D301AFC8-76C5-4275-8F96-8C3915B18BB2}"/>
    <cellStyle name="Comma 41 2" xfId="11259" xr:uid="{E3C7B819-F043-40F5-9FE4-E16B023CFE78}"/>
    <cellStyle name="Comma 42" xfId="5625" xr:uid="{0666E5C1-8F89-4373-8531-AA9028128E61}"/>
    <cellStyle name="Comma 42 2" xfId="11261" xr:uid="{DAB5D0A5-F471-428D-8530-DF4E7309FDA5}"/>
    <cellStyle name="Comma 43" xfId="5631" xr:uid="{CCF3AF48-570F-4F5C-9D3D-541CFF9E27E5}"/>
    <cellStyle name="Comma 43 2" xfId="11267" xr:uid="{A73F9330-DCD2-4377-B45F-93EACE3159C7}"/>
    <cellStyle name="Comma 44" xfId="5637" xr:uid="{FEA44F9D-F31B-4F5E-997E-2F40ED995FDF}"/>
    <cellStyle name="Comma 5" xfId="12" xr:uid="{4908DBB8-6DFC-47DE-A35E-80BF3F93BAA4}"/>
    <cellStyle name="Comma 5 10" xfId="5648" xr:uid="{5FBF0531-5F18-4F55-A113-F26089ACEC20}"/>
    <cellStyle name="Comma 5 2" xfId="24" xr:uid="{8B0A894D-4751-46BF-B6EE-FE8454AFE3A0}"/>
    <cellStyle name="Comma 5 2 2" xfId="56" xr:uid="{B284908E-AFEC-4590-A1C8-1FA8765BDD2E}"/>
    <cellStyle name="Comma 5 2 2 2" xfId="136" xr:uid="{D756FD72-AE3C-437F-8064-71DF59A00578}"/>
    <cellStyle name="Comma 5 2 2 2 2" xfId="308" xr:uid="{B9141372-B486-40E9-87EA-BF11D312753A}"/>
    <cellStyle name="Comma 5 2 2 2 2 2" xfId="652" xr:uid="{F44F584F-6BA2-417E-A476-74223DEF8B8F}"/>
    <cellStyle name="Comma 5 2 2 2 2 2 2" xfId="1348" xr:uid="{071CAEBA-F612-4437-BFF0-234A0E55E511}"/>
    <cellStyle name="Comma 5 2 2 2 2 2 2 2" xfId="2749" xr:uid="{15E83116-EE7D-4792-8046-3322065A8696}"/>
    <cellStyle name="Comma 5 2 2 2 2 2 2 2 2" xfId="5559" xr:uid="{784F64E8-6310-4254-8B98-EBB113C19D29}"/>
    <cellStyle name="Comma 5 2 2 2 2 2 2 2 2 2" xfId="11195" xr:uid="{F9E0D80C-E8E1-43D2-A3FE-47609E346519}"/>
    <cellStyle name="Comma 5 2 2 2 2 2 2 2 3" xfId="8385" xr:uid="{9056BEBE-707E-4644-95EA-B5A6D7A510AE}"/>
    <cellStyle name="Comma 5 2 2 2 2 2 2 3" xfId="4158" xr:uid="{1F3913E9-792A-442F-AD00-6E63888FF50D}"/>
    <cellStyle name="Comma 5 2 2 2 2 2 2 3 2" xfId="9794" xr:uid="{61154114-E40A-4EAB-BF58-F0D7438AE9A8}"/>
    <cellStyle name="Comma 5 2 2 2 2 2 2 4" xfId="6984" xr:uid="{958E1DE3-BCB2-4874-B42D-B9C46B0A47B1}"/>
    <cellStyle name="Comma 5 2 2 2 2 2 3" xfId="2053" xr:uid="{FB82B11D-A4B2-48CC-865C-64C1803D40F9}"/>
    <cellStyle name="Comma 5 2 2 2 2 2 3 2" xfId="4863" xr:uid="{91D12B3A-4C44-411F-97C6-1CE96094B056}"/>
    <cellStyle name="Comma 5 2 2 2 2 2 3 2 2" xfId="10499" xr:uid="{ED34A978-B6DF-41A3-B0F1-EFFA632BA0C3}"/>
    <cellStyle name="Comma 5 2 2 2 2 2 3 3" xfId="7689" xr:uid="{B1D97E0F-50C0-4445-90EF-F5059E9EDF0E}"/>
    <cellStyle name="Comma 5 2 2 2 2 2 4" xfId="3462" xr:uid="{0530AB9A-AE9C-4572-A462-343FF20788DB}"/>
    <cellStyle name="Comma 5 2 2 2 2 2 4 2" xfId="9098" xr:uid="{2E124116-2CC2-4DDA-8AD6-0713DAD6DD82}"/>
    <cellStyle name="Comma 5 2 2 2 2 2 5" xfId="6288" xr:uid="{9B95725D-F931-4D30-9B2C-89F0EF4593D6}"/>
    <cellStyle name="Comma 5 2 2 2 2 3" xfId="1004" xr:uid="{AE1AEEF2-931C-47DF-A5D5-B58747942AB9}"/>
    <cellStyle name="Comma 5 2 2 2 2 3 2" xfId="2405" xr:uid="{571DCE52-E5A0-4FFC-AC6C-61CA6F055508}"/>
    <cellStyle name="Comma 5 2 2 2 2 3 2 2" xfId="5215" xr:uid="{55264785-5543-4AF7-B508-400822BB6D44}"/>
    <cellStyle name="Comma 5 2 2 2 2 3 2 2 2" xfId="10851" xr:uid="{637FC51A-1E94-47EF-90D0-B31D09802E1F}"/>
    <cellStyle name="Comma 5 2 2 2 2 3 2 3" xfId="8041" xr:uid="{F87150B3-7CC5-4FD8-A45B-9D8C51E27FC5}"/>
    <cellStyle name="Comma 5 2 2 2 2 3 3" xfId="3814" xr:uid="{51DA0AA4-2F6B-420E-ADE4-BDD98CB96220}"/>
    <cellStyle name="Comma 5 2 2 2 2 3 3 2" xfId="9450" xr:uid="{75419950-9A65-489F-A84F-76F9E05445EE}"/>
    <cellStyle name="Comma 5 2 2 2 2 3 4" xfId="6640" xr:uid="{C8C5E0CF-B155-4B92-B502-5FD79CBBCF0D}"/>
    <cellStyle name="Comma 5 2 2 2 2 4" xfId="1709" xr:uid="{C6129EBC-5725-43BB-9FF8-7BA56CC911B5}"/>
    <cellStyle name="Comma 5 2 2 2 2 4 2" xfId="4519" xr:uid="{BBF18AE6-C104-42EF-91AB-4AA5EFBA496F}"/>
    <cellStyle name="Comma 5 2 2 2 2 4 2 2" xfId="10155" xr:uid="{04D6EA24-02A0-4B31-A8B1-43452BB28908}"/>
    <cellStyle name="Comma 5 2 2 2 2 4 3" xfId="7345" xr:uid="{A937EC36-9F4F-4CDD-A1D3-B27CFAC04AB6}"/>
    <cellStyle name="Comma 5 2 2 2 2 5" xfId="3118" xr:uid="{1E448298-312E-43FC-8626-DF38BED3FB1F}"/>
    <cellStyle name="Comma 5 2 2 2 2 5 2" xfId="8754" xr:uid="{226F000C-915B-41FC-B2AF-5EA235189E7A}"/>
    <cellStyle name="Comma 5 2 2 2 2 6" xfId="5944" xr:uid="{11693E62-4D35-46C7-9D36-6FAC5C7E5C32}"/>
    <cellStyle name="Comma 5 2 2 2 3" xfId="480" xr:uid="{C8DB4A76-836B-4A59-AADC-B1A88D0210B2}"/>
    <cellStyle name="Comma 5 2 2 2 3 2" xfId="1176" xr:uid="{C4C6D9F5-3B62-497C-8E0C-6FBA2C9C11CA}"/>
    <cellStyle name="Comma 5 2 2 2 3 2 2" xfId="2577" xr:uid="{CCB46508-5D2F-40B7-80B8-2128410B0572}"/>
    <cellStyle name="Comma 5 2 2 2 3 2 2 2" xfId="5387" xr:uid="{C568ED1E-8BDB-4274-BC8B-FBD74DAB74A2}"/>
    <cellStyle name="Comma 5 2 2 2 3 2 2 2 2" xfId="11023" xr:uid="{11D67AEA-F9DD-4296-94FF-F4688EC43120}"/>
    <cellStyle name="Comma 5 2 2 2 3 2 2 3" xfId="8213" xr:uid="{3732F2EB-8F90-46AF-850E-6E42039FE084}"/>
    <cellStyle name="Comma 5 2 2 2 3 2 3" xfId="3986" xr:uid="{93B71D7D-F6F7-4784-96C8-7F21ECD157B0}"/>
    <cellStyle name="Comma 5 2 2 2 3 2 3 2" xfId="9622" xr:uid="{511B466B-17AE-4C37-AE77-717194A8331C}"/>
    <cellStyle name="Comma 5 2 2 2 3 2 4" xfId="6812" xr:uid="{A7A0C370-10CD-44C1-A662-2D1E35CE82FD}"/>
    <cellStyle name="Comma 5 2 2 2 3 3" xfId="1881" xr:uid="{06519967-9A80-479F-9784-6A9EFCB1D8FE}"/>
    <cellStyle name="Comma 5 2 2 2 3 3 2" xfId="4691" xr:uid="{A69EB63F-52FD-420A-A625-42A799C571ED}"/>
    <cellStyle name="Comma 5 2 2 2 3 3 2 2" xfId="10327" xr:uid="{0FE563EE-1D7D-453E-8A9E-2DC2A846A4AA}"/>
    <cellStyle name="Comma 5 2 2 2 3 3 3" xfId="7517" xr:uid="{F52478A2-4B23-42CA-969D-AC18B458273A}"/>
    <cellStyle name="Comma 5 2 2 2 3 4" xfId="3290" xr:uid="{6D68337D-E7B6-4724-96AE-C294FFB8FF84}"/>
    <cellStyle name="Comma 5 2 2 2 3 4 2" xfId="8926" xr:uid="{A5AE72AD-621C-4EB9-9F23-DED577BF2B2F}"/>
    <cellStyle name="Comma 5 2 2 2 3 5" xfId="6116" xr:uid="{DC91BF09-E47F-43F5-894C-02C314538EDB}"/>
    <cellStyle name="Comma 5 2 2 2 4" xfId="832" xr:uid="{69BC505E-D40D-4208-9CA6-B56C51358740}"/>
    <cellStyle name="Comma 5 2 2 2 4 2" xfId="2233" xr:uid="{6F3CCDCD-E40D-4CF1-8A4E-257C0A8AC6FD}"/>
    <cellStyle name="Comma 5 2 2 2 4 2 2" xfId="5043" xr:uid="{E5544B8F-C81A-48F8-97FB-1B193A4AC05A}"/>
    <cellStyle name="Comma 5 2 2 2 4 2 2 2" xfId="10679" xr:uid="{F9060DB6-1F6E-4893-A066-00058FE1E99E}"/>
    <cellStyle name="Comma 5 2 2 2 4 2 3" xfId="7869" xr:uid="{5DFB1D6F-75DA-4017-BD2C-A10D047EB3E5}"/>
    <cellStyle name="Comma 5 2 2 2 4 3" xfId="3642" xr:uid="{1B7DE589-463E-4AA7-90BF-C3160E0E037F}"/>
    <cellStyle name="Comma 5 2 2 2 4 3 2" xfId="9278" xr:uid="{4C76B2EA-AFC4-4F57-8C05-627F4721DC9B}"/>
    <cellStyle name="Comma 5 2 2 2 4 4" xfId="6468" xr:uid="{0C4B43F5-802E-4DF8-B349-855C9C57ACB6}"/>
    <cellStyle name="Comma 5 2 2 2 5" xfId="1537" xr:uid="{A2E3C06C-901C-4C4C-984D-983B43BA08D4}"/>
    <cellStyle name="Comma 5 2 2 2 5 2" xfId="4347" xr:uid="{099639A7-8A8B-4BCA-A55A-0DDE83EECED5}"/>
    <cellStyle name="Comma 5 2 2 2 5 2 2" xfId="9983" xr:uid="{90E6137A-42B2-4F1B-9B10-8C61FCED4A20}"/>
    <cellStyle name="Comma 5 2 2 2 5 3" xfId="7173" xr:uid="{A872C3C2-B07D-4C4E-8176-A482DB278AFE}"/>
    <cellStyle name="Comma 5 2 2 2 6" xfId="2946" xr:uid="{C10F1883-3219-495F-B222-14223B3F848F}"/>
    <cellStyle name="Comma 5 2 2 2 6 2" xfId="8582" xr:uid="{D7FBD62D-D0D7-4A64-ACE8-5E764021723D}"/>
    <cellStyle name="Comma 5 2 2 2 7" xfId="5772" xr:uid="{F89D5E4C-062E-4B89-A21C-EEBDC10289AD}"/>
    <cellStyle name="Comma 5 2 2 3" xfId="228" xr:uid="{8FECD447-29C3-4AD5-BD30-1F553A0E9368}"/>
    <cellStyle name="Comma 5 2 2 3 2" xfId="572" xr:uid="{947B2AD1-3AC1-4046-B04D-46593DFBF8F2}"/>
    <cellStyle name="Comma 5 2 2 3 2 2" xfId="1268" xr:uid="{FDACD2CB-BBB7-411C-92C1-0C6E3A255750}"/>
    <cellStyle name="Comma 5 2 2 3 2 2 2" xfId="2669" xr:uid="{FD844339-86B5-4D9C-95E1-664625C01F5C}"/>
    <cellStyle name="Comma 5 2 2 3 2 2 2 2" xfId="5479" xr:uid="{E7B98523-4316-4CE2-8F38-6CE17A07474D}"/>
    <cellStyle name="Comma 5 2 2 3 2 2 2 2 2" xfId="11115" xr:uid="{6FDF3A84-6B89-4539-B0BE-DE43B8E88109}"/>
    <cellStyle name="Comma 5 2 2 3 2 2 2 3" xfId="8305" xr:uid="{256861DF-F84A-4025-833F-BA9667357200}"/>
    <cellStyle name="Comma 5 2 2 3 2 2 3" xfId="4078" xr:uid="{0B2818AD-FA72-48F0-AB95-71F3FCCBF2B6}"/>
    <cellStyle name="Comma 5 2 2 3 2 2 3 2" xfId="9714" xr:uid="{1C76698B-2699-45D8-82A9-79C989473943}"/>
    <cellStyle name="Comma 5 2 2 3 2 2 4" xfId="6904" xr:uid="{DD7FBC64-759D-48C6-BB3D-D519FD1BF6C2}"/>
    <cellStyle name="Comma 5 2 2 3 2 3" xfId="1973" xr:uid="{8D9355C7-0A68-4005-BC58-DB4DFE8BAE3C}"/>
    <cellStyle name="Comma 5 2 2 3 2 3 2" xfId="4783" xr:uid="{5FB56833-E67F-40AD-A02A-C8550C0296F6}"/>
    <cellStyle name="Comma 5 2 2 3 2 3 2 2" xfId="10419" xr:uid="{6F6CB42D-73C5-4809-815D-6658A959797B}"/>
    <cellStyle name="Comma 5 2 2 3 2 3 3" xfId="7609" xr:uid="{F252D29B-57C7-44D0-9EA5-7103CAC754B4}"/>
    <cellStyle name="Comma 5 2 2 3 2 4" xfId="3382" xr:uid="{39AA1C39-9C76-4092-94EE-6D1CF18AC88A}"/>
    <cellStyle name="Comma 5 2 2 3 2 4 2" xfId="9018" xr:uid="{AC0612CB-D8CF-451B-A0E6-775F9EE3A08E}"/>
    <cellStyle name="Comma 5 2 2 3 2 5" xfId="6208" xr:uid="{36F08F80-20E0-446B-AB28-B414E591FB97}"/>
    <cellStyle name="Comma 5 2 2 3 3" xfId="924" xr:uid="{22BD0403-4D1D-4C22-9F3B-DC2737DA2CF8}"/>
    <cellStyle name="Comma 5 2 2 3 3 2" xfId="2325" xr:uid="{6792F659-7961-4C28-B8CE-E36CD3E82A18}"/>
    <cellStyle name="Comma 5 2 2 3 3 2 2" xfId="5135" xr:uid="{546C9D39-7225-43DC-AAD4-4685F95F3601}"/>
    <cellStyle name="Comma 5 2 2 3 3 2 2 2" xfId="10771" xr:uid="{73B7DE1A-48B4-46D5-B245-0472B1CE8E96}"/>
    <cellStyle name="Comma 5 2 2 3 3 2 3" xfId="7961" xr:uid="{C280BBFF-D2DE-429D-BF75-0C59965C5484}"/>
    <cellStyle name="Comma 5 2 2 3 3 3" xfId="3734" xr:uid="{E03FD52D-00F2-43A7-A0F5-0AFE6E86D9E5}"/>
    <cellStyle name="Comma 5 2 2 3 3 3 2" xfId="9370" xr:uid="{517681DD-444D-4D41-B081-62E06084B143}"/>
    <cellStyle name="Comma 5 2 2 3 3 4" xfId="6560" xr:uid="{5107592D-1473-4851-81A7-2C1D81521579}"/>
    <cellStyle name="Comma 5 2 2 3 4" xfId="1629" xr:uid="{8ECF895B-F684-459B-AF2E-90743013955A}"/>
    <cellStyle name="Comma 5 2 2 3 4 2" xfId="4439" xr:uid="{C358D189-A98C-4308-815D-6183E9BBB92C}"/>
    <cellStyle name="Comma 5 2 2 3 4 2 2" xfId="10075" xr:uid="{334D12CB-981A-48F1-9806-B1A0DDE3F9B5}"/>
    <cellStyle name="Comma 5 2 2 3 4 3" xfId="7265" xr:uid="{D3C52D3B-9C40-4724-8120-6C693559B531}"/>
    <cellStyle name="Comma 5 2 2 3 5" xfId="3038" xr:uid="{ED056ED9-202A-4CA7-BE1E-14192157A63F}"/>
    <cellStyle name="Comma 5 2 2 3 5 2" xfId="8674" xr:uid="{D2B8C3FF-11B3-45D7-8DFE-7F4A886F1DD5}"/>
    <cellStyle name="Comma 5 2 2 3 6" xfId="5864" xr:uid="{08A5C1F3-FDC3-4CF5-AF7D-CE25542875D8}"/>
    <cellStyle name="Comma 5 2 2 4" xfId="400" xr:uid="{3B565096-59E4-40B7-8F5F-E1ABC5CF1CED}"/>
    <cellStyle name="Comma 5 2 2 4 2" xfId="1096" xr:uid="{3238C315-F051-4F3B-B6D4-DE104B35F5EA}"/>
    <cellStyle name="Comma 5 2 2 4 2 2" xfId="2497" xr:uid="{5000963F-6932-4FE9-8368-3A9FB52356D1}"/>
    <cellStyle name="Comma 5 2 2 4 2 2 2" xfId="5307" xr:uid="{6804CE9D-5331-4963-A483-1EEF4B94539E}"/>
    <cellStyle name="Comma 5 2 2 4 2 2 2 2" xfId="10943" xr:uid="{D9873D89-B8FF-4B3A-BF0C-067E908EA2C4}"/>
    <cellStyle name="Comma 5 2 2 4 2 2 3" xfId="8133" xr:uid="{968E0488-D514-431B-9244-90591EDCDE45}"/>
    <cellStyle name="Comma 5 2 2 4 2 3" xfId="3906" xr:uid="{3907CBA3-5417-4058-87C8-1A6AC25E38DE}"/>
    <cellStyle name="Comma 5 2 2 4 2 3 2" xfId="9542" xr:uid="{9C68DCF0-E1B9-47B0-B6DF-23CAC2E0FF26}"/>
    <cellStyle name="Comma 5 2 2 4 2 4" xfId="6732" xr:uid="{10EB842D-D70C-4C45-877B-922226B867B6}"/>
    <cellStyle name="Comma 5 2 2 4 3" xfId="1801" xr:uid="{79346DFC-47B5-471D-A5D3-915A9AAAF3FA}"/>
    <cellStyle name="Comma 5 2 2 4 3 2" xfId="4611" xr:uid="{8F85D6E7-6FDD-4B0C-B470-EA8306DB3885}"/>
    <cellStyle name="Comma 5 2 2 4 3 2 2" xfId="10247" xr:uid="{23A58BAE-4293-4451-82A8-D0CE7233BDA8}"/>
    <cellStyle name="Comma 5 2 2 4 3 3" xfId="7437" xr:uid="{FD86D823-ACE1-4AF5-8744-3C447F0EC926}"/>
    <cellStyle name="Comma 5 2 2 4 4" xfId="3210" xr:uid="{B88974B8-7069-4C6A-938E-94A459292E1D}"/>
    <cellStyle name="Comma 5 2 2 4 4 2" xfId="8846" xr:uid="{5A189F06-1EF4-4102-815A-994F280338F5}"/>
    <cellStyle name="Comma 5 2 2 4 5" xfId="6036" xr:uid="{C24F03D8-531D-466A-A5A6-CB123025BDA9}"/>
    <cellStyle name="Comma 5 2 2 5" xfId="752" xr:uid="{CF684F79-A601-439C-A414-A88EB612CC34}"/>
    <cellStyle name="Comma 5 2 2 5 2" xfId="2153" xr:uid="{FE61EB9E-ECE5-4E47-AEB7-07E3F515DC37}"/>
    <cellStyle name="Comma 5 2 2 5 2 2" xfId="4963" xr:uid="{4F2A1B55-9806-401B-8830-733890BA2FC1}"/>
    <cellStyle name="Comma 5 2 2 5 2 2 2" xfId="10599" xr:uid="{EF76A6EE-ECAF-42C5-B86E-39BF446B1004}"/>
    <cellStyle name="Comma 5 2 2 5 2 3" xfId="7789" xr:uid="{58F54008-9C3C-49B6-B08F-4C952DB17678}"/>
    <cellStyle name="Comma 5 2 2 5 3" xfId="3562" xr:uid="{13D55E58-92A8-49A9-9AC1-7BBE72713FC7}"/>
    <cellStyle name="Comma 5 2 2 5 3 2" xfId="9198" xr:uid="{39D1A70E-372A-47A8-9791-C230FF4D480F}"/>
    <cellStyle name="Comma 5 2 2 5 4" xfId="6388" xr:uid="{A021CB59-1477-4DEC-9D7E-A8060A4581E6}"/>
    <cellStyle name="Comma 5 2 2 6" xfId="1457" xr:uid="{3DBEA81F-851A-4B27-AF4B-B053355DD7DE}"/>
    <cellStyle name="Comma 5 2 2 6 2" xfId="4267" xr:uid="{63A198CE-0075-4CB7-9676-3489FB4AC0C0}"/>
    <cellStyle name="Comma 5 2 2 6 2 2" xfId="9903" xr:uid="{46834FEF-A462-414A-841D-89BFB71BB735}"/>
    <cellStyle name="Comma 5 2 2 6 3" xfId="7093" xr:uid="{EC3268D1-35EC-4E47-ABBA-4FEB2E2435B8}"/>
    <cellStyle name="Comma 5 2 2 7" xfId="2866" xr:uid="{6898C7C8-D0DC-4E47-B625-6BCF4676D5AC}"/>
    <cellStyle name="Comma 5 2 2 7 2" xfId="8502" xr:uid="{F0EB5360-9BC8-45E1-AB87-450D17EA9266}"/>
    <cellStyle name="Comma 5 2 2 8" xfId="5692" xr:uid="{175F1BD8-469B-4903-ADC5-5E2C91840DE9}"/>
    <cellStyle name="Comma 5 2 3" xfId="104" xr:uid="{CD9B28FF-722E-46EF-A5BA-339AFC37D240}"/>
    <cellStyle name="Comma 5 2 3 2" xfId="276" xr:uid="{0CC5C3B0-B493-402A-AA69-F150323791E3}"/>
    <cellStyle name="Comma 5 2 3 2 2" xfId="620" xr:uid="{04757307-8AC1-4B4B-8697-38CAA11DF185}"/>
    <cellStyle name="Comma 5 2 3 2 2 2" xfId="1316" xr:uid="{3754CF8D-9D7D-42AF-BDAD-2371CF1E0B2D}"/>
    <cellStyle name="Comma 5 2 3 2 2 2 2" xfId="2717" xr:uid="{E24F6447-9F9D-444A-910B-E6451D9CFBC1}"/>
    <cellStyle name="Comma 5 2 3 2 2 2 2 2" xfId="5527" xr:uid="{8C691AF6-E607-46E4-B5C0-520728E1D73E}"/>
    <cellStyle name="Comma 5 2 3 2 2 2 2 2 2" xfId="11163" xr:uid="{3E3C33BB-7B27-4EC7-993D-7B146FDC3600}"/>
    <cellStyle name="Comma 5 2 3 2 2 2 2 3" xfId="8353" xr:uid="{C8E8FB66-87B3-4837-B216-484D3F341600}"/>
    <cellStyle name="Comma 5 2 3 2 2 2 3" xfId="4126" xr:uid="{9C7ADCF1-7E38-40D6-97B9-FCF64AF1DF7B}"/>
    <cellStyle name="Comma 5 2 3 2 2 2 3 2" xfId="9762" xr:uid="{E1787B2F-E60F-498C-8092-E756627F6689}"/>
    <cellStyle name="Comma 5 2 3 2 2 2 4" xfId="6952" xr:uid="{E795CC20-11EF-42B5-AFCB-2C11C28048F5}"/>
    <cellStyle name="Comma 5 2 3 2 2 3" xfId="2021" xr:uid="{BC3B2B02-B0C7-4068-B6E5-76A67B7E7D0E}"/>
    <cellStyle name="Comma 5 2 3 2 2 3 2" xfId="4831" xr:uid="{FC8598A6-64F6-434B-8E95-87F79BED6495}"/>
    <cellStyle name="Comma 5 2 3 2 2 3 2 2" xfId="10467" xr:uid="{8AA376C3-2F34-42EC-A7AF-B2FA93F1917E}"/>
    <cellStyle name="Comma 5 2 3 2 2 3 3" xfId="7657" xr:uid="{426FA63F-5719-45DC-896D-1F870F53522F}"/>
    <cellStyle name="Comma 5 2 3 2 2 4" xfId="3430" xr:uid="{598B4ABE-1E2B-47E4-9A32-5325EE733CB7}"/>
    <cellStyle name="Comma 5 2 3 2 2 4 2" xfId="9066" xr:uid="{D6FFC961-3B63-40CD-B52D-1D2F9DA8BE56}"/>
    <cellStyle name="Comma 5 2 3 2 2 5" xfId="6256" xr:uid="{9C21E0E3-B163-45BB-8B55-FD6899764569}"/>
    <cellStyle name="Comma 5 2 3 2 3" xfId="972" xr:uid="{175BEB8E-7484-45A7-8D95-6902B9FA5305}"/>
    <cellStyle name="Comma 5 2 3 2 3 2" xfId="2373" xr:uid="{67908109-5C60-4654-ACC5-07BE759A4971}"/>
    <cellStyle name="Comma 5 2 3 2 3 2 2" xfId="5183" xr:uid="{47E0E7D6-4F0F-4F46-8924-6BCEEEAC471F}"/>
    <cellStyle name="Comma 5 2 3 2 3 2 2 2" xfId="10819" xr:uid="{4F65663D-2930-4781-9C23-A6C6B00C767A}"/>
    <cellStyle name="Comma 5 2 3 2 3 2 3" xfId="8009" xr:uid="{6B664F14-F738-416C-847F-01088D9F3897}"/>
    <cellStyle name="Comma 5 2 3 2 3 3" xfId="3782" xr:uid="{90786363-023B-4A63-AAD9-95B863E9CC34}"/>
    <cellStyle name="Comma 5 2 3 2 3 3 2" xfId="9418" xr:uid="{CB5AEE54-EBCD-4939-B19F-DA023EA687FC}"/>
    <cellStyle name="Comma 5 2 3 2 3 4" xfId="6608" xr:uid="{ED68A2EC-BD08-4F64-A4CB-6CBB0B0AC875}"/>
    <cellStyle name="Comma 5 2 3 2 4" xfId="1677" xr:uid="{CFBF5155-AD74-451B-B1A6-2B654F4405A5}"/>
    <cellStyle name="Comma 5 2 3 2 4 2" xfId="4487" xr:uid="{3ED1547A-74C0-4D56-8D99-5A54396F46F7}"/>
    <cellStyle name="Comma 5 2 3 2 4 2 2" xfId="10123" xr:uid="{929E4637-DAE3-4339-B53B-8B54B9A4C8A5}"/>
    <cellStyle name="Comma 5 2 3 2 4 3" xfId="7313" xr:uid="{6C464A69-9A13-4E8D-AF38-4662FA0C2412}"/>
    <cellStyle name="Comma 5 2 3 2 5" xfId="3086" xr:uid="{CCE372EC-BFCA-4E5A-ADF1-7FE48213DB68}"/>
    <cellStyle name="Comma 5 2 3 2 5 2" xfId="8722" xr:uid="{47DBD243-5DF5-475B-A3E7-96308691AD73}"/>
    <cellStyle name="Comma 5 2 3 2 6" xfId="5912" xr:uid="{3DBAFEA2-0CDC-460A-8871-A6373C3E78CF}"/>
    <cellStyle name="Comma 5 2 3 3" xfId="448" xr:uid="{D59780A5-28A9-465B-9904-98D7080BAC85}"/>
    <cellStyle name="Comma 5 2 3 3 2" xfId="1144" xr:uid="{0567757F-B96A-41BD-AF0A-61655935FBBA}"/>
    <cellStyle name="Comma 5 2 3 3 2 2" xfId="2545" xr:uid="{65A5AC3B-2E39-42B0-97CE-A34E1B1469E4}"/>
    <cellStyle name="Comma 5 2 3 3 2 2 2" xfId="5355" xr:uid="{7AD3318C-7AB5-4BC2-9712-A0D4E2FAF465}"/>
    <cellStyle name="Comma 5 2 3 3 2 2 2 2" xfId="10991" xr:uid="{2598A5F0-5F71-44A1-9BF5-46907CD46B57}"/>
    <cellStyle name="Comma 5 2 3 3 2 2 3" xfId="8181" xr:uid="{A6B19936-4F37-4491-B43F-84451402C7B3}"/>
    <cellStyle name="Comma 5 2 3 3 2 3" xfId="3954" xr:uid="{3964B340-ED8D-4EDC-8AED-762200F990E1}"/>
    <cellStyle name="Comma 5 2 3 3 2 3 2" xfId="9590" xr:uid="{F32C91FB-21B1-4451-8E7B-14989B2935E2}"/>
    <cellStyle name="Comma 5 2 3 3 2 4" xfId="6780" xr:uid="{7CE5E91B-CB8C-4AE0-BE27-D1690B16F6F4}"/>
    <cellStyle name="Comma 5 2 3 3 3" xfId="1849" xr:uid="{7CDA3892-1B11-43A2-852E-51014540CEAB}"/>
    <cellStyle name="Comma 5 2 3 3 3 2" xfId="4659" xr:uid="{27BD67EB-FF35-458D-8B41-8769AF2B7CF3}"/>
    <cellStyle name="Comma 5 2 3 3 3 2 2" xfId="10295" xr:uid="{5EB9109C-80FA-4217-9A17-A998567D00A8}"/>
    <cellStyle name="Comma 5 2 3 3 3 3" xfId="7485" xr:uid="{210B338C-F1E9-48CB-81DF-35FAA896E970}"/>
    <cellStyle name="Comma 5 2 3 3 4" xfId="3258" xr:uid="{13C14040-2926-4142-88B6-DB685A886C52}"/>
    <cellStyle name="Comma 5 2 3 3 4 2" xfId="8894" xr:uid="{E8ED423F-3AF7-4A78-AA7B-4ED723C1DBF8}"/>
    <cellStyle name="Comma 5 2 3 3 5" xfId="6084" xr:uid="{E086CA6F-456E-4D28-9622-D00997B20D8C}"/>
    <cellStyle name="Comma 5 2 3 4" xfId="800" xr:uid="{78C1D9EC-CFF6-4793-A31F-E6A267D5677B}"/>
    <cellStyle name="Comma 5 2 3 4 2" xfId="2201" xr:uid="{A8064089-D9B7-4A88-A88B-50374F1DDC65}"/>
    <cellStyle name="Comma 5 2 3 4 2 2" xfId="5011" xr:uid="{4EBA765B-847F-440C-83DE-570AEE3FDA80}"/>
    <cellStyle name="Comma 5 2 3 4 2 2 2" xfId="10647" xr:uid="{FBA5C863-87CE-4594-A95D-D61288F662FD}"/>
    <cellStyle name="Comma 5 2 3 4 2 3" xfId="7837" xr:uid="{D23A0724-1FD7-4BBF-805C-7DB27093DE05}"/>
    <cellStyle name="Comma 5 2 3 4 3" xfId="3610" xr:uid="{3B835604-EDFA-4B14-BC8C-A95D989A7C3A}"/>
    <cellStyle name="Comma 5 2 3 4 3 2" xfId="9246" xr:uid="{81308D24-7B76-4ED4-8680-1A8731FB4578}"/>
    <cellStyle name="Comma 5 2 3 4 4" xfId="6436" xr:uid="{4E6107A7-45E4-4FAE-8FCF-8DBE87C4979F}"/>
    <cellStyle name="Comma 5 2 3 5" xfId="1505" xr:uid="{021F8429-713F-4D7B-B7C8-98FFC8B5651D}"/>
    <cellStyle name="Comma 5 2 3 5 2" xfId="4315" xr:uid="{01305952-4C9D-4892-A6DE-898DDD520594}"/>
    <cellStyle name="Comma 5 2 3 5 2 2" xfId="9951" xr:uid="{6CD31282-83AF-4CDA-83E7-618DDB5FF677}"/>
    <cellStyle name="Comma 5 2 3 5 3" xfId="7141" xr:uid="{C5BC8412-8686-4876-A76F-EE0C4D293AA1}"/>
    <cellStyle name="Comma 5 2 3 6" xfId="2914" xr:uid="{7E980F00-E9F7-4166-BA6B-3EDD78CCE9F1}"/>
    <cellStyle name="Comma 5 2 3 6 2" xfId="8550" xr:uid="{18B1207E-9775-470C-91CE-03FC1CE4296A}"/>
    <cellStyle name="Comma 5 2 3 7" xfId="5740" xr:uid="{D95F67CE-3C57-4DD8-9697-647DADE37651}"/>
    <cellStyle name="Comma 5 2 4" xfId="196" xr:uid="{039025E9-5716-4C46-92CC-556F712EA517}"/>
    <cellStyle name="Comma 5 2 4 2" xfId="540" xr:uid="{7D7A4CEF-197A-4F02-B248-8837DBFCF618}"/>
    <cellStyle name="Comma 5 2 4 2 2" xfId="1236" xr:uid="{E0FDE591-8380-45EA-9FA0-6B61F157AB22}"/>
    <cellStyle name="Comma 5 2 4 2 2 2" xfId="2637" xr:uid="{CC91DD09-5C94-4DEC-BB05-26995D01B6EA}"/>
    <cellStyle name="Comma 5 2 4 2 2 2 2" xfId="5447" xr:uid="{55B1B031-002D-477A-BBFE-41FB98D3D44C}"/>
    <cellStyle name="Comma 5 2 4 2 2 2 2 2" xfId="11083" xr:uid="{9E125DC2-8BB8-4435-8BB8-7064F7DE9445}"/>
    <cellStyle name="Comma 5 2 4 2 2 2 3" xfId="8273" xr:uid="{54270ABE-A035-41B3-855B-AE3FF9673D8C}"/>
    <cellStyle name="Comma 5 2 4 2 2 3" xfId="4046" xr:uid="{50E3C150-45E4-46DA-A57A-3B72BCCBA328}"/>
    <cellStyle name="Comma 5 2 4 2 2 3 2" xfId="9682" xr:uid="{B0DE5FC7-F5AF-4A88-82B6-8A3D632193C6}"/>
    <cellStyle name="Comma 5 2 4 2 2 4" xfId="6872" xr:uid="{E0AC0AB7-6959-4BDA-9722-58191EEE7798}"/>
    <cellStyle name="Comma 5 2 4 2 3" xfId="1941" xr:uid="{B2FF5F98-E256-49CF-AE57-EFA83E297D7A}"/>
    <cellStyle name="Comma 5 2 4 2 3 2" xfId="4751" xr:uid="{C510C5BE-DD84-4906-A5E5-2014C79FC3A3}"/>
    <cellStyle name="Comma 5 2 4 2 3 2 2" xfId="10387" xr:uid="{A30B13EB-C316-4DC6-97A0-98596C38419F}"/>
    <cellStyle name="Comma 5 2 4 2 3 3" xfId="7577" xr:uid="{40DA1665-A574-4939-988E-D258C0C2A458}"/>
    <cellStyle name="Comma 5 2 4 2 4" xfId="3350" xr:uid="{903EE5E1-FA23-48C9-8982-33CC4A8BBC18}"/>
    <cellStyle name="Comma 5 2 4 2 4 2" xfId="8986" xr:uid="{BFEFDE91-3186-417C-95F6-D8CD99628EF3}"/>
    <cellStyle name="Comma 5 2 4 2 5" xfId="6176" xr:uid="{7E41C531-D66B-4C6A-B662-ADEC260FF40D}"/>
    <cellStyle name="Comma 5 2 4 3" xfId="892" xr:uid="{BC9B3FE3-0B32-4B57-BB5C-5C6AF0093325}"/>
    <cellStyle name="Comma 5 2 4 3 2" xfId="2293" xr:uid="{70B1D172-2B64-47DE-B4D0-6B2D354B00C6}"/>
    <cellStyle name="Comma 5 2 4 3 2 2" xfId="5103" xr:uid="{DB20FC9D-FC92-43A1-8BC9-330F46184D47}"/>
    <cellStyle name="Comma 5 2 4 3 2 2 2" xfId="10739" xr:uid="{49B6CECD-DCA1-49F8-8E73-29E03DB2195A}"/>
    <cellStyle name="Comma 5 2 4 3 2 3" xfId="7929" xr:uid="{38B04595-EFC2-43E1-A443-E7A10E95C2B6}"/>
    <cellStyle name="Comma 5 2 4 3 3" xfId="3702" xr:uid="{6E8056C5-3C90-45E0-BF18-89F6C085054A}"/>
    <cellStyle name="Comma 5 2 4 3 3 2" xfId="9338" xr:uid="{92BECC5B-EDBC-485F-8966-238F6EDA02C0}"/>
    <cellStyle name="Comma 5 2 4 3 4" xfId="6528" xr:uid="{2B6C859F-D136-47DA-AFDC-0995F2104971}"/>
    <cellStyle name="Comma 5 2 4 4" xfId="1597" xr:uid="{29DF1DC7-1031-406C-9AA6-630BB11345E5}"/>
    <cellStyle name="Comma 5 2 4 4 2" xfId="4407" xr:uid="{3F7A7F76-F6AB-4571-99DB-A844BD261D6B}"/>
    <cellStyle name="Comma 5 2 4 4 2 2" xfId="10043" xr:uid="{AF2DA663-C6A0-4C9A-9917-217FC0486416}"/>
    <cellStyle name="Comma 5 2 4 4 3" xfId="7233" xr:uid="{33930BEB-DE0F-4BD2-84AD-A65324BCCC2F}"/>
    <cellStyle name="Comma 5 2 4 5" xfId="3006" xr:uid="{52FB85B3-CA34-49AB-84FE-9F762435B4C2}"/>
    <cellStyle name="Comma 5 2 4 5 2" xfId="8642" xr:uid="{BE5968B5-7AEB-4378-96A8-D7D750000283}"/>
    <cellStyle name="Comma 5 2 4 6" xfId="5832" xr:uid="{EBB3579B-2836-49FE-A12D-A07DAB03A37C}"/>
    <cellStyle name="Comma 5 2 5" xfId="368" xr:uid="{565A7141-03F5-4AEF-B1CA-54B566B37B17}"/>
    <cellStyle name="Comma 5 2 5 2" xfId="1064" xr:uid="{8E6F0140-3DF2-4705-BFEB-93E93CC06820}"/>
    <cellStyle name="Comma 5 2 5 2 2" xfId="2465" xr:uid="{E98909A0-DE9E-4355-98AC-66029F17E59E}"/>
    <cellStyle name="Comma 5 2 5 2 2 2" xfId="5275" xr:uid="{72596022-C014-44EF-9B2C-6FCEE7CD43A4}"/>
    <cellStyle name="Comma 5 2 5 2 2 2 2" xfId="10911" xr:uid="{28F252B8-C909-4FC0-9FA8-6E8122845ACA}"/>
    <cellStyle name="Comma 5 2 5 2 2 3" xfId="8101" xr:uid="{8D85862F-1183-4663-B7A7-F69C5F5BC6E5}"/>
    <cellStyle name="Comma 5 2 5 2 3" xfId="3874" xr:uid="{53CE0850-CF1F-4F65-8AB3-9B2399EE044B}"/>
    <cellStyle name="Comma 5 2 5 2 3 2" xfId="9510" xr:uid="{E6170356-2806-41DA-B89C-50D2B9B91C2F}"/>
    <cellStyle name="Comma 5 2 5 2 4" xfId="6700" xr:uid="{E5F9162F-CBC1-4AC3-8CFA-3B6ED120BCF3}"/>
    <cellStyle name="Comma 5 2 5 3" xfId="1769" xr:uid="{03980710-F49C-4DCF-B53B-840CB282F15D}"/>
    <cellStyle name="Comma 5 2 5 3 2" xfId="4579" xr:uid="{51FC6E3E-F01B-4CE4-A417-A943E6B213ED}"/>
    <cellStyle name="Comma 5 2 5 3 2 2" xfId="10215" xr:uid="{54CBF6E2-28BC-4670-8754-1B21C19851FA}"/>
    <cellStyle name="Comma 5 2 5 3 3" xfId="7405" xr:uid="{E789E265-A35F-46F4-A993-C4AC64394B76}"/>
    <cellStyle name="Comma 5 2 5 4" xfId="3178" xr:uid="{E881F788-CB25-41EA-9F51-C29BF28686A7}"/>
    <cellStyle name="Comma 5 2 5 4 2" xfId="8814" xr:uid="{6B47F33F-9351-43D4-999C-0B56AEC57A0C}"/>
    <cellStyle name="Comma 5 2 5 5" xfId="6004" xr:uid="{A6A05287-D625-494F-8BAC-6652B9AB99DC}"/>
    <cellStyle name="Comma 5 2 6" xfId="720" xr:uid="{F01FBE24-7F7C-4C4B-9F96-164E2A1F75A4}"/>
    <cellStyle name="Comma 5 2 6 2" xfId="2121" xr:uid="{02211DBD-AACD-4285-BF78-36C6356AD091}"/>
    <cellStyle name="Comma 5 2 6 2 2" xfId="4931" xr:uid="{8E7AF4DE-C181-4DC5-BF67-950CD4FBCBB6}"/>
    <cellStyle name="Comma 5 2 6 2 2 2" xfId="10567" xr:uid="{31799293-4D9C-4A52-B285-43C3535F86FB}"/>
    <cellStyle name="Comma 5 2 6 2 3" xfId="7757" xr:uid="{55ECE0E1-1F54-424D-9724-9A705DE76222}"/>
    <cellStyle name="Comma 5 2 6 3" xfId="3530" xr:uid="{D6A7D567-C560-4721-BD15-1344BAF8EFB4}"/>
    <cellStyle name="Comma 5 2 6 3 2" xfId="9166" xr:uid="{B8F9BCEB-326C-4FB5-9EBD-B591E75C8622}"/>
    <cellStyle name="Comma 5 2 6 4" xfId="6356" xr:uid="{EC8A9F58-032D-4C10-9D64-2EBE9A023E86}"/>
    <cellStyle name="Comma 5 2 7" xfId="1425" xr:uid="{D9A524FF-659B-4DE7-9A37-A8177B0EB6FC}"/>
    <cellStyle name="Comma 5 2 7 2" xfId="4235" xr:uid="{0BDF0037-6A37-4F98-9C30-C934E1B522F7}"/>
    <cellStyle name="Comma 5 2 7 2 2" xfId="9871" xr:uid="{532B5E25-B693-4A3E-A589-B63877511BC3}"/>
    <cellStyle name="Comma 5 2 7 3" xfId="7061" xr:uid="{EC2093AF-12E5-4EBC-B740-EFD1867AA329}"/>
    <cellStyle name="Comma 5 2 8" xfId="2834" xr:uid="{A00A3073-ECD0-4A22-AA03-5E1BC1887C46}"/>
    <cellStyle name="Comma 5 2 8 2" xfId="8470" xr:uid="{77E2852C-F196-46EC-88A0-0C7194C6D9F4}"/>
    <cellStyle name="Comma 5 2 9" xfId="5660" xr:uid="{B9B3A65C-EC9A-4C87-98F8-B08BA18340DC}"/>
    <cellStyle name="Comma 5 3" xfId="44" xr:uid="{773FA1DC-9599-46DE-B047-22E959E4D7B7}"/>
    <cellStyle name="Comma 5 3 2" xfId="124" xr:uid="{9BBD8BDF-D273-459D-88F9-5B9447E83BC5}"/>
    <cellStyle name="Comma 5 3 2 2" xfId="296" xr:uid="{76F1806A-7C84-40EA-AD1F-5C3A65E58C80}"/>
    <cellStyle name="Comma 5 3 2 2 2" xfId="640" xr:uid="{A8B31D37-D517-44EA-AE34-100110699C24}"/>
    <cellStyle name="Comma 5 3 2 2 2 2" xfId="1336" xr:uid="{8B7E0224-B02B-47DF-B573-D525B5791803}"/>
    <cellStyle name="Comma 5 3 2 2 2 2 2" xfId="2737" xr:uid="{EB2921FD-5048-4DD3-B914-5F5380CB6258}"/>
    <cellStyle name="Comma 5 3 2 2 2 2 2 2" xfId="5547" xr:uid="{DA013CA2-FEB7-40AE-A5D2-3AF712B9BEB4}"/>
    <cellStyle name="Comma 5 3 2 2 2 2 2 2 2" xfId="11183" xr:uid="{C19563D4-D5BC-4E68-8B22-42A999C553C7}"/>
    <cellStyle name="Comma 5 3 2 2 2 2 2 3" xfId="8373" xr:uid="{67682727-8196-43CC-BAE7-19AA112ADADC}"/>
    <cellStyle name="Comma 5 3 2 2 2 2 3" xfId="4146" xr:uid="{E59B26AC-9E71-4857-B2A8-F4C4906FC85E}"/>
    <cellStyle name="Comma 5 3 2 2 2 2 3 2" xfId="9782" xr:uid="{7B8E4B24-61B5-44E7-99D1-38942242D472}"/>
    <cellStyle name="Comma 5 3 2 2 2 2 4" xfId="6972" xr:uid="{1E0F2F65-2854-4AAD-ACCC-E62D70452AB0}"/>
    <cellStyle name="Comma 5 3 2 2 2 3" xfId="2041" xr:uid="{C97DF5B3-F8C0-4BFE-A41A-D72E61961866}"/>
    <cellStyle name="Comma 5 3 2 2 2 3 2" xfId="4851" xr:uid="{358C466E-54DA-4CE5-A85D-DD382A31138D}"/>
    <cellStyle name="Comma 5 3 2 2 2 3 2 2" xfId="10487" xr:uid="{16A4F70C-12AD-41B9-BFF6-7EEFC2E70C34}"/>
    <cellStyle name="Comma 5 3 2 2 2 3 3" xfId="7677" xr:uid="{0D805A85-E9DE-4690-AF89-459296E0371F}"/>
    <cellStyle name="Comma 5 3 2 2 2 4" xfId="3450" xr:uid="{E664322A-14EF-4BA0-B6F1-2D288F10B05C}"/>
    <cellStyle name="Comma 5 3 2 2 2 4 2" xfId="9086" xr:uid="{6827A3F5-7BF2-48C3-A027-9183CFCAED23}"/>
    <cellStyle name="Comma 5 3 2 2 2 5" xfId="6276" xr:uid="{F65EF693-AD9B-4D14-B81D-E5285BB20980}"/>
    <cellStyle name="Comma 5 3 2 2 3" xfId="992" xr:uid="{A484AF1C-C5BC-41E2-9866-09C1894997D2}"/>
    <cellStyle name="Comma 5 3 2 2 3 2" xfId="2393" xr:uid="{00645240-F24C-44F3-96FD-BA5E75957065}"/>
    <cellStyle name="Comma 5 3 2 2 3 2 2" xfId="5203" xr:uid="{E0CD349A-AC74-44CE-A6E6-4B87A78E3A2B}"/>
    <cellStyle name="Comma 5 3 2 2 3 2 2 2" xfId="10839" xr:uid="{2901DA34-FFF2-4B4A-8EDB-F4A9E0B02F89}"/>
    <cellStyle name="Comma 5 3 2 2 3 2 3" xfId="8029" xr:uid="{E0EF7F6F-A42F-48A7-94C4-185E362101D8}"/>
    <cellStyle name="Comma 5 3 2 2 3 3" xfId="3802" xr:uid="{8587B7CB-F2E0-41A6-A937-2935EB373251}"/>
    <cellStyle name="Comma 5 3 2 2 3 3 2" xfId="9438" xr:uid="{BB0434EA-BA45-4157-8AFF-4479443A9B3C}"/>
    <cellStyle name="Comma 5 3 2 2 3 4" xfId="6628" xr:uid="{C8945310-D13C-41E7-9790-FE7778B13DBE}"/>
    <cellStyle name="Comma 5 3 2 2 4" xfId="1697" xr:uid="{E5CA8311-08CE-49BC-9744-F7DAE3B7504F}"/>
    <cellStyle name="Comma 5 3 2 2 4 2" xfId="4507" xr:uid="{7F3C9E0C-D69B-4B3A-BC87-E316C8958A1A}"/>
    <cellStyle name="Comma 5 3 2 2 4 2 2" xfId="10143" xr:uid="{C5A6DD47-06C1-4913-9BF9-4E67BFA7F2F0}"/>
    <cellStyle name="Comma 5 3 2 2 4 3" xfId="7333" xr:uid="{3EEE4BB1-14DD-4EB0-A35D-A5A041A167AF}"/>
    <cellStyle name="Comma 5 3 2 2 5" xfId="3106" xr:uid="{12BD787D-B3D9-42AF-B63F-BD46DFFA4C2E}"/>
    <cellStyle name="Comma 5 3 2 2 5 2" xfId="8742" xr:uid="{F83A453A-3598-419D-936D-917779D5E2AC}"/>
    <cellStyle name="Comma 5 3 2 2 6" xfId="5932" xr:uid="{CEE51EEF-90E2-4681-9A70-2F720F648F54}"/>
    <cellStyle name="Comma 5 3 2 3" xfId="468" xr:uid="{6E2A9492-0001-43CA-969F-1ED7039D557B}"/>
    <cellStyle name="Comma 5 3 2 3 2" xfId="1164" xr:uid="{337690FD-9D7C-49FC-89F4-543E505D3915}"/>
    <cellStyle name="Comma 5 3 2 3 2 2" xfId="2565" xr:uid="{1EE43ACE-DB9E-4AEA-BA40-C07FF4452BDC}"/>
    <cellStyle name="Comma 5 3 2 3 2 2 2" xfId="5375" xr:uid="{FA9AA67F-6B8D-4C34-B5BE-4FFB34A443D5}"/>
    <cellStyle name="Comma 5 3 2 3 2 2 2 2" xfId="11011" xr:uid="{C2B1CF06-A8CC-4992-A787-6E51D76DBF96}"/>
    <cellStyle name="Comma 5 3 2 3 2 2 3" xfId="8201" xr:uid="{076E267B-5FF8-46FA-BB76-59CEA073E9ED}"/>
    <cellStyle name="Comma 5 3 2 3 2 3" xfId="3974" xr:uid="{37B05DC3-C562-45D8-B135-546F4F7E8D8F}"/>
    <cellStyle name="Comma 5 3 2 3 2 3 2" xfId="9610" xr:uid="{BD48A06B-FD00-42CB-A9DD-99A560C34B0F}"/>
    <cellStyle name="Comma 5 3 2 3 2 4" xfId="6800" xr:uid="{181B00CA-CAA0-4407-A509-AE0C690A5DE7}"/>
    <cellStyle name="Comma 5 3 2 3 3" xfId="1869" xr:uid="{7639623E-2418-4B8C-818B-ACDA44FA396B}"/>
    <cellStyle name="Comma 5 3 2 3 3 2" xfId="4679" xr:uid="{70A8CB7E-3D93-4669-9419-224879B9AE60}"/>
    <cellStyle name="Comma 5 3 2 3 3 2 2" xfId="10315" xr:uid="{AA055A64-E00C-42AC-9112-A15E8CCA7D11}"/>
    <cellStyle name="Comma 5 3 2 3 3 3" xfId="7505" xr:uid="{C14FF98E-BADE-4FFB-AC06-C2502A48CB8A}"/>
    <cellStyle name="Comma 5 3 2 3 4" xfId="3278" xr:uid="{4265F3D0-2E04-4A9D-9F2D-DE0E64AA0458}"/>
    <cellStyle name="Comma 5 3 2 3 4 2" xfId="8914" xr:uid="{AA0E9279-813D-4464-976B-F55E936C1EF4}"/>
    <cellStyle name="Comma 5 3 2 3 5" xfId="6104" xr:uid="{75024B83-40AF-47B0-BBEB-7BAE7CB48BF6}"/>
    <cellStyle name="Comma 5 3 2 4" xfId="820" xr:uid="{351249CC-1925-4686-A3CF-8E77923C5E79}"/>
    <cellStyle name="Comma 5 3 2 4 2" xfId="2221" xr:uid="{AD742BAF-AE77-4B88-A302-F00D4E5007C0}"/>
    <cellStyle name="Comma 5 3 2 4 2 2" xfId="5031" xr:uid="{98B235C8-BC4D-4A71-B93B-E1591352F827}"/>
    <cellStyle name="Comma 5 3 2 4 2 2 2" xfId="10667" xr:uid="{B78FCCFE-43DD-43E2-9C94-D85355C23D0C}"/>
    <cellStyle name="Comma 5 3 2 4 2 3" xfId="7857" xr:uid="{F43D61BE-F4A0-45A0-8BC2-4B299E056F51}"/>
    <cellStyle name="Comma 5 3 2 4 3" xfId="3630" xr:uid="{A3A2B8D0-77F2-46A3-911E-D99D26DAAFFE}"/>
    <cellStyle name="Comma 5 3 2 4 3 2" xfId="9266" xr:uid="{6F8433E8-3F70-4110-BA1A-6CB379DD7BE7}"/>
    <cellStyle name="Comma 5 3 2 4 4" xfId="6456" xr:uid="{32C6BC50-D289-436D-AFB5-ADEC00C9A5FC}"/>
    <cellStyle name="Comma 5 3 2 5" xfId="1525" xr:uid="{0D2EA0C3-78EE-46B9-8A89-55937569CB93}"/>
    <cellStyle name="Comma 5 3 2 5 2" xfId="4335" xr:uid="{41A3D211-39DE-4075-BA24-B97126BEFC4E}"/>
    <cellStyle name="Comma 5 3 2 5 2 2" xfId="9971" xr:uid="{C6995319-0B84-41C4-B254-1087FD5E66FD}"/>
    <cellStyle name="Comma 5 3 2 5 3" xfId="7161" xr:uid="{D506DBB9-FA13-43C8-A6B2-BD0E24D56CAD}"/>
    <cellStyle name="Comma 5 3 2 6" xfId="2934" xr:uid="{CBB4C4DA-355F-48A0-9C21-5D6E5B613CE6}"/>
    <cellStyle name="Comma 5 3 2 6 2" xfId="8570" xr:uid="{68DE0A97-A79B-49D5-BC06-614152648C2D}"/>
    <cellStyle name="Comma 5 3 2 7" xfId="5760" xr:uid="{D1C9BFDA-6539-4A77-A6D6-211E85CAB604}"/>
    <cellStyle name="Comma 5 3 3" xfId="216" xr:uid="{541E0AE8-0619-4D08-9A6D-BE95D33AF7AD}"/>
    <cellStyle name="Comma 5 3 3 2" xfId="560" xr:uid="{257FC7F8-A745-4497-8AA2-483A5D205B56}"/>
    <cellStyle name="Comma 5 3 3 2 2" xfId="1256" xr:uid="{7E09236C-69BE-4359-BF95-8D6742D6CA2A}"/>
    <cellStyle name="Comma 5 3 3 2 2 2" xfId="2657" xr:uid="{CAFFF416-15F6-4026-9A20-0CCF34358CB6}"/>
    <cellStyle name="Comma 5 3 3 2 2 2 2" xfId="5467" xr:uid="{1406D4DB-559F-41DC-89E1-FF60BA000E70}"/>
    <cellStyle name="Comma 5 3 3 2 2 2 2 2" xfId="11103" xr:uid="{460E74C4-EDBA-4342-8638-A1225A7DF0F9}"/>
    <cellStyle name="Comma 5 3 3 2 2 2 3" xfId="8293" xr:uid="{2332ED06-4B24-472D-90CE-A01DB669CEA4}"/>
    <cellStyle name="Comma 5 3 3 2 2 3" xfId="4066" xr:uid="{F8A20765-30EF-4BAD-A3B0-EB83BD036904}"/>
    <cellStyle name="Comma 5 3 3 2 2 3 2" xfId="9702" xr:uid="{C4A23DA7-55FE-421F-80D3-F251450DEDDC}"/>
    <cellStyle name="Comma 5 3 3 2 2 4" xfId="6892" xr:uid="{769C1CEA-402E-4E53-9484-00C86E042CC4}"/>
    <cellStyle name="Comma 5 3 3 2 3" xfId="1961" xr:uid="{C44BB79D-1D1E-45B9-997D-552601394678}"/>
    <cellStyle name="Comma 5 3 3 2 3 2" xfId="4771" xr:uid="{F9B0F4B3-C9E7-4042-9E36-528F0AD10A3E}"/>
    <cellStyle name="Comma 5 3 3 2 3 2 2" xfId="10407" xr:uid="{20C1AD79-07D5-40AF-85F8-CD82DE595E11}"/>
    <cellStyle name="Comma 5 3 3 2 3 3" xfId="7597" xr:uid="{7F4BAEC0-3D84-495A-877A-F5B2A160CF01}"/>
    <cellStyle name="Comma 5 3 3 2 4" xfId="3370" xr:uid="{CB5ED0D2-A933-4169-8D08-9E8063430256}"/>
    <cellStyle name="Comma 5 3 3 2 4 2" xfId="9006" xr:uid="{44859F2C-C636-4A51-8292-3766DB1EF8D2}"/>
    <cellStyle name="Comma 5 3 3 2 5" xfId="6196" xr:uid="{30A2E3F7-5BFD-4F29-9320-1BF6487D030D}"/>
    <cellStyle name="Comma 5 3 3 3" xfId="912" xr:uid="{45891DE4-54C6-432A-A303-02B06D133D3C}"/>
    <cellStyle name="Comma 5 3 3 3 2" xfId="2313" xr:uid="{F10A67EE-4978-4A2A-BAF7-5032E761EB16}"/>
    <cellStyle name="Comma 5 3 3 3 2 2" xfId="5123" xr:uid="{F535A38E-5CFD-4338-B84C-3C850EA63718}"/>
    <cellStyle name="Comma 5 3 3 3 2 2 2" xfId="10759" xr:uid="{B8F56609-4CF3-4A32-B94C-058CCE48850F}"/>
    <cellStyle name="Comma 5 3 3 3 2 3" xfId="7949" xr:uid="{CAF84029-A94B-4DF1-99CC-DCD12BA4B1D9}"/>
    <cellStyle name="Comma 5 3 3 3 3" xfId="3722" xr:uid="{511ED05F-04A6-4AA6-863C-CD780CA8F743}"/>
    <cellStyle name="Comma 5 3 3 3 3 2" xfId="9358" xr:uid="{E72E5A70-AEE2-4C3D-93D7-A9CC12207235}"/>
    <cellStyle name="Comma 5 3 3 3 4" xfId="6548" xr:uid="{244F22EB-434A-44F7-BEC0-0D1F51FC0BD1}"/>
    <cellStyle name="Comma 5 3 3 4" xfId="1617" xr:uid="{903D2D67-1D1F-442F-848B-74CB85F4EC68}"/>
    <cellStyle name="Comma 5 3 3 4 2" xfId="4427" xr:uid="{7D779A06-DB67-45C9-BE14-335905E02E28}"/>
    <cellStyle name="Comma 5 3 3 4 2 2" xfId="10063" xr:uid="{3412F9BC-B0DB-43D2-BF2A-91A577DAC1B3}"/>
    <cellStyle name="Comma 5 3 3 4 3" xfId="7253" xr:uid="{7969672F-30F8-4213-BAD7-74F00707E163}"/>
    <cellStyle name="Comma 5 3 3 5" xfId="3026" xr:uid="{64A77A75-F437-496C-98F0-6CD8AACC6A03}"/>
    <cellStyle name="Comma 5 3 3 5 2" xfId="8662" xr:uid="{396A8192-D4D6-4B02-B961-4E6D6304794B}"/>
    <cellStyle name="Comma 5 3 3 6" xfId="5852" xr:uid="{D2829B42-09DF-45A4-8A05-3EFDE7AD2B0B}"/>
    <cellStyle name="Comma 5 3 4" xfId="388" xr:uid="{E0DB2EA6-8E54-4AB3-BFFE-AAB9B6FF1C8A}"/>
    <cellStyle name="Comma 5 3 4 2" xfId="1084" xr:uid="{046CBB93-1D19-45D1-95D2-624188ADE715}"/>
    <cellStyle name="Comma 5 3 4 2 2" xfId="2485" xr:uid="{055E9276-BBCC-4D68-9238-6A91BD165353}"/>
    <cellStyle name="Comma 5 3 4 2 2 2" xfId="5295" xr:uid="{114E0197-FF45-49E2-9777-147CBF74A67E}"/>
    <cellStyle name="Comma 5 3 4 2 2 2 2" xfId="10931" xr:uid="{0C50EEE1-2D86-4EE8-AB1E-6C9273B2570B}"/>
    <cellStyle name="Comma 5 3 4 2 2 3" xfId="8121" xr:uid="{0C841F72-32A6-4C67-BC28-3219247DE78F}"/>
    <cellStyle name="Comma 5 3 4 2 3" xfId="3894" xr:uid="{CEB871EF-A5AB-49D5-B911-5BB71A6E5D60}"/>
    <cellStyle name="Comma 5 3 4 2 3 2" xfId="9530" xr:uid="{5C585B83-71F2-4BD3-A3F3-87E30C392BBC}"/>
    <cellStyle name="Comma 5 3 4 2 4" xfId="6720" xr:uid="{56B7D94C-D70B-4CD7-8DF1-B58ED8C01330}"/>
    <cellStyle name="Comma 5 3 4 3" xfId="1789" xr:uid="{AC14B05F-B1F3-42CC-BC4E-2674F5218365}"/>
    <cellStyle name="Comma 5 3 4 3 2" xfId="4599" xr:uid="{934F8286-6C3C-4015-BACE-024DA4780933}"/>
    <cellStyle name="Comma 5 3 4 3 2 2" xfId="10235" xr:uid="{8E945540-CE03-4A08-8986-F17CADC0FFD6}"/>
    <cellStyle name="Comma 5 3 4 3 3" xfId="7425" xr:uid="{1ED14CE4-057E-4EA1-807C-0F6E840CE5B5}"/>
    <cellStyle name="Comma 5 3 4 4" xfId="3198" xr:uid="{F1779EAE-C710-47F8-8AE7-6E4F6EA4C4B1}"/>
    <cellStyle name="Comma 5 3 4 4 2" xfId="8834" xr:uid="{A4695EB8-2AD5-4588-B487-A75E66A1751A}"/>
    <cellStyle name="Comma 5 3 4 5" xfId="6024" xr:uid="{1CB701C9-8424-4349-9FB1-9D19F4E4A9E7}"/>
    <cellStyle name="Comma 5 3 5" xfId="740" xr:uid="{BACBE5B8-4469-482B-AB56-BCEA7FB32967}"/>
    <cellStyle name="Comma 5 3 5 2" xfId="2141" xr:uid="{32133BD1-AAA8-41D3-A686-9E6570DCCDB9}"/>
    <cellStyle name="Comma 5 3 5 2 2" xfId="4951" xr:uid="{8FEB3CE2-A0F2-4C2F-8FC0-D06A91E3348F}"/>
    <cellStyle name="Comma 5 3 5 2 2 2" xfId="10587" xr:uid="{235AE04E-C1D1-447A-9200-1D3525045087}"/>
    <cellStyle name="Comma 5 3 5 2 3" xfId="7777" xr:uid="{CB4E1DDF-BF8D-4B39-BABA-5637E0BDFB4A}"/>
    <cellStyle name="Comma 5 3 5 3" xfId="3550" xr:uid="{3BD88C55-D368-4857-AD51-DE4423C31BBC}"/>
    <cellStyle name="Comma 5 3 5 3 2" xfId="9186" xr:uid="{4CA6165C-D0A0-4DD8-8D03-FBE4931DA0C8}"/>
    <cellStyle name="Comma 5 3 5 4" xfId="6376" xr:uid="{82181F8B-2D4C-41CD-A15E-AC815BB2CECD}"/>
    <cellStyle name="Comma 5 3 6" xfId="1445" xr:uid="{17878301-758D-4894-8282-BB76B3DE605D}"/>
    <cellStyle name="Comma 5 3 6 2" xfId="4255" xr:uid="{8FC3078A-1A94-4B28-94FB-DDBDB0C55399}"/>
    <cellStyle name="Comma 5 3 6 2 2" xfId="9891" xr:uid="{4FE3ED4D-9E1A-4E96-B1AE-C1C28477408A}"/>
    <cellStyle name="Comma 5 3 6 3" xfId="7081" xr:uid="{D1800E8E-DC23-4BC4-A986-5F23FB668053}"/>
    <cellStyle name="Comma 5 3 7" xfId="2854" xr:uid="{3D5780D9-E9F1-4CAF-B073-DCC2A6635B65}"/>
    <cellStyle name="Comma 5 3 7 2" xfId="8490" xr:uid="{4889F820-8B62-4C8E-BFCE-572F2B5D89DB}"/>
    <cellStyle name="Comma 5 3 8" xfId="5680" xr:uid="{529DAB12-84C5-478B-A6DC-3BB35E0A5AFB}"/>
    <cellStyle name="Comma 5 4" xfId="92" xr:uid="{76E88C47-8277-4608-979A-AE0A8CC3E20A}"/>
    <cellStyle name="Comma 5 4 2" xfId="264" xr:uid="{5AF67225-7DEE-491F-82A0-40EEE34090E7}"/>
    <cellStyle name="Comma 5 4 2 2" xfId="608" xr:uid="{29959976-FCBA-47B7-8C48-BBE835DCE6C9}"/>
    <cellStyle name="Comma 5 4 2 2 2" xfId="1304" xr:uid="{1058789E-E539-46A8-8025-D6F2BC6F6645}"/>
    <cellStyle name="Comma 5 4 2 2 2 2" xfId="2705" xr:uid="{07E03FC1-37B1-4A98-A656-5FBC8E39B64E}"/>
    <cellStyle name="Comma 5 4 2 2 2 2 2" xfId="5515" xr:uid="{694EA0EE-0497-4642-AD44-55EDCCA76E2E}"/>
    <cellStyle name="Comma 5 4 2 2 2 2 2 2" xfId="11151" xr:uid="{606618C9-C232-49A5-98F9-6909B2CC92ED}"/>
    <cellStyle name="Comma 5 4 2 2 2 2 3" xfId="8341" xr:uid="{5476D41B-0915-411A-AC67-68F8D5F3DFD7}"/>
    <cellStyle name="Comma 5 4 2 2 2 3" xfId="4114" xr:uid="{ED9EC652-DD28-4B03-9F49-A4017E734C84}"/>
    <cellStyle name="Comma 5 4 2 2 2 3 2" xfId="9750" xr:uid="{133B1460-1C3B-4F56-A7DE-9E5314778DEF}"/>
    <cellStyle name="Comma 5 4 2 2 2 4" xfId="6940" xr:uid="{B105AD2C-9D0B-49E0-A6CB-8517889DE72D}"/>
    <cellStyle name="Comma 5 4 2 2 3" xfId="2009" xr:uid="{C0D96AA8-5573-4EF2-9F82-9B01273B7CC0}"/>
    <cellStyle name="Comma 5 4 2 2 3 2" xfId="4819" xr:uid="{ACB0261E-D330-40B0-B383-7B0A9022CE21}"/>
    <cellStyle name="Comma 5 4 2 2 3 2 2" xfId="10455" xr:uid="{78E09138-C380-46D0-8D23-FAF278CE389A}"/>
    <cellStyle name="Comma 5 4 2 2 3 3" xfId="7645" xr:uid="{103851B3-DF6F-4A7A-AA21-7D5AC9CB5C5B}"/>
    <cellStyle name="Comma 5 4 2 2 4" xfId="3418" xr:uid="{150B13B2-6A3D-4CAF-844C-1129501FF3AA}"/>
    <cellStyle name="Comma 5 4 2 2 4 2" xfId="9054" xr:uid="{45D8E461-CD38-4A89-80A9-3EA46F04238C}"/>
    <cellStyle name="Comma 5 4 2 2 5" xfId="6244" xr:uid="{1BD79DC9-496B-4D5B-8E8D-10BE44BD3DAF}"/>
    <cellStyle name="Comma 5 4 2 3" xfId="960" xr:uid="{53291A08-82CC-42EA-BEC6-BDA4D01992FA}"/>
    <cellStyle name="Comma 5 4 2 3 2" xfId="2361" xr:uid="{3FF5E9F4-9B4D-482A-95D5-D51386302371}"/>
    <cellStyle name="Comma 5 4 2 3 2 2" xfId="5171" xr:uid="{81478BEE-DC2B-4185-99E0-3378D09814B6}"/>
    <cellStyle name="Comma 5 4 2 3 2 2 2" xfId="10807" xr:uid="{86B68C04-2CA3-4294-A979-16AD3A711238}"/>
    <cellStyle name="Comma 5 4 2 3 2 3" xfId="7997" xr:uid="{1822E592-BC3C-403C-8C2E-48B91398D8E8}"/>
    <cellStyle name="Comma 5 4 2 3 3" xfId="3770" xr:uid="{6BEA7B8A-C3B4-47B1-B40F-49021480BEB7}"/>
    <cellStyle name="Comma 5 4 2 3 3 2" xfId="9406" xr:uid="{AF9DB7C5-EE6E-48DB-827F-47A7BB7F322B}"/>
    <cellStyle name="Comma 5 4 2 3 4" xfId="6596" xr:uid="{43F77F51-1772-45A7-95BA-B17BEDFE4168}"/>
    <cellStyle name="Comma 5 4 2 4" xfId="1665" xr:uid="{D75D2FFA-B4F4-4C57-8FF8-F65D800B11C4}"/>
    <cellStyle name="Comma 5 4 2 4 2" xfId="4475" xr:uid="{3C0B330C-888B-48FF-AE04-607F4AF4012C}"/>
    <cellStyle name="Comma 5 4 2 4 2 2" xfId="10111" xr:uid="{059B3B02-3360-49D7-BA26-1EDA9F31749D}"/>
    <cellStyle name="Comma 5 4 2 4 3" xfId="7301" xr:uid="{DD7E54EA-8273-4D99-AA6E-42B35F5E1A33}"/>
    <cellStyle name="Comma 5 4 2 5" xfId="3074" xr:uid="{CFE2DA6F-1B4B-47CB-9BA8-4707DE07E04E}"/>
    <cellStyle name="Comma 5 4 2 5 2" xfId="8710" xr:uid="{AE1836FF-CC26-4E88-80CB-859C16FAF3B8}"/>
    <cellStyle name="Comma 5 4 2 6" xfId="5900" xr:uid="{BFDCCE30-7291-4372-B794-E86389CCDAF7}"/>
    <cellStyle name="Comma 5 4 3" xfId="436" xr:uid="{46A4CD2B-A55F-4178-ABC7-1C211508DE82}"/>
    <cellStyle name="Comma 5 4 3 2" xfId="1132" xr:uid="{843C932E-ACF0-4CBC-8F9C-06A880F92538}"/>
    <cellStyle name="Comma 5 4 3 2 2" xfId="2533" xr:uid="{E2FA3B2D-8D8B-4CA4-B8A9-8B305E8B1848}"/>
    <cellStyle name="Comma 5 4 3 2 2 2" xfId="5343" xr:uid="{7E6B3E15-70E8-403F-9C0D-FA3DB069CF1C}"/>
    <cellStyle name="Comma 5 4 3 2 2 2 2" xfId="10979" xr:uid="{3D2E72F6-DD1A-47B3-8B2A-CE5F6302FD28}"/>
    <cellStyle name="Comma 5 4 3 2 2 3" xfId="8169" xr:uid="{70A9567C-B7D0-4C5B-86C7-64246C7E8E06}"/>
    <cellStyle name="Comma 5 4 3 2 3" xfId="3942" xr:uid="{A7DAAE09-90A9-418C-9979-24E934403E87}"/>
    <cellStyle name="Comma 5 4 3 2 3 2" xfId="9578" xr:uid="{43752C2D-11DB-4330-B274-BD5A4DF48ADA}"/>
    <cellStyle name="Comma 5 4 3 2 4" xfId="6768" xr:uid="{7F05FACB-C027-4E0F-BCC9-0D2BEED0625E}"/>
    <cellStyle name="Comma 5 4 3 3" xfId="1837" xr:uid="{D6938746-A993-485A-B822-DBDED3A8891B}"/>
    <cellStyle name="Comma 5 4 3 3 2" xfId="4647" xr:uid="{8EA203EB-8E56-457A-9C36-2C4B2D5F64C4}"/>
    <cellStyle name="Comma 5 4 3 3 2 2" xfId="10283" xr:uid="{A2304EF2-A2FA-4479-A18D-165F77985E58}"/>
    <cellStyle name="Comma 5 4 3 3 3" xfId="7473" xr:uid="{017159ED-AC91-4B72-9525-FAFC093D807A}"/>
    <cellStyle name="Comma 5 4 3 4" xfId="3246" xr:uid="{50768B76-9175-453E-8437-14F81F82E400}"/>
    <cellStyle name="Comma 5 4 3 4 2" xfId="8882" xr:uid="{E3BCB486-DFC8-47A7-97E4-4F809D0DCF5B}"/>
    <cellStyle name="Comma 5 4 3 5" xfId="6072" xr:uid="{419DE58E-6422-4133-B079-06F6F4AFDAFE}"/>
    <cellStyle name="Comma 5 4 4" xfId="788" xr:uid="{E19B6CB6-47E5-4800-BFC7-6F7FC8938C06}"/>
    <cellStyle name="Comma 5 4 4 2" xfId="2189" xr:uid="{7DD36025-F792-4B69-99C8-5FFDE527609F}"/>
    <cellStyle name="Comma 5 4 4 2 2" xfId="4999" xr:uid="{7C81A8F4-A75F-4225-A13A-AC968BDBD295}"/>
    <cellStyle name="Comma 5 4 4 2 2 2" xfId="10635" xr:uid="{948D5E2E-094A-4B13-A9BD-BCC017291509}"/>
    <cellStyle name="Comma 5 4 4 2 3" xfId="7825" xr:uid="{0928A317-BB94-486D-8EAE-9FECE1ED9DDE}"/>
    <cellStyle name="Comma 5 4 4 3" xfId="3598" xr:uid="{6544175C-0C43-4FA3-A685-15C9F5F5643A}"/>
    <cellStyle name="Comma 5 4 4 3 2" xfId="9234" xr:uid="{C1BEF07F-70A5-4E3B-BD60-3CECDC058CF1}"/>
    <cellStyle name="Comma 5 4 4 4" xfId="6424" xr:uid="{94D39DFA-B2AC-4040-B97F-8463C1D94158}"/>
    <cellStyle name="Comma 5 4 5" xfId="1493" xr:uid="{17F34E74-2B17-4C4F-A965-16C0C30C27C3}"/>
    <cellStyle name="Comma 5 4 5 2" xfId="4303" xr:uid="{96A80573-1163-437D-8D38-7C6BDB1F3695}"/>
    <cellStyle name="Comma 5 4 5 2 2" xfId="9939" xr:uid="{ED98FB19-C307-455E-87A7-EA30C6892395}"/>
    <cellStyle name="Comma 5 4 5 3" xfId="7129" xr:uid="{AAAF6D72-23C5-4CF4-BF5B-D5D63EED0C88}"/>
    <cellStyle name="Comma 5 4 6" xfId="2902" xr:uid="{CE9C1B9E-BC3C-4649-9853-7AB72DD18AE3}"/>
    <cellStyle name="Comma 5 4 6 2" xfId="8538" xr:uid="{72B7751E-638F-40D6-8987-44187E6A9277}"/>
    <cellStyle name="Comma 5 4 7" xfId="5728" xr:uid="{C1464F62-6FD8-4C86-A523-80D5EB1ED2C8}"/>
    <cellStyle name="Comma 5 5" xfId="184" xr:uid="{18C6D040-F6FD-4318-A00E-8D26266993C2}"/>
    <cellStyle name="Comma 5 5 2" xfId="528" xr:uid="{29807D09-2A62-4C10-8374-2E3BFEB3581F}"/>
    <cellStyle name="Comma 5 5 2 2" xfId="1224" xr:uid="{88F0FEBC-40C8-4586-A0DD-A0A25A7EF1AE}"/>
    <cellStyle name="Comma 5 5 2 2 2" xfId="2625" xr:uid="{993ACE49-5AAB-43C9-8C8D-3FD6D7C9E9A1}"/>
    <cellStyle name="Comma 5 5 2 2 2 2" xfId="5435" xr:uid="{A6B79149-16D8-4737-885B-7CF0EDF9EC95}"/>
    <cellStyle name="Comma 5 5 2 2 2 2 2" xfId="11071" xr:uid="{6017AAFE-B9C0-4C20-8885-6A65B632DD67}"/>
    <cellStyle name="Comma 5 5 2 2 2 3" xfId="8261" xr:uid="{DF2D136D-07E3-4337-A034-8C6EF0E94212}"/>
    <cellStyle name="Comma 5 5 2 2 3" xfId="4034" xr:uid="{E2E8217A-BD35-4681-AF90-317E20A084D6}"/>
    <cellStyle name="Comma 5 5 2 2 3 2" xfId="9670" xr:uid="{CC3DDDCD-8429-4AC6-A4D1-58AA18297BFC}"/>
    <cellStyle name="Comma 5 5 2 2 4" xfId="6860" xr:uid="{A6517CF6-276D-443C-B49B-FA5A03DA066F}"/>
    <cellStyle name="Comma 5 5 2 3" xfId="1929" xr:uid="{C52D84F4-02BC-4926-89A0-6212E9C8B9B3}"/>
    <cellStyle name="Comma 5 5 2 3 2" xfId="4739" xr:uid="{7D69E22D-027F-4205-9E2F-13FC63091C93}"/>
    <cellStyle name="Comma 5 5 2 3 2 2" xfId="10375" xr:uid="{CFC4F62F-AE78-4856-8B1C-5F30EB5C62CB}"/>
    <cellStyle name="Comma 5 5 2 3 3" xfId="7565" xr:uid="{B0B5E5B5-2E73-42AB-B5E7-D6102A00E13A}"/>
    <cellStyle name="Comma 5 5 2 4" xfId="3338" xr:uid="{060A2BDC-1FA8-4676-9404-6642A4917D05}"/>
    <cellStyle name="Comma 5 5 2 4 2" xfId="8974" xr:uid="{F0EBC9C4-6AA5-44C8-9BE7-75901EBCCD00}"/>
    <cellStyle name="Comma 5 5 2 5" xfId="6164" xr:uid="{1604337B-9BE0-41AB-A183-A6B0753725D0}"/>
    <cellStyle name="Comma 5 5 3" xfId="880" xr:uid="{4B84578B-DBF4-4ACA-B948-509D6B35541D}"/>
    <cellStyle name="Comma 5 5 3 2" xfId="2281" xr:uid="{3046B499-BFB2-458A-BFC2-C66F9A6341DE}"/>
    <cellStyle name="Comma 5 5 3 2 2" xfId="5091" xr:uid="{09BD76DE-B81A-40D5-9000-5DF438C77D0E}"/>
    <cellStyle name="Comma 5 5 3 2 2 2" xfId="10727" xr:uid="{8A9C666D-CF7A-4EF2-B03C-2D3CCB76C8ED}"/>
    <cellStyle name="Comma 5 5 3 2 3" xfId="7917" xr:uid="{2F8A286C-DFA8-49C7-9E24-87AAEB148177}"/>
    <cellStyle name="Comma 5 5 3 3" xfId="3690" xr:uid="{96381ECB-28F4-4A5E-8AF1-7BD7B0E53E96}"/>
    <cellStyle name="Comma 5 5 3 3 2" xfId="9326" xr:uid="{58D8DC69-DF97-4C94-8AF4-EB25076EA0B5}"/>
    <cellStyle name="Comma 5 5 3 4" xfId="6516" xr:uid="{F5FCC3D5-625D-4DA2-B961-0597739F7AA8}"/>
    <cellStyle name="Comma 5 5 4" xfId="1585" xr:uid="{664C0180-BEED-4C11-A08B-7FAD83121975}"/>
    <cellStyle name="Comma 5 5 4 2" xfId="4395" xr:uid="{E9AAD27C-2180-48BF-A7C8-BB6295EA0273}"/>
    <cellStyle name="Comma 5 5 4 2 2" xfId="10031" xr:uid="{86CA43A8-CD6C-4F84-85B1-F5AC8B1890E6}"/>
    <cellStyle name="Comma 5 5 4 3" xfId="7221" xr:uid="{3C6ECC4E-097F-4EC9-AAC5-05282EBD9BA1}"/>
    <cellStyle name="Comma 5 5 5" xfId="2994" xr:uid="{70AFC86A-5833-45C4-A817-1B39ADCD397C}"/>
    <cellStyle name="Comma 5 5 5 2" xfId="8630" xr:uid="{6441F58C-A49E-4C21-88BC-4335503B6C75}"/>
    <cellStyle name="Comma 5 5 6" xfId="5820" xr:uid="{6E809CDE-B7A8-42DA-B930-3DB16D197C75}"/>
    <cellStyle name="Comma 5 6" xfId="356" xr:uid="{4FB5CCDF-37C5-4C23-A3FF-DE425597404E}"/>
    <cellStyle name="Comma 5 6 2" xfId="1052" xr:uid="{086CD518-F98D-479B-ACAB-4D8B78A36638}"/>
    <cellStyle name="Comma 5 6 2 2" xfId="2453" xr:uid="{403AB0E4-C4C9-47D7-9BC7-09F157C647F9}"/>
    <cellStyle name="Comma 5 6 2 2 2" xfId="5263" xr:uid="{3527E18A-1E4C-4804-9FFB-6A1976F501B6}"/>
    <cellStyle name="Comma 5 6 2 2 2 2" xfId="10899" xr:uid="{755F8888-12CE-4991-A842-8AF85E7A6C40}"/>
    <cellStyle name="Comma 5 6 2 2 3" xfId="8089" xr:uid="{A9C508F0-DB6F-4628-B2B4-1028CDF4F30F}"/>
    <cellStyle name="Comma 5 6 2 3" xfId="3862" xr:uid="{09C34519-8A96-4786-83A5-E9F3E0505108}"/>
    <cellStyle name="Comma 5 6 2 3 2" xfId="9498" xr:uid="{E43E4B14-987A-4F12-9C4E-BC5E637AE03B}"/>
    <cellStyle name="Comma 5 6 2 4" xfId="6688" xr:uid="{724C3E9D-A028-48F8-9EF7-B5079093011A}"/>
    <cellStyle name="Comma 5 6 3" xfId="1757" xr:uid="{751F98DC-0560-48F8-9145-579852046ABE}"/>
    <cellStyle name="Comma 5 6 3 2" xfId="4567" xr:uid="{52923EE4-8AC5-42DB-AD2A-0C8019802A21}"/>
    <cellStyle name="Comma 5 6 3 2 2" xfId="10203" xr:uid="{140EC6B3-58DD-46C7-86D1-76CA96AEF0C3}"/>
    <cellStyle name="Comma 5 6 3 3" xfId="7393" xr:uid="{71EF2511-F94E-4B2F-B489-921F9C9D6230}"/>
    <cellStyle name="Comma 5 6 4" xfId="3166" xr:uid="{22DD406C-F009-4C81-94C4-AB20BD714E8B}"/>
    <cellStyle name="Comma 5 6 4 2" xfId="8802" xr:uid="{324CF743-AC1C-48EB-94A7-4EBF2E46CD17}"/>
    <cellStyle name="Comma 5 6 5" xfId="5992" xr:uid="{F03F112F-2307-465F-83CC-56E3D665FEFB}"/>
    <cellStyle name="Comma 5 7" xfId="708" xr:uid="{741B3F57-8A0B-4E0F-840C-7BCD5D57B283}"/>
    <cellStyle name="Comma 5 7 2" xfId="2109" xr:uid="{E8C9667D-05C3-426B-B39F-A602ABAC3CEA}"/>
    <cellStyle name="Comma 5 7 2 2" xfId="4919" xr:uid="{1AAD82A7-6C6F-4366-8DEF-C8263537A85F}"/>
    <cellStyle name="Comma 5 7 2 2 2" xfId="10555" xr:uid="{CA5A752D-2A4C-4E21-8FA7-91D4823DCFB6}"/>
    <cellStyle name="Comma 5 7 2 3" xfId="7745" xr:uid="{7B0F96EB-34C6-464E-90F2-03DAED02F2E5}"/>
    <cellStyle name="Comma 5 7 3" xfId="3518" xr:uid="{39C3B63D-07C1-4263-9244-2E17DD4DF69A}"/>
    <cellStyle name="Comma 5 7 3 2" xfId="9154" xr:uid="{BE06194B-1401-4D17-9B06-1C88CC362088}"/>
    <cellStyle name="Comma 5 7 4" xfId="6344" xr:uid="{978C733D-A62E-4565-B0E5-48519476A55E}"/>
    <cellStyle name="Comma 5 8" xfId="1413" xr:uid="{8A141D07-4367-4426-A464-96EA29CE883E}"/>
    <cellStyle name="Comma 5 8 2" xfId="4223" xr:uid="{6542A17C-81E9-4B71-B41E-02203A72CECC}"/>
    <cellStyle name="Comma 5 8 2 2" xfId="9859" xr:uid="{6743E404-4B9E-467A-8B76-0B6C6B099F4D}"/>
    <cellStyle name="Comma 5 8 3" xfId="7049" xr:uid="{1F0D5708-632A-4E23-9856-BFD424B6CF0F}"/>
    <cellStyle name="Comma 5 9" xfId="2822" xr:uid="{C8B5F687-B81E-4883-A09A-9F198DBBF85A}"/>
    <cellStyle name="Comma 5 9 2" xfId="8458" xr:uid="{3146DA18-5825-4676-941D-8A28391934E6}"/>
    <cellStyle name="Comma 6" xfId="14" xr:uid="{5EAEE8E0-C5EB-4F09-A8D1-620C49C33D6C}"/>
    <cellStyle name="Comma 6 2" xfId="46" xr:uid="{B6530BA8-FA9B-4801-B915-F3531CCC2D64}"/>
    <cellStyle name="Comma 6 2 2" xfId="126" xr:uid="{E537648B-5DF5-4F0C-B885-FF0AC3FC800B}"/>
    <cellStyle name="Comma 6 2 2 2" xfId="298" xr:uid="{6FA54871-04A9-4F9C-BCEB-BB4F014F7A21}"/>
    <cellStyle name="Comma 6 2 2 2 2" xfId="642" xr:uid="{085F9E30-AEF1-4D21-842B-D827C512DE04}"/>
    <cellStyle name="Comma 6 2 2 2 2 2" xfId="1338" xr:uid="{04934BBE-2FF4-4B7A-A7CB-A013CA96186F}"/>
    <cellStyle name="Comma 6 2 2 2 2 2 2" xfId="2739" xr:uid="{30A2717C-CF99-41E0-9E4D-290ABC7269D1}"/>
    <cellStyle name="Comma 6 2 2 2 2 2 2 2" xfId="5549" xr:uid="{A7D5B433-0C60-4769-9DC0-A2B91FE9C99B}"/>
    <cellStyle name="Comma 6 2 2 2 2 2 2 2 2" xfId="11185" xr:uid="{DE1EBD2A-732F-4C92-A870-50ADE64B2817}"/>
    <cellStyle name="Comma 6 2 2 2 2 2 2 3" xfId="8375" xr:uid="{77D98A86-3FF0-442B-AB22-91BEE0208A45}"/>
    <cellStyle name="Comma 6 2 2 2 2 2 3" xfId="4148" xr:uid="{65FED053-33A7-4979-A072-F9C0EF47A0CD}"/>
    <cellStyle name="Comma 6 2 2 2 2 2 3 2" xfId="9784" xr:uid="{00F22170-4CB0-4113-8CC4-870982C9D8D0}"/>
    <cellStyle name="Comma 6 2 2 2 2 2 4" xfId="6974" xr:uid="{08FD9842-FB99-4032-89D2-5BF097F0A2F7}"/>
    <cellStyle name="Comma 6 2 2 2 2 3" xfId="2043" xr:uid="{AC6DA49E-68E5-46E1-907F-1185F446FF1D}"/>
    <cellStyle name="Comma 6 2 2 2 2 3 2" xfId="4853" xr:uid="{AB2AB493-1896-4ACD-A8BF-8749753531C0}"/>
    <cellStyle name="Comma 6 2 2 2 2 3 2 2" xfId="10489" xr:uid="{42CA0432-9B47-4A32-BD50-0442B8669905}"/>
    <cellStyle name="Comma 6 2 2 2 2 3 3" xfId="7679" xr:uid="{152EBA08-1A86-4D69-BCE6-D2BA5E1E30A4}"/>
    <cellStyle name="Comma 6 2 2 2 2 4" xfId="3452" xr:uid="{893FEB69-7D90-4B71-B3F1-A310A277B89E}"/>
    <cellStyle name="Comma 6 2 2 2 2 4 2" xfId="9088" xr:uid="{ECA05447-69BB-4496-A4AA-B538D84CAA96}"/>
    <cellStyle name="Comma 6 2 2 2 2 5" xfId="6278" xr:uid="{B7A1C618-5555-4008-B9EC-CCF8E6669045}"/>
    <cellStyle name="Comma 6 2 2 2 3" xfId="994" xr:uid="{3A96A866-D40C-497C-8D69-43F3BADCA3B4}"/>
    <cellStyle name="Comma 6 2 2 2 3 2" xfId="2395" xr:uid="{32ABFE07-F966-4A60-95BF-5377D5DBACD3}"/>
    <cellStyle name="Comma 6 2 2 2 3 2 2" xfId="5205" xr:uid="{ABBDF572-2427-4343-9FE7-08564C21294F}"/>
    <cellStyle name="Comma 6 2 2 2 3 2 2 2" xfId="10841" xr:uid="{443318C1-8B7A-48DC-88AD-B1909CA9EDF6}"/>
    <cellStyle name="Comma 6 2 2 2 3 2 3" xfId="8031" xr:uid="{8332F9CC-757A-4132-BF8D-FFABAB5AC5E3}"/>
    <cellStyle name="Comma 6 2 2 2 3 3" xfId="3804" xr:uid="{D944F224-2209-45FB-A1D0-432FEE725BD4}"/>
    <cellStyle name="Comma 6 2 2 2 3 3 2" xfId="9440" xr:uid="{9E347BA7-3EDA-45F1-AF69-EC9D9D130D3F}"/>
    <cellStyle name="Comma 6 2 2 2 3 4" xfId="6630" xr:uid="{3FE3231C-7945-4891-A9FD-B55B43645A65}"/>
    <cellStyle name="Comma 6 2 2 2 4" xfId="1699" xr:uid="{E0459BEE-1540-45DD-9EBE-07B6DDFCD05D}"/>
    <cellStyle name="Comma 6 2 2 2 4 2" xfId="4509" xr:uid="{B7FAF487-35D5-4CEF-8874-FCBDC7DF011F}"/>
    <cellStyle name="Comma 6 2 2 2 4 2 2" xfId="10145" xr:uid="{EDF15898-130F-4638-AA61-C2072D58A9A2}"/>
    <cellStyle name="Comma 6 2 2 2 4 3" xfId="7335" xr:uid="{7F7C0892-DFF9-48AF-9B44-69843B760CDA}"/>
    <cellStyle name="Comma 6 2 2 2 5" xfId="3108" xr:uid="{3ABBAA77-012B-40BE-B501-973036B940B2}"/>
    <cellStyle name="Comma 6 2 2 2 5 2" xfId="8744" xr:uid="{1543672D-0667-4EDC-916F-1728B9AA12BC}"/>
    <cellStyle name="Comma 6 2 2 2 6" xfId="5934" xr:uid="{F394C908-CEB0-414E-AB2E-19EDF4A929D9}"/>
    <cellStyle name="Comma 6 2 2 3" xfId="470" xr:uid="{163C3697-A390-42F3-9BAA-B83E9F970B4C}"/>
    <cellStyle name="Comma 6 2 2 3 2" xfId="1166" xr:uid="{B4604A1A-BB98-434C-808E-99115E5A7460}"/>
    <cellStyle name="Comma 6 2 2 3 2 2" xfId="2567" xr:uid="{F23875E6-E87C-4B8F-B31F-C4B13C600CCA}"/>
    <cellStyle name="Comma 6 2 2 3 2 2 2" xfId="5377" xr:uid="{5AF939AC-D4CF-4545-A19F-D9D27170CF41}"/>
    <cellStyle name="Comma 6 2 2 3 2 2 2 2" xfId="11013" xr:uid="{8E4A6952-59E5-4331-AEBA-DB8AFDF6B6A5}"/>
    <cellStyle name="Comma 6 2 2 3 2 2 3" xfId="8203" xr:uid="{E328EAFA-AB65-4792-93C5-FF74519B4266}"/>
    <cellStyle name="Comma 6 2 2 3 2 3" xfId="3976" xr:uid="{E0F4B7C1-EEA5-41D8-9F47-47DBAFDD4B26}"/>
    <cellStyle name="Comma 6 2 2 3 2 3 2" xfId="9612" xr:uid="{26B09381-7BF5-4C82-88D3-15115FF2F7D3}"/>
    <cellStyle name="Comma 6 2 2 3 2 4" xfId="6802" xr:uid="{72E7AA35-B676-426E-8C56-F1F714F4A4FE}"/>
    <cellStyle name="Comma 6 2 2 3 3" xfId="1871" xr:uid="{99CE508C-7EED-4302-BA96-2B540CE2B774}"/>
    <cellStyle name="Comma 6 2 2 3 3 2" xfId="4681" xr:uid="{182C2E37-CD0B-48DA-81CE-A539C0333854}"/>
    <cellStyle name="Comma 6 2 2 3 3 2 2" xfId="10317" xr:uid="{610EA315-2819-4DEF-A88A-A3056E23738A}"/>
    <cellStyle name="Comma 6 2 2 3 3 3" xfId="7507" xr:uid="{25CDD826-0915-40CA-995E-CEFF109DE451}"/>
    <cellStyle name="Comma 6 2 2 3 4" xfId="3280" xr:uid="{897CEB58-03FA-492F-A9A5-65BE38572A66}"/>
    <cellStyle name="Comma 6 2 2 3 4 2" xfId="8916" xr:uid="{BE7CDAB9-A692-43C5-9BAE-E7C7F6056954}"/>
    <cellStyle name="Comma 6 2 2 3 5" xfId="6106" xr:uid="{D4A1F6ED-1A53-4BB5-933E-B85C5734B0DD}"/>
    <cellStyle name="Comma 6 2 2 4" xfId="822" xr:uid="{92734E8C-E7A7-430D-BF27-34EC35C3BF1E}"/>
    <cellStyle name="Comma 6 2 2 4 2" xfId="2223" xr:uid="{6D65AFC5-349D-4304-A916-1D384FDC327F}"/>
    <cellStyle name="Comma 6 2 2 4 2 2" xfId="5033" xr:uid="{1AA080C0-0F23-4FA0-9E63-787C217D8173}"/>
    <cellStyle name="Comma 6 2 2 4 2 2 2" xfId="10669" xr:uid="{C92D0F36-57FA-4F54-A92E-730F22A88705}"/>
    <cellStyle name="Comma 6 2 2 4 2 3" xfId="7859" xr:uid="{351C12D0-B643-426A-8DFC-B8802ED2818E}"/>
    <cellStyle name="Comma 6 2 2 4 3" xfId="3632" xr:uid="{EE049DCB-43F7-4E01-898D-6B612FB2367B}"/>
    <cellStyle name="Comma 6 2 2 4 3 2" xfId="9268" xr:uid="{60AF03A7-5F47-4BA0-9909-1A9882DBF4AA}"/>
    <cellStyle name="Comma 6 2 2 4 4" xfId="6458" xr:uid="{B2586F76-9FDA-4749-BD77-BF7F68A8A547}"/>
    <cellStyle name="Comma 6 2 2 5" xfId="1527" xr:uid="{77911274-7AE1-4297-8876-6A6FCADC6F77}"/>
    <cellStyle name="Comma 6 2 2 5 2" xfId="4337" xr:uid="{02A47A75-8BBE-4C38-9FB5-B6035570B7F9}"/>
    <cellStyle name="Comma 6 2 2 5 2 2" xfId="9973" xr:uid="{E0C21844-5A10-42F4-B109-1C3C9ECDC9CC}"/>
    <cellStyle name="Comma 6 2 2 5 3" xfId="7163" xr:uid="{1EDC7D5F-8C82-49EE-BD8F-ADB0293C76FF}"/>
    <cellStyle name="Comma 6 2 2 6" xfId="2936" xr:uid="{7BFF77D0-8077-4178-8935-AC90921987D2}"/>
    <cellStyle name="Comma 6 2 2 6 2" xfId="8572" xr:uid="{54026637-0982-47FA-86C6-224986FF51D3}"/>
    <cellStyle name="Comma 6 2 2 7" xfId="5762" xr:uid="{B311F215-85A7-4A86-9EA0-36ED461F8F0C}"/>
    <cellStyle name="Comma 6 2 3" xfId="218" xr:uid="{C02CF358-D5AE-4570-BDB0-C5EFB2DC22C1}"/>
    <cellStyle name="Comma 6 2 3 2" xfId="562" xr:uid="{906813E4-0032-4C2D-BB71-C97793541D1C}"/>
    <cellStyle name="Comma 6 2 3 2 2" xfId="1258" xr:uid="{B0EE4B03-70EE-4B13-900F-C03DF1DBB611}"/>
    <cellStyle name="Comma 6 2 3 2 2 2" xfId="2659" xr:uid="{4C8B7354-A0BB-427B-85D4-ED2039E41F25}"/>
    <cellStyle name="Comma 6 2 3 2 2 2 2" xfId="5469" xr:uid="{B2562D24-03A4-4E89-946B-8370DB9A0CF5}"/>
    <cellStyle name="Comma 6 2 3 2 2 2 2 2" xfId="11105" xr:uid="{008D48F3-2CEB-4FF7-90E0-19ADFA1BE7B6}"/>
    <cellStyle name="Comma 6 2 3 2 2 2 3" xfId="8295" xr:uid="{7AE9E4E6-6B79-4639-B927-347A3CDFB87B}"/>
    <cellStyle name="Comma 6 2 3 2 2 3" xfId="4068" xr:uid="{A51D6E93-FD06-48D6-88A6-0F569A62EC8D}"/>
    <cellStyle name="Comma 6 2 3 2 2 3 2" xfId="9704" xr:uid="{40953FEE-D4F5-40EE-9ADF-63C3C3D059BE}"/>
    <cellStyle name="Comma 6 2 3 2 2 4" xfId="6894" xr:uid="{EC01D8E4-6B34-4FCD-8DDB-B67B6ECE9D2F}"/>
    <cellStyle name="Comma 6 2 3 2 3" xfId="1963" xr:uid="{7FFF4C5E-E89E-445D-9CC4-AE5522783DB0}"/>
    <cellStyle name="Comma 6 2 3 2 3 2" xfId="4773" xr:uid="{38BE860E-8ABA-4435-A0BC-D55EA21C7903}"/>
    <cellStyle name="Comma 6 2 3 2 3 2 2" xfId="10409" xr:uid="{AA1C236B-3D0D-47A3-8315-06385545BB35}"/>
    <cellStyle name="Comma 6 2 3 2 3 3" xfId="7599" xr:uid="{2C74FA61-9497-494C-B5B9-D50DDE3E9A3A}"/>
    <cellStyle name="Comma 6 2 3 2 4" xfId="3372" xr:uid="{D2360FA9-76A8-4DDA-BECF-3B1C4FA472F3}"/>
    <cellStyle name="Comma 6 2 3 2 4 2" xfId="9008" xr:uid="{BDCD7D72-B7A8-406A-9B36-6541C5606C87}"/>
    <cellStyle name="Comma 6 2 3 2 5" xfId="6198" xr:uid="{93391D59-98E9-473A-955E-69955645DE5A}"/>
    <cellStyle name="Comma 6 2 3 3" xfId="914" xr:uid="{78D90442-B747-42C6-9B5F-AC479F0A4BFA}"/>
    <cellStyle name="Comma 6 2 3 3 2" xfId="2315" xr:uid="{CA1981AE-E42F-4528-AC52-1231789D854F}"/>
    <cellStyle name="Comma 6 2 3 3 2 2" xfId="5125" xr:uid="{6686BC70-EAB7-44C7-8B0C-A1BADC584769}"/>
    <cellStyle name="Comma 6 2 3 3 2 2 2" xfId="10761" xr:uid="{6737E156-3506-4477-8364-EDEA4528A187}"/>
    <cellStyle name="Comma 6 2 3 3 2 3" xfId="7951" xr:uid="{E8185FB1-FBAF-403F-A807-5751129B7B69}"/>
    <cellStyle name="Comma 6 2 3 3 3" xfId="3724" xr:uid="{BBDC06F9-B2C4-4FDA-905E-DE5C973AED45}"/>
    <cellStyle name="Comma 6 2 3 3 3 2" xfId="9360" xr:uid="{266E508E-2493-40B5-BAD8-453E1E78087B}"/>
    <cellStyle name="Comma 6 2 3 3 4" xfId="6550" xr:uid="{1392F2A4-BB4F-4699-8EA4-6743C34AC758}"/>
    <cellStyle name="Comma 6 2 3 4" xfId="1619" xr:uid="{4312CB40-91B5-4C21-BF9A-038058B50499}"/>
    <cellStyle name="Comma 6 2 3 4 2" xfId="4429" xr:uid="{7B6EA60C-D6C0-4EB8-BD3E-945B3A308823}"/>
    <cellStyle name="Comma 6 2 3 4 2 2" xfId="10065" xr:uid="{F9B7E391-8D45-4D46-AEC6-FF58639B7ECB}"/>
    <cellStyle name="Comma 6 2 3 4 3" xfId="7255" xr:uid="{AD427B14-CA93-4BC6-BF4F-CAD0F780ED79}"/>
    <cellStyle name="Comma 6 2 3 5" xfId="3028" xr:uid="{BE1331C0-4E7A-49BE-BF0F-AD87D803ED30}"/>
    <cellStyle name="Comma 6 2 3 5 2" xfId="8664" xr:uid="{8AA61D72-1D78-4330-9922-40CCCCFAADFD}"/>
    <cellStyle name="Comma 6 2 3 6" xfId="5854" xr:uid="{00F683F0-6480-40B9-995C-4C551D83D43E}"/>
    <cellStyle name="Comma 6 2 4" xfId="390" xr:uid="{7CE0025E-A8FB-41EE-877F-CA7BD1D4498E}"/>
    <cellStyle name="Comma 6 2 4 2" xfId="1086" xr:uid="{C7642EE1-A016-4248-9B17-BE81638CB56C}"/>
    <cellStyle name="Comma 6 2 4 2 2" xfId="2487" xr:uid="{9EC91E64-DF02-48F2-9547-9B6FB2A74325}"/>
    <cellStyle name="Comma 6 2 4 2 2 2" xfId="5297" xr:uid="{0587C65D-69A3-46F3-8A25-BDB5E493E3E2}"/>
    <cellStyle name="Comma 6 2 4 2 2 2 2" xfId="10933" xr:uid="{27B3AE8C-4E56-4B57-AE69-673DF354C3C4}"/>
    <cellStyle name="Comma 6 2 4 2 2 3" xfId="8123" xr:uid="{A21B6B57-D2DD-49FA-AE3C-157C2F313A42}"/>
    <cellStyle name="Comma 6 2 4 2 3" xfId="3896" xr:uid="{209C2876-6349-4696-A03E-0C11BE3378D7}"/>
    <cellStyle name="Comma 6 2 4 2 3 2" xfId="9532" xr:uid="{2D31FA0D-D2CB-4C3C-AABA-C90591E80054}"/>
    <cellStyle name="Comma 6 2 4 2 4" xfId="6722" xr:uid="{30C9907E-ABD0-48ED-8139-39F2D3E47D63}"/>
    <cellStyle name="Comma 6 2 4 3" xfId="1791" xr:uid="{687D5BE4-6082-476F-8BCC-020B98EA3906}"/>
    <cellStyle name="Comma 6 2 4 3 2" xfId="4601" xr:uid="{A6DB6BB5-ABB3-49B8-A8F8-C5B7FEC43229}"/>
    <cellStyle name="Comma 6 2 4 3 2 2" xfId="10237" xr:uid="{1FB419CB-5E0C-48A9-8F99-CE236103A94D}"/>
    <cellStyle name="Comma 6 2 4 3 3" xfId="7427" xr:uid="{EE19C65E-47C0-463A-AF90-DF8914CFA30D}"/>
    <cellStyle name="Comma 6 2 4 4" xfId="3200" xr:uid="{87839223-54F5-4555-831D-0D8E15539E4C}"/>
    <cellStyle name="Comma 6 2 4 4 2" xfId="8836" xr:uid="{7EFE8482-E89E-462F-B0D8-A1406301773B}"/>
    <cellStyle name="Comma 6 2 4 5" xfId="6026" xr:uid="{F46F4D71-DFD7-4EB2-BF6B-4E27C3C38908}"/>
    <cellStyle name="Comma 6 2 5" xfId="742" xr:uid="{F0CCAC5E-FB54-475D-AF03-45991567FFC8}"/>
    <cellStyle name="Comma 6 2 5 2" xfId="2143" xr:uid="{81EF45EB-B2AF-4376-82F5-7083B76F549A}"/>
    <cellStyle name="Comma 6 2 5 2 2" xfId="4953" xr:uid="{9C902CA9-40C7-495A-BBB0-9B7ACF1AD827}"/>
    <cellStyle name="Comma 6 2 5 2 2 2" xfId="10589" xr:uid="{458FE0FC-154E-4E6D-8578-DA40249C4620}"/>
    <cellStyle name="Comma 6 2 5 2 3" xfId="7779" xr:uid="{67721CAA-02C7-426C-8F87-979AEB311B92}"/>
    <cellStyle name="Comma 6 2 5 3" xfId="3552" xr:uid="{4F36AD2D-2976-4788-ADE9-D577401C3CEA}"/>
    <cellStyle name="Comma 6 2 5 3 2" xfId="9188" xr:uid="{9D29CD7E-B4D6-47A4-B203-37AA3619F28B}"/>
    <cellStyle name="Comma 6 2 5 4" xfId="6378" xr:uid="{3BC2017C-2C4E-4CA7-8606-835A39A52136}"/>
    <cellStyle name="Comma 6 2 6" xfId="1447" xr:uid="{F6D0DDD5-B62F-4F7E-A534-B68CD6E732E0}"/>
    <cellStyle name="Comma 6 2 6 2" xfId="4257" xr:uid="{BFABFE92-2AA3-489A-860B-F197D96E1A37}"/>
    <cellStyle name="Comma 6 2 6 2 2" xfId="9893" xr:uid="{5208E44F-B533-4E0C-95E4-F8561E4A4EEA}"/>
    <cellStyle name="Comma 6 2 6 3" xfId="7083" xr:uid="{2702D024-E9F3-46E9-969F-B7DC49DD9D55}"/>
    <cellStyle name="Comma 6 2 7" xfId="2856" xr:uid="{503FF1F3-1447-467A-9B12-89DF18BE46EC}"/>
    <cellStyle name="Comma 6 2 7 2" xfId="8492" xr:uid="{6B9F1DF6-2066-441F-9835-8A28B5517AF6}"/>
    <cellStyle name="Comma 6 2 8" xfId="5682" xr:uid="{3C8C0017-1E5D-4C09-B347-EFA61158595E}"/>
    <cellStyle name="Comma 6 3" xfId="94" xr:uid="{D5FF8146-9A19-41DB-9A92-C7AF40C769AB}"/>
    <cellStyle name="Comma 6 3 2" xfId="266" xr:uid="{54489B60-EBA9-4205-B23B-B7A0E801BE0D}"/>
    <cellStyle name="Comma 6 3 2 2" xfId="610" xr:uid="{EA873D83-8A67-4D79-9EA5-50B492702B4B}"/>
    <cellStyle name="Comma 6 3 2 2 2" xfId="1306" xr:uid="{5CB0E404-0705-4955-BAFB-3BB4DFA18DA0}"/>
    <cellStyle name="Comma 6 3 2 2 2 2" xfId="2707" xr:uid="{21B153FA-ACBD-4A71-B318-800624CAABEF}"/>
    <cellStyle name="Comma 6 3 2 2 2 2 2" xfId="5517" xr:uid="{26427555-0332-4C85-B41C-56512ECC91F7}"/>
    <cellStyle name="Comma 6 3 2 2 2 2 2 2" xfId="11153" xr:uid="{28FBAAAE-3FF8-4BDC-AF28-2B7CC9BCFD02}"/>
    <cellStyle name="Comma 6 3 2 2 2 2 3" xfId="8343" xr:uid="{9D412308-9F81-4418-80ED-382F8900E1BA}"/>
    <cellStyle name="Comma 6 3 2 2 2 3" xfId="4116" xr:uid="{15CBEDE4-810F-4D21-A90A-07BD8A6B4E1E}"/>
    <cellStyle name="Comma 6 3 2 2 2 3 2" xfId="9752" xr:uid="{C668143D-830F-45E1-BF42-4D69160E10D1}"/>
    <cellStyle name="Comma 6 3 2 2 2 4" xfId="6942" xr:uid="{ADC3311D-9EED-4D28-ADC4-4BAE1CC2BE4A}"/>
    <cellStyle name="Comma 6 3 2 2 3" xfId="2011" xr:uid="{91E8D8F2-EDE7-4058-9C3D-BA46E9544C18}"/>
    <cellStyle name="Comma 6 3 2 2 3 2" xfId="4821" xr:uid="{829883AD-01F3-4096-9CA0-24AEF97229DB}"/>
    <cellStyle name="Comma 6 3 2 2 3 2 2" xfId="10457" xr:uid="{5BA240F4-F08A-4E9E-A40C-8A8664708E10}"/>
    <cellStyle name="Comma 6 3 2 2 3 3" xfId="7647" xr:uid="{4AD88713-A478-4CF3-9D65-C4389D8F39AF}"/>
    <cellStyle name="Comma 6 3 2 2 4" xfId="3420" xr:uid="{793F92BB-6626-4E97-B7BF-0C9863039404}"/>
    <cellStyle name="Comma 6 3 2 2 4 2" xfId="9056" xr:uid="{520846BD-1B79-4CD0-852D-B359BB073FD7}"/>
    <cellStyle name="Comma 6 3 2 2 5" xfId="6246" xr:uid="{56FEC793-8695-4C5A-9A1A-E19D687A244A}"/>
    <cellStyle name="Comma 6 3 2 3" xfId="962" xr:uid="{4D8E5C3B-973C-4710-8209-BA6921E1616B}"/>
    <cellStyle name="Comma 6 3 2 3 2" xfId="2363" xr:uid="{A87AF2DC-C681-41D0-AAAD-C12054A148F3}"/>
    <cellStyle name="Comma 6 3 2 3 2 2" xfId="5173" xr:uid="{1073352D-EA7F-4DEC-A363-365B99A3A460}"/>
    <cellStyle name="Comma 6 3 2 3 2 2 2" xfId="10809" xr:uid="{5B58A683-D999-42F9-903C-B6DC6CF8E9FB}"/>
    <cellStyle name="Comma 6 3 2 3 2 3" xfId="7999" xr:uid="{80AEB524-6BA9-4D5A-91B5-55ADB212E5CC}"/>
    <cellStyle name="Comma 6 3 2 3 3" xfId="3772" xr:uid="{AE2EEE2F-C6B4-4F0C-AB4B-20EECCB3F175}"/>
    <cellStyle name="Comma 6 3 2 3 3 2" xfId="9408" xr:uid="{E28A87C6-2599-44E6-A950-ACF6B2CDB068}"/>
    <cellStyle name="Comma 6 3 2 3 4" xfId="6598" xr:uid="{C3148EC6-5EB6-4751-95D8-24F99999F492}"/>
    <cellStyle name="Comma 6 3 2 4" xfId="1667" xr:uid="{678478D1-D1EB-4DFC-8563-87609DDFF840}"/>
    <cellStyle name="Comma 6 3 2 4 2" xfId="4477" xr:uid="{29263E9D-BA91-4D8E-9BC0-75A4D0A313D3}"/>
    <cellStyle name="Comma 6 3 2 4 2 2" xfId="10113" xr:uid="{99C41AE4-576A-457F-B59E-B6D0C555BC8E}"/>
    <cellStyle name="Comma 6 3 2 4 3" xfId="7303" xr:uid="{C3618404-8A2A-4586-B4F6-DC2EC32CDDA3}"/>
    <cellStyle name="Comma 6 3 2 5" xfId="3076" xr:uid="{AC4F0A29-346E-453A-B69D-CF679A70FDFB}"/>
    <cellStyle name="Comma 6 3 2 5 2" xfId="8712" xr:uid="{2535E71B-CBF6-44FF-A61B-1482AD1479D0}"/>
    <cellStyle name="Comma 6 3 2 6" xfId="5902" xr:uid="{2CA48076-A536-461F-89D3-D04B0130BAA6}"/>
    <cellStyle name="Comma 6 3 3" xfId="438" xr:uid="{7ECA08B5-0AD8-42D6-87FF-B038900A4AAC}"/>
    <cellStyle name="Comma 6 3 3 2" xfId="1134" xr:uid="{3F8ABBC9-A4D1-46C6-A28A-2C28519C7A75}"/>
    <cellStyle name="Comma 6 3 3 2 2" xfId="2535" xr:uid="{C55D5BF7-37F9-4179-97C1-5CE3BC131ED9}"/>
    <cellStyle name="Comma 6 3 3 2 2 2" xfId="5345" xr:uid="{33E0C624-0317-4F47-BAEC-87ED292C86E1}"/>
    <cellStyle name="Comma 6 3 3 2 2 2 2" xfId="10981" xr:uid="{61B3E830-95CD-4CDA-BB65-F7696C748371}"/>
    <cellStyle name="Comma 6 3 3 2 2 3" xfId="8171" xr:uid="{9E5B1501-C626-42C0-95D1-9AEF32F59A43}"/>
    <cellStyle name="Comma 6 3 3 2 3" xfId="3944" xr:uid="{B9F1390E-588F-4E38-A468-628F7CE9381A}"/>
    <cellStyle name="Comma 6 3 3 2 3 2" xfId="9580" xr:uid="{E2858861-6ECE-4B91-85E3-8B0277074A83}"/>
    <cellStyle name="Comma 6 3 3 2 4" xfId="6770" xr:uid="{173E2EF9-DAB9-479E-B722-A9477F83DA72}"/>
    <cellStyle name="Comma 6 3 3 3" xfId="1839" xr:uid="{161C3459-A7CA-440B-BC96-7FF15C5B79AB}"/>
    <cellStyle name="Comma 6 3 3 3 2" xfId="4649" xr:uid="{F4A3F502-CDFF-49AC-BCAB-54B2C5F29F7F}"/>
    <cellStyle name="Comma 6 3 3 3 2 2" xfId="10285" xr:uid="{3FFC0742-3775-4445-A3C6-092209635822}"/>
    <cellStyle name="Comma 6 3 3 3 3" xfId="7475" xr:uid="{EB295378-476C-4AD7-9A24-F15421F8954E}"/>
    <cellStyle name="Comma 6 3 3 4" xfId="3248" xr:uid="{85AAC2E6-0A78-4192-A068-0981812DA15E}"/>
    <cellStyle name="Comma 6 3 3 4 2" xfId="8884" xr:uid="{C500DF4B-E8D2-4AA8-B162-E3E64C6C2290}"/>
    <cellStyle name="Comma 6 3 3 5" xfId="6074" xr:uid="{F8DC0780-8C81-4C7C-B5ED-F8FE9C391077}"/>
    <cellStyle name="Comma 6 3 4" xfId="790" xr:uid="{6D6CB09C-ED53-4C1A-A9C1-3CF65C136B7F}"/>
    <cellStyle name="Comma 6 3 4 2" xfId="2191" xr:uid="{C486B574-1CFB-4D58-BC6A-9D8FD8D5E99B}"/>
    <cellStyle name="Comma 6 3 4 2 2" xfId="5001" xr:uid="{BB02812E-9D2B-4769-BAA4-954F9CEE9329}"/>
    <cellStyle name="Comma 6 3 4 2 2 2" xfId="10637" xr:uid="{537C6153-B4F9-484D-B6AD-BDBD8200BF94}"/>
    <cellStyle name="Comma 6 3 4 2 3" xfId="7827" xr:uid="{EC4988A5-2B12-4FB7-8FDE-F89A98D87579}"/>
    <cellStyle name="Comma 6 3 4 3" xfId="3600" xr:uid="{4CD0CF97-8751-4FA7-86B4-C9A9611A26F2}"/>
    <cellStyle name="Comma 6 3 4 3 2" xfId="9236" xr:uid="{03314941-5577-49AC-95F2-DB36F1095930}"/>
    <cellStyle name="Comma 6 3 4 4" xfId="6426" xr:uid="{5182DB7B-17BF-459D-A62E-BF1F80974FBD}"/>
    <cellStyle name="Comma 6 3 5" xfId="1495" xr:uid="{9F20D636-406C-45A7-8FDA-52EA100E9E5F}"/>
    <cellStyle name="Comma 6 3 5 2" xfId="4305" xr:uid="{DE3D16FC-92DF-40E7-ADB9-E33FA8A217DD}"/>
    <cellStyle name="Comma 6 3 5 2 2" xfId="9941" xr:uid="{F1270644-84E4-4B19-BDDE-B2098475C9CC}"/>
    <cellStyle name="Comma 6 3 5 3" xfId="7131" xr:uid="{B0B077A0-86A0-44A8-8093-D5CC5B3CF2BA}"/>
    <cellStyle name="Comma 6 3 6" xfId="2904" xr:uid="{79149312-0A5D-4B2C-939C-1DC7F970AC20}"/>
    <cellStyle name="Comma 6 3 6 2" xfId="8540" xr:uid="{E91F090E-6E6C-4FB0-A99C-A7F2F23246DB}"/>
    <cellStyle name="Comma 6 3 7" xfId="5730" xr:uid="{B63BD5B7-46FB-4AEE-802E-44C5D94487F7}"/>
    <cellStyle name="Comma 6 4" xfId="186" xr:uid="{2DAAFD07-97E2-43E5-BD7A-A1A1AE59D408}"/>
    <cellStyle name="Comma 6 4 2" xfId="530" xr:uid="{FCB7D46E-93D0-4CE4-9B44-32C142CD435C}"/>
    <cellStyle name="Comma 6 4 2 2" xfId="1226" xr:uid="{291EFFBC-2ED3-4CA4-9479-D50DC8B29C63}"/>
    <cellStyle name="Comma 6 4 2 2 2" xfId="2627" xr:uid="{69410B30-E5DC-472A-A11B-559C4CA2765A}"/>
    <cellStyle name="Comma 6 4 2 2 2 2" xfId="5437" xr:uid="{3EB35F74-86F0-4D3A-BD1B-BC1C7A499383}"/>
    <cellStyle name="Comma 6 4 2 2 2 2 2" xfId="11073" xr:uid="{0299A1BA-333D-4371-8195-E2E0D6CF4784}"/>
    <cellStyle name="Comma 6 4 2 2 2 3" xfId="8263" xr:uid="{A564262A-884C-4C88-9FD7-8A534917CA14}"/>
    <cellStyle name="Comma 6 4 2 2 3" xfId="4036" xr:uid="{7DF9EEF3-A222-4E87-8ED7-59A7B05703F9}"/>
    <cellStyle name="Comma 6 4 2 2 3 2" xfId="9672" xr:uid="{9A3DB2CC-740B-474D-95F5-47888F65C0DB}"/>
    <cellStyle name="Comma 6 4 2 2 4" xfId="6862" xr:uid="{BA308745-C42D-4AFC-9D34-B5E3CE9B468E}"/>
    <cellStyle name="Comma 6 4 2 3" xfId="1931" xr:uid="{9036597B-DCFA-43D5-AC3C-F99B79991BD7}"/>
    <cellStyle name="Comma 6 4 2 3 2" xfId="4741" xr:uid="{BE26B5FD-B227-4936-B57E-BC5EF95BA380}"/>
    <cellStyle name="Comma 6 4 2 3 2 2" xfId="10377" xr:uid="{66A5A811-E6F7-4E10-AF07-CC9425AF2840}"/>
    <cellStyle name="Comma 6 4 2 3 3" xfId="7567" xr:uid="{85856F5E-3A19-4DFA-8611-E254023E2B35}"/>
    <cellStyle name="Comma 6 4 2 4" xfId="3340" xr:uid="{7685E437-B94B-4185-A470-B31B23139E42}"/>
    <cellStyle name="Comma 6 4 2 4 2" xfId="8976" xr:uid="{0F77F1AC-7D41-4D99-ABED-42B4F3E4ADD0}"/>
    <cellStyle name="Comma 6 4 2 5" xfId="6166" xr:uid="{8F0F9F51-EFCC-4F1D-A4B8-C7749ADD9325}"/>
    <cellStyle name="Comma 6 4 3" xfId="882" xr:uid="{606331BB-DE02-4B18-9670-DDD6C4FC6060}"/>
    <cellStyle name="Comma 6 4 3 2" xfId="2283" xr:uid="{0706EEC7-BE4F-464C-8DF4-EF0D3A28F82F}"/>
    <cellStyle name="Comma 6 4 3 2 2" xfId="5093" xr:uid="{0DCBFA8C-C4A9-4391-9E86-4A5F47CA2D0A}"/>
    <cellStyle name="Comma 6 4 3 2 2 2" xfId="10729" xr:uid="{A9E73140-74E1-4E2B-A59E-A31E436AB4F7}"/>
    <cellStyle name="Comma 6 4 3 2 3" xfId="7919" xr:uid="{56882B65-3F0A-4827-9311-EF5DF954C193}"/>
    <cellStyle name="Comma 6 4 3 3" xfId="3692" xr:uid="{453CBF46-1057-4EF0-8634-39997C2B2784}"/>
    <cellStyle name="Comma 6 4 3 3 2" xfId="9328" xr:uid="{FD35C75C-3C15-4377-9C43-BE78D6C6F866}"/>
    <cellStyle name="Comma 6 4 3 4" xfId="6518" xr:uid="{AD9ECC39-CCAA-43D5-9F1E-421503C7AB66}"/>
    <cellStyle name="Comma 6 4 4" xfId="1587" xr:uid="{2D2BDBB3-C540-4F44-9BA0-8E50F127F40A}"/>
    <cellStyle name="Comma 6 4 4 2" xfId="4397" xr:uid="{CE56E2D6-0D08-4B8A-A817-476D69625C5F}"/>
    <cellStyle name="Comma 6 4 4 2 2" xfId="10033" xr:uid="{4A85B8D2-5D30-4889-93D5-B2FA1C4C02ED}"/>
    <cellStyle name="Comma 6 4 4 3" xfId="7223" xr:uid="{A0ED112A-CEAC-43FC-B1D4-405F7FFE19AB}"/>
    <cellStyle name="Comma 6 4 5" xfId="2996" xr:uid="{5B4917CD-88EC-4CD6-A252-5F3AF6748757}"/>
    <cellStyle name="Comma 6 4 5 2" xfId="8632" xr:uid="{19AD6E31-6F63-4D6D-B90C-B12FAA008322}"/>
    <cellStyle name="Comma 6 4 6" xfId="5822" xr:uid="{DF365FA0-B734-4FF7-BB6C-5E74B2FBCE81}"/>
    <cellStyle name="Comma 6 5" xfId="358" xr:uid="{9C1D325A-985C-4654-8750-7845540E97C0}"/>
    <cellStyle name="Comma 6 5 2" xfId="1054" xr:uid="{A66B89B0-84FD-40B1-A87E-C91EC3FC7B50}"/>
    <cellStyle name="Comma 6 5 2 2" xfId="2455" xr:uid="{CF6C2A52-EA99-47F8-9D76-553EBF8EBF41}"/>
    <cellStyle name="Comma 6 5 2 2 2" xfId="5265" xr:uid="{22B77F68-AE1A-4808-B6E9-996E6107513B}"/>
    <cellStyle name="Comma 6 5 2 2 2 2" xfId="10901" xr:uid="{890811ED-6444-47B0-A94B-38425DC4C3C5}"/>
    <cellStyle name="Comma 6 5 2 2 3" xfId="8091" xr:uid="{B43AC573-CF33-4809-91D4-957441D3A197}"/>
    <cellStyle name="Comma 6 5 2 3" xfId="3864" xr:uid="{CF7D0989-9126-429A-A5B7-680FFBFD534C}"/>
    <cellStyle name="Comma 6 5 2 3 2" xfId="9500" xr:uid="{64A25715-0E26-4B21-B3FA-0346E19EF117}"/>
    <cellStyle name="Comma 6 5 2 4" xfId="6690" xr:uid="{A65F1D60-5697-44E9-83C8-39FA708DB9B3}"/>
    <cellStyle name="Comma 6 5 3" xfId="1759" xr:uid="{323AC17A-F068-4777-9D70-CAF296E88942}"/>
    <cellStyle name="Comma 6 5 3 2" xfId="4569" xr:uid="{9230478A-6320-4455-8D9F-10AFBF8F262D}"/>
    <cellStyle name="Comma 6 5 3 2 2" xfId="10205" xr:uid="{AB31224A-20B6-4D92-B729-7AD8BD5BFEF1}"/>
    <cellStyle name="Comma 6 5 3 3" xfId="7395" xr:uid="{3695B771-2283-4DBB-B0ED-F74FE48D0789}"/>
    <cellStyle name="Comma 6 5 4" xfId="3168" xr:uid="{4851CF58-1D6B-422C-AFC7-24B705321075}"/>
    <cellStyle name="Comma 6 5 4 2" xfId="8804" xr:uid="{AB0D0C55-2990-4045-B83F-B296B5CC5CCC}"/>
    <cellStyle name="Comma 6 5 5" xfId="5994" xr:uid="{9CEAA3FF-9BB6-40B0-9533-12E40475359B}"/>
    <cellStyle name="Comma 6 6" xfId="710" xr:uid="{4D06560E-CBC8-41DA-B2B0-FBFC91E32605}"/>
    <cellStyle name="Comma 6 6 2" xfId="2111" xr:uid="{85268EC4-DE16-41B7-803A-82D5B1DC1918}"/>
    <cellStyle name="Comma 6 6 2 2" xfId="4921" xr:uid="{D2D392EE-88D6-46F2-AEE4-11E8E51534BA}"/>
    <cellStyle name="Comma 6 6 2 2 2" xfId="10557" xr:uid="{50135832-CDBE-47BD-B9E0-CD81A5B0B044}"/>
    <cellStyle name="Comma 6 6 2 3" xfId="7747" xr:uid="{4AB463A5-ED08-4C51-82ED-72F8CE874200}"/>
    <cellStyle name="Comma 6 6 3" xfId="3520" xr:uid="{0ABB644C-82A8-4F42-8BC4-ACE422F68542}"/>
    <cellStyle name="Comma 6 6 3 2" xfId="9156" xr:uid="{AED7E350-291C-40D3-AC57-092BF615D65B}"/>
    <cellStyle name="Comma 6 6 4" xfId="6346" xr:uid="{366839C5-49C2-492A-A752-CCBBA43B91BC}"/>
    <cellStyle name="Comma 6 7" xfId="1415" xr:uid="{68CF488B-2B13-4F45-A2C8-08CBF73F40FE}"/>
    <cellStyle name="Comma 6 7 2" xfId="4225" xr:uid="{54F9C81F-241F-49AC-8DA5-E142BB191389}"/>
    <cellStyle name="Comma 6 7 2 2" xfId="9861" xr:uid="{CF1B7F08-49B6-414D-A0C7-3104727BE382}"/>
    <cellStyle name="Comma 6 7 3" xfId="7051" xr:uid="{A7374510-FA7D-4888-8F05-AF42C2EBBF48}"/>
    <cellStyle name="Comma 6 8" xfId="2824" xr:uid="{CF0F788A-BE44-4249-BB6D-CEDD7B6DE65D}"/>
    <cellStyle name="Comma 6 8 2" xfId="8460" xr:uid="{C4EE0992-B853-4331-B25D-06AC12C84A63}"/>
    <cellStyle name="Comma 6 9" xfId="5650" xr:uid="{B6A898A3-C31D-4C5A-8A04-D3542FA1E2B9}"/>
    <cellStyle name="Comma 7" xfId="27" xr:uid="{AC45581C-9BBA-482D-AAA3-C67EAC6221C0}"/>
    <cellStyle name="Comma 7 2" xfId="59" xr:uid="{F40DA749-4763-4D92-ABE8-80A8397DB96B}"/>
    <cellStyle name="Comma 7 2 2" xfId="139" xr:uid="{EE6F00D3-F2E7-4F41-BBA3-94492AAD7A4D}"/>
    <cellStyle name="Comma 7 2 2 2" xfId="311" xr:uid="{761B0E29-1DBE-4F83-B3DB-4A92ACE375DB}"/>
    <cellStyle name="Comma 7 2 2 2 2" xfId="655" xr:uid="{AA231700-8445-4DC6-9362-4DF8223AF3FA}"/>
    <cellStyle name="Comma 7 2 2 2 2 2" xfId="1351" xr:uid="{4093C4A2-FFAF-4193-848E-091F226F1E60}"/>
    <cellStyle name="Comma 7 2 2 2 2 2 2" xfId="2752" xr:uid="{B4569AC1-7DA2-44A4-AE02-0AFCC88D2E70}"/>
    <cellStyle name="Comma 7 2 2 2 2 2 2 2" xfId="5562" xr:uid="{BBC26298-ECFC-43D0-9C1D-27899F569397}"/>
    <cellStyle name="Comma 7 2 2 2 2 2 2 2 2" xfId="11198" xr:uid="{625DB8DA-C2B0-4C14-9CFE-6DDF6E7E3D8E}"/>
    <cellStyle name="Comma 7 2 2 2 2 2 2 3" xfId="8388" xr:uid="{6E747E83-8CEB-4BFA-98C3-A0E7EC65C38F}"/>
    <cellStyle name="Comma 7 2 2 2 2 2 3" xfId="4161" xr:uid="{B954033C-AE99-491A-BF3D-E399F7B9DA06}"/>
    <cellStyle name="Comma 7 2 2 2 2 2 3 2" xfId="9797" xr:uid="{DA95840F-2F39-43D8-B775-C5DE28C138C8}"/>
    <cellStyle name="Comma 7 2 2 2 2 2 4" xfId="6987" xr:uid="{07CE3D5A-136E-40C8-B40A-A1FDD59E4156}"/>
    <cellStyle name="Comma 7 2 2 2 2 3" xfId="2056" xr:uid="{9307B5F0-33DA-46A7-98DB-CCA93D69F352}"/>
    <cellStyle name="Comma 7 2 2 2 2 3 2" xfId="4866" xr:uid="{150506B9-2A5E-4903-B61E-178EF22E0AA6}"/>
    <cellStyle name="Comma 7 2 2 2 2 3 2 2" xfId="10502" xr:uid="{3EBC4D9F-8F83-4E84-BD24-FFB65A9108F8}"/>
    <cellStyle name="Comma 7 2 2 2 2 3 3" xfId="7692" xr:uid="{CFDAD2DF-DC73-4AC1-AD04-B565C28088F9}"/>
    <cellStyle name="Comma 7 2 2 2 2 4" xfId="3465" xr:uid="{754D6D09-7CC5-4957-8BD9-BF23DE245AC5}"/>
    <cellStyle name="Comma 7 2 2 2 2 4 2" xfId="9101" xr:uid="{5F1F3580-9D98-44E9-8C61-0DD718F323E6}"/>
    <cellStyle name="Comma 7 2 2 2 2 5" xfId="6291" xr:uid="{5BDCB7EC-1ADA-4B36-8309-4471658CF91B}"/>
    <cellStyle name="Comma 7 2 2 2 3" xfId="1007" xr:uid="{CA8DF230-1D1B-4021-A271-99DFBFEF4729}"/>
    <cellStyle name="Comma 7 2 2 2 3 2" xfId="2408" xr:uid="{791CA355-E6EB-4C18-887B-78A4F76BA858}"/>
    <cellStyle name="Comma 7 2 2 2 3 2 2" xfId="5218" xr:uid="{5DFCDD32-95F5-4648-B341-752EDCA69A02}"/>
    <cellStyle name="Comma 7 2 2 2 3 2 2 2" xfId="10854" xr:uid="{02A89880-6192-480E-A8C2-68F124762384}"/>
    <cellStyle name="Comma 7 2 2 2 3 2 3" xfId="8044" xr:uid="{013C12FB-1FAF-4F37-90E6-85188BAF3069}"/>
    <cellStyle name="Comma 7 2 2 2 3 3" xfId="3817" xr:uid="{2242C095-3D92-49A3-B0A0-E0BB474B802B}"/>
    <cellStyle name="Comma 7 2 2 2 3 3 2" xfId="9453" xr:uid="{64CB6BA0-CF17-461C-A9E9-BABC4E3B0FCC}"/>
    <cellStyle name="Comma 7 2 2 2 3 4" xfId="6643" xr:uid="{74A81265-FA19-4C20-9D4E-68090CD6C828}"/>
    <cellStyle name="Comma 7 2 2 2 4" xfId="1712" xr:uid="{769412C5-044B-4A01-BDB6-0687DD19F916}"/>
    <cellStyle name="Comma 7 2 2 2 4 2" xfId="4522" xr:uid="{49BB82E4-3808-4FB0-8EF2-452F153C5B78}"/>
    <cellStyle name="Comma 7 2 2 2 4 2 2" xfId="10158" xr:uid="{670D966F-1D76-46AD-8A99-869FFDC7886A}"/>
    <cellStyle name="Comma 7 2 2 2 4 3" xfId="7348" xr:uid="{B9DB7E45-60BF-4ABF-87D0-80D13E5E3ECA}"/>
    <cellStyle name="Comma 7 2 2 2 5" xfId="3121" xr:uid="{46D8C8B3-25B6-4420-829F-45E8E0056C3C}"/>
    <cellStyle name="Comma 7 2 2 2 5 2" xfId="8757" xr:uid="{F41E5BAB-86B6-4B45-A91C-9D7DC4FBBD0E}"/>
    <cellStyle name="Comma 7 2 2 2 6" xfId="5947" xr:uid="{5EFB2402-558E-452A-BFD9-9E627FC92D43}"/>
    <cellStyle name="Comma 7 2 2 3" xfId="483" xr:uid="{64294025-FC41-4B17-B3E1-F747D2751965}"/>
    <cellStyle name="Comma 7 2 2 3 2" xfId="1179" xr:uid="{DFF3C49B-8920-4990-B8BE-5F98D2AF923C}"/>
    <cellStyle name="Comma 7 2 2 3 2 2" xfId="2580" xr:uid="{B9119B9B-A8D2-452E-BB64-259E979C2A9A}"/>
    <cellStyle name="Comma 7 2 2 3 2 2 2" xfId="5390" xr:uid="{CB0BBF2C-9730-4E61-885C-5FD54EEB26AB}"/>
    <cellStyle name="Comma 7 2 2 3 2 2 2 2" xfId="11026" xr:uid="{7193337E-7ED5-4185-A1F5-2BA8EF84EA16}"/>
    <cellStyle name="Comma 7 2 2 3 2 2 3" xfId="8216" xr:uid="{EF9CAB21-4BDE-4AAB-AF09-7325ADBC4797}"/>
    <cellStyle name="Comma 7 2 2 3 2 3" xfId="3989" xr:uid="{CB3B6D51-8C80-4CFE-A5F9-D7AF5294B92C}"/>
    <cellStyle name="Comma 7 2 2 3 2 3 2" xfId="9625" xr:uid="{38E2AED1-AFC7-46F5-9635-31579365EADA}"/>
    <cellStyle name="Comma 7 2 2 3 2 4" xfId="6815" xr:uid="{95EABC6F-2D4F-4705-BAF9-8BDA9960E99E}"/>
    <cellStyle name="Comma 7 2 2 3 3" xfId="1884" xr:uid="{CEE2009D-E97C-4A03-9E63-29230C3A2ECA}"/>
    <cellStyle name="Comma 7 2 2 3 3 2" xfId="4694" xr:uid="{95358C37-AE99-436B-B0DF-C5252F359314}"/>
    <cellStyle name="Comma 7 2 2 3 3 2 2" xfId="10330" xr:uid="{473FB6EB-D7B8-485D-95E9-B4B5409B99E1}"/>
    <cellStyle name="Comma 7 2 2 3 3 3" xfId="7520" xr:uid="{C8EBDC7D-1686-4036-94C9-D64520BC3B6C}"/>
    <cellStyle name="Comma 7 2 2 3 4" xfId="3293" xr:uid="{3458E2A1-BB3B-4B99-9E2F-1DB90338F6B2}"/>
    <cellStyle name="Comma 7 2 2 3 4 2" xfId="8929" xr:uid="{0A799FA3-5114-47BE-9CC7-9DC04754797C}"/>
    <cellStyle name="Comma 7 2 2 3 5" xfId="6119" xr:uid="{1562F43C-7C70-459D-B8BA-498176E7C370}"/>
    <cellStyle name="Comma 7 2 2 4" xfId="835" xr:uid="{8AEFC86A-D0F4-48AC-B202-2421633E66E7}"/>
    <cellStyle name="Comma 7 2 2 4 2" xfId="2236" xr:uid="{EE6F8993-894E-4A3C-BA14-A6127B0EEE68}"/>
    <cellStyle name="Comma 7 2 2 4 2 2" xfId="5046" xr:uid="{DDA4A5E7-C841-4B7A-8688-3D5A997B09FF}"/>
    <cellStyle name="Comma 7 2 2 4 2 2 2" xfId="10682" xr:uid="{1E92CAD1-9BCC-46FD-A94C-1DD5B1EE83D9}"/>
    <cellStyle name="Comma 7 2 2 4 2 3" xfId="7872" xr:uid="{BCE1D59A-71F7-4768-90E4-E392DD25EEB6}"/>
    <cellStyle name="Comma 7 2 2 4 3" xfId="3645" xr:uid="{94F9B85F-BE7F-429D-8107-8E769E6C51B5}"/>
    <cellStyle name="Comma 7 2 2 4 3 2" xfId="9281" xr:uid="{8A600970-D9EB-4D8C-898E-EC33E5BDFBD0}"/>
    <cellStyle name="Comma 7 2 2 4 4" xfId="6471" xr:uid="{E8431D12-D4DB-41BD-A723-EC9B2EEA25E6}"/>
    <cellStyle name="Comma 7 2 2 5" xfId="1540" xr:uid="{8B5D52F6-B209-4E18-97ED-86CCD9F2C75A}"/>
    <cellStyle name="Comma 7 2 2 5 2" xfId="4350" xr:uid="{309808FD-0677-429B-B5DE-8C398EA0CF53}"/>
    <cellStyle name="Comma 7 2 2 5 2 2" xfId="9986" xr:uid="{0E14A3E0-2F1F-4A44-A7BD-C00530958AF1}"/>
    <cellStyle name="Comma 7 2 2 5 3" xfId="7176" xr:uid="{CCD5E14D-FC75-43FC-9380-CB1C0360C32F}"/>
    <cellStyle name="Comma 7 2 2 6" xfId="2949" xr:uid="{05BBCC15-F3EE-4424-BFF1-785CE9D31209}"/>
    <cellStyle name="Comma 7 2 2 6 2" xfId="8585" xr:uid="{30310697-14D9-403C-AE22-D48EA2170963}"/>
    <cellStyle name="Comma 7 2 2 7" xfId="5775" xr:uid="{174B9D08-17B1-49E3-B1C4-4748CC564469}"/>
    <cellStyle name="Comma 7 2 3" xfId="231" xr:uid="{038FF9DE-DC49-4EF7-8788-7EFBDFDB5400}"/>
    <cellStyle name="Comma 7 2 3 2" xfId="575" xr:uid="{A4803023-ACF1-491F-AFB6-CD1ED00A75F6}"/>
    <cellStyle name="Comma 7 2 3 2 2" xfId="1271" xr:uid="{D3309125-F23D-4682-A63C-F22FD30BFB19}"/>
    <cellStyle name="Comma 7 2 3 2 2 2" xfId="2672" xr:uid="{2FCF53AC-5BF3-404F-A279-02DE7E711285}"/>
    <cellStyle name="Comma 7 2 3 2 2 2 2" xfId="5482" xr:uid="{0D162064-648F-4CAB-86BB-D4B06A4F5121}"/>
    <cellStyle name="Comma 7 2 3 2 2 2 2 2" xfId="11118" xr:uid="{FCB49581-0E40-4335-9DBD-1776BCD4C595}"/>
    <cellStyle name="Comma 7 2 3 2 2 2 3" xfId="8308" xr:uid="{CB587DD0-0642-495E-8B3A-619E6211D80E}"/>
    <cellStyle name="Comma 7 2 3 2 2 3" xfId="4081" xr:uid="{8341D572-3403-4F55-86B6-2E72C03846EE}"/>
    <cellStyle name="Comma 7 2 3 2 2 3 2" xfId="9717" xr:uid="{637043E8-D4D2-43EC-AF0D-36555A55546C}"/>
    <cellStyle name="Comma 7 2 3 2 2 4" xfId="6907" xr:uid="{2B666634-A329-416E-96A4-9161DF98FDAF}"/>
    <cellStyle name="Comma 7 2 3 2 3" xfId="1976" xr:uid="{ABEC3437-C9A8-4755-856E-35E184B297F2}"/>
    <cellStyle name="Comma 7 2 3 2 3 2" xfId="4786" xr:uid="{E44A4527-9510-4D51-8C43-5564E5935614}"/>
    <cellStyle name="Comma 7 2 3 2 3 2 2" xfId="10422" xr:uid="{F5AB005E-A220-4F97-A8E0-7F18EE26355C}"/>
    <cellStyle name="Comma 7 2 3 2 3 3" xfId="7612" xr:uid="{5FD3EC5A-2E7A-4398-8D86-B1C404C87EE1}"/>
    <cellStyle name="Comma 7 2 3 2 4" xfId="3385" xr:uid="{7BB1D23A-3311-4D9D-8376-FF324DCC40FD}"/>
    <cellStyle name="Comma 7 2 3 2 4 2" xfId="9021" xr:uid="{1C8DBCDD-4146-4829-A0BC-2A03A5FC0229}"/>
    <cellStyle name="Comma 7 2 3 2 5" xfId="6211" xr:uid="{C6F106DD-531A-4327-A0E5-25264580D08A}"/>
    <cellStyle name="Comma 7 2 3 3" xfId="927" xr:uid="{6DEFD6D2-20C2-4409-A17B-8D55749B33B8}"/>
    <cellStyle name="Comma 7 2 3 3 2" xfId="2328" xr:uid="{1F0C6180-5462-4E25-BCBC-13F753E1E97C}"/>
    <cellStyle name="Comma 7 2 3 3 2 2" xfId="5138" xr:uid="{96B84DB9-4F52-4464-8FAD-6EF926A10CEC}"/>
    <cellStyle name="Comma 7 2 3 3 2 2 2" xfId="10774" xr:uid="{F2D5A770-BCD2-41D5-B2E9-D259F60F7DE1}"/>
    <cellStyle name="Comma 7 2 3 3 2 3" xfId="7964" xr:uid="{32536704-68F5-4974-AD9F-1996FA24DDFC}"/>
    <cellStyle name="Comma 7 2 3 3 3" xfId="3737" xr:uid="{FC454755-9DCD-463B-B8DA-D3D9FDB25E0B}"/>
    <cellStyle name="Comma 7 2 3 3 3 2" xfId="9373" xr:uid="{A6D4A625-5D4B-4376-9BD5-57A33B7779B2}"/>
    <cellStyle name="Comma 7 2 3 3 4" xfId="6563" xr:uid="{B7A78D84-4DD8-4A33-B23F-FA7BB041CAB9}"/>
    <cellStyle name="Comma 7 2 3 4" xfId="1632" xr:uid="{21850D0A-24A4-48D1-8A3F-B2F31F953B43}"/>
    <cellStyle name="Comma 7 2 3 4 2" xfId="4442" xr:uid="{E1D94BA9-4B90-4D8E-B91A-2416EBE64CB0}"/>
    <cellStyle name="Comma 7 2 3 4 2 2" xfId="10078" xr:uid="{DF56B890-74EF-423B-B851-9DA5AA9308BC}"/>
    <cellStyle name="Comma 7 2 3 4 3" xfId="7268" xr:uid="{84B6D031-2D01-4A77-B527-D557C024F019}"/>
    <cellStyle name="Comma 7 2 3 5" xfId="3041" xr:uid="{0367A95C-719B-4E5D-9981-444C96704A70}"/>
    <cellStyle name="Comma 7 2 3 5 2" xfId="8677" xr:uid="{B8DE48D8-0B14-419F-91E7-7687ABC647ED}"/>
    <cellStyle name="Comma 7 2 3 6" xfId="5867" xr:uid="{FB55AD5F-83E7-48A5-A7EF-64A33CD4399E}"/>
    <cellStyle name="Comma 7 2 4" xfId="403" xr:uid="{AB10DC8D-5595-43B5-B828-B8ADFA68E3F4}"/>
    <cellStyle name="Comma 7 2 4 2" xfId="1099" xr:uid="{116A4DDF-30AB-47FC-8B2F-E373108A698E}"/>
    <cellStyle name="Comma 7 2 4 2 2" xfId="2500" xr:uid="{A963A681-5ADA-4EA0-A6B7-DF2A581A3B5A}"/>
    <cellStyle name="Comma 7 2 4 2 2 2" xfId="5310" xr:uid="{023CC8BC-B3D8-4AA2-BB79-6CCD689726E8}"/>
    <cellStyle name="Comma 7 2 4 2 2 2 2" xfId="10946" xr:uid="{4914D9CD-89DB-4DAB-8108-24824B851601}"/>
    <cellStyle name="Comma 7 2 4 2 2 3" xfId="8136" xr:uid="{0AA045A1-917B-4573-B29C-A0E4B1725889}"/>
    <cellStyle name="Comma 7 2 4 2 3" xfId="3909" xr:uid="{DF2BF294-4C91-43DA-8822-7A561EBAA9D7}"/>
    <cellStyle name="Comma 7 2 4 2 3 2" xfId="9545" xr:uid="{60B08985-F98C-4116-95DC-A24F44800218}"/>
    <cellStyle name="Comma 7 2 4 2 4" xfId="6735" xr:uid="{977F6376-EF99-41ED-9FBD-473892236072}"/>
    <cellStyle name="Comma 7 2 4 3" xfId="1804" xr:uid="{DA6567E7-2038-40A8-A4A6-DDEA2CB13333}"/>
    <cellStyle name="Comma 7 2 4 3 2" xfId="4614" xr:uid="{A295AB40-7B45-4E4C-AD84-6C95AD6EA602}"/>
    <cellStyle name="Comma 7 2 4 3 2 2" xfId="10250" xr:uid="{AC6012BF-A0AC-4676-A24F-5564FE650FBA}"/>
    <cellStyle name="Comma 7 2 4 3 3" xfId="7440" xr:uid="{D73001F1-C578-417B-8AF6-8B0BDD4A601D}"/>
    <cellStyle name="Comma 7 2 4 4" xfId="3213" xr:uid="{57144C07-2650-418A-8C4B-16A5B9644AC6}"/>
    <cellStyle name="Comma 7 2 4 4 2" xfId="8849" xr:uid="{E8218C06-B22D-410C-9955-E39B48E20F72}"/>
    <cellStyle name="Comma 7 2 4 5" xfId="6039" xr:uid="{1DF25511-5937-42CA-96A8-CD8B08CD8294}"/>
    <cellStyle name="Comma 7 2 5" xfId="755" xr:uid="{9E3106ED-F068-4E6F-8225-687AD81D33C2}"/>
    <cellStyle name="Comma 7 2 5 2" xfId="2156" xr:uid="{73D12D7E-2139-4F4D-9D6F-0191FDD3F845}"/>
    <cellStyle name="Comma 7 2 5 2 2" xfId="4966" xr:uid="{759A4E73-6E92-4077-AA8A-9149F1F65DBA}"/>
    <cellStyle name="Comma 7 2 5 2 2 2" xfId="10602" xr:uid="{EC5EBA49-E3A5-4C65-978B-2B67E29D332F}"/>
    <cellStyle name="Comma 7 2 5 2 3" xfId="7792" xr:uid="{9AE805ED-81E3-46D4-BABE-7A1157E003D6}"/>
    <cellStyle name="Comma 7 2 5 3" xfId="3565" xr:uid="{C02DA98C-8D62-468D-97FF-9AF8345EC145}"/>
    <cellStyle name="Comma 7 2 5 3 2" xfId="9201" xr:uid="{E733AD93-63E0-417C-8855-CA0328FB9B8B}"/>
    <cellStyle name="Comma 7 2 5 4" xfId="6391" xr:uid="{1EF12842-6B33-414D-B620-130A05E03CA8}"/>
    <cellStyle name="Comma 7 2 6" xfId="1460" xr:uid="{3F3D8532-8877-43D0-BFD1-149034DB0191}"/>
    <cellStyle name="Comma 7 2 6 2" xfId="4270" xr:uid="{1BBF7FE6-4548-4172-AA73-41FD52975D1F}"/>
    <cellStyle name="Comma 7 2 6 2 2" xfId="9906" xr:uid="{5970501B-3D4F-49A6-AA0B-9DC1D053AB0A}"/>
    <cellStyle name="Comma 7 2 6 3" xfId="7096" xr:uid="{A38744DD-6CBC-4FBE-8A56-3A4B5F8E4D88}"/>
    <cellStyle name="Comma 7 2 7" xfId="2869" xr:uid="{C88DF768-B723-483F-BBB5-320235F407BA}"/>
    <cellStyle name="Comma 7 2 7 2" xfId="8505" xr:uid="{8F4FDD59-74A4-4EC6-9F0A-EEFA2CF510FB}"/>
    <cellStyle name="Comma 7 2 8" xfId="5695" xr:uid="{EDB84FF5-C7E8-4164-9F5D-C1B3F8BAF786}"/>
    <cellStyle name="Comma 7 3" xfId="107" xr:uid="{9F27518C-692C-4DA4-8A61-DD964751BE14}"/>
    <cellStyle name="Comma 7 3 2" xfId="279" xr:uid="{F4AD9901-4593-4455-8CD9-2D8358A152FF}"/>
    <cellStyle name="Comma 7 3 2 2" xfId="623" xr:uid="{E87E83F0-4469-4B3E-A229-2B2E684A6E4E}"/>
    <cellStyle name="Comma 7 3 2 2 2" xfId="1319" xr:uid="{0501C0F0-B94F-4661-ADC8-7EB0AF2AA81C}"/>
    <cellStyle name="Comma 7 3 2 2 2 2" xfId="2720" xr:uid="{79D0686C-3ECD-4C82-B41E-AC384148BE26}"/>
    <cellStyle name="Comma 7 3 2 2 2 2 2" xfId="5530" xr:uid="{D74314E9-1FFD-47D3-A8EB-DCA0E0424A24}"/>
    <cellStyle name="Comma 7 3 2 2 2 2 2 2" xfId="11166" xr:uid="{AC337F26-F5A1-4B90-9CE0-8C75A8B66BFB}"/>
    <cellStyle name="Comma 7 3 2 2 2 2 3" xfId="8356" xr:uid="{8B0328B7-B9F8-4F73-8286-5D7519BDC35C}"/>
    <cellStyle name="Comma 7 3 2 2 2 3" xfId="4129" xr:uid="{42974EB2-5079-42F9-9FC6-CC27734F20FE}"/>
    <cellStyle name="Comma 7 3 2 2 2 3 2" xfId="9765" xr:uid="{06F9CD9E-196F-4C0C-A858-8B3FCB8BD488}"/>
    <cellStyle name="Comma 7 3 2 2 2 4" xfId="6955" xr:uid="{30724AEE-A7F4-4BAC-A185-92067AE800B4}"/>
    <cellStyle name="Comma 7 3 2 2 3" xfId="2024" xr:uid="{197DD615-091F-4BC3-8DC5-6498B56583E4}"/>
    <cellStyle name="Comma 7 3 2 2 3 2" xfId="4834" xr:uid="{F1E07593-9D87-4EFB-A482-CB97F7D9A06E}"/>
    <cellStyle name="Comma 7 3 2 2 3 2 2" xfId="10470" xr:uid="{219D2997-7636-434D-BEBC-D6E2D71C1248}"/>
    <cellStyle name="Comma 7 3 2 2 3 3" xfId="7660" xr:uid="{D2037F12-63F3-4CDD-BC93-739CD676B2F9}"/>
    <cellStyle name="Comma 7 3 2 2 4" xfId="3433" xr:uid="{4BE54621-81BD-4A76-B7FB-B11B1A98E2A5}"/>
    <cellStyle name="Comma 7 3 2 2 4 2" xfId="9069" xr:uid="{5CEDF231-45CB-4E7F-B077-BF3DFC16A8AB}"/>
    <cellStyle name="Comma 7 3 2 2 5" xfId="6259" xr:uid="{F193735C-8407-4170-871E-7BB2793A890E}"/>
    <cellStyle name="Comma 7 3 2 3" xfId="975" xr:uid="{31E71931-7D39-40BA-A4AA-F36465C56860}"/>
    <cellStyle name="Comma 7 3 2 3 2" xfId="2376" xr:uid="{EDFF6D96-80A5-4F27-BBD3-8AF445259C03}"/>
    <cellStyle name="Comma 7 3 2 3 2 2" xfId="5186" xr:uid="{8A995E0E-C8D6-4969-B820-A1411819B45D}"/>
    <cellStyle name="Comma 7 3 2 3 2 2 2" xfId="10822" xr:uid="{76D416DC-420A-416D-AF9C-899CF7316D67}"/>
    <cellStyle name="Comma 7 3 2 3 2 3" xfId="8012" xr:uid="{A8AF0117-ADA9-4AFB-9755-D184FFB88BAD}"/>
    <cellStyle name="Comma 7 3 2 3 3" xfId="3785" xr:uid="{CCF8D0BB-1053-41C8-A760-6A3A0D21D9B6}"/>
    <cellStyle name="Comma 7 3 2 3 3 2" xfId="9421" xr:uid="{9FBA0B42-DA4B-4338-8AC8-87E932FC1FAA}"/>
    <cellStyle name="Comma 7 3 2 3 4" xfId="6611" xr:uid="{B289F13D-2361-4901-97D4-04590716463E}"/>
    <cellStyle name="Comma 7 3 2 4" xfId="1680" xr:uid="{D1832DCF-E4E6-4BF6-9B95-144AF0CF6C50}"/>
    <cellStyle name="Comma 7 3 2 4 2" xfId="4490" xr:uid="{6E571FA3-A16D-4395-BFB8-3B8BFD7E85E1}"/>
    <cellStyle name="Comma 7 3 2 4 2 2" xfId="10126" xr:uid="{4F9AC3D6-0CE1-4F6F-B266-AF835D303761}"/>
    <cellStyle name="Comma 7 3 2 4 3" xfId="7316" xr:uid="{3ADBE07F-5F97-47FD-9152-AC2C70FB9ED4}"/>
    <cellStyle name="Comma 7 3 2 5" xfId="3089" xr:uid="{9CE18FCC-9E94-40D9-8D12-CFFD97904E11}"/>
    <cellStyle name="Comma 7 3 2 5 2" xfId="8725" xr:uid="{E1031FEA-02B5-4357-B99A-19525BAE013D}"/>
    <cellStyle name="Comma 7 3 2 6" xfId="5915" xr:uid="{F36EDF87-553C-4D34-9C5B-1E222C512C5E}"/>
    <cellStyle name="Comma 7 3 3" xfId="451" xr:uid="{F62CEBE7-A63D-4729-B454-CE38FBF13F1E}"/>
    <cellStyle name="Comma 7 3 3 2" xfId="1147" xr:uid="{B17025AB-65B0-4D72-BCBF-040952BBC34A}"/>
    <cellStyle name="Comma 7 3 3 2 2" xfId="2548" xr:uid="{A2671043-D040-4E01-AD62-5602BD5FA1BC}"/>
    <cellStyle name="Comma 7 3 3 2 2 2" xfId="5358" xr:uid="{D5F4721F-CB4D-44F4-920C-75DB7789442A}"/>
    <cellStyle name="Comma 7 3 3 2 2 2 2" xfId="10994" xr:uid="{29DB6E2A-E861-481E-8B5E-C5D6B3E92A4F}"/>
    <cellStyle name="Comma 7 3 3 2 2 3" xfId="8184" xr:uid="{55FF5DFA-F360-4E68-A806-83FED1780AC5}"/>
    <cellStyle name="Comma 7 3 3 2 3" xfId="3957" xr:uid="{52ABB99D-4D44-417D-AFED-050AFB53EE54}"/>
    <cellStyle name="Comma 7 3 3 2 3 2" xfId="9593" xr:uid="{1703B1D3-C61E-432E-B470-601C8DA94E49}"/>
    <cellStyle name="Comma 7 3 3 2 4" xfId="6783" xr:uid="{5300EBB2-D35E-456F-89B0-301EBF8358E8}"/>
    <cellStyle name="Comma 7 3 3 3" xfId="1852" xr:uid="{402C75DB-CFA9-4F7B-967E-0A52A02C0B8E}"/>
    <cellStyle name="Comma 7 3 3 3 2" xfId="4662" xr:uid="{F42BDA26-32AD-4D70-99DD-816C51BA8220}"/>
    <cellStyle name="Comma 7 3 3 3 2 2" xfId="10298" xr:uid="{75F0548F-B644-488C-A1E1-1503E7AD3EE4}"/>
    <cellStyle name="Comma 7 3 3 3 3" xfId="7488" xr:uid="{D5D2D323-8DA9-430E-B96B-ABEFEF4180B8}"/>
    <cellStyle name="Comma 7 3 3 4" xfId="3261" xr:uid="{AC0944C8-B470-4CF6-A8CC-AFA7EAACD1C7}"/>
    <cellStyle name="Comma 7 3 3 4 2" xfId="8897" xr:uid="{72474C46-510E-4BFB-8054-C94D3D86AA54}"/>
    <cellStyle name="Comma 7 3 3 5" xfId="6087" xr:uid="{AEB43343-03CA-4E67-988F-ACC8D22A540D}"/>
    <cellStyle name="Comma 7 3 4" xfId="803" xr:uid="{35C258C1-905B-482E-A85E-158DE8B1024B}"/>
    <cellStyle name="Comma 7 3 4 2" xfId="2204" xr:uid="{4FA61F61-B175-4459-A126-5246065F04A0}"/>
    <cellStyle name="Comma 7 3 4 2 2" xfId="5014" xr:uid="{2673E8CA-2661-456A-B290-85B3392691A6}"/>
    <cellStyle name="Comma 7 3 4 2 2 2" xfId="10650" xr:uid="{ED1A5B7A-E89F-4B51-87B3-6FC384208F4F}"/>
    <cellStyle name="Comma 7 3 4 2 3" xfId="7840" xr:uid="{9FE06F16-28DC-4857-9C4F-CD55F0A0B0E1}"/>
    <cellStyle name="Comma 7 3 4 3" xfId="3613" xr:uid="{6D3D8170-DCF4-4808-8DDB-509FE95F6889}"/>
    <cellStyle name="Comma 7 3 4 3 2" xfId="9249" xr:uid="{8A6E34E4-3808-4F16-9C4B-84C3741C01A0}"/>
    <cellStyle name="Comma 7 3 4 4" xfId="6439" xr:uid="{427C3827-1B3F-4BF5-B147-DA15F76473FA}"/>
    <cellStyle name="Comma 7 3 5" xfId="1508" xr:uid="{8A666F3B-DED8-4095-B62B-D75BCF3AC35F}"/>
    <cellStyle name="Comma 7 3 5 2" xfId="4318" xr:uid="{3562B66D-012F-4A8C-B13E-EC255033A73C}"/>
    <cellStyle name="Comma 7 3 5 2 2" xfId="9954" xr:uid="{B7FE12C2-EBB5-42D7-82F8-1421230090B5}"/>
    <cellStyle name="Comma 7 3 5 3" xfId="7144" xr:uid="{6C323587-F4D0-4710-9F8D-27C005B1AB55}"/>
    <cellStyle name="Comma 7 3 6" xfId="2917" xr:uid="{4459E339-DC9C-483F-9C5F-1049EC0FC87E}"/>
    <cellStyle name="Comma 7 3 6 2" xfId="8553" xr:uid="{79D4FCFC-B0B9-43A7-8810-92C9111CB613}"/>
    <cellStyle name="Comma 7 3 7" xfId="5743" xr:uid="{ED6A6587-BA8F-4903-9A76-6BA63C04419C}"/>
    <cellStyle name="Comma 7 4" xfId="199" xr:uid="{2E33224D-64C5-49AB-AD98-7D339CD7486A}"/>
    <cellStyle name="Comma 7 4 2" xfId="543" xr:uid="{E50324DF-169A-4211-9DDF-284BBE788F8D}"/>
    <cellStyle name="Comma 7 4 2 2" xfId="1239" xr:uid="{8FB3B136-F6EF-409F-91A9-DF61F58501E8}"/>
    <cellStyle name="Comma 7 4 2 2 2" xfId="2640" xr:uid="{AA5169D6-3FD5-4677-A494-13CDCDB492EB}"/>
    <cellStyle name="Comma 7 4 2 2 2 2" xfId="5450" xr:uid="{95330285-9738-4833-9D6B-126CFA54FC4E}"/>
    <cellStyle name="Comma 7 4 2 2 2 2 2" xfId="11086" xr:uid="{36460698-1584-4A11-9417-33C001050004}"/>
    <cellStyle name="Comma 7 4 2 2 2 3" xfId="8276" xr:uid="{593CB703-CCC0-474B-BE8B-C0A12B82052D}"/>
    <cellStyle name="Comma 7 4 2 2 3" xfId="4049" xr:uid="{98BDB65E-EAC5-420E-B7FD-238270A79DB4}"/>
    <cellStyle name="Comma 7 4 2 2 3 2" xfId="9685" xr:uid="{3822D14C-2750-4C7C-A9D0-32389F9A3C27}"/>
    <cellStyle name="Comma 7 4 2 2 4" xfId="6875" xr:uid="{C9579A2A-4BE9-4D02-88F8-5485B05ECFB5}"/>
    <cellStyle name="Comma 7 4 2 3" xfId="1944" xr:uid="{A18A7D37-F860-4107-9388-22C10EE7F206}"/>
    <cellStyle name="Comma 7 4 2 3 2" xfId="4754" xr:uid="{9A5F2821-A726-4626-B446-DFDECAA12B75}"/>
    <cellStyle name="Comma 7 4 2 3 2 2" xfId="10390" xr:uid="{022D9570-87B5-4320-B8D4-4CE5259924C5}"/>
    <cellStyle name="Comma 7 4 2 3 3" xfId="7580" xr:uid="{13D989E2-96F2-4218-8B90-C15969742EA1}"/>
    <cellStyle name="Comma 7 4 2 4" xfId="3353" xr:uid="{DE9E979B-6745-49BB-B3D5-0BA9C795C46B}"/>
    <cellStyle name="Comma 7 4 2 4 2" xfId="8989" xr:uid="{3A63180D-DE52-4BF4-9DFF-8442D62D086B}"/>
    <cellStyle name="Comma 7 4 2 5" xfId="6179" xr:uid="{4CA8D92E-FE59-44B0-946C-E1FFA5D51CAF}"/>
    <cellStyle name="Comma 7 4 3" xfId="895" xr:uid="{1B8A8599-3D8D-418E-9DEE-980CA54F7FE7}"/>
    <cellStyle name="Comma 7 4 3 2" xfId="2296" xr:uid="{423687A2-35E7-4C88-AEF9-EA22E9F5C8DC}"/>
    <cellStyle name="Comma 7 4 3 2 2" xfId="5106" xr:uid="{31EEF869-5FA1-447D-8A98-B11164524125}"/>
    <cellStyle name="Comma 7 4 3 2 2 2" xfId="10742" xr:uid="{614922CE-1981-4B89-BE91-ECBEC4264F58}"/>
    <cellStyle name="Comma 7 4 3 2 3" xfId="7932" xr:uid="{A4088009-7AF3-4564-BDDD-B1AE61E28B16}"/>
    <cellStyle name="Comma 7 4 3 3" xfId="3705" xr:uid="{1B9CD27B-6B86-474B-B492-741960608347}"/>
    <cellStyle name="Comma 7 4 3 3 2" xfId="9341" xr:uid="{82ABF498-2DC2-49F5-810D-E0F8767239E7}"/>
    <cellStyle name="Comma 7 4 3 4" xfId="6531" xr:uid="{9ECA3214-E130-46F7-9DB5-1F34B0B49BE6}"/>
    <cellStyle name="Comma 7 4 4" xfId="1600" xr:uid="{3BC990CE-AD0E-48D1-8771-390E9AFF49A6}"/>
    <cellStyle name="Comma 7 4 4 2" xfId="4410" xr:uid="{578BA6E4-5CBD-4A8B-B8E7-51625010A956}"/>
    <cellStyle name="Comma 7 4 4 2 2" xfId="10046" xr:uid="{F7E64C61-9175-47B4-8653-919B2F331028}"/>
    <cellStyle name="Comma 7 4 4 3" xfId="7236" xr:uid="{6B021C55-1B97-47FC-99CE-77B2A6258716}"/>
    <cellStyle name="Comma 7 4 5" xfId="3009" xr:uid="{4DE5374E-9D11-41AA-A592-EB104E1FA9D0}"/>
    <cellStyle name="Comma 7 4 5 2" xfId="8645" xr:uid="{FCF69A82-5784-4F10-83FA-34D9902A7B69}"/>
    <cellStyle name="Comma 7 4 6" xfId="5835" xr:uid="{89616E49-000D-4C58-A16A-48FF853CEEB3}"/>
    <cellStyle name="Comma 7 5" xfId="371" xr:uid="{270323E7-62DA-4534-94C2-28C69B5B5BCD}"/>
    <cellStyle name="Comma 7 5 2" xfId="1067" xr:uid="{DDE20D5F-C14D-47E4-99D0-0A4570F1742B}"/>
    <cellStyle name="Comma 7 5 2 2" xfId="2468" xr:uid="{2A25EAF7-CC9B-4B67-8109-15F5C336FCE3}"/>
    <cellStyle name="Comma 7 5 2 2 2" xfId="5278" xr:uid="{1DB8485F-5BD2-498E-AFAB-DE723ACFCDDB}"/>
    <cellStyle name="Comma 7 5 2 2 2 2" xfId="10914" xr:uid="{DEE5B38D-C3D3-458E-B8F5-037D8DFBC9E6}"/>
    <cellStyle name="Comma 7 5 2 2 3" xfId="8104" xr:uid="{23DE4F9F-2050-418A-A459-255BE7243F57}"/>
    <cellStyle name="Comma 7 5 2 3" xfId="3877" xr:uid="{8B5662EB-77FE-4053-8C9A-8C54850329A8}"/>
    <cellStyle name="Comma 7 5 2 3 2" xfId="9513" xr:uid="{26EA9384-A17A-41AB-A607-6DF18D92AA98}"/>
    <cellStyle name="Comma 7 5 2 4" xfId="6703" xr:uid="{D7C11FEB-5919-4303-81FA-CF03077CD6B4}"/>
    <cellStyle name="Comma 7 5 3" xfId="1772" xr:uid="{0B7E3BFE-5CFF-47B0-B627-82FEAF4198FA}"/>
    <cellStyle name="Comma 7 5 3 2" xfId="4582" xr:uid="{1971A58C-2EB0-4E2C-91EE-9A88A2C14F16}"/>
    <cellStyle name="Comma 7 5 3 2 2" xfId="10218" xr:uid="{74C88934-89EE-4F39-B5BA-E122D810AC3E}"/>
    <cellStyle name="Comma 7 5 3 3" xfId="7408" xr:uid="{0BA4EB1E-8C4E-4B98-9D69-49AE7C66A1E0}"/>
    <cellStyle name="Comma 7 5 4" xfId="3181" xr:uid="{87D6E30C-29AF-48DB-8D1F-F9ADBC00DCF7}"/>
    <cellStyle name="Comma 7 5 4 2" xfId="8817" xr:uid="{75DECF49-93C8-4D67-83E5-6608A4F90398}"/>
    <cellStyle name="Comma 7 5 5" xfId="6007" xr:uid="{8DBE28F4-3F89-4BC3-9458-137DAEC7CD32}"/>
    <cellStyle name="Comma 7 6" xfId="723" xr:uid="{02E61CDA-4E67-4564-B724-26CF8B2E9622}"/>
    <cellStyle name="Comma 7 6 2" xfId="2124" xr:uid="{3050A14B-A0E0-4F92-9E8C-A4807C069ACE}"/>
    <cellStyle name="Comma 7 6 2 2" xfId="4934" xr:uid="{513ACDF2-B0CF-4713-BBFB-5B063A605CCE}"/>
    <cellStyle name="Comma 7 6 2 2 2" xfId="10570" xr:uid="{81A02B42-B9FD-48FC-AA30-502774858229}"/>
    <cellStyle name="Comma 7 6 2 3" xfId="7760" xr:uid="{60F8D84E-C1A6-48E8-8763-018EC074BAFC}"/>
    <cellStyle name="Comma 7 6 3" xfId="3533" xr:uid="{4B8CE717-F3A7-4F49-8BCD-987174666C16}"/>
    <cellStyle name="Comma 7 6 3 2" xfId="9169" xr:uid="{234E7042-B407-4C2C-9BF6-FA84D2505F12}"/>
    <cellStyle name="Comma 7 6 4" xfId="6359" xr:uid="{8791AD55-2DFF-40A1-B173-DDBA686200E8}"/>
    <cellStyle name="Comma 7 7" xfId="1428" xr:uid="{33447E50-FA6A-4548-8EA1-8F319DFFA0F6}"/>
    <cellStyle name="Comma 7 7 2" xfId="4238" xr:uid="{CBA05C2F-2F65-4BCE-A577-FB3B170C7363}"/>
    <cellStyle name="Comma 7 7 2 2" xfId="9874" xr:uid="{93D6055E-AAFC-4B67-BF8A-D4D187099F26}"/>
    <cellStyle name="Comma 7 7 3" xfId="7064" xr:uid="{9664B2A4-3405-4C10-A4C2-9BE04283D59D}"/>
    <cellStyle name="Comma 7 8" xfId="2837" xr:uid="{4483D684-AFCA-4511-9509-D0EDC71D7ABC}"/>
    <cellStyle name="Comma 7 8 2" xfId="8473" xr:uid="{2D2EC9A4-C441-4741-B5AD-37EEA423B9EC}"/>
    <cellStyle name="Comma 7 9" xfId="5663" xr:uid="{ABE42511-D3F2-4B73-89E4-CFBD133F2FAF}"/>
    <cellStyle name="Comma 8" xfId="29" xr:uid="{E8BBB5FF-8BC5-46BA-BDA8-2144E5E04089}"/>
    <cellStyle name="Comma 8 2" xfId="61" xr:uid="{B880C040-1A95-4BC7-AD0D-1E8FCC808694}"/>
    <cellStyle name="Comma 8 2 2" xfId="141" xr:uid="{CAD47785-C447-48BD-B467-6842D8CFFD21}"/>
    <cellStyle name="Comma 8 2 2 2" xfId="313" xr:uid="{FA5D9C37-8BC2-4F04-BE4A-43AA23B70CF4}"/>
    <cellStyle name="Comma 8 2 2 2 2" xfId="657" xr:uid="{F2CF37E3-76E5-4724-B569-66CA2B979F8D}"/>
    <cellStyle name="Comma 8 2 2 2 2 2" xfId="1353" xr:uid="{BC316F13-E064-40C0-B6B6-43FD12B5DA02}"/>
    <cellStyle name="Comma 8 2 2 2 2 2 2" xfId="2754" xr:uid="{D0A9BCFA-02BF-4F62-BCD2-32F5410BF627}"/>
    <cellStyle name="Comma 8 2 2 2 2 2 2 2" xfId="5564" xr:uid="{5A4B4992-6CBE-45B6-8C61-786B83027BAC}"/>
    <cellStyle name="Comma 8 2 2 2 2 2 2 2 2" xfId="11200" xr:uid="{E1EB457C-6D92-4108-B4FF-3E0F7BFE85A4}"/>
    <cellStyle name="Comma 8 2 2 2 2 2 2 3" xfId="8390" xr:uid="{09E06720-281C-4A3F-B2BF-0FCDDA7403A4}"/>
    <cellStyle name="Comma 8 2 2 2 2 2 3" xfId="4163" xr:uid="{F251D50A-4535-4ADF-9540-444D4C4DAD7C}"/>
    <cellStyle name="Comma 8 2 2 2 2 2 3 2" xfId="9799" xr:uid="{4A5AA916-1C97-4733-8DDE-6CD09D64E74D}"/>
    <cellStyle name="Comma 8 2 2 2 2 2 4" xfId="6989" xr:uid="{F360E457-FCF8-4EF5-9720-09F13694376F}"/>
    <cellStyle name="Comma 8 2 2 2 2 3" xfId="2058" xr:uid="{5E68DF10-25AA-4DC0-AC03-CB52172859CB}"/>
    <cellStyle name="Comma 8 2 2 2 2 3 2" xfId="4868" xr:uid="{A24C7468-051C-43BE-805D-DA45E7332107}"/>
    <cellStyle name="Comma 8 2 2 2 2 3 2 2" xfId="10504" xr:uid="{3BDF91FA-4596-476B-8752-68BD11BA856A}"/>
    <cellStyle name="Comma 8 2 2 2 2 3 3" xfId="7694" xr:uid="{66F29F26-183A-4A66-895C-14EE7AC136B2}"/>
    <cellStyle name="Comma 8 2 2 2 2 4" xfId="3467" xr:uid="{780BB651-AEB7-4A55-9E8C-CD0010BF21EF}"/>
    <cellStyle name="Comma 8 2 2 2 2 4 2" xfId="9103" xr:uid="{1CB5F462-F7CE-4B8E-9509-6AACF2A60BBB}"/>
    <cellStyle name="Comma 8 2 2 2 2 5" xfId="6293" xr:uid="{ADAE7542-ED38-4082-823D-F401BFBC2CDF}"/>
    <cellStyle name="Comma 8 2 2 2 3" xfId="1009" xr:uid="{067306CD-B1A8-4F4F-97EB-CA611515CC4B}"/>
    <cellStyle name="Comma 8 2 2 2 3 2" xfId="2410" xr:uid="{F7B41661-A143-4DE9-A43D-C1B551E4BF64}"/>
    <cellStyle name="Comma 8 2 2 2 3 2 2" xfId="5220" xr:uid="{56794EC9-BC4A-4147-ACA1-B5AEF49B31C6}"/>
    <cellStyle name="Comma 8 2 2 2 3 2 2 2" xfId="10856" xr:uid="{576A75DF-D1E5-43E0-BE57-701FD86888E7}"/>
    <cellStyle name="Comma 8 2 2 2 3 2 3" xfId="8046" xr:uid="{47AB4D65-7FCE-42F5-AAAB-17BB840F10BD}"/>
    <cellStyle name="Comma 8 2 2 2 3 3" xfId="3819" xr:uid="{D455FF0E-2F20-4B2F-B2CB-5A2FD1A014E2}"/>
    <cellStyle name="Comma 8 2 2 2 3 3 2" xfId="9455" xr:uid="{EE6EFE86-17D4-4C14-9EB3-059E44F8EDCC}"/>
    <cellStyle name="Comma 8 2 2 2 3 4" xfId="6645" xr:uid="{2FFA4831-6C76-40ED-9FBA-CF6CCD7400A3}"/>
    <cellStyle name="Comma 8 2 2 2 4" xfId="1714" xr:uid="{F0859295-7F82-4B19-BF21-F726F1207832}"/>
    <cellStyle name="Comma 8 2 2 2 4 2" xfId="4524" xr:uid="{D3998D06-A0BF-470E-A220-EBBEF46053FF}"/>
    <cellStyle name="Comma 8 2 2 2 4 2 2" xfId="10160" xr:uid="{AB329AC2-7C40-4713-95B7-CB695D5ACAF7}"/>
    <cellStyle name="Comma 8 2 2 2 4 3" xfId="7350" xr:uid="{55AC724A-CBE4-4CA1-8E34-6B2B2710F691}"/>
    <cellStyle name="Comma 8 2 2 2 5" xfId="3123" xr:uid="{B3C99C1C-E9BA-4B5F-9F2A-F5BD3E0D97BA}"/>
    <cellStyle name="Comma 8 2 2 2 5 2" xfId="8759" xr:uid="{180677BF-CDF0-4A37-BD11-B31AEC0F5006}"/>
    <cellStyle name="Comma 8 2 2 2 6" xfId="5949" xr:uid="{4102BEE3-4D33-4095-94BC-8ED60A611770}"/>
    <cellStyle name="Comma 8 2 2 3" xfId="485" xr:uid="{E8B509B6-5AF7-4306-953C-9FB980505553}"/>
    <cellStyle name="Comma 8 2 2 3 2" xfId="1181" xr:uid="{18DC03A1-425A-432F-B0C6-7B903A9EC79C}"/>
    <cellStyle name="Comma 8 2 2 3 2 2" xfId="2582" xr:uid="{C7B3667B-0D7A-4E98-94CF-399F5637E2AE}"/>
    <cellStyle name="Comma 8 2 2 3 2 2 2" xfId="5392" xr:uid="{0A7849D3-0AEB-4DD7-8C8A-9290E618C49F}"/>
    <cellStyle name="Comma 8 2 2 3 2 2 2 2" xfId="11028" xr:uid="{8C00F354-FBBB-4B8D-85A4-AC3580A50AF7}"/>
    <cellStyle name="Comma 8 2 2 3 2 2 3" xfId="8218" xr:uid="{2C0A94D2-F4BC-40ED-8D85-DDE705429CC0}"/>
    <cellStyle name="Comma 8 2 2 3 2 3" xfId="3991" xr:uid="{E0D8F7E2-FB11-4E75-875F-04CFD470E119}"/>
    <cellStyle name="Comma 8 2 2 3 2 3 2" xfId="9627" xr:uid="{8B15C56E-8810-4CCA-A4E4-1AA12E62DCF3}"/>
    <cellStyle name="Comma 8 2 2 3 2 4" xfId="6817" xr:uid="{D70BF6DC-5FF6-46D6-84C7-188DC9B1DFF0}"/>
    <cellStyle name="Comma 8 2 2 3 3" xfId="1886" xr:uid="{2576A562-1C49-49E2-91D5-3AE7D24CA899}"/>
    <cellStyle name="Comma 8 2 2 3 3 2" xfId="4696" xr:uid="{F0B13C26-ABC2-497B-A8BC-AAAD86BBB6B7}"/>
    <cellStyle name="Comma 8 2 2 3 3 2 2" xfId="10332" xr:uid="{E5F4891D-E040-499E-B31D-F0D319575F7B}"/>
    <cellStyle name="Comma 8 2 2 3 3 3" xfId="7522" xr:uid="{1A5D5003-BC9A-4AA3-8242-0A25E960540D}"/>
    <cellStyle name="Comma 8 2 2 3 4" xfId="3295" xr:uid="{A176A3DA-2082-452B-914F-59B1E0217CCE}"/>
    <cellStyle name="Comma 8 2 2 3 4 2" xfId="8931" xr:uid="{EA998441-153D-42B9-8DCB-77F0A42E0426}"/>
    <cellStyle name="Comma 8 2 2 3 5" xfId="6121" xr:uid="{623E03EA-E633-46FC-A752-DA88FEE6E8D9}"/>
    <cellStyle name="Comma 8 2 2 4" xfId="837" xr:uid="{E812B8EC-6D05-4D8D-A0E1-813B07163491}"/>
    <cellStyle name="Comma 8 2 2 4 2" xfId="2238" xr:uid="{D48B371A-A60F-40AF-A0D9-BF16C9EFDDF9}"/>
    <cellStyle name="Comma 8 2 2 4 2 2" xfId="5048" xr:uid="{AC1503BC-2CBF-4390-919A-3676D81757D2}"/>
    <cellStyle name="Comma 8 2 2 4 2 2 2" xfId="10684" xr:uid="{FD67B382-3041-4A3E-B1D7-16B48B58010A}"/>
    <cellStyle name="Comma 8 2 2 4 2 3" xfId="7874" xr:uid="{211A2F9B-5480-412E-8EF1-7FCD1D6E02D0}"/>
    <cellStyle name="Comma 8 2 2 4 3" xfId="3647" xr:uid="{E35390A1-6AA5-451B-A9F7-FB6BDA60E44A}"/>
    <cellStyle name="Comma 8 2 2 4 3 2" xfId="9283" xr:uid="{2BF6E875-B646-4CD7-AA66-CB77156A88D7}"/>
    <cellStyle name="Comma 8 2 2 4 4" xfId="6473" xr:uid="{BFB95550-16C2-4F65-82BB-E32FA2E84341}"/>
    <cellStyle name="Comma 8 2 2 5" xfId="1542" xr:uid="{1B10DC38-B737-4687-838B-74F58AB18107}"/>
    <cellStyle name="Comma 8 2 2 5 2" xfId="4352" xr:uid="{8BD16A8D-3B53-4DB6-BBEA-0FF5C29743FA}"/>
    <cellStyle name="Comma 8 2 2 5 2 2" xfId="9988" xr:uid="{31EC6DFB-781E-47E3-BB1E-5D092E577C29}"/>
    <cellStyle name="Comma 8 2 2 5 3" xfId="7178" xr:uid="{8EB031FC-9AA8-43D0-A35B-2808361F8ADC}"/>
    <cellStyle name="Comma 8 2 2 6" xfId="2951" xr:uid="{0EC0A823-B2C4-44AF-B4FE-56BBE2875A86}"/>
    <cellStyle name="Comma 8 2 2 6 2" xfId="8587" xr:uid="{57AE6774-25A3-41E3-B524-124B917A7F0C}"/>
    <cellStyle name="Comma 8 2 2 7" xfId="5777" xr:uid="{588AF182-BE04-47AE-BEB6-73A2C00279F1}"/>
    <cellStyle name="Comma 8 2 3" xfId="233" xr:uid="{5188CF1F-0B50-4F55-975A-BECCFA044B65}"/>
    <cellStyle name="Comma 8 2 3 2" xfId="577" xr:uid="{30A9EA7E-23EC-4A34-8E54-7B5E2444D04C}"/>
    <cellStyle name="Comma 8 2 3 2 2" xfId="1273" xr:uid="{695075A3-FEE9-430D-807A-327BDE42D104}"/>
    <cellStyle name="Comma 8 2 3 2 2 2" xfId="2674" xr:uid="{1691A374-5467-4EB4-B2C4-63200D2112E1}"/>
    <cellStyle name="Comma 8 2 3 2 2 2 2" xfId="5484" xr:uid="{A541203A-E015-40FF-8D10-466C7B79AB65}"/>
    <cellStyle name="Comma 8 2 3 2 2 2 2 2" xfId="11120" xr:uid="{01227C3B-D7B5-4C36-9EFA-BBC7F132B8D9}"/>
    <cellStyle name="Comma 8 2 3 2 2 2 3" xfId="8310" xr:uid="{349B8FF1-3930-472A-8AD0-F8CFFE21D7AC}"/>
    <cellStyle name="Comma 8 2 3 2 2 3" xfId="4083" xr:uid="{CC1DF2E4-CED3-4011-8353-BB9C80B20EBB}"/>
    <cellStyle name="Comma 8 2 3 2 2 3 2" xfId="9719" xr:uid="{7D218183-55D0-4892-BFF0-BBED301645AA}"/>
    <cellStyle name="Comma 8 2 3 2 2 4" xfId="6909" xr:uid="{581978A8-97A9-4BDE-8E1F-79AE37E633FF}"/>
    <cellStyle name="Comma 8 2 3 2 3" xfId="1978" xr:uid="{4395777B-817A-4BF6-A9D1-71425D35D4AC}"/>
    <cellStyle name="Comma 8 2 3 2 3 2" xfId="4788" xr:uid="{E9988646-5636-450D-BD90-A9C0FD67D34B}"/>
    <cellStyle name="Comma 8 2 3 2 3 2 2" xfId="10424" xr:uid="{C5A7DC8B-4D0A-43B5-82FE-5C23379ED70E}"/>
    <cellStyle name="Comma 8 2 3 2 3 3" xfId="7614" xr:uid="{F39F988B-1557-4E56-B4D1-F3C74B3ACDD2}"/>
    <cellStyle name="Comma 8 2 3 2 4" xfId="3387" xr:uid="{3DA4174C-D517-4A7E-A77B-D93FFF66485C}"/>
    <cellStyle name="Comma 8 2 3 2 4 2" xfId="9023" xr:uid="{1F8239E0-D2A0-49E1-8B59-EA4BC2BF193B}"/>
    <cellStyle name="Comma 8 2 3 2 5" xfId="6213" xr:uid="{FA35B3CD-282E-4086-85DD-6B9F8CD24B28}"/>
    <cellStyle name="Comma 8 2 3 3" xfId="929" xr:uid="{0C6037B8-EC39-4A14-9C3E-89583652E99F}"/>
    <cellStyle name="Comma 8 2 3 3 2" xfId="2330" xr:uid="{78549050-C073-4E66-B8A9-4CA88B35EF27}"/>
    <cellStyle name="Comma 8 2 3 3 2 2" xfId="5140" xr:uid="{9522A4AB-A771-4529-BDD4-B84A33FD44EE}"/>
    <cellStyle name="Comma 8 2 3 3 2 2 2" xfId="10776" xr:uid="{C11381E4-EE45-4A4D-B577-F6B2CE125D93}"/>
    <cellStyle name="Comma 8 2 3 3 2 3" xfId="7966" xr:uid="{EE201379-D842-4652-843F-DAD6704B2A39}"/>
    <cellStyle name="Comma 8 2 3 3 3" xfId="3739" xr:uid="{C273FEDC-1D4C-4481-BBAE-2871DFCACE5B}"/>
    <cellStyle name="Comma 8 2 3 3 3 2" xfId="9375" xr:uid="{D9B7E59D-EDD4-4F84-AFEA-984CD79C860E}"/>
    <cellStyle name="Comma 8 2 3 3 4" xfId="6565" xr:uid="{4BE21886-3DA4-44A2-86D1-7A2DF3C2AC18}"/>
    <cellStyle name="Comma 8 2 3 4" xfId="1634" xr:uid="{D50B6941-60B3-4B5B-BB39-A959C9B2E57A}"/>
    <cellStyle name="Comma 8 2 3 4 2" xfId="4444" xr:uid="{8C427D2B-B22A-474B-A42A-FE4DB02F00DD}"/>
    <cellStyle name="Comma 8 2 3 4 2 2" xfId="10080" xr:uid="{D5A9726C-D9BA-4EF6-A214-89D876EF3027}"/>
    <cellStyle name="Comma 8 2 3 4 3" xfId="7270" xr:uid="{E392A22F-B642-4F9D-BDF6-55B0999CC5FD}"/>
    <cellStyle name="Comma 8 2 3 5" xfId="3043" xr:uid="{4ED6E445-B74A-4B5D-973A-5FF877EAA395}"/>
    <cellStyle name="Comma 8 2 3 5 2" xfId="8679" xr:uid="{0A29FD9E-7C8B-4393-869F-FBB5BF7E5D06}"/>
    <cellStyle name="Comma 8 2 3 6" xfId="5869" xr:uid="{057CB7E1-83D1-44F0-8E35-19E8EC8801FB}"/>
    <cellStyle name="Comma 8 2 4" xfId="405" xr:uid="{E932FE38-5397-4D5A-ACCB-BB53813B6A05}"/>
    <cellStyle name="Comma 8 2 4 2" xfId="1101" xr:uid="{8EFE7509-6AE9-4ED7-97BB-49F9C1EAA995}"/>
    <cellStyle name="Comma 8 2 4 2 2" xfId="2502" xr:uid="{C4A88049-3243-458F-BABE-E4B17CE6F73B}"/>
    <cellStyle name="Comma 8 2 4 2 2 2" xfId="5312" xr:uid="{3EEC5FBC-593F-45CC-907B-CE918B0DA9B8}"/>
    <cellStyle name="Comma 8 2 4 2 2 2 2" xfId="10948" xr:uid="{BFEC5146-D653-48B2-B404-56DB9BCD58B4}"/>
    <cellStyle name="Comma 8 2 4 2 2 3" xfId="8138" xr:uid="{E08315DA-BB0B-4FAA-B6F9-EC3D6CAA8F1E}"/>
    <cellStyle name="Comma 8 2 4 2 3" xfId="3911" xr:uid="{DF2ED6F2-3873-4BBD-8118-8C26FB25D004}"/>
    <cellStyle name="Comma 8 2 4 2 3 2" xfId="9547" xr:uid="{5A0FEB65-5ED5-4431-95C4-98AC4D17989C}"/>
    <cellStyle name="Comma 8 2 4 2 4" xfId="6737" xr:uid="{A4CBADE2-1B85-45E6-9162-E25D869D527D}"/>
    <cellStyle name="Comma 8 2 4 3" xfId="1806" xr:uid="{6BD82978-647A-48DE-929E-940A86936AF5}"/>
    <cellStyle name="Comma 8 2 4 3 2" xfId="4616" xr:uid="{8DB73190-7BCD-4E16-9C19-49649225894B}"/>
    <cellStyle name="Comma 8 2 4 3 2 2" xfId="10252" xr:uid="{8EC94778-1D3F-4677-9C39-62B290FA97BA}"/>
    <cellStyle name="Comma 8 2 4 3 3" xfId="7442" xr:uid="{C223308B-581C-49A5-A473-2631EF23F937}"/>
    <cellStyle name="Comma 8 2 4 4" xfId="3215" xr:uid="{48E37DCD-E323-4070-8AE3-7BA01135658F}"/>
    <cellStyle name="Comma 8 2 4 4 2" xfId="8851" xr:uid="{4DFBCD01-AE10-4D51-9503-E43D40A42EC9}"/>
    <cellStyle name="Comma 8 2 4 5" xfId="6041" xr:uid="{54A4DC11-8190-447C-911C-B65B2D996B00}"/>
    <cellStyle name="Comma 8 2 5" xfId="757" xr:uid="{974EACBA-EDBF-4F42-91B5-D28FF64BA109}"/>
    <cellStyle name="Comma 8 2 5 2" xfId="2158" xr:uid="{5A7A0CBD-E7FB-4E0A-86E5-D8AD5449607C}"/>
    <cellStyle name="Comma 8 2 5 2 2" xfId="4968" xr:uid="{E40CE90B-492E-495F-8FB4-B199B974902B}"/>
    <cellStyle name="Comma 8 2 5 2 2 2" xfId="10604" xr:uid="{0F9B0DE9-0CF5-4E25-A3D2-6CAD2CFF4958}"/>
    <cellStyle name="Comma 8 2 5 2 3" xfId="7794" xr:uid="{C34846DC-E953-4C57-A347-924D39F6650D}"/>
    <cellStyle name="Comma 8 2 5 3" xfId="3567" xr:uid="{C355D1B2-68E3-471F-90EA-675D6FB68175}"/>
    <cellStyle name="Comma 8 2 5 3 2" xfId="9203" xr:uid="{DE6390F0-B1EA-4140-AF91-328550763F61}"/>
    <cellStyle name="Comma 8 2 5 4" xfId="6393" xr:uid="{E8698B1F-0F7C-4593-8862-D0490C2FE0B2}"/>
    <cellStyle name="Comma 8 2 6" xfId="1462" xr:uid="{75E634BD-4222-49DA-B094-94A3ACE36B1E}"/>
    <cellStyle name="Comma 8 2 6 2" xfId="4272" xr:uid="{9C2C139A-6EC5-4DB7-A07B-10959566EDF4}"/>
    <cellStyle name="Comma 8 2 6 2 2" xfId="9908" xr:uid="{04FA8C28-2E69-4E32-8DB5-05B5A8179D13}"/>
    <cellStyle name="Comma 8 2 6 3" xfId="7098" xr:uid="{79307412-6464-47B3-80A0-D49F3BA5050D}"/>
    <cellStyle name="Comma 8 2 7" xfId="2871" xr:uid="{D81E612F-11E2-4C66-B1DC-BA602D9F86A1}"/>
    <cellStyle name="Comma 8 2 7 2" xfId="8507" xr:uid="{568C1CC9-1D9C-49BE-955F-1FB3F6502307}"/>
    <cellStyle name="Comma 8 2 8" xfId="5697" xr:uid="{AD681C01-2408-46F1-88D9-1C65A8BC18CB}"/>
    <cellStyle name="Comma 8 3" xfId="109" xr:uid="{38738893-3B5F-4858-A8EF-FB576B3DA039}"/>
    <cellStyle name="Comma 8 3 2" xfId="281" xr:uid="{B5A69E3E-3C6E-4BBA-964D-E212FCC7AD4F}"/>
    <cellStyle name="Comma 8 3 2 2" xfId="625" xr:uid="{70E2133A-15FF-4377-836E-FDB9F982A8D7}"/>
    <cellStyle name="Comma 8 3 2 2 2" xfId="1321" xr:uid="{9E0D0FC1-148B-455F-9B1B-53E581832A77}"/>
    <cellStyle name="Comma 8 3 2 2 2 2" xfId="2722" xr:uid="{DFA1303F-5AEF-41F4-A828-170F4CD4CA09}"/>
    <cellStyle name="Comma 8 3 2 2 2 2 2" xfId="5532" xr:uid="{D7A634CA-C701-4AC2-8F5D-085FB8441B4D}"/>
    <cellStyle name="Comma 8 3 2 2 2 2 2 2" xfId="11168" xr:uid="{082FBB9D-3217-4FC4-BA21-9223F67173CF}"/>
    <cellStyle name="Comma 8 3 2 2 2 2 3" xfId="8358" xr:uid="{268E11A0-7658-4D06-8444-2D0FE660CD17}"/>
    <cellStyle name="Comma 8 3 2 2 2 3" xfId="4131" xr:uid="{F15DDEB1-F55A-479B-8399-1F259AC141D1}"/>
    <cellStyle name="Comma 8 3 2 2 2 3 2" xfId="9767" xr:uid="{901D4436-0F9C-4651-8F3E-4ECA62BF4518}"/>
    <cellStyle name="Comma 8 3 2 2 2 4" xfId="6957" xr:uid="{FDE615A4-BFAB-4D9B-B421-82624DFFABE2}"/>
    <cellStyle name="Comma 8 3 2 2 3" xfId="2026" xr:uid="{91210A0F-EB9B-481A-B5B9-4B6ED0DD3EE5}"/>
    <cellStyle name="Comma 8 3 2 2 3 2" xfId="4836" xr:uid="{B02C0E3B-5245-46F1-BAC5-6D570E872F6C}"/>
    <cellStyle name="Comma 8 3 2 2 3 2 2" xfId="10472" xr:uid="{60BA5DF1-B252-4531-8E01-D421A2AB8C12}"/>
    <cellStyle name="Comma 8 3 2 2 3 3" xfId="7662" xr:uid="{2FE170A7-5E9F-47E0-BA40-5628FAA4526B}"/>
    <cellStyle name="Comma 8 3 2 2 4" xfId="3435" xr:uid="{DDD772C0-72B6-4A34-8AC2-11342F4F23E0}"/>
    <cellStyle name="Comma 8 3 2 2 4 2" xfId="9071" xr:uid="{D8494B25-362A-4D10-81E8-FC9477E685B6}"/>
    <cellStyle name="Comma 8 3 2 2 5" xfId="6261" xr:uid="{610B8B19-0D87-499E-8312-E64B8BE38D41}"/>
    <cellStyle name="Comma 8 3 2 3" xfId="977" xr:uid="{ADBBDE41-CCDC-475D-9BD9-AB2533D2F5A1}"/>
    <cellStyle name="Comma 8 3 2 3 2" xfId="2378" xr:uid="{D58CCE02-F4FC-4D44-B7B2-3ECA2FCDF4E2}"/>
    <cellStyle name="Comma 8 3 2 3 2 2" xfId="5188" xr:uid="{27E48E2F-1926-4353-8535-62238C307845}"/>
    <cellStyle name="Comma 8 3 2 3 2 2 2" xfId="10824" xr:uid="{4B69232E-BB30-45E2-BBF3-3E93A1745AE8}"/>
    <cellStyle name="Comma 8 3 2 3 2 3" xfId="8014" xr:uid="{1E3702EE-28AF-47E4-8B0C-9ACCBA2ADF24}"/>
    <cellStyle name="Comma 8 3 2 3 3" xfId="3787" xr:uid="{66AEAED8-0243-47BA-A3D7-3C20718FF4B6}"/>
    <cellStyle name="Comma 8 3 2 3 3 2" xfId="9423" xr:uid="{D04E94AB-88B6-441F-95AF-6A4F36F25DB6}"/>
    <cellStyle name="Comma 8 3 2 3 4" xfId="6613" xr:uid="{10131C4F-7B8F-4E4B-A35A-8E874FBE5936}"/>
    <cellStyle name="Comma 8 3 2 4" xfId="1682" xr:uid="{839F002C-DB06-47CC-806B-ED3601331B8D}"/>
    <cellStyle name="Comma 8 3 2 4 2" xfId="4492" xr:uid="{655A8539-E252-400E-9B88-43A360594FB5}"/>
    <cellStyle name="Comma 8 3 2 4 2 2" xfId="10128" xr:uid="{49F376E1-7687-4FA8-A2DC-90EE1D642376}"/>
    <cellStyle name="Comma 8 3 2 4 3" xfId="7318" xr:uid="{12AC6D98-1661-4B95-B0B8-A68FF7782430}"/>
    <cellStyle name="Comma 8 3 2 5" xfId="3091" xr:uid="{3B9C9C7D-2FC6-4459-955D-8F9E5536FF78}"/>
    <cellStyle name="Comma 8 3 2 5 2" xfId="8727" xr:uid="{61C479D0-F56A-48CE-B2DD-612FD553CDCE}"/>
    <cellStyle name="Comma 8 3 2 6" xfId="5917" xr:uid="{1B5C6E61-B878-4372-B7A3-691BEDCFE924}"/>
    <cellStyle name="Comma 8 3 3" xfId="453" xr:uid="{9CEC08B6-0E1B-4CB4-9B91-3B40064EF812}"/>
    <cellStyle name="Comma 8 3 3 2" xfId="1149" xr:uid="{B654C075-60DB-49DF-BD76-ACDA6C186E41}"/>
    <cellStyle name="Comma 8 3 3 2 2" xfId="2550" xr:uid="{1F82CC43-CF3B-44E4-AE1A-7400DB548914}"/>
    <cellStyle name="Comma 8 3 3 2 2 2" xfId="5360" xr:uid="{64D0FFD5-1953-4D6F-86D1-F70B94298D5E}"/>
    <cellStyle name="Comma 8 3 3 2 2 2 2" xfId="10996" xr:uid="{DEB25B25-BD87-484E-B11A-89A6BF6E00A6}"/>
    <cellStyle name="Comma 8 3 3 2 2 3" xfId="8186" xr:uid="{C055A841-A575-49C7-8352-FF9D352231E6}"/>
    <cellStyle name="Comma 8 3 3 2 3" xfId="3959" xr:uid="{D7B33C98-AA8A-4FFA-8E29-370ACEC3814E}"/>
    <cellStyle name="Comma 8 3 3 2 3 2" xfId="9595" xr:uid="{68AF586D-F2D0-4F50-8A7A-3F85D8D8130D}"/>
    <cellStyle name="Comma 8 3 3 2 4" xfId="6785" xr:uid="{DCC31DF3-14BC-4771-BE8D-17FEECCCC7A5}"/>
    <cellStyle name="Comma 8 3 3 3" xfId="1854" xr:uid="{83056F41-003D-4B09-8C4F-10B63FC67BB8}"/>
    <cellStyle name="Comma 8 3 3 3 2" xfId="4664" xr:uid="{9FD6AEAF-D3B6-405D-9172-8CED274506EA}"/>
    <cellStyle name="Comma 8 3 3 3 2 2" xfId="10300" xr:uid="{6F9B5D6D-09B1-4504-9D55-1658EE4B33E3}"/>
    <cellStyle name="Comma 8 3 3 3 3" xfId="7490" xr:uid="{E8EAA096-6E26-4CD7-AB17-1D76455AAC42}"/>
    <cellStyle name="Comma 8 3 3 4" xfId="3263" xr:uid="{6C56FDEC-22B3-40A2-AC16-66276898FDD8}"/>
    <cellStyle name="Comma 8 3 3 4 2" xfId="8899" xr:uid="{784C34C1-B73D-43AF-9E92-331112C34BF2}"/>
    <cellStyle name="Comma 8 3 3 5" xfId="6089" xr:uid="{46E11DB1-AF2F-4494-8209-D31D9E85A612}"/>
    <cellStyle name="Comma 8 3 4" xfId="805" xr:uid="{3104E873-8D6C-4060-861B-5D9E8ACB91BE}"/>
    <cellStyle name="Comma 8 3 4 2" xfId="2206" xr:uid="{FCD91D60-8256-4741-AA6E-CFAD330A2542}"/>
    <cellStyle name="Comma 8 3 4 2 2" xfId="5016" xr:uid="{66E08C32-8502-4950-B9B7-4D53EB814B50}"/>
    <cellStyle name="Comma 8 3 4 2 2 2" xfId="10652" xr:uid="{F227359A-C59A-4B66-8B60-9C144CD5B551}"/>
    <cellStyle name="Comma 8 3 4 2 3" xfId="7842" xr:uid="{5DF1E02F-ED83-4BCB-89B0-109FC0C0832B}"/>
    <cellStyle name="Comma 8 3 4 3" xfId="3615" xr:uid="{58519611-05DB-4A3E-949F-AEC77AEFAFAD}"/>
    <cellStyle name="Comma 8 3 4 3 2" xfId="9251" xr:uid="{EE188901-AD16-4B1F-ADD7-2E3F4D8F9962}"/>
    <cellStyle name="Comma 8 3 4 4" xfId="6441" xr:uid="{F82608DE-9013-477A-8CFB-2914EEA23E25}"/>
    <cellStyle name="Comma 8 3 5" xfId="1510" xr:uid="{889F72F4-2AE7-4C77-8198-8C221D185EC0}"/>
    <cellStyle name="Comma 8 3 5 2" xfId="4320" xr:uid="{9635695A-A9BF-49DF-A63D-51060768AAE2}"/>
    <cellStyle name="Comma 8 3 5 2 2" xfId="9956" xr:uid="{DB6B470A-10D8-45D3-9FC1-8BB826D64DC8}"/>
    <cellStyle name="Comma 8 3 5 3" xfId="7146" xr:uid="{1E5C8D6D-1505-4918-A20C-96A95B978C28}"/>
    <cellStyle name="Comma 8 3 6" xfId="2919" xr:uid="{45F1FC9D-90DB-460B-A9C6-F8CB6148495E}"/>
    <cellStyle name="Comma 8 3 6 2" xfId="8555" xr:uid="{757F5FE6-F953-47F7-916F-573B2DC12073}"/>
    <cellStyle name="Comma 8 3 7" xfId="5745" xr:uid="{9F5DE461-1D3D-4656-80E1-01E9A5D73BDE}"/>
    <cellStyle name="Comma 8 4" xfId="201" xr:uid="{8E6D6FD7-1777-49A1-937A-9C473530F0DC}"/>
    <cellStyle name="Comma 8 4 2" xfId="545" xr:uid="{7E9148CC-A2DD-4779-BAE5-B540823B51E2}"/>
    <cellStyle name="Comma 8 4 2 2" xfId="1241" xr:uid="{BE9482AD-0F3F-4B41-91E3-BEA176EAEB1B}"/>
    <cellStyle name="Comma 8 4 2 2 2" xfId="2642" xr:uid="{FAE3FE3A-448E-4889-BFD5-113EEE9D5AA9}"/>
    <cellStyle name="Comma 8 4 2 2 2 2" xfId="5452" xr:uid="{B1D611CB-BD26-44C0-A3FC-885EB356E746}"/>
    <cellStyle name="Comma 8 4 2 2 2 2 2" xfId="11088" xr:uid="{46371A3C-ACD5-479F-9BAF-94B8427CE600}"/>
    <cellStyle name="Comma 8 4 2 2 2 3" xfId="8278" xr:uid="{7EE49442-09D1-4391-AEC1-3ABDAEB1DC60}"/>
    <cellStyle name="Comma 8 4 2 2 3" xfId="4051" xr:uid="{F764879E-F0B9-4E28-9BFC-8BBB0BA5C047}"/>
    <cellStyle name="Comma 8 4 2 2 3 2" xfId="9687" xr:uid="{112126EE-992A-4C9E-94D2-55FC61DB0FFC}"/>
    <cellStyle name="Comma 8 4 2 2 4" xfId="6877" xr:uid="{F799BAA9-371E-4F6C-BCDF-4BCD1E08A987}"/>
    <cellStyle name="Comma 8 4 2 3" xfId="1946" xr:uid="{FB8FC13F-3A78-4A8F-88B5-156B4C724DA6}"/>
    <cellStyle name="Comma 8 4 2 3 2" xfId="4756" xr:uid="{C148B943-D24C-4E07-AFFC-D4DCE80CE624}"/>
    <cellStyle name="Comma 8 4 2 3 2 2" xfId="10392" xr:uid="{7E32FE7C-1F7A-4210-A62B-79FCCDCA5273}"/>
    <cellStyle name="Comma 8 4 2 3 3" xfId="7582" xr:uid="{160F4864-E94B-4B9C-987C-A786EA764E0B}"/>
    <cellStyle name="Comma 8 4 2 4" xfId="3355" xr:uid="{32E9CE15-3D0D-4089-B668-DA6825150622}"/>
    <cellStyle name="Comma 8 4 2 4 2" xfId="8991" xr:uid="{32FD0105-477B-4EBA-B4DE-36EED6BD6D42}"/>
    <cellStyle name="Comma 8 4 2 5" xfId="6181" xr:uid="{1A591650-2175-48BA-83C2-0364B48CB540}"/>
    <cellStyle name="Comma 8 4 3" xfId="897" xr:uid="{8D671EEF-7901-4C74-B782-A3EE36048C44}"/>
    <cellStyle name="Comma 8 4 3 2" xfId="2298" xr:uid="{B1E95A48-8338-4EF3-A87C-7905F81B79D9}"/>
    <cellStyle name="Comma 8 4 3 2 2" xfId="5108" xr:uid="{099F8CFB-E201-4838-AADA-8DF65281EDB5}"/>
    <cellStyle name="Comma 8 4 3 2 2 2" xfId="10744" xr:uid="{EB08A1AB-141C-4C7D-B085-83E6D42C15C7}"/>
    <cellStyle name="Comma 8 4 3 2 3" xfId="7934" xr:uid="{111C2AA2-23FD-456C-8499-8007EE18DF4B}"/>
    <cellStyle name="Comma 8 4 3 3" xfId="3707" xr:uid="{16178B32-6B86-4D32-8FB2-1AE8DE8FEA3B}"/>
    <cellStyle name="Comma 8 4 3 3 2" xfId="9343" xr:uid="{E33A9C3A-66AF-4705-BEBB-6E7C0D71D1B2}"/>
    <cellStyle name="Comma 8 4 3 4" xfId="6533" xr:uid="{E1912A77-8B85-4158-B493-B78B8BB686C0}"/>
    <cellStyle name="Comma 8 4 4" xfId="1602" xr:uid="{605D39BB-639D-44EA-AF25-2E0967D6B2C9}"/>
    <cellStyle name="Comma 8 4 4 2" xfId="4412" xr:uid="{355CA666-6190-4E5B-91A5-52BB047717C6}"/>
    <cellStyle name="Comma 8 4 4 2 2" xfId="10048" xr:uid="{C58B2B2C-8825-4C0D-A306-0FE0C04A0E75}"/>
    <cellStyle name="Comma 8 4 4 3" xfId="7238" xr:uid="{D2FB439B-CD6B-4B00-825E-A810E15D1A0D}"/>
    <cellStyle name="Comma 8 4 5" xfId="3011" xr:uid="{E5F53BBC-9DA1-45BD-8C5C-FF1897E72718}"/>
    <cellStyle name="Comma 8 4 5 2" xfId="8647" xr:uid="{C8D78F7B-9532-4A5F-9348-4D669065E25D}"/>
    <cellStyle name="Comma 8 4 6" xfId="5837" xr:uid="{367C66DF-71B9-4309-8BC5-BC5B4E47E2B3}"/>
    <cellStyle name="Comma 8 5" xfId="373" xr:uid="{44F1078B-050F-4FDB-B0C1-8FEF61F90AAD}"/>
    <cellStyle name="Comma 8 5 2" xfId="1069" xr:uid="{6EAD9B14-57FE-4BBB-8712-EAE66A484819}"/>
    <cellStyle name="Comma 8 5 2 2" xfId="2470" xr:uid="{62EBBF85-DD46-4404-81D9-51BE90D9D050}"/>
    <cellStyle name="Comma 8 5 2 2 2" xfId="5280" xr:uid="{0DE2943A-A604-4B9C-B45A-0D448F119CE4}"/>
    <cellStyle name="Comma 8 5 2 2 2 2" xfId="10916" xr:uid="{7A24AB69-0064-43AF-8D2E-D85729220EDE}"/>
    <cellStyle name="Comma 8 5 2 2 3" xfId="8106" xr:uid="{DD65A5C9-F59F-4A76-81B6-F0DD71016974}"/>
    <cellStyle name="Comma 8 5 2 3" xfId="3879" xr:uid="{482F50BC-ED9B-4147-915C-668D832C04A4}"/>
    <cellStyle name="Comma 8 5 2 3 2" xfId="9515" xr:uid="{C300ADA8-8666-4FB3-8D90-9F4C650FD1B3}"/>
    <cellStyle name="Comma 8 5 2 4" xfId="6705" xr:uid="{E92A4AB8-70F7-493D-ABED-8C6AF707430A}"/>
    <cellStyle name="Comma 8 5 3" xfId="1774" xr:uid="{E3F978C8-DD71-46A3-9BF6-35EDDA4FFD1C}"/>
    <cellStyle name="Comma 8 5 3 2" xfId="4584" xr:uid="{78FDE614-56FD-4A31-830F-9CDACCE2603E}"/>
    <cellStyle name="Comma 8 5 3 2 2" xfId="10220" xr:uid="{72826D1B-F19B-4A91-8EF7-2F7048E6E968}"/>
    <cellStyle name="Comma 8 5 3 3" xfId="7410" xr:uid="{98585DFC-8B6E-4820-995E-B009BC2DD45B}"/>
    <cellStyle name="Comma 8 5 4" xfId="3183" xr:uid="{4BAA7499-A993-4B05-BD5A-E9386847A96B}"/>
    <cellStyle name="Comma 8 5 4 2" xfId="8819" xr:uid="{CDE33605-5F4C-4EFC-B2A2-B05B9CC66842}"/>
    <cellStyle name="Comma 8 5 5" xfId="6009" xr:uid="{157DF4A6-8A4B-4187-8133-41C7C7290E42}"/>
    <cellStyle name="Comma 8 6" xfId="725" xr:uid="{D0E9624C-5602-417B-B803-F121CC5F3FD4}"/>
    <cellStyle name="Comma 8 6 2" xfId="2126" xr:uid="{5E11961B-7887-4014-85D0-5FAEA3AE4078}"/>
    <cellStyle name="Comma 8 6 2 2" xfId="4936" xr:uid="{4C4CA549-CED4-45FD-9A7F-0F071DAAA1A6}"/>
    <cellStyle name="Comma 8 6 2 2 2" xfId="10572" xr:uid="{3EC8A3FF-149F-4357-BD42-2A35D19E9B86}"/>
    <cellStyle name="Comma 8 6 2 3" xfId="7762" xr:uid="{1D675F14-86CF-4B0C-9B74-C46D81EE0DB8}"/>
    <cellStyle name="Comma 8 6 3" xfId="3535" xr:uid="{92C1B876-C21E-420E-8734-CD276E48BDFD}"/>
    <cellStyle name="Comma 8 6 3 2" xfId="9171" xr:uid="{37EEAC8D-27F2-4B89-B29C-DC18AED12688}"/>
    <cellStyle name="Comma 8 6 4" xfId="6361" xr:uid="{2C9EE721-638F-482A-A0A4-8CD18598E22C}"/>
    <cellStyle name="Comma 8 7" xfId="1430" xr:uid="{FE1E406C-EADE-48C3-A96D-C788B39B26C3}"/>
    <cellStyle name="Comma 8 7 2" xfId="4240" xr:uid="{7D1EA66B-0992-4CFE-A66E-9218ED5D8B3C}"/>
    <cellStyle name="Comma 8 7 2 2" xfId="9876" xr:uid="{968F68C5-AA8D-42BE-82D7-7B9D29CF0CC4}"/>
    <cellStyle name="Comma 8 7 3" xfId="7066" xr:uid="{F721CE13-413C-4A41-AA48-3C50C2AA4B50}"/>
    <cellStyle name="Comma 8 8" xfId="2839" xr:uid="{CEC5D9EF-B485-470A-B02D-BD611AD57819}"/>
    <cellStyle name="Comma 8 8 2" xfId="8475" xr:uid="{398324DC-22CF-4BBA-A3DA-2BD964D1D35D}"/>
    <cellStyle name="Comma 8 9" xfId="5665" xr:uid="{560B0093-2409-4E84-8C89-44415465D57A}"/>
    <cellStyle name="Comma 9" xfId="31" xr:uid="{3C11C8E8-6DE1-4FE8-9032-D48B9EDCF28A}"/>
    <cellStyle name="Comma 9 2" xfId="63" xr:uid="{E95A3C08-D61F-4800-A727-7FF33D77EA21}"/>
    <cellStyle name="Comma 9 2 2" xfId="143" xr:uid="{F9AD554B-C07F-4942-B215-C6DC719BE0C0}"/>
    <cellStyle name="Comma 9 2 2 2" xfId="315" xr:uid="{CDB16455-9851-41B8-8FF2-8A9EFE53343E}"/>
    <cellStyle name="Comma 9 2 2 2 2" xfId="659" xr:uid="{0104A60B-B5E6-4952-9B90-F9DDC6EE2BEB}"/>
    <cellStyle name="Comma 9 2 2 2 2 2" xfId="1355" xr:uid="{14C1B36A-9EA6-4F00-AAAF-C17EA0C7EAE3}"/>
    <cellStyle name="Comma 9 2 2 2 2 2 2" xfId="2756" xr:uid="{E9DB11FA-D2F5-4792-92F2-1DADBCF3F123}"/>
    <cellStyle name="Comma 9 2 2 2 2 2 2 2" xfId="5566" xr:uid="{F75D8B41-B5FF-4457-907A-6AEF6FBCF4B2}"/>
    <cellStyle name="Comma 9 2 2 2 2 2 2 2 2" xfId="11202" xr:uid="{5FC3B332-035F-42D0-A0D0-68787C60DF38}"/>
    <cellStyle name="Comma 9 2 2 2 2 2 2 3" xfId="8392" xr:uid="{18D63228-32E6-4F43-AD40-333C251FFB6C}"/>
    <cellStyle name="Comma 9 2 2 2 2 2 3" xfId="4165" xr:uid="{5CCFB8EA-41E6-4036-8FD9-5A520FF21D27}"/>
    <cellStyle name="Comma 9 2 2 2 2 2 3 2" xfId="9801" xr:uid="{92513488-13BB-4C7C-94C0-80D99751DF91}"/>
    <cellStyle name="Comma 9 2 2 2 2 2 4" xfId="6991" xr:uid="{17D1854C-2F60-4FEB-8D2A-122C8708E1FC}"/>
    <cellStyle name="Comma 9 2 2 2 2 3" xfId="2060" xr:uid="{2EC7B712-7EAB-4770-9AB7-7D70DD374951}"/>
    <cellStyle name="Comma 9 2 2 2 2 3 2" xfId="4870" xr:uid="{514A2E2E-0636-4ADF-B037-26CC191F9B2F}"/>
    <cellStyle name="Comma 9 2 2 2 2 3 2 2" xfId="10506" xr:uid="{C2B73A99-B343-43F7-8861-6C43A7A60E1B}"/>
    <cellStyle name="Comma 9 2 2 2 2 3 3" xfId="7696" xr:uid="{69A11414-E9C0-432C-A2CD-C0F456ABB444}"/>
    <cellStyle name="Comma 9 2 2 2 2 4" xfId="3469" xr:uid="{C460A079-02A4-471D-929A-130DD56D1FCB}"/>
    <cellStyle name="Comma 9 2 2 2 2 4 2" xfId="9105" xr:uid="{C69C4ADF-C832-4901-9A39-05977DA0EEDF}"/>
    <cellStyle name="Comma 9 2 2 2 2 5" xfId="6295" xr:uid="{8C6BC531-0E5F-4E7E-9390-3EFE06D3F4F9}"/>
    <cellStyle name="Comma 9 2 2 2 3" xfId="1011" xr:uid="{46C5CD00-78EB-4A65-BD91-0AA9FDF782D0}"/>
    <cellStyle name="Comma 9 2 2 2 3 2" xfId="2412" xr:uid="{53D5BA45-FCC2-487A-B79C-67375285E7DB}"/>
    <cellStyle name="Comma 9 2 2 2 3 2 2" xfId="5222" xr:uid="{47D2F314-A319-4B07-B0D3-EBAC9D83BD5A}"/>
    <cellStyle name="Comma 9 2 2 2 3 2 2 2" xfId="10858" xr:uid="{F62FC011-EDA4-4889-81E9-8B359F2080AC}"/>
    <cellStyle name="Comma 9 2 2 2 3 2 3" xfId="8048" xr:uid="{68E35BC9-595A-423D-8DDA-DA315306883A}"/>
    <cellStyle name="Comma 9 2 2 2 3 3" xfId="3821" xr:uid="{28D729CE-3091-4EE8-B9A2-CC476E8DDCEC}"/>
    <cellStyle name="Comma 9 2 2 2 3 3 2" xfId="9457" xr:uid="{2D5CF50C-9F20-4A5C-81A1-62F0F8CCFF6C}"/>
    <cellStyle name="Comma 9 2 2 2 3 4" xfId="6647" xr:uid="{6E93B8E6-9B05-49B4-8655-829C41681D3C}"/>
    <cellStyle name="Comma 9 2 2 2 4" xfId="1716" xr:uid="{2E5D8EFA-A0FC-4935-9DC6-6B9052CAD9B2}"/>
    <cellStyle name="Comma 9 2 2 2 4 2" xfId="4526" xr:uid="{3F144B3F-83D1-4E6E-82B2-07D92E5DB4D8}"/>
    <cellStyle name="Comma 9 2 2 2 4 2 2" xfId="10162" xr:uid="{97407DCA-CE25-4790-A709-D2C9F9089AC2}"/>
    <cellStyle name="Comma 9 2 2 2 4 3" xfId="7352" xr:uid="{A8465F8B-9AC3-4B58-9A80-4DA27D5BC389}"/>
    <cellStyle name="Comma 9 2 2 2 5" xfId="3125" xr:uid="{91544E35-5352-4FB4-B981-F12F4833614E}"/>
    <cellStyle name="Comma 9 2 2 2 5 2" xfId="8761" xr:uid="{3E5F0162-6029-45B3-92AC-5DB36AACD9B3}"/>
    <cellStyle name="Comma 9 2 2 2 6" xfId="5951" xr:uid="{76C8C7E2-0D02-4AC8-920F-CF5DBAD15DD5}"/>
    <cellStyle name="Comma 9 2 2 3" xfId="487" xr:uid="{29AC22F2-ACB1-40A2-90DF-1B5E85345595}"/>
    <cellStyle name="Comma 9 2 2 3 2" xfId="1183" xr:uid="{98D655D3-680C-4A07-B3D3-9EC88033D924}"/>
    <cellStyle name="Comma 9 2 2 3 2 2" xfId="2584" xr:uid="{9CCE5CE9-9B0F-4617-A040-7EC3D1449B55}"/>
    <cellStyle name="Comma 9 2 2 3 2 2 2" xfId="5394" xr:uid="{58535596-89DA-4587-B6B8-165236BB7A7F}"/>
    <cellStyle name="Comma 9 2 2 3 2 2 2 2" xfId="11030" xr:uid="{3F367CEB-EB85-42E2-8CD9-E23E3ED25EC0}"/>
    <cellStyle name="Comma 9 2 2 3 2 2 3" xfId="8220" xr:uid="{5053D7CE-FCF3-478C-AE67-154700B08ECC}"/>
    <cellStyle name="Comma 9 2 2 3 2 3" xfId="3993" xr:uid="{63AA9D76-2852-48FD-A24F-C154364EBB07}"/>
    <cellStyle name="Comma 9 2 2 3 2 3 2" xfId="9629" xr:uid="{554BB28D-BCA9-4B55-9AF7-226612ECF3C1}"/>
    <cellStyle name="Comma 9 2 2 3 2 4" xfId="6819" xr:uid="{F1C6874F-19B8-436E-82A6-E59A71C354EB}"/>
    <cellStyle name="Comma 9 2 2 3 3" xfId="1888" xr:uid="{8CE1421B-9E09-4145-A8BF-92C0C9C10B26}"/>
    <cellStyle name="Comma 9 2 2 3 3 2" xfId="4698" xr:uid="{DB74AB06-B1D5-4412-953E-DEBED09B6E4E}"/>
    <cellStyle name="Comma 9 2 2 3 3 2 2" xfId="10334" xr:uid="{5A3A0570-97CD-497D-89EF-DEAE236C5AB4}"/>
    <cellStyle name="Comma 9 2 2 3 3 3" xfId="7524" xr:uid="{BA0E57FA-83A8-47FE-8309-5090845830F4}"/>
    <cellStyle name="Comma 9 2 2 3 4" xfId="3297" xr:uid="{F946A88F-2E7D-43CE-835F-28D1398CF9D2}"/>
    <cellStyle name="Comma 9 2 2 3 4 2" xfId="8933" xr:uid="{52A1B88B-0CD5-4F97-8F5C-BBD68C2DF0F0}"/>
    <cellStyle name="Comma 9 2 2 3 5" xfId="6123" xr:uid="{E30C4919-260F-4450-B262-DC3A7FB44EC9}"/>
    <cellStyle name="Comma 9 2 2 4" xfId="839" xr:uid="{9C97E446-80C8-46E0-8BBC-16902417738E}"/>
    <cellStyle name="Comma 9 2 2 4 2" xfId="2240" xr:uid="{81732C2D-2BCF-4F35-B2A6-9FC6B4083E72}"/>
    <cellStyle name="Comma 9 2 2 4 2 2" xfId="5050" xr:uid="{8C03A438-6355-445C-8E43-16E59DB43D67}"/>
    <cellStyle name="Comma 9 2 2 4 2 2 2" xfId="10686" xr:uid="{7029FD39-17F4-410F-B2A7-720938C9CDA8}"/>
    <cellStyle name="Comma 9 2 2 4 2 3" xfId="7876" xr:uid="{C756D6BD-1BBA-4806-88D3-6984FFAE76DB}"/>
    <cellStyle name="Comma 9 2 2 4 3" xfId="3649" xr:uid="{F3BB41E9-077A-4188-B0BD-D7A7DFB4ECE3}"/>
    <cellStyle name="Comma 9 2 2 4 3 2" xfId="9285" xr:uid="{32309A92-8A6B-4281-9422-64AA0D66D073}"/>
    <cellStyle name="Comma 9 2 2 4 4" xfId="6475" xr:uid="{89C88118-0BB7-42F2-A562-DE2061D98128}"/>
    <cellStyle name="Comma 9 2 2 5" xfId="1544" xr:uid="{84F14632-7064-4AFF-A30F-D7623277EA8D}"/>
    <cellStyle name="Comma 9 2 2 5 2" xfId="4354" xr:uid="{BCF14623-E5EC-4547-8792-D9EE98F90074}"/>
    <cellStyle name="Comma 9 2 2 5 2 2" xfId="9990" xr:uid="{BBD07C88-25C2-49FA-A8C2-D4B9C6F27B5B}"/>
    <cellStyle name="Comma 9 2 2 5 3" xfId="7180" xr:uid="{6D3DEE09-EBA9-4887-B709-6D5C8242600D}"/>
    <cellStyle name="Comma 9 2 2 6" xfId="2953" xr:uid="{8C8DBA44-8DD4-449B-B4B1-95518E6ED371}"/>
    <cellStyle name="Comma 9 2 2 6 2" xfId="8589" xr:uid="{2435CA6E-12C1-49E0-B847-D3C9A66A0091}"/>
    <cellStyle name="Comma 9 2 2 7" xfId="5779" xr:uid="{1D7FA5A1-E9CC-4636-A530-97E98E9D9656}"/>
    <cellStyle name="Comma 9 2 3" xfId="235" xr:uid="{CB8A7CC8-FBDE-4D44-B5DB-5A0BCB34FDCB}"/>
    <cellStyle name="Comma 9 2 3 2" xfId="579" xr:uid="{DB094631-2569-4F16-94C9-117DBBAAB828}"/>
    <cellStyle name="Comma 9 2 3 2 2" xfId="1275" xr:uid="{6D682486-5F98-4C7D-B3C4-439CAAB42D05}"/>
    <cellStyle name="Comma 9 2 3 2 2 2" xfId="2676" xr:uid="{2B42715E-B4E7-4A68-886A-D708AF0B340F}"/>
    <cellStyle name="Comma 9 2 3 2 2 2 2" xfId="5486" xr:uid="{EE6F5FB9-F9EA-4010-A1B8-E64988DFDEE9}"/>
    <cellStyle name="Comma 9 2 3 2 2 2 2 2" xfId="11122" xr:uid="{6A7CE966-84F7-413D-837E-994751862D47}"/>
    <cellStyle name="Comma 9 2 3 2 2 2 3" xfId="8312" xr:uid="{113FBD94-6524-4E9B-BFD0-39CC9AE22A97}"/>
    <cellStyle name="Comma 9 2 3 2 2 3" xfId="4085" xr:uid="{459B8ED5-8667-4E03-A875-9AF6DDDA1D78}"/>
    <cellStyle name="Comma 9 2 3 2 2 3 2" xfId="9721" xr:uid="{12C3099A-437E-4068-9549-A8D8D195A5BE}"/>
    <cellStyle name="Comma 9 2 3 2 2 4" xfId="6911" xr:uid="{78DC9F06-8690-4BDC-B42D-77F6482B40DC}"/>
    <cellStyle name="Comma 9 2 3 2 3" xfId="1980" xr:uid="{06B82A15-B1CB-48B8-988D-783AB873D10E}"/>
    <cellStyle name="Comma 9 2 3 2 3 2" xfId="4790" xr:uid="{6F3E1F0D-6FEF-40C0-A1A2-34E6DC788EAE}"/>
    <cellStyle name="Comma 9 2 3 2 3 2 2" xfId="10426" xr:uid="{EACE05D9-168B-4C36-A74A-C03862E410E5}"/>
    <cellStyle name="Comma 9 2 3 2 3 3" xfId="7616" xr:uid="{6F4BB31B-C5F3-4B7C-872C-2A37683DA4E6}"/>
    <cellStyle name="Comma 9 2 3 2 4" xfId="3389" xr:uid="{583E9CF2-9E8D-4629-AAA0-1C543F004974}"/>
    <cellStyle name="Comma 9 2 3 2 4 2" xfId="9025" xr:uid="{A71059E6-925A-41FB-974E-249DF319A07A}"/>
    <cellStyle name="Comma 9 2 3 2 5" xfId="6215" xr:uid="{DBC27181-4403-4A08-A322-79BA9FE4B11E}"/>
    <cellStyle name="Comma 9 2 3 3" xfId="931" xr:uid="{D6FD0FB0-389B-4772-975D-3A81409F4F85}"/>
    <cellStyle name="Comma 9 2 3 3 2" xfId="2332" xr:uid="{4886F069-0991-44A8-81CA-9C52E25B7F03}"/>
    <cellStyle name="Comma 9 2 3 3 2 2" xfId="5142" xr:uid="{1503E1CE-57FE-4B97-BE3D-22ED910E206D}"/>
    <cellStyle name="Comma 9 2 3 3 2 2 2" xfId="10778" xr:uid="{A5D0EFB6-F7D2-453B-90FC-550118C84633}"/>
    <cellStyle name="Comma 9 2 3 3 2 3" xfId="7968" xr:uid="{E93E9AC7-E8A5-4C96-A786-ACCE7EB80806}"/>
    <cellStyle name="Comma 9 2 3 3 3" xfId="3741" xr:uid="{04E857AA-4FC8-4463-9FFB-FC07FB89D26F}"/>
    <cellStyle name="Comma 9 2 3 3 3 2" xfId="9377" xr:uid="{9B340E8B-2028-47B6-B748-C6DC5D64586B}"/>
    <cellStyle name="Comma 9 2 3 3 4" xfId="6567" xr:uid="{4FA993B3-1603-459C-9717-E4F4A0145D0B}"/>
    <cellStyle name="Comma 9 2 3 4" xfId="1636" xr:uid="{BD52AE25-510A-4971-923A-EE67748D51EE}"/>
    <cellStyle name="Comma 9 2 3 4 2" xfId="4446" xr:uid="{90238926-E996-424C-A3BB-8FA773080BC6}"/>
    <cellStyle name="Comma 9 2 3 4 2 2" xfId="10082" xr:uid="{A2C4E9F4-F398-4240-A7EB-D761506DB1B4}"/>
    <cellStyle name="Comma 9 2 3 4 3" xfId="7272" xr:uid="{31CD4155-7EDC-4565-AF24-D852FA134CBC}"/>
    <cellStyle name="Comma 9 2 3 5" xfId="3045" xr:uid="{97F17857-AFA5-4B7A-9703-80E42C87068C}"/>
    <cellStyle name="Comma 9 2 3 5 2" xfId="8681" xr:uid="{45D7C323-FFA3-43B9-8E28-659070906E27}"/>
    <cellStyle name="Comma 9 2 3 6" xfId="5871" xr:uid="{38A91E05-28FE-4450-A1C2-85BC8B5AB3D3}"/>
    <cellStyle name="Comma 9 2 4" xfId="407" xr:uid="{53E4E3D8-AA98-4C72-88F9-27E13D0F1923}"/>
    <cellStyle name="Comma 9 2 4 2" xfId="1103" xr:uid="{FE3007FE-E47F-4480-8E47-634C904B9B89}"/>
    <cellStyle name="Comma 9 2 4 2 2" xfId="2504" xr:uid="{43EA2324-7FCF-48DC-80EA-272FDFA19538}"/>
    <cellStyle name="Comma 9 2 4 2 2 2" xfId="5314" xr:uid="{3AA9E43E-438F-4C08-916A-C663482F0A79}"/>
    <cellStyle name="Comma 9 2 4 2 2 2 2" xfId="10950" xr:uid="{17FBD28F-9F02-4271-A16E-ACCB30C8F9CC}"/>
    <cellStyle name="Comma 9 2 4 2 2 3" xfId="8140" xr:uid="{8C68BA84-8767-4D8C-8243-DE2A37B571F1}"/>
    <cellStyle name="Comma 9 2 4 2 3" xfId="3913" xr:uid="{8CECC39C-D05C-4264-AB11-5F8C74B1749E}"/>
    <cellStyle name="Comma 9 2 4 2 3 2" xfId="9549" xr:uid="{AE70F3E6-1DDE-4E87-A089-D1BC6154BCA5}"/>
    <cellStyle name="Comma 9 2 4 2 4" xfId="6739" xr:uid="{478AC4BE-4F65-40CF-BC27-FE95FAF1E33E}"/>
    <cellStyle name="Comma 9 2 4 3" xfId="1808" xr:uid="{F862DAE5-4B41-4246-9481-A8ED7524F5E2}"/>
    <cellStyle name="Comma 9 2 4 3 2" xfId="4618" xr:uid="{F4101BAF-09E8-4785-A1E6-B39843247F5A}"/>
    <cellStyle name="Comma 9 2 4 3 2 2" xfId="10254" xr:uid="{9E2DB68E-BEAF-43C1-BDE7-16E911B26738}"/>
    <cellStyle name="Comma 9 2 4 3 3" xfId="7444" xr:uid="{3FBEDE09-CC4D-47DF-B9BD-D2CA1E5181AB}"/>
    <cellStyle name="Comma 9 2 4 4" xfId="3217" xr:uid="{B862BB0B-C592-4ED6-86FF-48D7AFC9B77A}"/>
    <cellStyle name="Comma 9 2 4 4 2" xfId="8853" xr:uid="{C755325F-8910-4FE6-BBBC-B296B2A82610}"/>
    <cellStyle name="Comma 9 2 4 5" xfId="6043" xr:uid="{CCABC272-97AE-499D-A95D-8D60B6F55E30}"/>
    <cellStyle name="Comma 9 2 5" xfId="759" xr:uid="{0C204803-346C-4A0C-BD97-ECB030DFB55F}"/>
    <cellStyle name="Comma 9 2 5 2" xfId="2160" xr:uid="{7A7743EE-B689-43E8-BB79-F6D701F1A1F0}"/>
    <cellStyle name="Comma 9 2 5 2 2" xfId="4970" xr:uid="{1DE59A0F-AB3B-4A0B-B17A-21A34F361436}"/>
    <cellStyle name="Comma 9 2 5 2 2 2" xfId="10606" xr:uid="{0696B2B1-AD37-46B2-AB0C-2FA2BAB43C1B}"/>
    <cellStyle name="Comma 9 2 5 2 3" xfId="7796" xr:uid="{4F598DF2-162B-4B1D-B70B-975D3EF42610}"/>
    <cellStyle name="Comma 9 2 5 3" xfId="3569" xr:uid="{E610F621-D099-4035-A2C6-3C6E8CB73633}"/>
    <cellStyle name="Comma 9 2 5 3 2" xfId="9205" xr:uid="{843F4E0F-BB49-40AB-841C-A6A09E1034A3}"/>
    <cellStyle name="Comma 9 2 5 4" xfId="6395" xr:uid="{FEB0BA0C-83AA-4201-A8FF-3FEDC44631AA}"/>
    <cellStyle name="Comma 9 2 6" xfId="1464" xr:uid="{386C7BA4-DD5F-420B-B569-130C084CE53A}"/>
    <cellStyle name="Comma 9 2 6 2" xfId="4274" xr:uid="{3CC5B58B-3493-42AC-86A8-A28C3A63FC93}"/>
    <cellStyle name="Comma 9 2 6 2 2" xfId="9910" xr:uid="{BB57A015-C54D-41B7-9AE0-1898004FA2BC}"/>
    <cellStyle name="Comma 9 2 6 3" xfId="7100" xr:uid="{D5384496-0EF1-4F24-B49B-9173E789E9B6}"/>
    <cellStyle name="Comma 9 2 7" xfId="2873" xr:uid="{FFB1F0A2-8A8F-4A8F-9034-7F57E284839E}"/>
    <cellStyle name="Comma 9 2 7 2" xfId="8509" xr:uid="{ED602646-5CD6-4FED-B737-4046180FD2C5}"/>
    <cellStyle name="Comma 9 2 8" xfId="5699" xr:uid="{EBA0D8E7-95BE-4A63-831B-C8466605E319}"/>
    <cellStyle name="Comma 9 3" xfId="111" xr:uid="{E1423255-15A5-49A4-96B8-BF48FCC9C52C}"/>
    <cellStyle name="Comma 9 3 2" xfId="283" xr:uid="{01FDF0FC-9C47-4133-ABFC-FDB332BA9CAC}"/>
    <cellStyle name="Comma 9 3 2 2" xfId="627" xr:uid="{188AD075-E22E-4358-975A-C203B144EEF2}"/>
    <cellStyle name="Comma 9 3 2 2 2" xfId="1323" xr:uid="{8BBA8C50-4546-462D-8537-A1E4D7CBBB2D}"/>
    <cellStyle name="Comma 9 3 2 2 2 2" xfId="2724" xr:uid="{79459BCF-F1B0-41B8-B67E-09C70D04D63E}"/>
    <cellStyle name="Comma 9 3 2 2 2 2 2" xfId="5534" xr:uid="{45B32751-734B-4494-9D75-B9DFA63AA29D}"/>
    <cellStyle name="Comma 9 3 2 2 2 2 2 2" xfId="11170" xr:uid="{04BD42E1-4554-49E1-BAAF-0EEDA895151D}"/>
    <cellStyle name="Comma 9 3 2 2 2 2 3" xfId="8360" xr:uid="{98F69897-C3AD-47B4-B06A-848636569054}"/>
    <cellStyle name="Comma 9 3 2 2 2 3" xfId="4133" xr:uid="{43958E02-4992-4837-B465-7452F0A2FF36}"/>
    <cellStyle name="Comma 9 3 2 2 2 3 2" xfId="9769" xr:uid="{1FB36C8B-2241-4B40-8BE7-A4525551420C}"/>
    <cellStyle name="Comma 9 3 2 2 2 4" xfId="6959" xr:uid="{A58A8CC6-5E2D-453D-9333-D04F6EA11727}"/>
    <cellStyle name="Comma 9 3 2 2 3" xfId="2028" xr:uid="{41A5C9FF-CEC4-4302-916F-9CEAE41AF86A}"/>
    <cellStyle name="Comma 9 3 2 2 3 2" xfId="4838" xr:uid="{C3623DA8-F243-4662-90D0-B87A1BED1886}"/>
    <cellStyle name="Comma 9 3 2 2 3 2 2" xfId="10474" xr:uid="{514B753D-E623-4CEF-B724-8D283147C958}"/>
    <cellStyle name="Comma 9 3 2 2 3 3" xfId="7664" xr:uid="{404503B2-5ABA-43F6-ADFF-37BE6DB1E6AC}"/>
    <cellStyle name="Comma 9 3 2 2 4" xfId="3437" xr:uid="{D40AA94D-FD2E-4745-8FAE-422AAD28F6C4}"/>
    <cellStyle name="Comma 9 3 2 2 4 2" xfId="9073" xr:uid="{9503869F-F6D2-471C-A9D0-1DE74E65FDF5}"/>
    <cellStyle name="Comma 9 3 2 2 5" xfId="6263" xr:uid="{482C646B-FEAF-45F9-A539-ABB1644D0435}"/>
    <cellStyle name="Comma 9 3 2 3" xfId="979" xr:uid="{35FB7EA3-FFA8-4B9C-9751-01BEDB6218D4}"/>
    <cellStyle name="Comma 9 3 2 3 2" xfId="2380" xr:uid="{1609CE91-97F5-4FC2-A85C-8E6170E2B437}"/>
    <cellStyle name="Comma 9 3 2 3 2 2" xfId="5190" xr:uid="{DC4F3C12-7261-466A-A16A-9AEC09C79D39}"/>
    <cellStyle name="Comma 9 3 2 3 2 2 2" xfId="10826" xr:uid="{3B4A8DF1-9204-4347-9A15-F528212B8203}"/>
    <cellStyle name="Comma 9 3 2 3 2 3" xfId="8016" xr:uid="{6FEE18D7-B729-453D-ABF9-1942C3030F1F}"/>
    <cellStyle name="Comma 9 3 2 3 3" xfId="3789" xr:uid="{DD74D7C0-B695-4FD2-A1D1-9E66AD92497F}"/>
    <cellStyle name="Comma 9 3 2 3 3 2" xfId="9425" xr:uid="{4EDCBB38-F6E9-4E34-9D0E-B373A583847B}"/>
    <cellStyle name="Comma 9 3 2 3 4" xfId="6615" xr:uid="{E8452289-32EB-4A76-9B89-09A9A5A5CE27}"/>
    <cellStyle name="Comma 9 3 2 4" xfId="1684" xr:uid="{B78E7F22-879A-4EC6-AFAE-3B6634C4349C}"/>
    <cellStyle name="Comma 9 3 2 4 2" xfId="4494" xr:uid="{35483F8A-7AF3-4634-B1A4-30D60D0B1D03}"/>
    <cellStyle name="Comma 9 3 2 4 2 2" xfId="10130" xr:uid="{E9B006B0-98C1-4728-9E61-4836033F9590}"/>
    <cellStyle name="Comma 9 3 2 4 3" xfId="7320" xr:uid="{C7C021AE-BABC-473F-A25D-05E22A0B8077}"/>
    <cellStyle name="Comma 9 3 2 5" xfId="3093" xr:uid="{771DF0B0-84F7-42CF-9534-F61F0C6DC11F}"/>
    <cellStyle name="Comma 9 3 2 5 2" xfId="8729" xr:uid="{66805748-F5DD-42C7-B33D-E02D3A9693A5}"/>
    <cellStyle name="Comma 9 3 2 6" xfId="5919" xr:uid="{1A53570F-5921-42DD-A7EE-FB029D0F1EE7}"/>
    <cellStyle name="Comma 9 3 3" xfId="455" xr:uid="{B688CFCC-5BD0-46FE-99DF-C3330FEA5F5F}"/>
    <cellStyle name="Comma 9 3 3 2" xfId="1151" xr:uid="{9FBC0F32-FBDA-4095-9333-1731032987AD}"/>
    <cellStyle name="Comma 9 3 3 2 2" xfId="2552" xr:uid="{AC2DC279-17D7-4B84-AF1D-9CC1D048D965}"/>
    <cellStyle name="Comma 9 3 3 2 2 2" xfId="5362" xr:uid="{8766918F-7236-49E6-A2BA-EA81E1880040}"/>
    <cellStyle name="Comma 9 3 3 2 2 2 2" xfId="10998" xr:uid="{18BB0318-19F7-4A60-BC0B-A2B33AD4FB0D}"/>
    <cellStyle name="Comma 9 3 3 2 2 3" xfId="8188" xr:uid="{C1ECEFDA-F823-4C90-8CB3-DF8D503CFF30}"/>
    <cellStyle name="Comma 9 3 3 2 3" xfId="3961" xr:uid="{7FD669D6-962E-4364-B1E2-7C34740AAE63}"/>
    <cellStyle name="Comma 9 3 3 2 3 2" xfId="9597" xr:uid="{2F14E9ED-00AB-4556-843A-9AF9743D9D2F}"/>
    <cellStyle name="Comma 9 3 3 2 4" xfId="6787" xr:uid="{433FA124-AED9-4C8F-BBC7-390D64995674}"/>
    <cellStyle name="Comma 9 3 3 3" xfId="1856" xr:uid="{B84E250F-3E72-4862-90D7-AAA31C297DB7}"/>
    <cellStyle name="Comma 9 3 3 3 2" xfId="4666" xr:uid="{1781ED36-3ED2-44D9-8682-8C493B98727B}"/>
    <cellStyle name="Comma 9 3 3 3 2 2" xfId="10302" xr:uid="{E86879BB-6C40-4277-A0BC-70A0BE4DCCF1}"/>
    <cellStyle name="Comma 9 3 3 3 3" xfId="7492" xr:uid="{AE4C6570-E8A2-46E6-8DE6-5BA58DB4D1F0}"/>
    <cellStyle name="Comma 9 3 3 4" xfId="3265" xr:uid="{FA85CB8A-A5CC-4715-8319-962A3B7AB44A}"/>
    <cellStyle name="Comma 9 3 3 4 2" xfId="8901" xr:uid="{32B07D2C-1EF8-45F1-8A63-9F695D92D457}"/>
    <cellStyle name="Comma 9 3 3 5" xfId="6091" xr:uid="{A5621886-DBB3-4490-BEB8-C306C68FCC58}"/>
    <cellStyle name="Comma 9 3 4" xfId="807" xr:uid="{FBB25B5A-983C-469A-9B27-9BDAD96494F3}"/>
    <cellStyle name="Comma 9 3 4 2" xfId="2208" xr:uid="{253EBE57-3F80-4881-BAF4-A95C736613C1}"/>
    <cellStyle name="Comma 9 3 4 2 2" xfId="5018" xr:uid="{6353ABFF-05EF-4D06-8B9F-F0078230246F}"/>
    <cellStyle name="Comma 9 3 4 2 2 2" xfId="10654" xr:uid="{6CB90B7B-B3F2-41F6-9451-1B1BF422118A}"/>
    <cellStyle name="Comma 9 3 4 2 3" xfId="7844" xr:uid="{4DCD0C7C-3A65-4FF0-8CB7-E6AC7ABEBA55}"/>
    <cellStyle name="Comma 9 3 4 3" xfId="3617" xr:uid="{9ED808EE-14A6-4B53-9DFC-CED7043A3F02}"/>
    <cellStyle name="Comma 9 3 4 3 2" xfId="9253" xr:uid="{D916520D-D3B6-4136-AA48-440E27C20637}"/>
    <cellStyle name="Comma 9 3 4 4" xfId="6443" xr:uid="{335038E1-D5EC-44C3-BD4B-9827806BFFC3}"/>
    <cellStyle name="Comma 9 3 5" xfId="1512" xr:uid="{E07D1A08-1148-4FE7-9F57-E637DB5CD642}"/>
    <cellStyle name="Comma 9 3 5 2" xfId="4322" xr:uid="{5076DED1-3BB4-4C59-B731-D9981613FD59}"/>
    <cellStyle name="Comma 9 3 5 2 2" xfId="9958" xr:uid="{BD962498-C67D-4664-A813-9836D9A581A5}"/>
    <cellStyle name="Comma 9 3 5 3" xfId="7148" xr:uid="{99C13651-008E-4655-B06D-E099FE67AABF}"/>
    <cellStyle name="Comma 9 3 6" xfId="2921" xr:uid="{CFA0AB9B-F892-4DD2-BB81-391AC8A52668}"/>
    <cellStyle name="Comma 9 3 6 2" xfId="8557" xr:uid="{2C7B1800-4481-4C19-9BE7-25BD45F32894}"/>
    <cellStyle name="Comma 9 3 7" xfId="5747" xr:uid="{9A58E4CF-18FD-438F-A7BE-B502832DE16B}"/>
    <cellStyle name="Comma 9 4" xfId="203" xr:uid="{B0F8049C-BD1D-4837-9A31-F0A2C6B58D5F}"/>
    <cellStyle name="Comma 9 4 2" xfId="547" xr:uid="{5879D1BC-FC7D-40B0-B776-300B14EC5792}"/>
    <cellStyle name="Comma 9 4 2 2" xfId="1243" xr:uid="{669FA539-A4A7-4EE9-BC25-A3D7F960EFFA}"/>
    <cellStyle name="Comma 9 4 2 2 2" xfId="2644" xr:uid="{04FE2B9E-AD95-48FD-9F81-D990353A750E}"/>
    <cellStyle name="Comma 9 4 2 2 2 2" xfId="5454" xr:uid="{2AACE4DB-95CB-44E0-8E1A-DCC529CF012F}"/>
    <cellStyle name="Comma 9 4 2 2 2 2 2" xfId="11090" xr:uid="{D4CF66C9-0812-4E2F-961D-5D411A20521C}"/>
    <cellStyle name="Comma 9 4 2 2 2 3" xfId="8280" xr:uid="{4A45331A-3BC4-4E69-B906-BDFDD3E10131}"/>
    <cellStyle name="Comma 9 4 2 2 3" xfId="4053" xr:uid="{FCABDDF2-4CCB-4E37-97D6-1D4D888D680F}"/>
    <cellStyle name="Comma 9 4 2 2 3 2" xfId="9689" xr:uid="{E605A4F1-CBD0-44F2-88EC-3FBC3442AA2D}"/>
    <cellStyle name="Comma 9 4 2 2 4" xfId="6879" xr:uid="{7AF0E7E7-0C4A-42C3-8D68-D1ACD69510B5}"/>
    <cellStyle name="Comma 9 4 2 3" xfId="1948" xr:uid="{468D3840-5E76-4C1F-9420-DB77BE4EA703}"/>
    <cellStyle name="Comma 9 4 2 3 2" xfId="4758" xr:uid="{626C9C8E-6A9F-428C-AC92-115BCFEBD7B0}"/>
    <cellStyle name="Comma 9 4 2 3 2 2" xfId="10394" xr:uid="{522E9BC7-6E71-451F-8771-6DA87AC7A71C}"/>
    <cellStyle name="Comma 9 4 2 3 3" xfId="7584" xr:uid="{8F34EBEE-B9B7-4399-AC65-AA0E6E31F18B}"/>
    <cellStyle name="Comma 9 4 2 4" xfId="3357" xr:uid="{81B75C4E-6ECA-4C33-9735-5B838C4867CC}"/>
    <cellStyle name="Comma 9 4 2 4 2" xfId="8993" xr:uid="{3F5EF452-BC28-4D1A-B1AD-7A692B91F270}"/>
    <cellStyle name="Comma 9 4 2 5" xfId="6183" xr:uid="{C3B5D8DF-1AE5-4EF9-BC02-71C3A21685FB}"/>
    <cellStyle name="Comma 9 4 3" xfId="899" xr:uid="{BCF2F2A1-A89A-4342-B230-44AE2367726A}"/>
    <cellStyle name="Comma 9 4 3 2" xfId="2300" xr:uid="{84D59627-FD71-4813-9E31-5D6429772F99}"/>
    <cellStyle name="Comma 9 4 3 2 2" xfId="5110" xr:uid="{54F5C44E-A817-4F23-BC22-A23E4ABBCBD8}"/>
    <cellStyle name="Comma 9 4 3 2 2 2" xfId="10746" xr:uid="{660C3005-B920-4BCF-9DFA-C6CF39097E7F}"/>
    <cellStyle name="Comma 9 4 3 2 3" xfId="7936" xr:uid="{5AB256DC-8A4D-40F9-B136-D601130C359A}"/>
    <cellStyle name="Comma 9 4 3 3" xfId="3709" xr:uid="{9166BA41-6993-47E1-897A-DC9D97C57E10}"/>
    <cellStyle name="Comma 9 4 3 3 2" xfId="9345" xr:uid="{5FC5B72C-7CA3-4C0A-9410-2293E4786003}"/>
    <cellStyle name="Comma 9 4 3 4" xfId="6535" xr:uid="{2E85D708-71AD-4ACB-897A-79730D335527}"/>
    <cellStyle name="Comma 9 4 4" xfId="1604" xr:uid="{C955CA32-7AF4-48BD-90BD-D82C3C57081B}"/>
    <cellStyle name="Comma 9 4 4 2" xfId="4414" xr:uid="{599096B0-2928-4BC3-B8C3-9C46F3C14629}"/>
    <cellStyle name="Comma 9 4 4 2 2" xfId="10050" xr:uid="{CEB8A8B5-07A1-4C00-8901-6893F095809F}"/>
    <cellStyle name="Comma 9 4 4 3" xfId="7240" xr:uid="{AF1A63FD-A21E-4F3C-97EC-44D5E0BFAF51}"/>
    <cellStyle name="Comma 9 4 5" xfId="3013" xr:uid="{DD0D9E4C-B784-4BC2-899D-556A2160D179}"/>
    <cellStyle name="Comma 9 4 5 2" xfId="8649" xr:uid="{EFA40130-833B-4CAB-B3F1-900542E54576}"/>
    <cellStyle name="Comma 9 4 6" xfId="5839" xr:uid="{3FBF2DEB-7233-4487-8B38-EBCDD9D36EA9}"/>
    <cellStyle name="Comma 9 5" xfId="375" xr:uid="{6B15AC2B-7063-4775-8B4A-AE1D0AA805A8}"/>
    <cellStyle name="Comma 9 5 2" xfId="1071" xr:uid="{41229E42-9A35-441E-A9FB-25F20F7A1364}"/>
    <cellStyle name="Comma 9 5 2 2" xfId="2472" xr:uid="{899384CA-5485-4C71-BEFC-933119FE4717}"/>
    <cellStyle name="Comma 9 5 2 2 2" xfId="5282" xr:uid="{F69849AB-95BD-442D-8F74-470AC10CD389}"/>
    <cellStyle name="Comma 9 5 2 2 2 2" xfId="10918" xr:uid="{0D28B8B9-685E-4A1E-8D79-A43DA1B440A8}"/>
    <cellStyle name="Comma 9 5 2 2 3" xfId="8108" xr:uid="{177BF599-1C88-4156-ADFF-9B356E1D6032}"/>
    <cellStyle name="Comma 9 5 2 3" xfId="3881" xr:uid="{89D910A0-DD7A-4790-9C4F-A521D9D95909}"/>
    <cellStyle name="Comma 9 5 2 3 2" xfId="9517" xr:uid="{3DD3709E-6F5C-4438-9894-FCBB6107F039}"/>
    <cellStyle name="Comma 9 5 2 4" xfId="6707" xr:uid="{694A6491-1E08-4BED-8692-46B095062C91}"/>
    <cellStyle name="Comma 9 5 3" xfId="1776" xr:uid="{C574AA20-765E-4C0E-BDE1-26A9F2C52A02}"/>
    <cellStyle name="Comma 9 5 3 2" xfId="4586" xr:uid="{EC85E197-B63F-4DE8-938D-FFFBEB18C668}"/>
    <cellStyle name="Comma 9 5 3 2 2" xfId="10222" xr:uid="{2DDCA434-A3EF-4EC1-91A8-96457D4DCCD2}"/>
    <cellStyle name="Comma 9 5 3 3" xfId="7412" xr:uid="{9F47FAF1-DF9B-4B0A-99EB-F5D138B3C88C}"/>
    <cellStyle name="Comma 9 5 4" xfId="3185" xr:uid="{4459A17B-851D-4FCD-AA6F-51CE621250E0}"/>
    <cellStyle name="Comma 9 5 4 2" xfId="8821" xr:uid="{C6D2CA00-56B7-4E16-AFFD-FC1200F8889F}"/>
    <cellStyle name="Comma 9 5 5" xfId="6011" xr:uid="{A3CA3BF3-E4EC-4B26-91C0-604F87D97223}"/>
    <cellStyle name="Comma 9 6" xfId="727" xr:uid="{D7C0093D-A04A-460A-81A8-BF3485295217}"/>
    <cellStyle name="Comma 9 6 2" xfId="2128" xr:uid="{50696C4F-9C00-4789-8392-AFFEA10106E6}"/>
    <cellStyle name="Comma 9 6 2 2" xfId="4938" xr:uid="{A2D770D1-D8DF-4AF0-98EE-1BAFB162E44E}"/>
    <cellStyle name="Comma 9 6 2 2 2" xfId="10574" xr:uid="{1DA82965-2FEE-4F1C-8159-671DCD174DC3}"/>
    <cellStyle name="Comma 9 6 2 3" xfId="7764" xr:uid="{61E59DEC-2578-416D-AC27-28F90E0D41EF}"/>
    <cellStyle name="Comma 9 6 3" xfId="3537" xr:uid="{869DD513-4071-41E7-92FB-9FC01C3558DE}"/>
    <cellStyle name="Comma 9 6 3 2" xfId="9173" xr:uid="{9C6EBA5C-AE58-4B14-8319-03861A8CDD73}"/>
    <cellStyle name="Comma 9 6 4" xfId="6363" xr:uid="{4E4EFD8C-313C-4868-9D81-3A53F35AB03D}"/>
    <cellStyle name="Comma 9 7" xfId="1432" xr:uid="{099569C2-6490-48DB-8FEA-1FADED399F16}"/>
    <cellStyle name="Comma 9 7 2" xfId="4242" xr:uid="{3C387250-4017-4891-AB41-7D0173AF9498}"/>
    <cellStyle name="Comma 9 7 2 2" xfId="9878" xr:uid="{D5C8EFCA-5B09-402F-9403-CC00DE7356C9}"/>
    <cellStyle name="Comma 9 7 3" xfId="7068" xr:uid="{0E5DDF1F-2063-4F42-803E-4C1AE3C4205B}"/>
    <cellStyle name="Comma 9 8" xfId="2841" xr:uid="{EA22B20F-8B6C-4F85-804A-6E7EBF30298E}"/>
    <cellStyle name="Comma 9 8 2" xfId="8477" xr:uid="{8E34FF5C-C861-4D98-8395-D6A1E4B4FAB1}"/>
    <cellStyle name="Comma 9 9" xfId="5667" xr:uid="{FFD65CF2-BD31-4B27-AA74-6187229F2E88}"/>
    <cellStyle name="Currency 10" xfId="699" xr:uid="{755FD334-F2BB-41AC-92BD-AC3F8D5E74B0}"/>
    <cellStyle name="Currency 10 2" xfId="2100" xr:uid="{A5084878-8D3D-43A6-AE6B-A56A5768AA59}"/>
    <cellStyle name="Currency 10 2 2" xfId="4910" xr:uid="{43B1DCB0-67AC-40F8-B3BC-EF8723E2BA03}"/>
    <cellStyle name="Currency 10 2 2 2" xfId="10546" xr:uid="{9FB0A3A7-F63A-40B3-821B-D1A91B1A000A}"/>
    <cellStyle name="Currency 10 2 3" xfId="7736" xr:uid="{B7B2D448-E50A-4BF6-9D68-8D1BE2E7492E}"/>
    <cellStyle name="Currency 10 3" xfId="3509" xr:uid="{71893E42-5DA8-496F-9A08-BF1264ECFA00}"/>
    <cellStyle name="Currency 10 3 2" xfId="9145" xr:uid="{51C9D72E-2C7F-47AF-84F9-CD75DA3621EE}"/>
    <cellStyle name="Currency 10 4" xfId="6335" xr:uid="{F89CC073-33DF-4C7F-B226-2AACA81B528A}"/>
    <cellStyle name="Currency 11" xfId="1394" xr:uid="{1D6E56E3-0BE9-4F29-976B-DAEA1DFEB071}"/>
    <cellStyle name="Currency 11 2" xfId="2795" xr:uid="{7A04A95E-297E-4112-8A62-E08886279064}"/>
    <cellStyle name="Currency 11 2 2" xfId="5605" xr:uid="{8A1F7ECF-9DB8-4C51-89AF-CC698E05083C}"/>
    <cellStyle name="Currency 11 2 2 2" xfId="11241" xr:uid="{54ADD6B6-A8C1-4CC5-988F-DB402C095D5E}"/>
    <cellStyle name="Currency 11 2 3" xfId="8431" xr:uid="{5A558C2D-03D4-4A4B-BFAD-E5C4D9FCB5C3}"/>
    <cellStyle name="Currency 11 3" xfId="4204" xr:uid="{B48A843F-FB38-4BF3-9B8D-3CBEBF990D3D}"/>
    <cellStyle name="Currency 11 3 2" xfId="9840" xr:uid="{CB1BB84C-14EA-4D82-954E-912CC2435653}"/>
    <cellStyle name="Currency 11 4" xfId="7030" xr:uid="{0FCF525A-C8C8-4805-9B55-E2414260E867}"/>
    <cellStyle name="Currency 12" xfId="1404" xr:uid="{8621AA99-AA6A-459C-8A80-40668B49B86A}"/>
    <cellStyle name="Currency 12 2" xfId="4214" xr:uid="{4CF85B14-D11C-40A3-820E-5F5B7783B55E}"/>
    <cellStyle name="Currency 12 2 2" xfId="9850" xr:uid="{D57D1399-A0DF-4084-9188-ADF0FAED56BD}"/>
    <cellStyle name="Currency 12 3" xfId="7040" xr:uid="{E2AC9814-8C9C-4ACD-99FB-741BB455B6FE}"/>
    <cellStyle name="Currency 13" xfId="2804" xr:uid="{26BF37D2-099C-49F8-B12E-FB410BBD4482}"/>
    <cellStyle name="Currency 13 2" xfId="5614" xr:uid="{240BE950-5932-4CA8-9048-17A58025A798}"/>
    <cellStyle name="Currency 13 2 2" xfId="11250" xr:uid="{7B67973C-770D-496E-91BE-BEBA9C761462}"/>
    <cellStyle name="Currency 13 3" xfId="8440" xr:uid="{7532CB64-3BDD-47B6-95C9-782B6BD12A8C}"/>
    <cellStyle name="Currency 14" xfId="2813" xr:uid="{0E60B33D-1EA3-43C9-BD7B-4E7BBD4E473B}"/>
    <cellStyle name="Currency 14 2" xfId="8449" xr:uid="{FD2EC73B-2037-4602-8CA7-A43D31CDA353}"/>
    <cellStyle name="Currency 15" xfId="5621" xr:uid="{CBC2317A-2724-4A9F-9C67-57F367787647}"/>
    <cellStyle name="Currency 15 2" xfId="11257" xr:uid="{4EDCAE21-9637-4F6F-BA5E-BB8B83E9047E}"/>
    <cellStyle name="Currency 16" xfId="5639" xr:uid="{3F7FB2B2-8BB8-47A3-8303-94D9F9824FB5}"/>
    <cellStyle name="Currency 2" xfId="15" xr:uid="{FBB55588-98DE-4DCA-A64F-F375BF59D102}"/>
    <cellStyle name="Currency 2 2" xfId="47" xr:uid="{A589655E-83DA-49ED-8839-F4D2BB408450}"/>
    <cellStyle name="Currency 2 2 2" xfId="127" xr:uid="{458FAFD0-E8E4-4495-8853-8EA5997C98BB}"/>
    <cellStyle name="Currency 2 2 2 2" xfId="299" xr:uid="{37EFE005-186C-49B1-8003-5980E6D5C37E}"/>
    <cellStyle name="Currency 2 2 2 2 2" xfId="643" xr:uid="{C54C4581-F43E-47FA-B41A-1377D0F72B1B}"/>
    <cellStyle name="Currency 2 2 2 2 2 2" xfId="1339" xr:uid="{6E58781B-A7AE-4643-8F9B-75EDCFDF49C5}"/>
    <cellStyle name="Currency 2 2 2 2 2 2 2" xfId="2740" xr:uid="{C9318DB5-93F3-4E7E-86C0-CB7A4D2CD89E}"/>
    <cellStyle name="Currency 2 2 2 2 2 2 2 2" xfId="5550" xr:uid="{0523BB3A-437A-41E8-BB53-F06E8EA0B8E5}"/>
    <cellStyle name="Currency 2 2 2 2 2 2 2 2 2" xfId="11186" xr:uid="{45177642-37A4-4D1F-85C9-58EAFAE2D68F}"/>
    <cellStyle name="Currency 2 2 2 2 2 2 2 3" xfId="8376" xr:uid="{3566E3BF-C286-4951-8863-9A43845C2C4E}"/>
    <cellStyle name="Currency 2 2 2 2 2 2 3" xfId="4149" xr:uid="{1E255D16-74C0-4049-97CB-8F1CAF399F60}"/>
    <cellStyle name="Currency 2 2 2 2 2 2 3 2" xfId="9785" xr:uid="{38B1B8C3-CFD6-4B15-B5CD-A11660CFB255}"/>
    <cellStyle name="Currency 2 2 2 2 2 2 4" xfId="6975" xr:uid="{85BAC6BA-22B1-48CF-92E8-E3DCC8E3ACDB}"/>
    <cellStyle name="Currency 2 2 2 2 2 3" xfId="2044" xr:uid="{B037688B-8FCB-40BA-848A-6B376C3201E8}"/>
    <cellStyle name="Currency 2 2 2 2 2 3 2" xfId="4854" xr:uid="{DB599DE6-4465-47BB-85B4-682FDE9E7E97}"/>
    <cellStyle name="Currency 2 2 2 2 2 3 2 2" xfId="10490" xr:uid="{A3232EB3-203B-42FB-A675-737BC6F2680B}"/>
    <cellStyle name="Currency 2 2 2 2 2 3 3" xfId="7680" xr:uid="{08642872-9C50-4E54-971C-E1396C10EC5F}"/>
    <cellStyle name="Currency 2 2 2 2 2 4" xfId="3453" xr:uid="{667AEBA5-7050-4E94-90E8-CC8A520FF031}"/>
    <cellStyle name="Currency 2 2 2 2 2 4 2" xfId="9089" xr:uid="{CA6C4FE6-1A8C-48B6-BA9B-21FA604882AB}"/>
    <cellStyle name="Currency 2 2 2 2 2 5" xfId="6279" xr:uid="{FF5CB23E-C543-4460-8411-8ED13C9866B9}"/>
    <cellStyle name="Currency 2 2 2 2 3" xfId="995" xr:uid="{F32FE739-4C21-472A-B58F-74ED0A2CE0E5}"/>
    <cellStyle name="Currency 2 2 2 2 3 2" xfId="2396" xr:uid="{E68F0BF4-2C93-43AE-8E00-30EB47AE0617}"/>
    <cellStyle name="Currency 2 2 2 2 3 2 2" xfId="5206" xr:uid="{C9E8071F-39F9-4FE8-9BF5-17BB682A71E8}"/>
    <cellStyle name="Currency 2 2 2 2 3 2 2 2" xfId="10842" xr:uid="{288A9047-70D6-4821-9FF7-E6CB973DD189}"/>
    <cellStyle name="Currency 2 2 2 2 3 2 3" xfId="8032" xr:uid="{4754395D-8442-478B-9227-886E4BA26936}"/>
    <cellStyle name="Currency 2 2 2 2 3 3" xfId="3805" xr:uid="{2F651E1A-6ECA-466B-8C64-5B02BD209070}"/>
    <cellStyle name="Currency 2 2 2 2 3 3 2" xfId="9441" xr:uid="{45B045CF-1DDF-4B10-9423-FFDB1CF6E9C4}"/>
    <cellStyle name="Currency 2 2 2 2 3 4" xfId="6631" xr:uid="{49DB660F-2C78-474E-B9B8-EE6316210830}"/>
    <cellStyle name="Currency 2 2 2 2 4" xfId="1700" xr:uid="{D727C65A-63E1-407C-9FC2-F9E190A97B93}"/>
    <cellStyle name="Currency 2 2 2 2 4 2" xfId="4510" xr:uid="{F2CDDECC-9A93-4C59-AA68-60E1A6779DBB}"/>
    <cellStyle name="Currency 2 2 2 2 4 2 2" xfId="10146" xr:uid="{F40050E3-A5BC-4BC9-A966-29F40E3106C4}"/>
    <cellStyle name="Currency 2 2 2 2 4 3" xfId="7336" xr:uid="{635EE2DF-9E57-45A9-8600-01000D95B7E4}"/>
    <cellStyle name="Currency 2 2 2 2 5" xfId="3109" xr:uid="{CE06A069-DBA2-4B37-B811-B42722B06095}"/>
    <cellStyle name="Currency 2 2 2 2 5 2" xfId="8745" xr:uid="{B9FBA91A-DA39-40E9-9066-777A24FAF6D3}"/>
    <cellStyle name="Currency 2 2 2 2 6" xfId="5935" xr:uid="{6266620C-FF0C-482F-B037-A18FE567467C}"/>
    <cellStyle name="Currency 2 2 2 3" xfId="471" xr:uid="{1D8633A2-8370-4ECA-BA9C-4CBF80E421BA}"/>
    <cellStyle name="Currency 2 2 2 3 2" xfId="1167" xr:uid="{DF8C2E9C-A3E8-4C15-8C8E-88F4B8A73109}"/>
    <cellStyle name="Currency 2 2 2 3 2 2" xfId="2568" xr:uid="{FECB39AB-5860-473B-9C5C-DE8BB0C0C6FD}"/>
    <cellStyle name="Currency 2 2 2 3 2 2 2" xfId="5378" xr:uid="{0A1F9ECD-7FB0-47F1-808A-E8E034F554CD}"/>
    <cellStyle name="Currency 2 2 2 3 2 2 2 2" xfId="11014" xr:uid="{0468DDB6-8768-4E65-9342-2D1012C35BE0}"/>
    <cellStyle name="Currency 2 2 2 3 2 2 3" xfId="8204" xr:uid="{44E55DB7-191F-445A-8C09-3A880DB67C7E}"/>
    <cellStyle name="Currency 2 2 2 3 2 3" xfId="3977" xr:uid="{C4696A46-3578-4B0E-9B86-5C42920F660D}"/>
    <cellStyle name="Currency 2 2 2 3 2 3 2" xfId="9613" xr:uid="{9D31D3E9-DD7F-4609-B56F-C220DA387CD9}"/>
    <cellStyle name="Currency 2 2 2 3 2 4" xfId="6803" xr:uid="{1502770D-160E-435A-8846-4CFB10F34AF2}"/>
    <cellStyle name="Currency 2 2 2 3 3" xfId="1872" xr:uid="{0F84C2E4-9F35-4F9D-800D-B89032D782F4}"/>
    <cellStyle name="Currency 2 2 2 3 3 2" xfId="4682" xr:uid="{F61EEA79-ADE5-44B9-B609-0A750532F167}"/>
    <cellStyle name="Currency 2 2 2 3 3 2 2" xfId="10318" xr:uid="{99EC7F62-DAA2-43DF-A4FF-D66246A69B1A}"/>
    <cellStyle name="Currency 2 2 2 3 3 3" xfId="7508" xr:uid="{F5B616FA-3695-447D-869F-DD332A877454}"/>
    <cellStyle name="Currency 2 2 2 3 4" xfId="3281" xr:uid="{492A7B9C-AC2A-43FE-9728-014F1D305CFD}"/>
    <cellStyle name="Currency 2 2 2 3 4 2" xfId="8917" xr:uid="{32B6EF7B-E645-47FA-83C1-639A2A091B10}"/>
    <cellStyle name="Currency 2 2 2 3 5" xfId="6107" xr:uid="{E32ADCDB-D15E-4DC4-870D-D8E136DD922F}"/>
    <cellStyle name="Currency 2 2 2 4" xfId="823" xr:uid="{71A8D27F-8DDB-4C33-A13F-D061B91C750D}"/>
    <cellStyle name="Currency 2 2 2 4 2" xfId="2224" xr:uid="{B7B21E24-2726-4822-B652-2AFD34FCF5EA}"/>
    <cellStyle name="Currency 2 2 2 4 2 2" xfId="5034" xr:uid="{637B0BF6-5CA2-48D3-B57E-C4A500C56029}"/>
    <cellStyle name="Currency 2 2 2 4 2 2 2" xfId="10670" xr:uid="{6684C210-6A85-41B0-999D-AA1B7338C0A7}"/>
    <cellStyle name="Currency 2 2 2 4 2 3" xfId="7860" xr:uid="{4230A8DF-5472-4068-B559-0BC73F66062D}"/>
    <cellStyle name="Currency 2 2 2 4 3" xfId="3633" xr:uid="{5A35D763-36F9-4F7B-9CA8-BA49C92A855F}"/>
    <cellStyle name="Currency 2 2 2 4 3 2" xfId="9269" xr:uid="{EDA50510-7160-4F85-B6F4-2E8673CF8750}"/>
    <cellStyle name="Currency 2 2 2 4 4" xfId="6459" xr:uid="{57892256-FAEE-42BF-9995-9FAD2B7AF9A9}"/>
    <cellStyle name="Currency 2 2 2 5" xfId="1528" xr:uid="{2AC3DD1B-3527-4FF0-BDD9-CA573D76B583}"/>
    <cellStyle name="Currency 2 2 2 5 2" xfId="4338" xr:uid="{0CE93D45-DBC0-42B0-95CB-CE4B022696E5}"/>
    <cellStyle name="Currency 2 2 2 5 2 2" xfId="9974" xr:uid="{86C019DA-D6CF-4ED2-9788-F5B25BE427A7}"/>
    <cellStyle name="Currency 2 2 2 5 3" xfId="7164" xr:uid="{FA421680-299D-4A07-B799-1C03F1E95EF6}"/>
    <cellStyle name="Currency 2 2 2 6" xfId="2937" xr:uid="{5342D7EA-EA1A-4D44-A902-FD8741B4AF3B}"/>
    <cellStyle name="Currency 2 2 2 6 2" xfId="8573" xr:uid="{BD75A43B-6DCF-4377-BF51-21D0499B6285}"/>
    <cellStyle name="Currency 2 2 2 7" xfId="5763" xr:uid="{A991E397-B008-45B6-B33C-7FACE44ED91A}"/>
    <cellStyle name="Currency 2 2 3" xfId="219" xr:uid="{66DF631C-53B2-45D0-B48F-3396ECA6F255}"/>
    <cellStyle name="Currency 2 2 3 2" xfId="563" xr:uid="{159628BA-4A6C-4B0F-9375-FD7759DC88E8}"/>
    <cellStyle name="Currency 2 2 3 2 2" xfId="1259" xr:uid="{99AB4873-3850-405B-A7B8-EFBF9A477376}"/>
    <cellStyle name="Currency 2 2 3 2 2 2" xfId="2660" xr:uid="{AB9D9D53-9E75-4C39-B9F8-B056F2DE1636}"/>
    <cellStyle name="Currency 2 2 3 2 2 2 2" xfId="5470" xr:uid="{2A5A9324-959C-41A8-8D14-D9770B33E730}"/>
    <cellStyle name="Currency 2 2 3 2 2 2 2 2" xfId="11106" xr:uid="{EE6D6F4F-54CF-4DA5-B89F-9C6128F1F6B2}"/>
    <cellStyle name="Currency 2 2 3 2 2 2 3" xfId="8296" xr:uid="{D36445C8-3AC0-4607-B9E9-F922226EDF76}"/>
    <cellStyle name="Currency 2 2 3 2 2 3" xfId="4069" xr:uid="{BE5689B2-6B5C-41C6-B10C-48532FE1377A}"/>
    <cellStyle name="Currency 2 2 3 2 2 3 2" xfId="9705" xr:uid="{24C69808-E042-4FC7-A085-54AB16ACCC16}"/>
    <cellStyle name="Currency 2 2 3 2 2 4" xfId="6895" xr:uid="{A310477F-910C-4510-B9DD-C0828D8E3BB0}"/>
    <cellStyle name="Currency 2 2 3 2 3" xfId="1964" xr:uid="{105B5E66-138E-4A27-B5E7-2E2E5D21FA13}"/>
    <cellStyle name="Currency 2 2 3 2 3 2" xfId="4774" xr:uid="{6C92C227-2B04-48F3-8F0B-774100E162DD}"/>
    <cellStyle name="Currency 2 2 3 2 3 2 2" xfId="10410" xr:uid="{C3D85DA8-D387-4FC7-8AF7-C2E8093D3D25}"/>
    <cellStyle name="Currency 2 2 3 2 3 3" xfId="7600" xr:uid="{90D7F43A-6DA7-4581-907E-DE0E8F549BCF}"/>
    <cellStyle name="Currency 2 2 3 2 4" xfId="3373" xr:uid="{AE5FF7D4-BA17-4CD3-9673-FB75B908007C}"/>
    <cellStyle name="Currency 2 2 3 2 4 2" xfId="9009" xr:uid="{AA153B18-2314-4864-A4AE-E8EF5F73A606}"/>
    <cellStyle name="Currency 2 2 3 2 5" xfId="6199" xr:uid="{5DE32CDD-7903-4AC6-ABE3-409AC37B9B46}"/>
    <cellStyle name="Currency 2 2 3 3" xfId="915" xr:uid="{796DC700-E621-43DA-93F4-B00A323F7258}"/>
    <cellStyle name="Currency 2 2 3 3 2" xfId="2316" xr:uid="{BE7DDED7-97A8-4405-9611-0CDC2FC3057C}"/>
    <cellStyle name="Currency 2 2 3 3 2 2" xfId="5126" xr:uid="{158C5BD3-D187-4DCD-971B-CD813C24CE37}"/>
    <cellStyle name="Currency 2 2 3 3 2 2 2" xfId="10762" xr:uid="{303E76EC-4E55-4FCF-A5D9-EF0AB2C72FD5}"/>
    <cellStyle name="Currency 2 2 3 3 2 3" xfId="7952" xr:uid="{F2A01F36-D410-4A89-A73B-4EF196F085C1}"/>
    <cellStyle name="Currency 2 2 3 3 3" xfId="3725" xr:uid="{8C1BFA01-3680-4451-AF21-A78207E450D6}"/>
    <cellStyle name="Currency 2 2 3 3 3 2" xfId="9361" xr:uid="{6238DCD7-1717-44D4-A969-2D257D88DACA}"/>
    <cellStyle name="Currency 2 2 3 3 4" xfId="6551" xr:uid="{A139FA9B-2BF9-4273-8549-8E2E56BCCC57}"/>
    <cellStyle name="Currency 2 2 3 4" xfId="1620" xr:uid="{9C81058B-71F9-40E0-905E-8BDCA04C3A6B}"/>
    <cellStyle name="Currency 2 2 3 4 2" xfId="4430" xr:uid="{717991CD-FAD4-47BB-8DEF-650C634632E6}"/>
    <cellStyle name="Currency 2 2 3 4 2 2" xfId="10066" xr:uid="{5E6ABFE8-24B0-49F2-8401-38AB4424E067}"/>
    <cellStyle name="Currency 2 2 3 4 3" xfId="7256" xr:uid="{BE35B03C-D510-4937-A715-9EBF460B3B70}"/>
    <cellStyle name="Currency 2 2 3 5" xfId="3029" xr:uid="{D3C89A11-C54C-4C82-82FC-FE1735C0B477}"/>
    <cellStyle name="Currency 2 2 3 5 2" xfId="8665" xr:uid="{48048317-E022-4C9D-9A01-B7D4DA4D6F77}"/>
    <cellStyle name="Currency 2 2 3 6" xfId="5855" xr:uid="{A8D774E5-F67A-4B68-BC3B-484B1EA3DBF2}"/>
    <cellStyle name="Currency 2 2 4" xfId="391" xr:uid="{9168AA3D-10F2-4B3E-B8B1-4DAE4EC5F7FE}"/>
    <cellStyle name="Currency 2 2 4 2" xfId="1087" xr:uid="{C5DF5621-ABE9-4321-BC69-04B4EF90BF07}"/>
    <cellStyle name="Currency 2 2 4 2 2" xfId="2488" xr:uid="{C3806E5A-069E-47C2-856D-8C87EC32829B}"/>
    <cellStyle name="Currency 2 2 4 2 2 2" xfId="5298" xr:uid="{20ED3A60-FF46-43EB-8B98-F58F0AE5EAA5}"/>
    <cellStyle name="Currency 2 2 4 2 2 2 2" xfId="10934" xr:uid="{54409DD4-C00D-4A33-9B26-6BF733FE5CED}"/>
    <cellStyle name="Currency 2 2 4 2 2 3" xfId="8124" xr:uid="{0A774E4A-EBCD-4B00-853E-9A3627665CC4}"/>
    <cellStyle name="Currency 2 2 4 2 3" xfId="3897" xr:uid="{DCC07361-4093-434E-A21F-CE8F819BF70E}"/>
    <cellStyle name="Currency 2 2 4 2 3 2" xfId="9533" xr:uid="{F327EA2C-69E0-48CD-A551-919967868073}"/>
    <cellStyle name="Currency 2 2 4 2 4" xfId="6723" xr:uid="{69A723CF-28AE-4664-B705-B332364C972C}"/>
    <cellStyle name="Currency 2 2 4 3" xfId="1792" xr:uid="{8E7FBDC4-62CB-462C-B9F4-85279EEC89A8}"/>
    <cellStyle name="Currency 2 2 4 3 2" xfId="4602" xr:uid="{0B75FB04-3F50-4BD0-AC91-D84E47443719}"/>
    <cellStyle name="Currency 2 2 4 3 2 2" xfId="10238" xr:uid="{1AE79490-35BC-4A15-A10E-F091BF06C2EE}"/>
    <cellStyle name="Currency 2 2 4 3 3" xfId="7428" xr:uid="{FC747D4E-7DF7-4A59-8E4B-7C1CB64ED99A}"/>
    <cellStyle name="Currency 2 2 4 4" xfId="3201" xr:uid="{DFADBAC8-A824-4735-B30A-12CB3DC5FA81}"/>
    <cellStyle name="Currency 2 2 4 4 2" xfId="8837" xr:uid="{F0B60ACC-2E87-499B-B80F-BD703F99ABED}"/>
    <cellStyle name="Currency 2 2 4 5" xfId="6027" xr:uid="{083E61B9-58D5-41F5-9AE3-93AB72F85C50}"/>
    <cellStyle name="Currency 2 2 5" xfId="743" xr:uid="{8BADBDDA-2C31-4069-9406-51CB9DF5216D}"/>
    <cellStyle name="Currency 2 2 5 2" xfId="2144" xr:uid="{1767BCD6-E5D1-43B4-AF80-D0E017D50CD8}"/>
    <cellStyle name="Currency 2 2 5 2 2" xfId="4954" xr:uid="{EC2DC63E-CFBD-400B-A77F-3A980CD4DBEB}"/>
    <cellStyle name="Currency 2 2 5 2 2 2" xfId="10590" xr:uid="{05BE732B-CB7D-419F-82EB-8B2D452D5E5C}"/>
    <cellStyle name="Currency 2 2 5 2 3" xfId="7780" xr:uid="{F5662304-166E-4097-AB6F-E671AE3B385B}"/>
    <cellStyle name="Currency 2 2 5 3" xfId="3553" xr:uid="{1F3C7C8A-976C-4AF1-8520-B45DCD277C0E}"/>
    <cellStyle name="Currency 2 2 5 3 2" xfId="9189" xr:uid="{5C639D1D-F9DC-4825-9DC7-A998770A8B23}"/>
    <cellStyle name="Currency 2 2 5 4" xfId="6379" xr:uid="{181BAA90-99BB-40F6-A3D3-C3A009849662}"/>
    <cellStyle name="Currency 2 2 6" xfId="1448" xr:uid="{381F0F20-E0BD-4F29-B57A-F8425BFFDB2C}"/>
    <cellStyle name="Currency 2 2 6 2" xfId="4258" xr:uid="{9FEDC253-3C4A-4DA2-9222-952801D6E9E0}"/>
    <cellStyle name="Currency 2 2 6 2 2" xfId="9894" xr:uid="{D1326824-E263-43C8-B873-072A487D07DD}"/>
    <cellStyle name="Currency 2 2 6 3" xfId="7084" xr:uid="{7D7792D1-5947-4F44-9549-AA5BF7551829}"/>
    <cellStyle name="Currency 2 2 7" xfId="2857" xr:uid="{089C8FDC-1046-495F-8BC8-74BDFA87CDDB}"/>
    <cellStyle name="Currency 2 2 7 2" xfId="8493" xr:uid="{964AAA46-8C39-48B0-8772-F7EAE3318264}"/>
    <cellStyle name="Currency 2 2 8" xfId="5683" xr:uid="{717026FB-9CA8-4396-887F-87C7DFED8C68}"/>
    <cellStyle name="Currency 2 3" xfId="95" xr:uid="{A97BCD27-95EA-4BA2-809D-C70E71C4179C}"/>
    <cellStyle name="Currency 2 3 2" xfId="267" xr:uid="{55FD590C-A9B7-49CF-87FF-E2418CA7F92C}"/>
    <cellStyle name="Currency 2 3 2 2" xfId="611" xr:uid="{90E986A2-0C37-40F9-87E3-0BAC9AA0E2A6}"/>
    <cellStyle name="Currency 2 3 2 2 2" xfId="1307" xr:uid="{EB5B4278-AA36-45EB-8AF6-A1526BE3324F}"/>
    <cellStyle name="Currency 2 3 2 2 2 2" xfId="2708" xr:uid="{FA346A09-AC87-4EA1-9116-695ACC914AD2}"/>
    <cellStyle name="Currency 2 3 2 2 2 2 2" xfId="5518" xr:uid="{B1E547D0-8CEC-4FCA-83E5-BB554A37A095}"/>
    <cellStyle name="Currency 2 3 2 2 2 2 2 2" xfId="11154" xr:uid="{E262F98C-984A-40E9-9737-2EB72FD9948A}"/>
    <cellStyle name="Currency 2 3 2 2 2 2 3" xfId="8344" xr:uid="{AE9FC458-10D7-40F7-B538-EE75B6135AFF}"/>
    <cellStyle name="Currency 2 3 2 2 2 3" xfId="4117" xr:uid="{BF6E789C-CFB1-475D-951C-4C3A93B421B3}"/>
    <cellStyle name="Currency 2 3 2 2 2 3 2" xfId="9753" xr:uid="{6C0C7503-DEC7-4F68-9528-0FD3B6F2D601}"/>
    <cellStyle name="Currency 2 3 2 2 2 4" xfId="6943" xr:uid="{F55B7046-4965-4E29-ACEE-73BD030F1C08}"/>
    <cellStyle name="Currency 2 3 2 2 3" xfId="2012" xr:uid="{271D3AFB-8961-4180-B60F-795418ECEEC9}"/>
    <cellStyle name="Currency 2 3 2 2 3 2" xfId="4822" xr:uid="{AC56F843-1D3B-449A-858D-39E7344AD7C4}"/>
    <cellStyle name="Currency 2 3 2 2 3 2 2" xfId="10458" xr:uid="{D3231D69-9ED3-4993-8DC8-CE87DBFF2F21}"/>
    <cellStyle name="Currency 2 3 2 2 3 3" xfId="7648" xr:uid="{5E0346C4-C4B0-4293-8707-1C146D544C7B}"/>
    <cellStyle name="Currency 2 3 2 2 4" xfId="3421" xr:uid="{4954EE43-DBF4-4AAF-AD76-837AC85CD0CE}"/>
    <cellStyle name="Currency 2 3 2 2 4 2" xfId="9057" xr:uid="{DFF0F688-60C3-462C-8257-97ED3E878EBD}"/>
    <cellStyle name="Currency 2 3 2 2 5" xfId="6247" xr:uid="{676C30E5-CE58-4CDD-AF34-5B1184B0883B}"/>
    <cellStyle name="Currency 2 3 2 3" xfId="963" xr:uid="{6685E1E2-CCC7-4C86-BE1B-A73E39651268}"/>
    <cellStyle name="Currency 2 3 2 3 2" xfId="2364" xr:uid="{4F5111CE-CA7E-48B4-819C-680860497BCC}"/>
    <cellStyle name="Currency 2 3 2 3 2 2" xfId="5174" xr:uid="{71CC1300-D263-4BAC-A584-DE41DC672B99}"/>
    <cellStyle name="Currency 2 3 2 3 2 2 2" xfId="10810" xr:uid="{881DC2B2-A265-4091-BF56-679442F9CA82}"/>
    <cellStyle name="Currency 2 3 2 3 2 3" xfId="8000" xr:uid="{33A47D59-B513-44C6-9E4F-17ED6BBA7ECD}"/>
    <cellStyle name="Currency 2 3 2 3 3" xfId="3773" xr:uid="{A7231B5B-949B-4E1A-BEED-8A798023AD9D}"/>
    <cellStyle name="Currency 2 3 2 3 3 2" xfId="9409" xr:uid="{043B855E-D98A-41F9-BEC9-542EED1166E7}"/>
    <cellStyle name="Currency 2 3 2 3 4" xfId="6599" xr:uid="{1CB125FB-CC78-4B62-867D-BA21FE498A4C}"/>
    <cellStyle name="Currency 2 3 2 4" xfId="1668" xr:uid="{97157373-BC8F-444B-AE0F-2978E7D12604}"/>
    <cellStyle name="Currency 2 3 2 4 2" xfId="4478" xr:uid="{E55A1889-9E4A-4E39-8C71-9122973C2E01}"/>
    <cellStyle name="Currency 2 3 2 4 2 2" xfId="10114" xr:uid="{2050413E-A4A9-4458-B5D7-30CBA32799CC}"/>
    <cellStyle name="Currency 2 3 2 4 3" xfId="7304" xr:uid="{A87B5B40-F495-4ECE-A8ED-EBD07E9FFEC9}"/>
    <cellStyle name="Currency 2 3 2 5" xfId="3077" xr:uid="{8AC37C87-7E9B-4EF0-9F8B-BC18D65072CA}"/>
    <cellStyle name="Currency 2 3 2 5 2" xfId="8713" xr:uid="{771E7267-A13C-41C6-9D84-2CA252861CF3}"/>
    <cellStyle name="Currency 2 3 2 6" xfId="5903" xr:uid="{6C925F6D-B23F-428A-8FA0-C866EE77CBFE}"/>
    <cellStyle name="Currency 2 3 3" xfId="439" xr:uid="{9073F6CB-DA8D-4124-B606-1F7356A0C872}"/>
    <cellStyle name="Currency 2 3 3 2" xfId="1135" xr:uid="{C4159B2C-D2A6-42F7-8ABD-9AAECB143B0C}"/>
    <cellStyle name="Currency 2 3 3 2 2" xfId="2536" xr:uid="{F93D0FEA-026D-45CA-AF94-35FDCAE27C10}"/>
    <cellStyle name="Currency 2 3 3 2 2 2" xfId="5346" xr:uid="{B505ABA2-89E6-4698-A6B4-AB91A3897E73}"/>
    <cellStyle name="Currency 2 3 3 2 2 2 2" xfId="10982" xr:uid="{17AC6CA3-808E-4DC6-9E26-8BDE29A0B0A4}"/>
    <cellStyle name="Currency 2 3 3 2 2 3" xfId="8172" xr:uid="{0880F0D7-5A3B-49B2-BBB8-68D05C71B2CB}"/>
    <cellStyle name="Currency 2 3 3 2 3" xfId="3945" xr:uid="{879EBE0B-5C2D-45CA-A0F6-3A611FC3D556}"/>
    <cellStyle name="Currency 2 3 3 2 3 2" xfId="9581" xr:uid="{A62EFB78-2503-4980-89C9-28E94C45573F}"/>
    <cellStyle name="Currency 2 3 3 2 4" xfId="6771" xr:uid="{93195721-4C2E-4229-997B-760172F0E739}"/>
    <cellStyle name="Currency 2 3 3 3" xfId="1840" xr:uid="{A133893F-2B11-47C5-B6A7-9AD2199FCE2D}"/>
    <cellStyle name="Currency 2 3 3 3 2" xfId="4650" xr:uid="{BBB854B5-02E0-4A07-885B-0260840A723B}"/>
    <cellStyle name="Currency 2 3 3 3 2 2" xfId="10286" xr:uid="{81E0FCE9-4CCC-4ABF-97B5-A6A3F181405B}"/>
    <cellStyle name="Currency 2 3 3 3 3" xfId="7476" xr:uid="{232C4204-6DEF-4EDA-9AF6-1EAD2519E521}"/>
    <cellStyle name="Currency 2 3 3 4" xfId="3249" xr:uid="{8701149B-6A2C-46A4-AD41-1361616DCC34}"/>
    <cellStyle name="Currency 2 3 3 4 2" xfId="8885" xr:uid="{7FBEBEBE-19B6-4A51-8214-04DDE5F77622}"/>
    <cellStyle name="Currency 2 3 3 5" xfId="6075" xr:uid="{3672EC74-26AE-4AFA-B5AD-124BB090D14F}"/>
    <cellStyle name="Currency 2 3 4" xfId="791" xr:uid="{596BA2E7-90FC-4449-B8A2-E49C58C8E519}"/>
    <cellStyle name="Currency 2 3 4 2" xfId="2192" xr:uid="{4972A34B-43DA-41A7-827E-4827DA212222}"/>
    <cellStyle name="Currency 2 3 4 2 2" xfId="5002" xr:uid="{56FD0047-DDD0-43DA-9B9F-132A9A33ECD2}"/>
    <cellStyle name="Currency 2 3 4 2 2 2" xfId="10638" xr:uid="{B0BE63CE-8DA4-4E5E-B6F0-7DD18B0E005C}"/>
    <cellStyle name="Currency 2 3 4 2 3" xfId="7828" xr:uid="{CF01C053-8DC7-46BA-969F-66A4063A2174}"/>
    <cellStyle name="Currency 2 3 4 3" xfId="3601" xr:uid="{089B68E4-E294-4653-BA02-630FD8A37B19}"/>
    <cellStyle name="Currency 2 3 4 3 2" xfId="9237" xr:uid="{226511ED-E046-46BC-AF0A-DA9DCF7BBA7D}"/>
    <cellStyle name="Currency 2 3 4 4" xfId="6427" xr:uid="{C1E1D5F9-9F8B-4CAD-9287-B6E54A6FE393}"/>
    <cellStyle name="Currency 2 3 5" xfId="1496" xr:uid="{F71CEB9E-A466-41D4-979E-E438432EB43C}"/>
    <cellStyle name="Currency 2 3 5 2" xfId="4306" xr:uid="{92034528-4F05-42BC-910C-37639E32C9B0}"/>
    <cellStyle name="Currency 2 3 5 2 2" xfId="9942" xr:uid="{64419DFB-6FB8-46E6-B805-5BDA17A9ABE9}"/>
    <cellStyle name="Currency 2 3 5 3" xfId="7132" xr:uid="{593C621C-B950-4E00-85E2-890942A0EADA}"/>
    <cellStyle name="Currency 2 3 6" xfId="2905" xr:uid="{595E3401-DFD7-461B-80A3-E0600F904C10}"/>
    <cellStyle name="Currency 2 3 6 2" xfId="8541" xr:uid="{E9CDC177-902A-4430-B9B2-45A603A22629}"/>
    <cellStyle name="Currency 2 3 7" xfId="5731" xr:uid="{44D66A46-15EC-41B6-9C18-5666876A464D}"/>
    <cellStyle name="Currency 2 4" xfId="187" xr:uid="{99AF90E9-AA59-4403-8A9B-945C9C1D4D78}"/>
    <cellStyle name="Currency 2 4 2" xfId="531" xr:uid="{33648DF2-80F1-471C-B6A1-C209D42F3071}"/>
    <cellStyle name="Currency 2 4 2 2" xfId="1227" xr:uid="{391BEF06-C966-469A-A2F4-28AE55C095E4}"/>
    <cellStyle name="Currency 2 4 2 2 2" xfId="2628" xr:uid="{B7B78020-FC4A-4126-BC31-431EF3163E58}"/>
    <cellStyle name="Currency 2 4 2 2 2 2" xfId="5438" xr:uid="{F0F3C7C0-3FB8-4E4D-9771-35B54D717EF1}"/>
    <cellStyle name="Currency 2 4 2 2 2 2 2" xfId="11074" xr:uid="{D97CA640-D6B9-4E5E-AFB9-5DC66E09A919}"/>
    <cellStyle name="Currency 2 4 2 2 2 3" xfId="8264" xr:uid="{BDFCA8F4-F374-493B-953B-43FBD02BCDDB}"/>
    <cellStyle name="Currency 2 4 2 2 3" xfId="4037" xr:uid="{FBE047B2-9285-411D-B986-DEB275F1A9DA}"/>
    <cellStyle name="Currency 2 4 2 2 3 2" xfId="9673" xr:uid="{5E96BB37-319B-4112-9B5D-9ABB03805A80}"/>
    <cellStyle name="Currency 2 4 2 2 4" xfId="6863" xr:uid="{FA4DDFBD-12E2-4501-85BD-CE2AC52809DD}"/>
    <cellStyle name="Currency 2 4 2 3" xfId="1932" xr:uid="{7C4450A7-84F8-4BB7-B611-E688E7063525}"/>
    <cellStyle name="Currency 2 4 2 3 2" xfId="4742" xr:uid="{AA92F8E9-D415-446C-9D19-95EB892C133E}"/>
    <cellStyle name="Currency 2 4 2 3 2 2" xfId="10378" xr:uid="{D83AC624-DAAB-4FC7-9FE1-C49341770ED3}"/>
    <cellStyle name="Currency 2 4 2 3 3" xfId="7568" xr:uid="{A50E360C-2EC9-402A-B34A-9DF237B9D2BF}"/>
    <cellStyle name="Currency 2 4 2 4" xfId="3341" xr:uid="{01FDBB80-C8FA-4C6C-AAAC-ACEFB271A307}"/>
    <cellStyle name="Currency 2 4 2 4 2" xfId="8977" xr:uid="{E83DD9EB-AABB-4C32-B82E-2130B33434F2}"/>
    <cellStyle name="Currency 2 4 2 5" xfId="6167" xr:uid="{85E02214-B01E-4655-8890-DA54F2951730}"/>
    <cellStyle name="Currency 2 4 3" xfId="883" xr:uid="{FE4698E6-57C0-483A-840D-410920231701}"/>
    <cellStyle name="Currency 2 4 3 2" xfId="2284" xr:uid="{DF61F017-A5A0-4523-B975-E0945AD1149E}"/>
    <cellStyle name="Currency 2 4 3 2 2" xfId="5094" xr:uid="{C74343E5-9E5A-4B1C-8913-88E40D3B135E}"/>
    <cellStyle name="Currency 2 4 3 2 2 2" xfId="10730" xr:uid="{5A19C784-1994-4ED7-BA9E-92B83F31B074}"/>
    <cellStyle name="Currency 2 4 3 2 3" xfId="7920" xr:uid="{875EFD73-EABD-4AF4-8CEF-342F35B2C1EA}"/>
    <cellStyle name="Currency 2 4 3 3" xfId="3693" xr:uid="{E2617C8B-9ECD-4BE0-84B8-DC33EEF717C9}"/>
    <cellStyle name="Currency 2 4 3 3 2" xfId="9329" xr:uid="{13538263-014B-431E-A593-70E98066C53C}"/>
    <cellStyle name="Currency 2 4 3 4" xfId="6519" xr:uid="{3EE81C23-0926-4E18-B93B-BA46175997A1}"/>
    <cellStyle name="Currency 2 4 4" xfId="1588" xr:uid="{F8F87073-53B0-4544-BB0A-CC37FA93974A}"/>
    <cellStyle name="Currency 2 4 4 2" xfId="4398" xr:uid="{9D219B04-BCDB-4E9A-A4A2-DCB5320A4AAE}"/>
    <cellStyle name="Currency 2 4 4 2 2" xfId="10034" xr:uid="{725A057F-0DBD-438A-BE28-4FC3D96023B8}"/>
    <cellStyle name="Currency 2 4 4 3" xfId="7224" xr:uid="{7C473CBE-7C42-423F-A194-08290B6DE32E}"/>
    <cellStyle name="Currency 2 4 5" xfId="2997" xr:uid="{D3440F35-219B-4656-A31E-6A41D5533D90}"/>
    <cellStyle name="Currency 2 4 5 2" xfId="8633" xr:uid="{2AB7F173-07BD-491F-9F3A-75C0F42DA46E}"/>
    <cellStyle name="Currency 2 4 6" xfId="5823" xr:uid="{3DA16522-BC2C-436B-9C20-9C774311FFEF}"/>
    <cellStyle name="Currency 2 5" xfId="359" xr:uid="{F3D6765E-E78A-4315-B6CD-E2C2F6F71BAD}"/>
    <cellStyle name="Currency 2 5 2" xfId="1055" xr:uid="{F2578A0F-E1E7-4F57-9A00-514B3DDA119B}"/>
    <cellStyle name="Currency 2 5 2 2" xfId="2456" xr:uid="{2487C2EB-590C-4E18-A36C-12F6664F8330}"/>
    <cellStyle name="Currency 2 5 2 2 2" xfId="5266" xr:uid="{529FF3CA-51CA-4ADE-B2E7-9CAA6B856B64}"/>
    <cellStyle name="Currency 2 5 2 2 2 2" xfId="10902" xr:uid="{9855A327-6972-427C-920D-C3B768D27FE3}"/>
    <cellStyle name="Currency 2 5 2 2 3" xfId="8092" xr:uid="{4F920410-0779-4015-9089-ADD86E7A798E}"/>
    <cellStyle name="Currency 2 5 2 3" xfId="3865" xr:uid="{DFA4A865-E415-4863-857E-A3CE66CBDFA1}"/>
    <cellStyle name="Currency 2 5 2 3 2" xfId="9501" xr:uid="{001265D3-7B35-494D-A98E-334A2855544D}"/>
    <cellStyle name="Currency 2 5 2 4" xfId="6691" xr:uid="{FA0F5177-63A4-49D5-8576-90FE101787E1}"/>
    <cellStyle name="Currency 2 5 3" xfId="1760" xr:uid="{EC7A35B5-7B57-4CD2-82A9-418BEFF8D9A6}"/>
    <cellStyle name="Currency 2 5 3 2" xfId="4570" xr:uid="{B7F13BAF-06E9-4F03-B988-6B102D49EBE5}"/>
    <cellStyle name="Currency 2 5 3 2 2" xfId="10206" xr:uid="{86A53456-9E6D-4205-B92E-49A87A6D9CAD}"/>
    <cellStyle name="Currency 2 5 3 3" xfId="7396" xr:uid="{12F95B67-355D-4726-BF16-8658F7DEC561}"/>
    <cellStyle name="Currency 2 5 4" xfId="3169" xr:uid="{95CB0663-DCD1-4472-9711-EDDA9EA843F7}"/>
    <cellStyle name="Currency 2 5 4 2" xfId="8805" xr:uid="{366B7A69-AFAD-43C2-9EC2-2C354B8FFE64}"/>
    <cellStyle name="Currency 2 5 5" xfId="5995" xr:uid="{224174CD-E9C8-4BE6-BF27-E599DFEB4E9E}"/>
    <cellStyle name="Currency 2 6" xfId="711" xr:uid="{9AADAC28-F2B3-487F-A675-3086FC1921C0}"/>
    <cellStyle name="Currency 2 6 2" xfId="2112" xr:uid="{6DF2658A-663D-4A9B-AB2A-C3864B44AA76}"/>
    <cellStyle name="Currency 2 6 2 2" xfId="4922" xr:uid="{C8C04975-7791-4A6B-83BD-1E23E24FB554}"/>
    <cellStyle name="Currency 2 6 2 2 2" xfId="10558" xr:uid="{F239F7A0-305A-4FEF-BD61-FDC6BA792846}"/>
    <cellStyle name="Currency 2 6 2 3" xfId="7748" xr:uid="{17A2F9EF-FA50-463C-A3EC-7B9E167DE289}"/>
    <cellStyle name="Currency 2 6 3" xfId="3521" xr:uid="{AD892CD8-15A1-43F1-BB9C-0C2BED4494D3}"/>
    <cellStyle name="Currency 2 6 3 2" xfId="9157" xr:uid="{BBCBBF37-573E-43E9-B016-4DF28249EECF}"/>
    <cellStyle name="Currency 2 6 4" xfId="6347" xr:uid="{ADE3E5C6-A7A2-4B72-9FA3-D3AFBA2815B9}"/>
    <cellStyle name="Currency 2 7" xfId="1416" xr:uid="{CB7DA049-3063-4AB1-B3A2-E6B2293F654B}"/>
    <cellStyle name="Currency 2 7 2" xfId="4226" xr:uid="{52AC92B3-21D6-42D7-92FC-14A0C0DA9738}"/>
    <cellStyle name="Currency 2 7 2 2" xfId="9862" xr:uid="{AEA631C9-0E8B-435D-A99E-56124344E706}"/>
    <cellStyle name="Currency 2 7 3" xfId="7052" xr:uid="{D5BD937A-AE78-4B2D-9E8E-F5182FCAC20C}"/>
    <cellStyle name="Currency 2 8" xfId="2825" xr:uid="{05EC5B0B-FEF1-4DEE-B72D-0B73E1A4CC70}"/>
    <cellStyle name="Currency 2 8 2" xfId="8461" xr:uid="{1E8870FB-48CF-4882-BF0A-48F13D041C5F}"/>
    <cellStyle name="Currency 2 9" xfId="5651" xr:uid="{F2E5C54E-87F9-48AA-A6B4-871D76B2D16D}"/>
    <cellStyle name="Currency 3" xfId="25" xr:uid="{9517CC75-7589-482D-8432-77DB8E07165E}"/>
    <cellStyle name="Currency 3 2" xfId="57" xr:uid="{BA2457D8-BE51-44BA-BC36-B85F83D9FB23}"/>
    <cellStyle name="Currency 3 2 2" xfId="137" xr:uid="{A70282F3-ECF9-4B18-89EF-B61A939EE629}"/>
    <cellStyle name="Currency 3 2 2 2" xfId="309" xr:uid="{2729DC9C-3B2B-46A4-B8C8-FDCB97689762}"/>
    <cellStyle name="Currency 3 2 2 2 2" xfId="653" xr:uid="{CE7A330A-DEA8-4751-873C-A3B7BE6CE858}"/>
    <cellStyle name="Currency 3 2 2 2 2 2" xfId="1349" xr:uid="{648BB87D-DC1E-4653-9E19-5F24088FBD97}"/>
    <cellStyle name="Currency 3 2 2 2 2 2 2" xfId="2750" xr:uid="{9153167E-8F43-4CCC-A86F-9F7FD4998CAE}"/>
    <cellStyle name="Currency 3 2 2 2 2 2 2 2" xfId="5560" xr:uid="{BB28F9F4-D04B-408D-B4EE-6D251B191A6C}"/>
    <cellStyle name="Currency 3 2 2 2 2 2 2 2 2" xfId="11196" xr:uid="{D672EA42-873F-4074-B994-72C9684D0614}"/>
    <cellStyle name="Currency 3 2 2 2 2 2 2 3" xfId="8386" xr:uid="{C4B40739-11CE-49B2-A62A-F73BDA2D696A}"/>
    <cellStyle name="Currency 3 2 2 2 2 2 3" xfId="4159" xr:uid="{E2DB4014-9581-4490-AC98-9692B5C63620}"/>
    <cellStyle name="Currency 3 2 2 2 2 2 3 2" xfId="9795" xr:uid="{F79A39B6-FC1B-4CF6-8467-9915E2ACF644}"/>
    <cellStyle name="Currency 3 2 2 2 2 2 4" xfId="6985" xr:uid="{F5377BE6-ECE3-41BA-9145-00A10C71D4D9}"/>
    <cellStyle name="Currency 3 2 2 2 2 3" xfId="2054" xr:uid="{0DC2BC4C-CB4A-4D3E-8950-566EEEFDE5FF}"/>
    <cellStyle name="Currency 3 2 2 2 2 3 2" xfId="4864" xr:uid="{E2C5B5E4-5B2F-454A-94EC-BEAC50097AF6}"/>
    <cellStyle name="Currency 3 2 2 2 2 3 2 2" xfId="10500" xr:uid="{3F79D034-7AFE-4906-AE9E-A989D8309C11}"/>
    <cellStyle name="Currency 3 2 2 2 2 3 3" xfId="7690" xr:uid="{7F9B408C-2291-493C-9957-B5304E27C2F3}"/>
    <cellStyle name="Currency 3 2 2 2 2 4" xfId="3463" xr:uid="{A6FDF3E8-0DD4-4BD1-A185-AE58CD1C8714}"/>
    <cellStyle name="Currency 3 2 2 2 2 4 2" xfId="9099" xr:uid="{25E0F1B2-95F4-4001-ABD4-440FE067453A}"/>
    <cellStyle name="Currency 3 2 2 2 2 5" xfId="6289" xr:uid="{0CC79273-8366-4A00-9006-3DDF1B37ADD2}"/>
    <cellStyle name="Currency 3 2 2 2 3" xfId="1005" xr:uid="{4299316F-8BF3-4FA8-839B-9A63F38BD6E2}"/>
    <cellStyle name="Currency 3 2 2 2 3 2" xfId="2406" xr:uid="{70EFA9C8-3D4D-401A-98EB-89E637C99021}"/>
    <cellStyle name="Currency 3 2 2 2 3 2 2" xfId="5216" xr:uid="{CD1A7F40-B1A1-466F-86DE-7E204EBE6FE4}"/>
    <cellStyle name="Currency 3 2 2 2 3 2 2 2" xfId="10852" xr:uid="{B0B5567F-C7CE-4D85-BDF0-4CDEC729968D}"/>
    <cellStyle name="Currency 3 2 2 2 3 2 3" xfId="8042" xr:uid="{27D60A1A-A21F-4C73-BF14-0D136EA6A4CA}"/>
    <cellStyle name="Currency 3 2 2 2 3 3" xfId="3815" xr:uid="{6B64F60A-F256-46D8-909B-6E780C18A4E8}"/>
    <cellStyle name="Currency 3 2 2 2 3 3 2" xfId="9451" xr:uid="{D5E786F3-280E-434F-94E2-C6922129C049}"/>
    <cellStyle name="Currency 3 2 2 2 3 4" xfId="6641" xr:uid="{C4A88DB3-98DB-4A02-BF26-019FD9DAF360}"/>
    <cellStyle name="Currency 3 2 2 2 4" xfId="1710" xr:uid="{EBAE9312-E9FA-4F13-9978-73F5A3EC68A1}"/>
    <cellStyle name="Currency 3 2 2 2 4 2" xfId="4520" xr:uid="{87B14D9E-D7B9-460D-9A85-D6C2695FC8B6}"/>
    <cellStyle name="Currency 3 2 2 2 4 2 2" xfId="10156" xr:uid="{98D919B5-8F55-4E7C-A2EE-998FED479071}"/>
    <cellStyle name="Currency 3 2 2 2 4 3" xfId="7346" xr:uid="{E4F68603-5D97-4047-B803-4E657EAE5FD4}"/>
    <cellStyle name="Currency 3 2 2 2 5" xfId="3119" xr:uid="{A741EF0D-A03A-4791-94FE-16A3DAFADD33}"/>
    <cellStyle name="Currency 3 2 2 2 5 2" xfId="8755" xr:uid="{42765A84-2F24-414B-B97C-6DBCDCC745B6}"/>
    <cellStyle name="Currency 3 2 2 2 6" xfId="5945" xr:uid="{5652EA60-15DC-4BD6-8A26-261A39FAD4B9}"/>
    <cellStyle name="Currency 3 2 2 3" xfId="481" xr:uid="{16C9CDBF-B44C-43A2-BB64-E44BFD27EA1C}"/>
    <cellStyle name="Currency 3 2 2 3 2" xfId="1177" xr:uid="{6715A7AA-3BB5-4311-8E3B-8E443940CD97}"/>
    <cellStyle name="Currency 3 2 2 3 2 2" xfId="2578" xr:uid="{3E3126C1-DA94-485D-AF5B-15E5954640B0}"/>
    <cellStyle name="Currency 3 2 2 3 2 2 2" xfId="5388" xr:uid="{FDD2277E-DD3D-49EF-B005-EF1A8059A238}"/>
    <cellStyle name="Currency 3 2 2 3 2 2 2 2" xfId="11024" xr:uid="{71D1AB4A-F3ED-4D59-AE3F-4B98F6F481E2}"/>
    <cellStyle name="Currency 3 2 2 3 2 2 3" xfId="8214" xr:uid="{75956C58-52EA-4A07-9D45-B0D2C2573D7F}"/>
    <cellStyle name="Currency 3 2 2 3 2 3" xfId="3987" xr:uid="{902658D6-6AFC-4B25-AC36-DF2AD33A9952}"/>
    <cellStyle name="Currency 3 2 2 3 2 3 2" xfId="9623" xr:uid="{6E3A2CEC-3265-4266-AEAD-CDE7F45F67D2}"/>
    <cellStyle name="Currency 3 2 2 3 2 4" xfId="6813" xr:uid="{BFE47649-7A9B-4C1E-A589-3DD7D6678BE1}"/>
    <cellStyle name="Currency 3 2 2 3 3" xfId="1882" xr:uid="{31E7A531-F214-4279-91B6-044F3CCACB98}"/>
    <cellStyle name="Currency 3 2 2 3 3 2" xfId="4692" xr:uid="{A233D6BB-0DA9-4B64-BAE5-9EB457233961}"/>
    <cellStyle name="Currency 3 2 2 3 3 2 2" xfId="10328" xr:uid="{6A2B5917-950C-4493-92EE-12A42642F759}"/>
    <cellStyle name="Currency 3 2 2 3 3 3" xfId="7518" xr:uid="{B25CA666-2F69-442A-A4C0-985CE36BFAD1}"/>
    <cellStyle name="Currency 3 2 2 3 4" xfId="3291" xr:uid="{2E8ABD1A-3D61-4051-B455-D59768481AF7}"/>
    <cellStyle name="Currency 3 2 2 3 4 2" xfId="8927" xr:uid="{5FDCD031-6136-40E9-A4CA-D4686CB10B99}"/>
    <cellStyle name="Currency 3 2 2 3 5" xfId="6117" xr:uid="{310DA8C6-FE85-4DF2-8B62-8A585B8571F9}"/>
    <cellStyle name="Currency 3 2 2 4" xfId="833" xr:uid="{99070A1C-8551-44D3-B5D7-63EE6A296D78}"/>
    <cellStyle name="Currency 3 2 2 4 2" xfId="2234" xr:uid="{A040CFC2-8C7E-4B45-AB4D-584A48E10BEB}"/>
    <cellStyle name="Currency 3 2 2 4 2 2" xfId="5044" xr:uid="{4E7B5E9C-484D-475F-80C5-082718078BA6}"/>
    <cellStyle name="Currency 3 2 2 4 2 2 2" xfId="10680" xr:uid="{5FD8D997-09FE-4A3A-A59D-17FEFD916A4D}"/>
    <cellStyle name="Currency 3 2 2 4 2 3" xfId="7870" xr:uid="{92B119E2-A0C7-4826-8E39-5DC792E4B9F1}"/>
    <cellStyle name="Currency 3 2 2 4 3" xfId="3643" xr:uid="{2FC786F7-BDE2-4999-87BE-C4DAE49779EE}"/>
    <cellStyle name="Currency 3 2 2 4 3 2" xfId="9279" xr:uid="{A5C4BAA2-683D-4A6D-B4C4-5D91C2933A97}"/>
    <cellStyle name="Currency 3 2 2 4 4" xfId="6469" xr:uid="{8B0F1FF0-D07E-4598-9E08-10DAD0A8DF4C}"/>
    <cellStyle name="Currency 3 2 2 5" xfId="1538" xr:uid="{933CC53C-F090-46E5-ACD9-F1149DDB6AD6}"/>
    <cellStyle name="Currency 3 2 2 5 2" xfId="4348" xr:uid="{F1A07FF0-905B-4B23-9233-B3233F52FAEE}"/>
    <cellStyle name="Currency 3 2 2 5 2 2" xfId="9984" xr:uid="{AF095AFF-BB7C-4A9F-B3BA-D066E150BFE4}"/>
    <cellStyle name="Currency 3 2 2 5 3" xfId="7174" xr:uid="{0ED299A4-850E-4AC4-A65E-0476735AFEAD}"/>
    <cellStyle name="Currency 3 2 2 6" xfId="2947" xr:uid="{1CA067C4-F207-4604-AE11-C67C16D6C194}"/>
    <cellStyle name="Currency 3 2 2 6 2" xfId="8583" xr:uid="{1E9352D4-6752-4568-A3BC-B06E7C309FFA}"/>
    <cellStyle name="Currency 3 2 2 7" xfId="5773" xr:uid="{1658D941-88F4-4825-9078-8067F1C09622}"/>
    <cellStyle name="Currency 3 2 3" xfId="229" xr:uid="{C2DB4CA5-4A21-422F-AF89-2D8C31C26E61}"/>
    <cellStyle name="Currency 3 2 3 2" xfId="573" xr:uid="{DB030451-2974-4A16-B80B-F2229F1E9656}"/>
    <cellStyle name="Currency 3 2 3 2 2" xfId="1269" xr:uid="{15731182-68E5-41E3-9602-752FA831993F}"/>
    <cellStyle name="Currency 3 2 3 2 2 2" xfId="2670" xr:uid="{A05D74A6-7B53-4F61-90DF-C39E939108AF}"/>
    <cellStyle name="Currency 3 2 3 2 2 2 2" xfId="5480" xr:uid="{33CF0DAA-D9BF-4FC0-BA32-74DB9F545342}"/>
    <cellStyle name="Currency 3 2 3 2 2 2 2 2" xfId="11116" xr:uid="{B5972DB5-4A6B-4499-9322-8EA49BFCC9B8}"/>
    <cellStyle name="Currency 3 2 3 2 2 2 3" xfId="8306" xr:uid="{B6E18587-0F3F-4DF7-89AD-18551C4B30B3}"/>
    <cellStyle name="Currency 3 2 3 2 2 3" xfId="4079" xr:uid="{C15CAF11-98EA-4598-B72E-7C17AC5B9353}"/>
    <cellStyle name="Currency 3 2 3 2 2 3 2" xfId="9715" xr:uid="{160841A4-4CF9-4267-8BCA-B1D64E806C7D}"/>
    <cellStyle name="Currency 3 2 3 2 2 4" xfId="6905" xr:uid="{AD29EEBF-4678-41F5-A361-667FBB4CF5B4}"/>
    <cellStyle name="Currency 3 2 3 2 3" xfId="1974" xr:uid="{61F9FCAB-2819-4F8B-B9DE-E5B2E4047E84}"/>
    <cellStyle name="Currency 3 2 3 2 3 2" xfId="4784" xr:uid="{E7245845-D98E-44BB-81D6-90BDE6F7A393}"/>
    <cellStyle name="Currency 3 2 3 2 3 2 2" xfId="10420" xr:uid="{B0668A7D-CBC3-42AE-8614-4AC998E2F68C}"/>
    <cellStyle name="Currency 3 2 3 2 3 3" xfId="7610" xr:uid="{5C15FDB1-A9D5-40D0-98A0-9FC5BB762F80}"/>
    <cellStyle name="Currency 3 2 3 2 4" xfId="3383" xr:uid="{D066CAAC-E24A-439C-8637-125F75B9FF0A}"/>
    <cellStyle name="Currency 3 2 3 2 4 2" xfId="9019" xr:uid="{2D812A9E-F92E-4F1B-874C-7AACCCC9DC96}"/>
    <cellStyle name="Currency 3 2 3 2 5" xfId="6209" xr:uid="{E6EF43D6-E2F0-4A24-9E75-A1F965E1EF0B}"/>
    <cellStyle name="Currency 3 2 3 3" xfId="925" xr:uid="{4655BCF7-365B-4CF0-B6B6-D90F5CF56603}"/>
    <cellStyle name="Currency 3 2 3 3 2" xfId="2326" xr:uid="{72226131-7653-4920-B5B4-C879B7479142}"/>
    <cellStyle name="Currency 3 2 3 3 2 2" xfId="5136" xr:uid="{FC69E919-0B51-484E-9F86-C2C3309E077E}"/>
    <cellStyle name="Currency 3 2 3 3 2 2 2" xfId="10772" xr:uid="{969A5623-A1B5-49D3-8FA3-CC9DF7FE8571}"/>
    <cellStyle name="Currency 3 2 3 3 2 3" xfId="7962" xr:uid="{49C70FC5-F29C-4F87-841D-FCA49B00B074}"/>
    <cellStyle name="Currency 3 2 3 3 3" xfId="3735" xr:uid="{85A5EBBF-CC45-4FDA-80DC-3F15D66A8C38}"/>
    <cellStyle name="Currency 3 2 3 3 3 2" xfId="9371" xr:uid="{BA17F8E5-9AB3-4246-B70A-0187EDB5CC30}"/>
    <cellStyle name="Currency 3 2 3 3 4" xfId="6561" xr:uid="{FC834AFC-97A8-474E-B585-ECE68F911A9E}"/>
    <cellStyle name="Currency 3 2 3 4" xfId="1630" xr:uid="{0768461E-443B-4BA9-A862-3C310ABA308A}"/>
    <cellStyle name="Currency 3 2 3 4 2" xfId="4440" xr:uid="{1466FF19-546F-4B71-BE91-04461EC8AA60}"/>
    <cellStyle name="Currency 3 2 3 4 2 2" xfId="10076" xr:uid="{C20C4C1F-5241-4A70-AEFE-9CAA24B6E94D}"/>
    <cellStyle name="Currency 3 2 3 4 3" xfId="7266" xr:uid="{E7425FF7-2114-484A-9B79-E5742E3BC37F}"/>
    <cellStyle name="Currency 3 2 3 5" xfId="3039" xr:uid="{B40C488E-260A-463F-9E33-B0EF12CF9E12}"/>
    <cellStyle name="Currency 3 2 3 5 2" xfId="8675" xr:uid="{9C7C58D0-3D5D-4035-9826-8CCC25859210}"/>
    <cellStyle name="Currency 3 2 3 6" xfId="5865" xr:uid="{9A15836F-D1BC-409D-ABF3-61A6D9F38052}"/>
    <cellStyle name="Currency 3 2 4" xfId="401" xr:uid="{C0078AA7-FE4F-4792-BE89-3E5658719533}"/>
    <cellStyle name="Currency 3 2 4 2" xfId="1097" xr:uid="{6D545E9F-B533-4F55-9A2A-95542069A66C}"/>
    <cellStyle name="Currency 3 2 4 2 2" xfId="2498" xr:uid="{5BFDB608-07EE-4C4D-9267-EB33EFE00D45}"/>
    <cellStyle name="Currency 3 2 4 2 2 2" xfId="5308" xr:uid="{4DF1876D-2D17-4708-9D72-10C094CB9FA9}"/>
    <cellStyle name="Currency 3 2 4 2 2 2 2" xfId="10944" xr:uid="{407F1B55-0183-4938-AB8B-5AB1856DD674}"/>
    <cellStyle name="Currency 3 2 4 2 2 3" xfId="8134" xr:uid="{6D59618B-3749-4926-A137-23BA84B3719B}"/>
    <cellStyle name="Currency 3 2 4 2 3" xfId="3907" xr:uid="{1F4F1E44-E4B8-4922-9B29-063E72031A4F}"/>
    <cellStyle name="Currency 3 2 4 2 3 2" xfId="9543" xr:uid="{B8722089-B9E2-48AB-8557-D00DE0F739C8}"/>
    <cellStyle name="Currency 3 2 4 2 4" xfId="6733" xr:uid="{88E2CFC3-B245-4B07-94FC-64A6A1B61308}"/>
    <cellStyle name="Currency 3 2 4 3" xfId="1802" xr:uid="{6487069D-0CF5-46F9-A270-BE4219D0F155}"/>
    <cellStyle name="Currency 3 2 4 3 2" xfId="4612" xr:uid="{D71B54DF-2C68-4F4C-90CD-419B6C77F833}"/>
    <cellStyle name="Currency 3 2 4 3 2 2" xfId="10248" xr:uid="{38BAF6D3-17E0-432C-BF48-1569ECF03840}"/>
    <cellStyle name="Currency 3 2 4 3 3" xfId="7438" xr:uid="{C4C75C98-1C41-4967-94B5-3DEB3D7CB7B8}"/>
    <cellStyle name="Currency 3 2 4 4" xfId="3211" xr:uid="{DF2F27BC-B5E2-481C-BF01-F26F8390E6BF}"/>
    <cellStyle name="Currency 3 2 4 4 2" xfId="8847" xr:uid="{69D36168-3C1C-4677-988E-FBDA2A3F0771}"/>
    <cellStyle name="Currency 3 2 4 5" xfId="6037" xr:uid="{FA3E65E2-BFC8-47DB-BE9C-C7BB33CEC6E6}"/>
    <cellStyle name="Currency 3 2 5" xfId="753" xr:uid="{A987800A-21D9-41E9-83C2-89A05DEFC6F8}"/>
    <cellStyle name="Currency 3 2 5 2" xfId="2154" xr:uid="{9AFDFC66-A242-42C8-9638-4D753D5D5BB9}"/>
    <cellStyle name="Currency 3 2 5 2 2" xfId="4964" xr:uid="{33B25C8A-E929-41D3-8FF3-C88CE36F3D15}"/>
    <cellStyle name="Currency 3 2 5 2 2 2" xfId="10600" xr:uid="{25C6FADE-0FD4-4337-B3F5-9A2095B4A1E0}"/>
    <cellStyle name="Currency 3 2 5 2 3" xfId="7790" xr:uid="{5018B1F2-3354-4B09-A6F4-C1CF8E2631FE}"/>
    <cellStyle name="Currency 3 2 5 3" xfId="3563" xr:uid="{2A8082F3-360D-48AF-AA1A-63E897D257AF}"/>
    <cellStyle name="Currency 3 2 5 3 2" xfId="9199" xr:uid="{D424972B-7DB7-48BB-AB05-049201262B36}"/>
    <cellStyle name="Currency 3 2 5 4" xfId="6389" xr:uid="{511F9981-2CFB-419E-A086-2C8FC504AFD2}"/>
    <cellStyle name="Currency 3 2 6" xfId="1458" xr:uid="{385A9A3E-02F0-437F-B433-D7F843081222}"/>
    <cellStyle name="Currency 3 2 6 2" xfId="4268" xr:uid="{6ED6092D-B4A5-4096-BB52-B8EA5A6C9D6F}"/>
    <cellStyle name="Currency 3 2 6 2 2" xfId="9904" xr:uid="{5426AC67-15ED-42EC-8811-05CB25DC7147}"/>
    <cellStyle name="Currency 3 2 6 3" xfId="7094" xr:uid="{B0625249-313B-40FE-878A-5755D1B3893B}"/>
    <cellStyle name="Currency 3 2 7" xfId="2867" xr:uid="{11908A36-A1CD-4FD8-929F-1B85D8BD775B}"/>
    <cellStyle name="Currency 3 2 7 2" xfId="8503" xr:uid="{6CD48D1C-C292-495F-99F9-F4D6677894C2}"/>
    <cellStyle name="Currency 3 2 8" xfId="5693" xr:uid="{28F1CE76-4090-4C3B-B6F2-B77078223E70}"/>
    <cellStyle name="Currency 3 3" xfId="105" xr:uid="{A57DB295-4800-47C7-B69E-44B2B263E534}"/>
    <cellStyle name="Currency 3 3 2" xfId="277" xr:uid="{94539BFF-EFFA-43E5-9F9B-BE6BB0C15879}"/>
    <cellStyle name="Currency 3 3 2 2" xfId="621" xr:uid="{096B9447-ED9D-4689-95EE-0C2188D190A3}"/>
    <cellStyle name="Currency 3 3 2 2 2" xfId="1317" xr:uid="{6B8B840B-6CEC-45C5-9368-578EC7274B2E}"/>
    <cellStyle name="Currency 3 3 2 2 2 2" xfId="2718" xr:uid="{7AD6140A-D171-42B9-9615-391ED5D7E762}"/>
    <cellStyle name="Currency 3 3 2 2 2 2 2" xfId="5528" xr:uid="{9FC3965E-7190-42CC-A48C-5C1101DF986D}"/>
    <cellStyle name="Currency 3 3 2 2 2 2 2 2" xfId="11164" xr:uid="{C5A8EABE-36F6-4593-9552-4C5DFED2B003}"/>
    <cellStyle name="Currency 3 3 2 2 2 2 3" xfId="8354" xr:uid="{7E686E11-357D-4F95-B3F4-CE2180D0EBBD}"/>
    <cellStyle name="Currency 3 3 2 2 2 3" xfId="4127" xr:uid="{742D9FD2-89FE-4AE3-A6F8-F3A5AE5AADE4}"/>
    <cellStyle name="Currency 3 3 2 2 2 3 2" xfId="9763" xr:uid="{C0A6AB3F-598D-4C03-B051-17A98ECD64EA}"/>
    <cellStyle name="Currency 3 3 2 2 2 4" xfId="6953" xr:uid="{EB1A4E3F-CC53-4CB5-8FD8-C903CB107FC5}"/>
    <cellStyle name="Currency 3 3 2 2 3" xfId="2022" xr:uid="{29170250-82A3-46D8-9209-999E2353B967}"/>
    <cellStyle name="Currency 3 3 2 2 3 2" xfId="4832" xr:uid="{54CC9FA9-0B4B-41DC-84FA-69E54E6C5CD2}"/>
    <cellStyle name="Currency 3 3 2 2 3 2 2" xfId="10468" xr:uid="{69FA5C04-68AD-4FF0-B35A-46FCB408E7F3}"/>
    <cellStyle name="Currency 3 3 2 2 3 3" xfId="7658" xr:uid="{FCB00431-D2CB-44C5-904C-3AC640C3D230}"/>
    <cellStyle name="Currency 3 3 2 2 4" xfId="3431" xr:uid="{CAF0AD26-6DD3-4153-9904-C5D19F6CF90F}"/>
    <cellStyle name="Currency 3 3 2 2 4 2" xfId="9067" xr:uid="{5930E18B-28BF-4288-B25D-95542F90C405}"/>
    <cellStyle name="Currency 3 3 2 2 5" xfId="6257" xr:uid="{2C3C66DB-F095-4BB6-AF81-79370E23B44D}"/>
    <cellStyle name="Currency 3 3 2 3" xfId="973" xr:uid="{F382953A-46E6-4B94-A87A-D72F64F09650}"/>
    <cellStyle name="Currency 3 3 2 3 2" xfId="2374" xr:uid="{7240F1D1-C462-470C-A3E7-FB6C1ABC7A4A}"/>
    <cellStyle name="Currency 3 3 2 3 2 2" xfId="5184" xr:uid="{A521F8F9-1910-4BC1-A89E-D34A18C7538D}"/>
    <cellStyle name="Currency 3 3 2 3 2 2 2" xfId="10820" xr:uid="{9B691432-72B3-4B12-B306-7167B79D5106}"/>
    <cellStyle name="Currency 3 3 2 3 2 3" xfId="8010" xr:uid="{E5BFEB1B-65C6-434F-8B89-8CFD14E56F4D}"/>
    <cellStyle name="Currency 3 3 2 3 3" xfId="3783" xr:uid="{0585C6C6-2C94-4D91-9A1E-02996C90A183}"/>
    <cellStyle name="Currency 3 3 2 3 3 2" xfId="9419" xr:uid="{F4600BF5-BBC7-4B96-8963-7340AD3110B3}"/>
    <cellStyle name="Currency 3 3 2 3 4" xfId="6609" xr:uid="{615F5B05-261F-422B-9C36-E7A9C023EA18}"/>
    <cellStyle name="Currency 3 3 2 4" xfId="1678" xr:uid="{3C6857F1-609C-486A-B8F2-896EA59E0BD9}"/>
    <cellStyle name="Currency 3 3 2 4 2" xfId="4488" xr:uid="{9B683284-4FE2-4E4B-B6A3-AE992B8BF790}"/>
    <cellStyle name="Currency 3 3 2 4 2 2" xfId="10124" xr:uid="{AFEE0601-4252-4757-948C-F67EEF39EB6A}"/>
    <cellStyle name="Currency 3 3 2 4 3" xfId="7314" xr:uid="{FD06E7B2-AE61-4BF1-AD7F-562066023A31}"/>
    <cellStyle name="Currency 3 3 2 5" xfId="3087" xr:uid="{521F7AEE-E4E9-4969-B027-7F5BD0B852D1}"/>
    <cellStyle name="Currency 3 3 2 5 2" xfId="8723" xr:uid="{D204E2F7-BD29-4382-8998-753A9135BC41}"/>
    <cellStyle name="Currency 3 3 2 6" xfId="5913" xr:uid="{4B69CDA7-0CB2-45FB-9ED7-5158BF19654B}"/>
    <cellStyle name="Currency 3 3 3" xfId="449" xr:uid="{D07B1A15-A89C-4642-BC47-CB2C9B9E7B99}"/>
    <cellStyle name="Currency 3 3 3 2" xfId="1145" xr:uid="{D1B49490-050A-41C6-8A61-F41BFACDBDAB}"/>
    <cellStyle name="Currency 3 3 3 2 2" xfId="2546" xr:uid="{1A462366-C4B8-4358-AE08-76C53D757288}"/>
    <cellStyle name="Currency 3 3 3 2 2 2" xfId="5356" xr:uid="{93B7308B-FD40-4270-981E-C6BE07179CA4}"/>
    <cellStyle name="Currency 3 3 3 2 2 2 2" xfId="10992" xr:uid="{2C2C0164-6559-4EA4-82EA-CFD87E8082BA}"/>
    <cellStyle name="Currency 3 3 3 2 2 3" xfId="8182" xr:uid="{1DA3A189-67D5-429B-A205-4726356F52B6}"/>
    <cellStyle name="Currency 3 3 3 2 3" xfId="3955" xr:uid="{99F7F107-7EFA-4780-B961-4763240B22B2}"/>
    <cellStyle name="Currency 3 3 3 2 3 2" xfId="9591" xr:uid="{CF17FC11-3644-409D-89F5-600C38FC53D4}"/>
    <cellStyle name="Currency 3 3 3 2 4" xfId="6781" xr:uid="{67A98633-6D9E-4C7F-8B16-9FE5FA6427C9}"/>
    <cellStyle name="Currency 3 3 3 3" xfId="1850" xr:uid="{83C29081-3D26-4607-94AF-C449FBC2E228}"/>
    <cellStyle name="Currency 3 3 3 3 2" xfId="4660" xr:uid="{F7964B24-ECFD-40E4-9A00-835BE853861B}"/>
    <cellStyle name="Currency 3 3 3 3 2 2" xfId="10296" xr:uid="{795A7051-CA53-40F3-A1BF-43B1796053B2}"/>
    <cellStyle name="Currency 3 3 3 3 3" xfId="7486" xr:uid="{B0369BEE-E41B-4F6F-A66F-2C6D22D08A51}"/>
    <cellStyle name="Currency 3 3 3 4" xfId="3259" xr:uid="{20A2E30F-9C69-4E0F-9C59-F108D4FED4C5}"/>
    <cellStyle name="Currency 3 3 3 4 2" xfId="8895" xr:uid="{DFB83F55-5F52-403F-B7E1-A76C5339FA96}"/>
    <cellStyle name="Currency 3 3 3 5" xfId="6085" xr:uid="{D0D81337-0F58-4F20-881C-D5645086CFEE}"/>
    <cellStyle name="Currency 3 3 4" xfId="801" xr:uid="{65D062C5-62C5-4FCD-8AF0-E9A0CD3592EB}"/>
    <cellStyle name="Currency 3 3 4 2" xfId="2202" xr:uid="{A5C42097-8B09-47D5-A966-B08098C6A21F}"/>
    <cellStyle name="Currency 3 3 4 2 2" xfId="5012" xr:uid="{06C0333C-BA58-4F0D-BD34-1A29A55A1D34}"/>
    <cellStyle name="Currency 3 3 4 2 2 2" xfId="10648" xr:uid="{08B263AA-F496-4642-8D80-5BA6F946FA6D}"/>
    <cellStyle name="Currency 3 3 4 2 3" xfId="7838" xr:uid="{4ABE96A9-D60B-4ACB-B2AC-0C3B54BEEC2D}"/>
    <cellStyle name="Currency 3 3 4 3" xfId="3611" xr:uid="{D512D7FA-187E-4F80-BC74-E446336D4E8C}"/>
    <cellStyle name="Currency 3 3 4 3 2" xfId="9247" xr:uid="{3CEA04F5-7FD6-49A7-9628-0C3C6053486F}"/>
    <cellStyle name="Currency 3 3 4 4" xfId="6437" xr:uid="{3E9A636B-F33B-48C0-AC6A-DCE0D480B2F3}"/>
    <cellStyle name="Currency 3 3 5" xfId="1506" xr:uid="{65E4B2A9-C1C9-4ABF-B29F-A60329FEF70A}"/>
    <cellStyle name="Currency 3 3 5 2" xfId="4316" xr:uid="{1ABB73F5-FF92-479B-A2FE-4618C6386BA4}"/>
    <cellStyle name="Currency 3 3 5 2 2" xfId="9952" xr:uid="{26701014-7553-4EF4-B624-8ACB4B669A1D}"/>
    <cellStyle name="Currency 3 3 5 3" xfId="7142" xr:uid="{A56C7E73-B0EC-4362-ADCC-27999008076D}"/>
    <cellStyle name="Currency 3 3 6" xfId="2915" xr:uid="{8B9A23C5-DCB8-4BF4-A5BB-0C53B49695BD}"/>
    <cellStyle name="Currency 3 3 6 2" xfId="8551" xr:uid="{F0A78117-564F-4C48-A455-33A6973D4CB6}"/>
    <cellStyle name="Currency 3 3 7" xfId="5741" xr:uid="{81BDC3B0-5DAF-4A57-BFCC-DAD85D4C75F2}"/>
    <cellStyle name="Currency 3 4" xfId="197" xr:uid="{10684AD2-800C-4AD7-9B79-ABAD9663721D}"/>
    <cellStyle name="Currency 3 4 2" xfId="541" xr:uid="{860BC64E-A4EF-4866-B4A5-CB0E00EE7BAB}"/>
    <cellStyle name="Currency 3 4 2 2" xfId="1237" xr:uid="{B5D119CE-672F-4B9A-A624-946B48F28EE5}"/>
    <cellStyle name="Currency 3 4 2 2 2" xfId="2638" xr:uid="{67D5998A-8592-43F9-95A8-323F6BF3CF95}"/>
    <cellStyle name="Currency 3 4 2 2 2 2" xfId="5448" xr:uid="{52DD1FCF-AF23-4556-A016-329C98BFA95C}"/>
    <cellStyle name="Currency 3 4 2 2 2 2 2" xfId="11084" xr:uid="{89EF5D12-A3A5-43C1-942D-1FC1D8F1F53A}"/>
    <cellStyle name="Currency 3 4 2 2 2 3" xfId="8274" xr:uid="{DE10F2FD-BDE4-4A35-A268-31EF94E6374F}"/>
    <cellStyle name="Currency 3 4 2 2 3" xfId="4047" xr:uid="{6771AD6B-15EC-4FD7-90B5-01DC06821724}"/>
    <cellStyle name="Currency 3 4 2 2 3 2" xfId="9683" xr:uid="{FB5098BF-1432-4005-8663-620730227C0E}"/>
    <cellStyle name="Currency 3 4 2 2 4" xfId="6873" xr:uid="{D60CBBB2-BD4C-475D-83B1-70673544C4C4}"/>
    <cellStyle name="Currency 3 4 2 3" xfId="1942" xr:uid="{6D23AD85-CF46-42F3-B724-A3D49F5FED6E}"/>
    <cellStyle name="Currency 3 4 2 3 2" xfId="4752" xr:uid="{0724B997-237A-41DB-B6D0-91A08BF161C3}"/>
    <cellStyle name="Currency 3 4 2 3 2 2" xfId="10388" xr:uid="{4F286712-1292-4F0B-A785-E4B70994B7C7}"/>
    <cellStyle name="Currency 3 4 2 3 3" xfId="7578" xr:uid="{BC114B2E-7FC1-40EE-A06E-EA1493101759}"/>
    <cellStyle name="Currency 3 4 2 4" xfId="3351" xr:uid="{18537D76-6731-4A43-916E-22E06CD7C2BF}"/>
    <cellStyle name="Currency 3 4 2 4 2" xfId="8987" xr:uid="{E694EC24-C963-419C-95AC-90990BDBEB36}"/>
    <cellStyle name="Currency 3 4 2 5" xfId="6177" xr:uid="{4738A343-492B-4CD7-853D-0846DCD21A20}"/>
    <cellStyle name="Currency 3 4 3" xfId="893" xr:uid="{04E9382D-871D-4846-9CA4-C11AA2605899}"/>
    <cellStyle name="Currency 3 4 3 2" xfId="2294" xr:uid="{9ABE798D-5FCE-4B84-BAF0-4C9616BB7B49}"/>
    <cellStyle name="Currency 3 4 3 2 2" xfId="5104" xr:uid="{E1A9802F-325A-4FCB-833F-196952029420}"/>
    <cellStyle name="Currency 3 4 3 2 2 2" xfId="10740" xr:uid="{BB1E23E5-0433-4267-9AA6-20E89A3F60A1}"/>
    <cellStyle name="Currency 3 4 3 2 3" xfId="7930" xr:uid="{2DA5286C-7B9B-4A28-BA8B-3F3ADC3D3881}"/>
    <cellStyle name="Currency 3 4 3 3" xfId="3703" xr:uid="{1571CD70-351D-41E2-AFD0-C3C46F4E0B99}"/>
    <cellStyle name="Currency 3 4 3 3 2" xfId="9339" xr:uid="{CED8CDA6-A3E5-4324-BF44-73CDC831B94A}"/>
    <cellStyle name="Currency 3 4 3 4" xfId="6529" xr:uid="{1B57657F-AD47-4E0A-883C-0AAA5E9DC1F9}"/>
    <cellStyle name="Currency 3 4 4" xfId="1598" xr:uid="{CD6DCFB0-B10B-4E50-A0CD-298BE7D73F88}"/>
    <cellStyle name="Currency 3 4 4 2" xfId="4408" xr:uid="{4A0A76F2-56A0-47FA-B9F6-2C467A988861}"/>
    <cellStyle name="Currency 3 4 4 2 2" xfId="10044" xr:uid="{6DC979C1-5AE8-4E28-8B4E-A28BD509C134}"/>
    <cellStyle name="Currency 3 4 4 3" xfId="7234" xr:uid="{F08ED790-0057-4556-90F7-3A8ECBA596F1}"/>
    <cellStyle name="Currency 3 4 5" xfId="3007" xr:uid="{E54376BC-8D6F-42A5-9382-80C6D7218B7A}"/>
    <cellStyle name="Currency 3 4 5 2" xfId="8643" xr:uid="{06B94E8D-CE4E-45E1-9130-0C7F4B643B41}"/>
    <cellStyle name="Currency 3 4 6" xfId="5833" xr:uid="{1DEF2262-1CB3-4F5E-A935-A35B9472AEBB}"/>
    <cellStyle name="Currency 3 5" xfId="369" xr:uid="{5C946E04-4DFD-4CC6-BD66-3181AC31975E}"/>
    <cellStyle name="Currency 3 5 2" xfId="1065" xr:uid="{216C5178-9B8B-4F7B-8DDA-02CABE091EA7}"/>
    <cellStyle name="Currency 3 5 2 2" xfId="2466" xr:uid="{F019F232-2401-4CEE-B742-D812F19E9F3B}"/>
    <cellStyle name="Currency 3 5 2 2 2" xfId="5276" xr:uid="{ECCE030A-220B-4C9B-8B33-AD15CDA5E556}"/>
    <cellStyle name="Currency 3 5 2 2 2 2" xfId="10912" xr:uid="{77C16B20-B40C-4694-801E-D2D2D2F0B47D}"/>
    <cellStyle name="Currency 3 5 2 2 3" xfId="8102" xr:uid="{401BF8F4-C89D-426D-9E06-A697CD04EB13}"/>
    <cellStyle name="Currency 3 5 2 3" xfId="3875" xr:uid="{5C17F293-7D4F-4DA9-AB77-B38F6E742C57}"/>
    <cellStyle name="Currency 3 5 2 3 2" xfId="9511" xr:uid="{5FFF99F1-33E3-48F4-BDB5-BC04638CCA41}"/>
    <cellStyle name="Currency 3 5 2 4" xfId="6701" xr:uid="{7909276E-DDE7-4FF8-B6B3-F3E78A1DC2DA}"/>
    <cellStyle name="Currency 3 5 3" xfId="1770" xr:uid="{DCFEC7D8-4106-4DA8-AE1A-B66B430F4D13}"/>
    <cellStyle name="Currency 3 5 3 2" xfId="4580" xr:uid="{292253A5-DF53-4761-A2D8-EDD13CF6D89C}"/>
    <cellStyle name="Currency 3 5 3 2 2" xfId="10216" xr:uid="{8077607B-827D-454D-95D9-B6EB617E3BE3}"/>
    <cellStyle name="Currency 3 5 3 3" xfId="7406" xr:uid="{B0B09E87-2F14-4008-A29E-9725F64956A4}"/>
    <cellStyle name="Currency 3 5 4" xfId="3179" xr:uid="{DAFCB02D-0068-4C15-A6FC-A6991A70E986}"/>
    <cellStyle name="Currency 3 5 4 2" xfId="8815" xr:uid="{6142E0CA-955F-4832-8E24-94E40A8A9C72}"/>
    <cellStyle name="Currency 3 5 5" xfId="6005" xr:uid="{4F21874F-AAF1-442B-8436-073398073484}"/>
    <cellStyle name="Currency 3 6" xfId="721" xr:uid="{8DED3F11-FAC5-4BF6-84CB-44DA27A72549}"/>
    <cellStyle name="Currency 3 6 2" xfId="2122" xr:uid="{563AB20E-1068-4915-9873-EA560589ADA4}"/>
    <cellStyle name="Currency 3 6 2 2" xfId="4932" xr:uid="{2B2AE2B0-24D3-43D6-9410-374AF99620F8}"/>
    <cellStyle name="Currency 3 6 2 2 2" xfId="10568" xr:uid="{810C765B-D8B4-43AA-A10A-D0897B4B6202}"/>
    <cellStyle name="Currency 3 6 2 3" xfId="7758" xr:uid="{9E8B72E2-14C2-4702-9C7F-D0506A29A2AB}"/>
    <cellStyle name="Currency 3 6 3" xfId="3531" xr:uid="{BDF4C199-BD4E-4014-ADCD-2DC6C94B7961}"/>
    <cellStyle name="Currency 3 6 3 2" xfId="9167" xr:uid="{417DC089-310D-4028-B425-B3ED6F812E6E}"/>
    <cellStyle name="Currency 3 6 4" xfId="6357" xr:uid="{B52AD3AA-8A39-4826-9915-53D39F8AAF41}"/>
    <cellStyle name="Currency 3 7" xfId="1426" xr:uid="{985EA282-9B8B-4149-8A35-72F1947AACBB}"/>
    <cellStyle name="Currency 3 7 2" xfId="4236" xr:uid="{1B02CCDD-592A-46C0-B636-1B6809818A35}"/>
    <cellStyle name="Currency 3 7 2 2" xfId="9872" xr:uid="{D8B9532B-7010-400B-A999-9B313CE571AC}"/>
    <cellStyle name="Currency 3 7 3" xfId="7062" xr:uid="{1DE42061-1338-4335-87FE-E84FA3F4B6F0}"/>
    <cellStyle name="Currency 3 8" xfId="2835" xr:uid="{14ADE9D2-317D-4C9E-A237-0E97872688FE}"/>
    <cellStyle name="Currency 3 8 2" xfId="8471" xr:uid="{EB6E364E-3541-46A6-BF5D-36D94180A297}"/>
    <cellStyle name="Currency 3 9" xfId="5661" xr:uid="{0277DD7D-9582-48A6-A74A-CF8AA86B9032}"/>
    <cellStyle name="Currency 4" xfId="35" xr:uid="{5B305569-5180-4E51-BF85-E7F94FA51126}"/>
    <cellStyle name="Currency 4 2" xfId="115" xr:uid="{FD483DFF-B55C-45AF-8108-1E00C0FE3C8A}"/>
    <cellStyle name="Currency 4 2 2" xfId="287" xr:uid="{DBB27C54-3D51-425A-B66B-C9A4F77D9F08}"/>
    <cellStyle name="Currency 4 2 2 2" xfId="631" xr:uid="{8E774FDB-9570-483D-B9B4-0D0EC06B2E81}"/>
    <cellStyle name="Currency 4 2 2 2 2" xfId="1327" xr:uid="{3070DC86-11AB-4473-AC1B-8AAD4C75E935}"/>
    <cellStyle name="Currency 4 2 2 2 2 2" xfId="2728" xr:uid="{BC9F6ED0-8020-46ED-9D0B-A22DA38BE00A}"/>
    <cellStyle name="Currency 4 2 2 2 2 2 2" xfId="5538" xr:uid="{8104C54F-F0B2-4C3C-8492-24D05D34316C}"/>
    <cellStyle name="Currency 4 2 2 2 2 2 2 2" xfId="11174" xr:uid="{0B981B7E-F23D-469B-A3E5-FEC10F6B34B6}"/>
    <cellStyle name="Currency 4 2 2 2 2 2 3" xfId="8364" xr:uid="{6D91A7A5-4617-4E33-B14B-CE5D66BA7BF3}"/>
    <cellStyle name="Currency 4 2 2 2 2 3" xfId="4137" xr:uid="{8CCAAE1F-0DAC-4538-BCAB-6F2CAE2298A6}"/>
    <cellStyle name="Currency 4 2 2 2 2 3 2" xfId="9773" xr:uid="{AD382D6B-50C7-49B3-813D-43EE9879B8DB}"/>
    <cellStyle name="Currency 4 2 2 2 2 4" xfId="6963" xr:uid="{16976059-6B88-4C07-870A-32C3F2D8C693}"/>
    <cellStyle name="Currency 4 2 2 2 3" xfId="2032" xr:uid="{4A5962C2-18CF-4458-8A1D-918B6F97B26F}"/>
    <cellStyle name="Currency 4 2 2 2 3 2" xfId="4842" xr:uid="{25402BF4-CB40-440F-AC3B-8F3BFEED9535}"/>
    <cellStyle name="Currency 4 2 2 2 3 2 2" xfId="10478" xr:uid="{436AD7B1-8568-4193-9AB2-5C225DDDF9CA}"/>
    <cellStyle name="Currency 4 2 2 2 3 3" xfId="7668" xr:uid="{4184A6B7-678E-45F2-8F30-34C7444ED679}"/>
    <cellStyle name="Currency 4 2 2 2 4" xfId="3441" xr:uid="{166D1B6F-57E9-4B16-BA2D-815A6D8E8BBB}"/>
    <cellStyle name="Currency 4 2 2 2 4 2" xfId="9077" xr:uid="{F1DB995B-DDD5-4F81-9274-210D179C5012}"/>
    <cellStyle name="Currency 4 2 2 2 5" xfId="6267" xr:uid="{1BD63FD6-34C4-419F-B633-EDB9D6324F63}"/>
    <cellStyle name="Currency 4 2 2 3" xfId="983" xr:uid="{87966F12-571D-437A-B91E-D23270EE4DF2}"/>
    <cellStyle name="Currency 4 2 2 3 2" xfId="2384" xr:uid="{43B1F8BD-A151-4F5A-9FC1-E088FD5E8B55}"/>
    <cellStyle name="Currency 4 2 2 3 2 2" xfId="5194" xr:uid="{F6EFD963-0880-41C9-BCF4-45B999384C60}"/>
    <cellStyle name="Currency 4 2 2 3 2 2 2" xfId="10830" xr:uid="{7E59B71A-414E-4205-B8AB-BC648233A212}"/>
    <cellStyle name="Currency 4 2 2 3 2 3" xfId="8020" xr:uid="{80E405CD-D1A5-4558-81D8-B91A7191BB51}"/>
    <cellStyle name="Currency 4 2 2 3 3" xfId="3793" xr:uid="{2A0A53C1-63EA-414F-9D44-03A99878B434}"/>
    <cellStyle name="Currency 4 2 2 3 3 2" xfId="9429" xr:uid="{CEF51FA5-E247-4B0E-B8DF-C3A39BFD0186}"/>
    <cellStyle name="Currency 4 2 2 3 4" xfId="6619" xr:uid="{01E0FBD1-B6F8-42B9-A02E-16012EF52B31}"/>
    <cellStyle name="Currency 4 2 2 4" xfId="1688" xr:uid="{8E30E3CD-8F83-4101-8484-BF2B9C708F78}"/>
    <cellStyle name="Currency 4 2 2 4 2" xfId="4498" xr:uid="{65DD59F6-E469-4D6B-B984-1961EB3EBD14}"/>
    <cellStyle name="Currency 4 2 2 4 2 2" xfId="10134" xr:uid="{B0BECD49-CE45-46B6-BC34-2AA48D37BC77}"/>
    <cellStyle name="Currency 4 2 2 4 3" xfId="7324" xr:uid="{0ECA88AB-0FF1-4450-A9FC-660FEE210AF4}"/>
    <cellStyle name="Currency 4 2 2 5" xfId="3097" xr:uid="{F8D46089-8C20-4327-9BAC-012D97D6EF5C}"/>
    <cellStyle name="Currency 4 2 2 5 2" xfId="8733" xr:uid="{3C715A40-222B-4F7D-8ABC-FAEB3679B3C1}"/>
    <cellStyle name="Currency 4 2 2 6" xfId="5923" xr:uid="{9EC8D6E3-9A1B-4A65-959A-74A263D73C39}"/>
    <cellStyle name="Currency 4 2 3" xfId="459" xr:uid="{7A75180E-B9FC-4E3E-A957-DBFCEC1E8276}"/>
    <cellStyle name="Currency 4 2 3 2" xfId="1155" xr:uid="{04090F5D-EDCE-474B-B21E-9D63ABC9882B}"/>
    <cellStyle name="Currency 4 2 3 2 2" xfId="2556" xr:uid="{AE804206-CC2C-4DF0-A395-E62F346B1A71}"/>
    <cellStyle name="Currency 4 2 3 2 2 2" xfId="5366" xr:uid="{CC74376B-8226-49EE-8C53-7C56F601B801}"/>
    <cellStyle name="Currency 4 2 3 2 2 2 2" xfId="11002" xr:uid="{D293BA08-8BB5-43D5-8EE4-7C23BD876778}"/>
    <cellStyle name="Currency 4 2 3 2 2 3" xfId="8192" xr:uid="{E29F2C6F-2A5B-4FAA-84F6-7ACF86986A86}"/>
    <cellStyle name="Currency 4 2 3 2 3" xfId="3965" xr:uid="{1138158A-B160-49D0-95A8-24D8823C504D}"/>
    <cellStyle name="Currency 4 2 3 2 3 2" xfId="9601" xr:uid="{79051459-5060-4B4C-8364-7EBF150BA905}"/>
    <cellStyle name="Currency 4 2 3 2 4" xfId="6791" xr:uid="{E1F30E40-03BC-4D52-913C-91ABA14489C6}"/>
    <cellStyle name="Currency 4 2 3 3" xfId="1860" xr:uid="{03A98EB7-1FCC-4F6E-8363-FE3A8893DA04}"/>
    <cellStyle name="Currency 4 2 3 3 2" xfId="4670" xr:uid="{2358F1A4-9020-4D99-9DE6-C55416BB9F3A}"/>
    <cellStyle name="Currency 4 2 3 3 2 2" xfId="10306" xr:uid="{E61BF8CD-3FAD-4407-98D6-53A20F894CB2}"/>
    <cellStyle name="Currency 4 2 3 3 3" xfId="7496" xr:uid="{CF32FFD4-B1EA-4A54-9561-6EF08A81A0D8}"/>
    <cellStyle name="Currency 4 2 3 4" xfId="3269" xr:uid="{31F40F43-0A73-46D3-BDB7-1964255C6A0E}"/>
    <cellStyle name="Currency 4 2 3 4 2" xfId="8905" xr:uid="{1BA91FEB-E16D-49FC-B7F9-3F98037DF963}"/>
    <cellStyle name="Currency 4 2 3 5" xfId="6095" xr:uid="{551D931D-64DB-4312-9451-785F2DABBACC}"/>
    <cellStyle name="Currency 4 2 4" xfId="811" xr:uid="{A6E9BA2A-9CE1-4B48-AD5B-849A91F55858}"/>
    <cellStyle name="Currency 4 2 4 2" xfId="2212" xr:uid="{5E773F6C-5424-40AD-89B7-910B1A70F034}"/>
    <cellStyle name="Currency 4 2 4 2 2" xfId="5022" xr:uid="{18ED77ED-2B7B-43BE-8365-2A7DA538D717}"/>
    <cellStyle name="Currency 4 2 4 2 2 2" xfId="10658" xr:uid="{89F5C1F5-2423-4568-90EE-627F0ACB5CC2}"/>
    <cellStyle name="Currency 4 2 4 2 3" xfId="7848" xr:uid="{33FCC018-14DB-4706-8059-86495FDDA143}"/>
    <cellStyle name="Currency 4 2 4 3" xfId="3621" xr:uid="{D620193A-DCA2-4129-9503-7B23BFB487F7}"/>
    <cellStyle name="Currency 4 2 4 3 2" xfId="9257" xr:uid="{4D8D424D-39BE-4EC3-AA57-773313CFD2ED}"/>
    <cellStyle name="Currency 4 2 4 4" xfId="6447" xr:uid="{7C28D33F-2AA1-4633-B295-DA15BB790984}"/>
    <cellStyle name="Currency 4 2 5" xfId="1516" xr:uid="{5CE3CA83-FD19-4B8B-B238-720160475253}"/>
    <cellStyle name="Currency 4 2 5 2" xfId="4326" xr:uid="{70CE3769-1B95-41DD-89C6-F4D6A6A01C60}"/>
    <cellStyle name="Currency 4 2 5 2 2" xfId="9962" xr:uid="{98F6EADB-23B4-45ED-A6B5-03206A190CE7}"/>
    <cellStyle name="Currency 4 2 5 3" xfId="7152" xr:uid="{D64E381E-26EB-4AA4-8D00-C281D424093F}"/>
    <cellStyle name="Currency 4 2 6" xfId="2925" xr:uid="{B2676380-B6E5-4305-ACB3-07046C8068DB}"/>
    <cellStyle name="Currency 4 2 6 2" xfId="8561" xr:uid="{4CF017F2-9E83-462C-B002-6C6F04DB949C}"/>
    <cellStyle name="Currency 4 2 7" xfId="5751" xr:uid="{2F893211-DDCD-45EC-8BB7-C864D897F290}"/>
    <cellStyle name="Currency 4 3" xfId="207" xr:uid="{A404AB74-22A7-401A-ADC8-B5C6E0C2A8E5}"/>
    <cellStyle name="Currency 4 3 2" xfId="551" xr:uid="{593165CA-83B2-4E54-A0B1-EBEB3FD93A19}"/>
    <cellStyle name="Currency 4 3 2 2" xfId="1247" xr:uid="{99B8BB75-FA09-4852-BF56-D37BB5CB8685}"/>
    <cellStyle name="Currency 4 3 2 2 2" xfId="2648" xr:uid="{12FCF7C3-91FC-449F-85AA-650E273068E5}"/>
    <cellStyle name="Currency 4 3 2 2 2 2" xfId="5458" xr:uid="{D50869E4-8580-4DB6-85A0-1BD23006F395}"/>
    <cellStyle name="Currency 4 3 2 2 2 2 2" xfId="11094" xr:uid="{0A14DFFC-E88D-44DE-BB86-88CBC50BBD63}"/>
    <cellStyle name="Currency 4 3 2 2 2 3" xfId="8284" xr:uid="{230EB4DD-EFAC-4262-AB55-A69EDE4876E0}"/>
    <cellStyle name="Currency 4 3 2 2 3" xfId="4057" xr:uid="{0DE28614-3FAD-426F-8F05-CF6C832C5E81}"/>
    <cellStyle name="Currency 4 3 2 2 3 2" xfId="9693" xr:uid="{039503E9-3DEA-44C1-83C4-12F57D3790C9}"/>
    <cellStyle name="Currency 4 3 2 2 4" xfId="6883" xr:uid="{BCB2798E-F4C7-42F7-8778-3D8A0501092C}"/>
    <cellStyle name="Currency 4 3 2 3" xfId="1952" xr:uid="{E927D9FC-CF03-4B77-8F32-909EBACE49C3}"/>
    <cellStyle name="Currency 4 3 2 3 2" xfId="4762" xr:uid="{2D218F3D-C903-49F5-965C-5DF44912CB98}"/>
    <cellStyle name="Currency 4 3 2 3 2 2" xfId="10398" xr:uid="{4C163FB6-4273-4F32-AC2B-974DDF88C623}"/>
    <cellStyle name="Currency 4 3 2 3 3" xfId="7588" xr:uid="{5979ED19-C30E-4123-B3E7-2A478C7EA857}"/>
    <cellStyle name="Currency 4 3 2 4" xfId="3361" xr:uid="{506F5CBB-C1DC-47D9-9C37-EB111911DFAE}"/>
    <cellStyle name="Currency 4 3 2 4 2" xfId="8997" xr:uid="{F6B5CE7C-E021-4E27-8059-9710D85821AE}"/>
    <cellStyle name="Currency 4 3 2 5" xfId="6187" xr:uid="{F68761AF-2327-4592-8047-6F7A6D7A9683}"/>
    <cellStyle name="Currency 4 3 3" xfId="903" xr:uid="{45A8C649-0320-45BD-BB90-2B4F2EEC8D2F}"/>
    <cellStyle name="Currency 4 3 3 2" xfId="2304" xr:uid="{8DE8D385-6761-477B-98F1-A3C87987EBDF}"/>
    <cellStyle name="Currency 4 3 3 2 2" xfId="5114" xr:uid="{9679E4D9-C752-43C8-8BC0-7093498C07BF}"/>
    <cellStyle name="Currency 4 3 3 2 2 2" xfId="10750" xr:uid="{318FA7EB-F0B5-4879-B63F-11E52F79BE64}"/>
    <cellStyle name="Currency 4 3 3 2 3" xfId="7940" xr:uid="{748EF1DC-9599-496B-A295-6B07CB5E25F4}"/>
    <cellStyle name="Currency 4 3 3 3" xfId="3713" xr:uid="{8D58A3C2-D525-455A-9792-04C0D4E2D706}"/>
    <cellStyle name="Currency 4 3 3 3 2" xfId="9349" xr:uid="{FDF65A80-52B1-4581-B8FA-1FF0722A480A}"/>
    <cellStyle name="Currency 4 3 3 4" xfId="6539" xr:uid="{01168005-E3D6-4CB6-89DF-F3FE21B48A12}"/>
    <cellStyle name="Currency 4 3 4" xfId="1608" xr:uid="{B4F9F23E-D585-44BB-B88F-315A1620D0A8}"/>
    <cellStyle name="Currency 4 3 4 2" xfId="4418" xr:uid="{AF4A53AC-C6CA-4AF5-BBE0-0AB955894E87}"/>
    <cellStyle name="Currency 4 3 4 2 2" xfId="10054" xr:uid="{FB9BFA2A-648A-48FA-88C9-ED4A34C36C91}"/>
    <cellStyle name="Currency 4 3 4 3" xfId="7244" xr:uid="{964B7EC0-8841-4BAB-A0D1-FC25AF1742C8}"/>
    <cellStyle name="Currency 4 3 5" xfId="3017" xr:uid="{BAC98EDB-6307-42A2-966B-C7259E2D90F4}"/>
    <cellStyle name="Currency 4 3 5 2" xfId="8653" xr:uid="{04C7373B-285B-43E7-A2EE-919E88F01DB9}"/>
    <cellStyle name="Currency 4 3 6" xfId="5843" xr:uid="{6B3A1DFA-400B-49D3-9894-AE0C6A9A5334}"/>
    <cellStyle name="Currency 4 4" xfId="379" xr:uid="{45A7D91A-86EF-4999-AB84-99862B7CDB4B}"/>
    <cellStyle name="Currency 4 4 2" xfId="1075" xr:uid="{29F5BEB0-2C0F-4F72-A815-1C1CCB977739}"/>
    <cellStyle name="Currency 4 4 2 2" xfId="2476" xr:uid="{32173629-D5A9-42F3-8146-C39C78B1BE6A}"/>
    <cellStyle name="Currency 4 4 2 2 2" xfId="5286" xr:uid="{1E05E906-F14A-4DD7-B64D-DF6FE05B71EF}"/>
    <cellStyle name="Currency 4 4 2 2 2 2" xfId="10922" xr:uid="{258650D9-77A2-4137-BC8F-46466ADA6AE5}"/>
    <cellStyle name="Currency 4 4 2 2 3" xfId="8112" xr:uid="{43FFAAF4-7CEB-47A5-B13D-5390059957F2}"/>
    <cellStyle name="Currency 4 4 2 3" xfId="3885" xr:uid="{4F5D8D81-9A46-49CA-B133-5916698CA4AB}"/>
    <cellStyle name="Currency 4 4 2 3 2" xfId="9521" xr:uid="{1A4947D5-FD06-49D4-8CD7-A682337A7FE6}"/>
    <cellStyle name="Currency 4 4 2 4" xfId="6711" xr:uid="{4B374DF9-0B37-40C3-85CF-B81CAD49E1EF}"/>
    <cellStyle name="Currency 4 4 3" xfId="1780" xr:uid="{883BFFA1-971A-4631-A28A-DCCF0FC8674E}"/>
    <cellStyle name="Currency 4 4 3 2" xfId="4590" xr:uid="{7179E042-B562-4AE9-9992-59ABA704A5E2}"/>
    <cellStyle name="Currency 4 4 3 2 2" xfId="10226" xr:uid="{89209687-D027-4F17-A5D5-4CA04AC47FCA}"/>
    <cellStyle name="Currency 4 4 3 3" xfId="7416" xr:uid="{39E0B476-AD9E-4894-9A21-BCFE131EC884}"/>
    <cellStyle name="Currency 4 4 4" xfId="3189" xr:uid="{9E343FCD-28D7-4AF5-957C-79D9A831B969}"/>
    <cellStyle name="Currency 4 4 4 2" xfId="8825" xr:uid="{EB5577F8-3F8D-4039-9371-F3757746B915}"/>
    <cellStyle name="Currency 4 4 5" xfId="6015" xr:uid="{1FB95C0F-4B3C-49C2-A375-5CB9D1FA3AFB}"/>
    <cellStyle name="Currency 4 5" xfId="731" xr:uid="{2CBBC626-F1D0-4792-B81C-BE0F705F8FF2}"/>
    <cellStyle name="Currency 4 5 2" xfId="2132" xr:uid="{D7252E2C-3341-47F0-B7BE-B466121CD23A}"/>
    <cellStyle name="Currency 4 5 2 2" xfId="4942" xr:uid="{4A2FA67A-D5B3-4E39-80CB-5FB37FA24BD8}"/>
    <cellStyle name="Currency 4 5 2 2 2" xfId="10578" xr:uid="{5323086D-67C3-4A15-91AD-D3C9357DCC67}"/>
    <cellStyle name="Currency 4 5 2 3" xfId="7768" xr:uid="{768FB2BA-AB74-4E4A-86F5-02CEF8B4E4C7}"/>
    <cellStyle name="Currency 4 5 3" xfId="3541" xr:uid="{6BDBE442-0D34-4D30-A193-844C7900CA26}"/>
    <cellStyle name="Currency 4 5 3 2" xfId="9177" xr:uid="{30755517-95A8-4B2C-A2CF-B350A03F7600}"/>
    <cellStyle name="Currency 4 5 4" xfId="6367" xr:uid="{286ED8D5-E0EC-4C95-947E-EB00491AB107}"/>
    <cellStyle name="Currency 4 6" xfId="1436" xr:uid="{2BD8B84D-DC61-41B5-BAD0-B53BC21913A4}"/>
    <cellStyle name="Currency 4 6 2" xfId="4246" xr:uid="{2138B541-39C9-4780-A49B-370BA2DC39E6}"/>
    <cellStyle name="Currency 4 6 2 2" xfId="9882" xr:uid="{88421214-E2C5-4908-99BD-3DB5E8D06516}"/>
    <cellStyle name="Currency 4 6 3" xfId="7072" xr:uid="{9B138344-C297-460E-A01E-BBC8B0BDBB6E}"/>
    <cellStyle name="Currency 4 7" xfId="2845" xr:uid="{DFC4ED68-7C17-437B-9646-948328DA8D20}"/>
    <cellStyle name="Currency 4 7 2" xfId="8481" xr:uid="{4A1177A1-BFAA-4753-B83A-6A8514B45548}"/>
    <cellStyle name="Currency 4 8" xfId="5671" xr:uid="{E7366F6B-BCF5-43D6-B9E5-1D523087677A}"/>
    <cellStyle name="Currency 5" xfId="66" xr:uid="{123CDACC-FDA0-4BD4-984A-960AE8C4DBD6}"/>
    <cellStyle name="Currency 5 2" xfId="146" xr:uid="{DA50362A-2CDF-4609-8A91-F563CEDB024D}"/>
    <cellStyle name="Currency 5 2 2" xfId="318" xr:uid="{F3BDB3B3-FAC8-4A27-9E61-AFE581265D1E}"/>
    <cellStyle name="Currency 5 2 2 2" xfId="662" xr:uid="{995A917B-FA62-4116-B078-BEE7CC8FD4D8}"/>
    <cellStyle name="Currency 5 2 2 2 2" xfId="1358" xr:uid="{6302D20F-3C93-4DF0-8829-25C430FAC8E5}"/>
    <cellStyle name="Currency 5 2 2 2 2 2" xfId="2759" xr:uid="{B6612A4F-67E8-4B37-9115-4EDABE843BC0}"/>
    <cellStyle name="Currency 5 2 2 2 2 2 2" xfId="5569" xr:uid="{0DAB1555-C98D-4DFF-977A-4A9CB1DB5BF4}"/>
    <cellStyle name="Currency 5 2 2 2 2 2 2 2" xfId="11205" xr:uid="{848F2961-BBFC-462A-9AEE-2076E446878B}"/>
    <cellStyle name="Currency 5 2 2 2 2 2 3" xfId="8395" xr:uid="{08E896F2-CD54-4BC0-A1FF-74CC49CE4AA5}"/>
    <cellStyle name="Currency 5 2 2 2 2 3" xfId="4168" xr:uid="{720208D4-1753-4D37-A24A-2B9B15F6C280}"/>
    <cellStyle name="Currency 5 2 2 2 2 3 2" xfId="9804" xr:uid="{ABCD3D8B-8804-40C5-9070-163C35A26F0A}"/>
    <cellStyle name="Currency 5 2 2 2 2 4" xfId="6994" xr:uid="{A90EB8AD-DD9C-4ED8-9915-15DB34F6CE1E}"/>
    <cellStyle name="Currency 5 2 2 2 3" xfId="2063" xr:uid="{EE51456E-5E66-4CE9-8766-88FED3002B8C}"/>
    <cellStyle name="Currency 5 2 2 2 3 2" xfId="4873" xr:uid="{59E67D80-F442-4239-A9F9-D44A74116B82}"/>
    <cellStyle name="Currency 5 2 2 2 3 2 2" xfId="10509" xr:uid="{5F7B5EA5-753A-4DC0-B18E-914069783D77}"/>
    <cellStyle name="Currency 5 2 2 2 3 3" xfId="7699" xr:uid="{0C05A52E-2792-4F79-9500-E5D402D2BD20}"/>
    <cellStyle name="Currency 5 2 2 2 4" xfId="3472" xr:uid="{EA9981E2-72E5-4CAE-A917-6DE576FE5BD0}"/>
    <cellStyle name="Currency 5 2 2 2 4 2" xfId="9108" xr:uid="{5B0F90D8-6FA6-4C88-91A3-69C9C6F9F12F}"/>
    <cellStyle name="Currency 5 2 2 2 5" xfId="6298" xr:uid="{D45E930E-1A0C-41FE-A00A-8A98EE4314DF}"/>
    <cellStyle name="Currency 5 2 2 3" xfId="1014" xr:uid="{F991314C-C56C-406E-BB74-928A25B31313}"/>
    <cellStyle name="Currency 5 2 2 3 2" xfId="2415" xr:uid="{CBED364C-99F5-4B08-A6B4-CC8D2611ED02}"/>
    <cellStyle name="Currency 5 2 2 3 2 2" xfId="5225" xr:uid="{AE9C2D56-419B-4F2E-B4DE-A1DE9520E8BB}"/>
    <cellStyle name="Currency 5 2 2 3 2 2 2" xfId="10861" xr:uid="{A0995BD3-6814-44F7-A357-95D6C0AAE186}"/>
    <cellStyle name="Currency 5 2 2 3 2 3" xfId="8051" xr:uid="{5F29EDD4-FE1E-4A7A-8FCC-23B79AE4606F}"/>
    <cellStyle name="Currency 5 2 2 3 3" xfId="3824" xr:uid="{2560B069-6383-425A-AC5D-51C07F4A044C}"/>
    <cellStyle name="Currency 5 2 2 3 3 2" xfId="9460" xr:uid="{3989A7FA-1D0A-49FA-9DC1-3C6F13DFF144}"/>
    <cellStyle name="Currency 5 2 2 3 4" xfId="6650" xr:uid="{7885EEB6-5EC7-4B23-92BF-E898C2EC8D52}"/>
    <cellStyle name="Currency 5 2 2 4" xfId="1719" xr:uid="{5E7340ED-CBC9-44E0-9624-0A379268B41C}"/>
    <cellStyle name="Currency 5 2 2 4 2" xfId="4529" xr:uid="{BB72B4D9-FE0A-4EE9-AE5D-0DA568E1E3FC}"/>
    <cellStyle name="Currency 5 2 2 4 2 2" xfId="10165" xr:uid="{2B95497D-BD9D-4D64-9E66-B84718377767}"/>
    <cellStyle name="Currency 5 2 2 4 3" xfId="7355" xr:uid="{F2A3DBE4-4C2D-46D1-9C35-4DAB68482D35}"/>
    <cellStyle name="Currency 5 2 2 5" xfId="3128" xr:uid="{0C6E894B-3A5B-4AFA-9E3C-DB21A764D826}"/>
    <cellStyle name="Currency 5 2 2 5 2" xfId="8764" xr:uid="{4CEA50AE-773E-44B0-A4E5-1A0013C3D04D}"/>
    <cellStyle name="Currency 5 2 2 6" xfId="5954" xr:uid="{D863E6B9-0346-4EB5-B723-7A9A14D3311B}"/>
    <cellStyle name="Currency 5 2 3" xfId="490" xr:uid="{FAD54F6E-088D-4728-ACE5-DCC8D0EE30DA}"/>
    <cellStyle name="Currency 5 2 3 2" xfId="1186" xr:uid="{F03A74F0-C929-401B-84AD-8B525174E98D}"/>
    <cellStyle name="Currency 5 2 3 2 2" xfId="2587" xr:uid="{7881A5C5-DE76-4068-AEE4-897ACDF6FB41}"/>
    <cellStyle name="Currency 5 2 3 2 2 2" xfId="5397" xr:uid="{8618B7B2-1F9B-4DD1-890F-87854D07EADB}"/>
    <cellStyle name="Currency 5 2 3 2 2 2 2" xfId="11033" xr:uid="{E6821B15-CD68-4F24-AFF6-C7D9C1C3B6CB}"/>
    <cellStyle name="Currency 5 2 3 2 2 3" xfId="8223" xr:uid="{5E51D219-1D28-40BA-9CC0-7FA1F8A0D80D}"/>
    <cellStyle name="Currency 5 2 3 2 3" xfId="3996" xr:uid="{7A79F627-FDC5-453C-87E8-DB9802BC186D}"/>
    <cellStyle name="Currency 5 2 3 2 3 2" xfId="9632" xr:uid="{4A132BD6-E261-44F7-A758-D5C8961164E6}"/>
    <cellStyle name="Currency 5 2 3 2 4" xfId="6822" xr:uid="{949C0E27-D87A-49A7-8AB6-F79643C33FB2}"/>
    <cellStyle name="Currency 5 2 3 3" xfId="1891" xr:uid="{1A6BCBCB-18EA-4760-8939-25A773020CA4}"/>
    <cellStyle name="Currency 5 2 3 3 2" xfId="4701" xr:uid="{CB800510-8C92-43DB-ADF6-CC5CFAE5CF4E}"/>
    <cellStyle name="Currency 5 2 3 3 2 2" xfId="10337" xr:uid="{9C476275-B45B-4DD4-807C-BC05A747AC4A}"/>
    <cellStyle name="Currency 5 2 3 3 3" xfId="7527" xr:uid="{674C29CF-4275-46BD-8BD6-5A23118D4FDB}"/>
    <cellStyle name="Currency 5 2 3 4" xfId="3300" xr:uid="{3DE1DB16-7099-440A-AD41-7035F4AB66D8}"/>
    <cellStyle name="Currency 5 2 3 4 2" xfId="8936" xr:uid="{D1E179E1-FDC7-4573-8CF2-423E9E2A7411}"/>
    <cellStyle name="Currency 5 2 3 5" xfId="6126" xr:uid="{84C24963-2146-40C0-BDB5-F2755C354CA0}"/>
    <cellStyle name="Currency 5 2 4" xfId="842" xr:uid="{3EDE26BB-BF77-4D8D-A04D-B73130304B3F}"/>
    <cellStyle name="Currency 5 2 4 2" xfId="2243" xr:uid="{1E8625B2-B805-48B2-8996-5C74B76529E5}"/>
    <cellStyle name="Currency 5 2 4 2 2" xfId="5053" xr:uid="{F96492D5-A0BF-43D1-8E3B-EE896A26AC78}"/>
    <cellStyle name="Currency 5 2 4 2 2 2" xfId="10689" xr:uid="{DC55C42C-0124-4D1D-879F-FC00E0F5D1F7}"/>
    <cellStyle name="Currency 5 2 4 2 3" xfId="7879" xr:uid="{7E634506-3694-433A-BE4B-4C898F011182}"/>
    <cellStyle name="Currency 5 2 4 3" xfId="3652" xr:uid="{E857CE28-89BF-4B13-A599-C8D5517CF936}"/>
    <cellStyle name="Currency 5 2 4 3 2" xfId="9288" xr:uid="{F57DDFEE-2F7E-41ED-B091-4C57D86E6A96}"/>
    <cellStyle name="Currency 5 2 4 4" xfId="6478" xr:uid="{B1D4182C-F1BD-4DC4-8070-63415A736C94}"/>
    <cellStyle name="Currency 5 2 5" xfId="1547" xr:uid="{D4E74E9E-A262-4622-9EF7-20C7E4734E12}"/>
    <cellStyle name="Currency 5 2 5 2" xfId="4357" xr:uid="{678BD778-DBCA-4F1A-B810-CA31C181924E}"/>
    <cellStyle name="Currency 5 2 5 2 2" xfId="9993" xr:uid="{FFF5FED4-509B-44CA-B63E-137713AE23C7}"/>
    <cellStyle name="Currency 5 2 5 3" xfId="7183" xr:uid="{04EF001D-366D-4C4E-A05A-8166F5386BCD}"/>
    <cellStyle name="Currency 5 2 6" xfId="2956" xr:uid="{C683DE26-9507-4BFD-B005-C187DFA0711F}"/>
    <cellStyle name="Currency 5 2 6 2" xfId="8592" xr:uid="{C9A5DFEA-D686-466F-AF4F-C975E7D2BC58}"/>
    <cellStyle name="Currency 5 2 7" xfId="5782" xr:uid="{5B1408A0-F86F-43BB-B7E1-6486498D9541}"/>
    <cellStyle name="Currency 5 3" xfId="238" xr:uid="{FEBEFD19-4D85-4A0C-B962-CD8ADDD900EE}"/>
    <cellStyle name="Currency 5 3 2" xfId="582" xr:uid="{6585D75A-DD84-45EF-A6CD-9A5822AB9394}"/>
    <cellStyle name="Currency 5 3 2 2" xfId="1278" xr:uid="{C18ADC29-B717-46E0-95FE-7654221CF09A}"/>
    <cellStyle name="Currency 5 3 2 2 2" xfId="2679" xr:uid="{5153E3EF-A2E8-486D-B033-D3CB1CEAEF47}"/>
    <cellStyle name="Currency 5 3 2 2 2 2" xfId="5489" xr:uid="{8C1444B8-D997-49C6-B9FF-C29B6C6D63D8}"/>
    <cellStyle name="Currency 5 3 2 2 2 2 2" xfId="11125" xr:uid="{EF9CC9B1-321D-4DE7-AD7C-275E5B05656D}"/>
    <cellStyle name="Currency 5 3 2 2 2 3" xfId="8315" xr:uid="{A0729AEB-0EDD-425D-B3FC-F36B8D6211B9}"/>
    <cellStyle name="Currency 5 3 2 2 3" xfId="4088" xr:uid="{1406A6DF-1EE9-4B44-835F-4DDDF1F15D38}"/>
    <cellStyle name="Currency 5 3 2 2 3 2" xfId="9724" xr:uid="{AEC4A3DF-FB9D-4728-8314-7328AEC5D9CB}"/>
    <cellStyle name="Currency 5 3 2 2 4" xfId="6914" xr:uid="{880ECB3D-9166-4FC1-A93E-349CE427964E}"/>
    <cellStyle name="Currency 5 3 2 3" xfId="1983" xr:uid="{9ED5A8D5-A973-45F9-929D-EC1CC8336DE1}"/>
    <cellStyle name="Currency 5 3 2 3 2" xfId="4793" xr:uid="{E538B7EA-6065-4BFB-AE31-36E22DF155BE}"/>
    <cellStyle name="Currency 5 3 2 3 2 2" xfId="10429" xr:uid="{C7935435-A9BC-4BE3-9A41-F6785EC65E2B}"/>
    <cellStyle name="Currency 5 3 2 3 3" xfId="7619" xr:uid="{F87E894C-506E-43C4-83DF-9C43F277C47A}"/>
    <cellStyle name="Currency 5 3 2 4" xfId="3392" xr:uid="{F0BA3CB3-1E9E-4D6F-92E3-3CE9AB1DEB88}"/>
    <cellStyle name="Currency 5 3 2 4 2" xfId="9028" xr:uid="{EE3F6D72-CA29-46B3-9EA4-1B990F10D348}"/>
    <cellStyle name="Currency 5 3 2 5" xfId="6218" xr:uid="{72186411-EFDC-44C3-AA73-5A5C0E284166}"/>
    <cellStyle name="Currency 5 3 3" xfId="934" xr:uid="{F5CCD862-0D76-48C7-BEEF-38354AF25566}"/>
    <cellStyle name="Currency 5 3 3 2" xfId="2335" xr:uid="{7DC05954-1FFF-4F46-84B9-138930DFDCB4}"/>
    <cellStyle name="Currency 5 3 3 2 2" xfId="5145" xr:uid="{A3A1CABC-8F36-403E-A69A-73038764BB3F}"/>
    <cellStyle name="Currency 5 3 3 2 2 2" xfId="10781" xr:uid="{2C0CB421-A3EF-4518-AFA6-44EBE1E64F43}"/>
    <cellStyle name="Currency 5 3 3 2 3" xfId="7971" xr:uid="{C87F7DAD-C853-4878-8DA1-B974E77DE6FF}"/>
    <cellStyle name="Currency 5 3 3 3" xfId="3744" xr:uid="{2BBADE1E-3D53-4E77-A638-62780BCB71EB}"/>
    <cellStyle name="Currency 5 3 3 3 2" xfId="9380" xr:uid="{D626819B-68D9-48E6-ADF8-B5D46A2A7725}"/>
    <cellStyle name="Currency 5 3 3 4" xfId="6570" xr:uid="{12BD33EE-D41D-4CA3-9681-C5124199C979}"/>
    <cellStyle name="Currency 5 3 4" xfId="1639" xr:uid="{ABAEB75E-B26C-407B-9D97-CA77E0C25DD7}"/>
    <cellStyle name="Currency 5 3 4 2" xfId="4449" xr:uid="{B921D333-6A00-413A-8D5D-CE072132D3B0}"/>
    <cellStyle name="Currency 5 3 4 2 2" xfId="10085" xr:uid="{2FEC061B-8046-443B-A2C7-E8144B073F19}"/>
    <cellStyle name="Currency 5 3 4 3" xfId="7275" xr:uid="{7F4B9DED-51C5-483E-BEDA-684F91A6011C}"/>
    <cellStyle name="Currency 5 3 5" xfId="3048" xr:uid="{30A6A27D-C880-4CC4-AD5A-4C5BA031D5CD}"/>
    <cellStyle name="Currency 5 3 5 2" xfId="8684" xr:uid="{968307F7-59EF-432C-8CA6-091AD20CAF97}"/>
    <cellStyle name="Currency 5 3 6" xfId="5874" xr:uid="{D626220B-CD35-4F75-802F-88FA3487509D}"/>
    <cellStyle name="Currency 5 4" xfId="410" xr:uid="{68BD0522-B0E8-4309-B21F-1018FD39FF58}"/>
    <cellStyle name="Currency 5 4 2" xfId="1106" xr:uid="{59B20D8F-A885-4201-BF68-A9CB0A7A45BA}"/>
    <cellStyle name="Currency 5 4 2 2" xfId="2507" xr:uid="{697EE34E-13DA-418C-826F-AE0FEB2379E1}"/>
    <cellStyle name="Currency 5 4 2 2 2" xfId="5317" xr:uid="{24019AF1-CCA8-46BC-B0F9-7D5D0C47F403}"/>
    <cellStyle name="Currency 5 4 2 2 2 2" xfId="10953" xr:uid="{6D202C9C-068E-4E10-B610-DDEE040C1009}"/>
    <cellStyle name="Currency 5 4 2 2 3" xfId="8143" xr:uid="{9D9BAB0C-6A8E-4478-903C-0E69DF21CF00}"/>
    <cellStyle name="Currency 5 4 2 3" xfId="3916" xr:uid="{556E2946-C0EC-4F12-A192-2CF6C405B86B}"/>
    <cellStyle name="Currency 5 4 2 3 2" xfId="9552" xr:uid="{D4ED26F5-3B24-4C28-95D2-BC1008F4A9A0}"/>
    <cellStyle name="Currency 5 4 2 4" xfId="6742" xr:uid="{6C50366D-FBBC-4C21-BA6E-995BA6EC5618}"/>
    <cellStyle name="Currency 5 4 3" xfId="1811" xr:uid="{3DB0AB48-4380-4954-88D5-0B3C839A85BA}"/>
    <cellStyle name="Currency 5 4 3 2" xfId="4621" xr:uid="{1BC72F1C-5671-4733-8A32-3AB9E4B71B7E}"/>
    <cellStyle name="Currency 5 4 3 2 2" xfId="10257" xr:uid="{289E1D38-85D6-49F5-9B90-1039E6F42F47}"/>
    <cellStyle name="Currency 5 4 3 3" xfId="7447" xr:uid="{10F6F2B1-0864-49A6-9121-7AE5E5332763}"/>
    <cellStyle name="Currency 5 4 4" xfId="3220" xr:uid="{2129A4A0-4730-4BD4-8F9A-0852D8E86DB0}"/>
    <cellStyle name="Currency 5 4 4 2" xfId="8856" xr:uid="{FBEFD8C5-1EA1-4271-B3A8-E1A6CAA52469}"/>
    <cellStyle name="Currency 5 4 5" xfId="6046" xr:uid="{6694383B-EE6E-4FE0-AFA1-B1E7F7DB8837}"/>
    <cellStyle name="Currency 5 5" xfId="762" xr:uid="{AD901E8B-112C-403C-8EFB-C27D139091F8}"/>
    <cellStyle name="Currency 5 5 2" xfId="2163" xr:uid="{E2359210-64F0-4BE0-BE20-52A92A50F1D6}"/>
    <cellStyle name="Currency 5 5 2 2" xfId="4973" xr:uid="{027A76E5-25F2-4AD8-805E-4B5883B1466D}"/>
    <cellStyle name="Currency 5 5 2 2 2" xfId="10609" xr:uid="{503E29F2-2C0C-4C4F-99D4-B3F5E1379E1C}"/>
    <cellStyle name="Currency 5 5 2 3" xfId="7799" xr:uid="{C19EBF3F-7C47-447E-B37E-190740E9DE3C}"/>
    <cellStyle name="Currency 5 5 3" xfId="3572" xr:uid="{E1A0DBA2-BE48-48BB-AAE1-F837D7F18774}"/>
    <cellStyle name="Currency 5 5 3 2" xfId="9208" xr:uid="{49AFD38A-8152-4E0C-B04C-04AD74301DEE}"/>
    <cellStyle name="Currency 5 5 4" xfId="6398" xr:uid="{D9231B09-51D3-4FEE-AD30-DFE25CA916B4}"/>
    <cellStyle name="Currency 5 6" xfId="1467" xr:uid="{B46DFF78-844F-45B2-B40E-C553513AABB3}"/>
    <cellStyle name="Currency 5 6 2" xfId="4277" xr:uid="{734FCE36-A7FA-4B1D-B1BA-FBD8D666A8D9}"/>
    <cellStyle name="Currency 5 6 2 2" xfId="9913" xr:uid="{D24DF875-6502-4B93-9225-660270EC2D67}"/>
    <cellStyle name="Currency 5 6 3" xfId="7103" xr:uid="{E4CA97C0-F694-4961-A12A-12FBE4E4B172}"/>
    <cellStyle name="Currency 5 7" xfId="2876" xr:uid="{3ED0559E-7753-4107-B6CE-E3C203F1E3B8}"/>
    <cellStyle name="Currency 5 7 2" xfId="8512" xr:uid="{6E72BEC5-AA4D-4474-AE7C-DD1F79519F49}"/>
    <cellStyle name="Currency 5 8" xfId="5702" xr:uid="{840E6FA8-995E-4477-9819-6438A4684892}"/>
    <cellStyle name="Currency 6" xfId="83" xr:uid="{F3A7F145-6D6D-4EFD-AA9C-2167BD0E8E46}"/>
    <cellStyle name="Currency 6 2" xfId="255" xr:uid="{880F23FA-4119-436E-9647-2D2685643A90}"/>
    <cellStyle name="Currency 6 2 2" xfId="599" xr:uid="{A775E85F-06DE-4391-9191-781D40757E87}"/>
    <cellStyle name="Currency 6 2 2 2" xfId="1295" xr:uid="{E77FE93A-62B3-4BC2-8D50-604DDBF71CB2}"/>
    <cellStyle name="Currency 6 2 2 2 2" xfId="2696" xr:uid="{5B435EFB-996F-422C-9F58-692895E5D169}"/>
    <cellStyle name="Currency 6 2 2 2 2 2" xfId="5506" xr:uid="{0F289F0D-BA20-4A08-A809-52369F6A7E5B}"/>
    <cellStyle name="Currency 6 2 2 2 2 2 2" xfId="11142" xr:uid="{25E52C16-DB24-4362-A6D2-677DAE56F4A7}"/>
    <cellStyle name="Currency 6 2 2 2 2 3" xfId="8332" xr:uid="{DFA1D6C2-93BA-47DB-A598-F0DA5D8A4815}"/>
    <cellStyle name="Currency 6 2 2 2 3" xfId="4105" xr:uid="{3DCF58BD-ACFD-4980-987A-ABE35BC3AF46}"/>
    <cellStyle name="Currency 6 2 2 2 3 2" xfId="9741" xr:uid="{1BDAA3A0-A6AA-42EE-845F-C33155EBE2E0}"/>
    <cellStyle name="Currency 6 2 2 2 4" xfId="6931" xr:uid="{CF09051D-E8EC-44D0-A55D-CA6F216D4C3D}"/>
    <cellStyle name="Currency 6 2 2 3" xfId="2000" xr:uid="{5505DFE8-1DD4-4E1F-8ED2-57C228CC9257}"/>
    <cellStyle name="Currency 6 2 2 3 2" xfId="4810" xr:uid="{7507CC20-E3C7-4DFD-892E-E71E2A5EA7D8}"/>
    <cellStyle name="Currency 6 2 2 3 2 2" xfId="10446" xr:uid="{C6543BD1-49B5-4008-9C7A-347580462D6E}"/>
    <cellStyle name="Currency 6 2 2 3 3" xfId="7636" xr:uid="{8C1BF507-C2FD-47D8-9704-C01887551DD0}"/>
    <cellStyle name="Currency 6 2 2 4" xfId="3409" xr:uid="{521A9954-600F-480C-8F07-00170C8CF2AB}"/>
    <cellStyle name="Currency 6 2 2 4 2" xfId="9045" xr:uid="{0A0071B5-8E1C-44C6-A1E5-FCB841E7176D}"/>
    <cellStyle name="Currency 6 2 2 5" xfId="6235" xr:uid="{2417D052-6C42-425E-8C82-78FF412B7692}"/>
    <cellStyle name="Currency 6 2 3" xfId="951" xr:uid="{34E7DF5A-451C-440C-8C7F-015B6B7F0463}"/>
    <cellStyle name="Currency 6 2 3 2" xfId="2352" xr:uid="{B9BD3151-8C1E-42DD-BA89-0CA71AF3763A}"/>
    <cellStyle name="Currency 6 2 3 2 2" xfId="5162" xr:uid="{7391B933-6A58-478F-8B05-553E2C960B91}"/>
    <cellStyle name="Currency 6 2 3 2 2 2" xfId="10798" xr:uid="{E4615648-BDC8-472F-8E84-EAFF39DEA71A}"/>
    <cellStyle name="Currency 6 2 3 2 3" xfId="7988" xr:uid="{DEA88650-9EEC-4724-A491-04EE4BB3BDD2}"/>
    <cellStyle name="Currency 6 2 3 3" xfId="3761" xr:uid="{3058AB7C-54DA-4D1E-ADD5-C5F7721BA048}"/>
    <cellStyle name="Currency 6 2 3 3 2" xfId="9397" xr:uid="{916E856F-B8F8-42F2-89AC-824A8C88662A}"/>
    <cellStyle name="Currency 6 2 3 4" xfId="6587" xr:uid="{5A0B1082-C523-436B-A6E6-FE3C068F5850}"/>
    <cellStyle name="Currency 6 2 4" xfId="1656" xr:uid="{020AB8AE-12EC-487C-A26E-6808B718BA6F}"/>
    <cellStyle name="Currency 6 2 4 2" xfId="4466" xr:uid="{29E09594-B138-4C2B-839C-79A53DA106D7}"/>
    <cellStyle name="Currency 6 2 4 2 2" xfId="10102" xr:uid="{7ACAA5FD-808A-4AD1-BBA3-CE554075CC2A}"/>
    <cellStyle name="Currency 6 2 4 3" xfId="7292" xr:uid="{2D7DDCE9-3C84-46F8-87BF-DC7864DD510A}"/>
    <cellStyle name="Currency 6 2 5" xfId="3065" xr:uid="{73C74380-A7FC-4551-8FF8-8435EE231B53}"/>
    <cellStyle name="Currency 6 2 5 2" xfId="8701" xr:uid="{21FADE7E-17EE-442E-AA19-5E26E7DEFF09}"/>
    <cellStyle name="Currency 6 2 6" xfId="5891" xr:uid="{E2FD6898-BF7F-43AC-BC3C-F0F13D2DDC87}"/>
    <cellStyle name="Currency 6 3" xfId="427" xr:uid="{79144702-C963-40ED-B39B-1DD244E20FF1}"/>
    <cellStyle name="Currency 6 3 2" xfId="1123" xr:uid="{184517B9-9600-4857-B49D-6212CAB0B82E}"/>
    <cellStyle name="Currency 6 3 2 2" xfId="2524" xr:uid="{3445264F-FE83-4C89-A6AE-500B1FFC3AB0}"/>
    <cellStyle name="Currency 6 3 2 2 2" xfId="5334" xr:uid="{3E42B8FA-9A50-4B4F-A59B-ACC31CCBCD33}"/>
    <cellStyle name="Currency 6 3 2 2 2 2" xfId="10970" xr:uid="{0F7B428F-51E8-4C86-922D-AAC001554DF7}"/>
    <cellStyle name="Currency 6 3 2 2 3" xfId="8160" xr:uid="{0B7A5375-45BD-41A1-B10F-B00E9EFBE11B}"/>
    <cellStyle name="Currency 6 3 2 3" xfId="3933" xr:uid="{BA4B2D89-B78B-4707-83E6-A5557B61E4E0}"/>
    <cellStyle name="Currency 6 3 2 3 2" xfId="9569" xr:uid="{528D256E-3F6D-4B78-A535-3F402C053219}"/>
    <cellStyle name="Currency 6 3 2 4" xfId="6759" xr:uid="{AB39C230-E31E-4E59-B51C-CE49F981B39C}"/>
    <cellStyle name="Currency 6 3 3" xfId="1828" xr:uid="{D2F9E63B-226A-469A-B2DC-431FC069509F}"/>
    <cellStyle name="Currency 6 3 3 2" xfId="4638" xr:uid="{58E9A5AF-1446-4511-BEDB-E1B960C22285}"/>
    <cellStyle name="Currency 6 3 3 2 2" xfId="10274" xr:uid="{6BF45218-152B-40CD-BDD6-F53554DD6490}"/>
    <cellStyle name="Currency 6 3 3 3" xfId="7464" xr:uid="{57225F64-0962-4E64-9028-119BAAF9DEDB}"/>
    <cellStyle name="Currency 6 3 4" xfId="3237" xr:uid="{F7356293-C2C6-4C00-9A37-216B97991F6F}"/>
    <cellStyle name="Currency 6 3 4 2" xfId="8873" xr:uid="{D88876BC-3E42-45AE-888F-588F8BB98692}"/>
    <cellStyle name="Currency 6 3 5" xfId="6063" xr:uid="{ABCE471D-30ED-4427-A1DC-4DC0A2756D08}"/>
    <cellStyle name="Currency 6 4" xfId="779" xr:uid="{C5A9A3CA-9F79-44F5-8AF6-5D22E9F0E200}"/>
    <cellStyle name="Currency 6 4 2" xfId="2180" xr:uid="{74836568-07C0-488B-BD0A-DF790B011762}"/>
    <cellStyle name="Currency 6 4 2 2" xfId="4990" xr:uid="{E3F80DEE-0C1F-4873-8018-27C07EAEE8B7}"/>
    <cellStyle name="Currency 6 4 2 2 2" xfId="10626" xr:uid="{4A4B298D-2C5E-4644-A32A-110AE5667CB7}"/>
    <cellStyle name="Currency 6 4 2 3" xfId="7816" xr:uid="{796427EE-27C8-4BAB-8324-2844B710D20A}"/>
    <cellStyle name="Currency 6 4 3" xfId="3589" xr:uid="{894F0332-6B65-45F9-854C-6A5C512F5F13}"/>
    <cellStyle name="Currency 6 4 3 2" xfId="9225" xr:uid="{5545CA40-C084-422F-81D0-8E30DAECFD02}"/>
    <cellStyle name="Currency 6 4 4" xfId="6415" xr:uid="{446C3A0E-CEC3-42A8-83D9-36D67EDADFFE}"/>
    <cellStyle name="Currency 6 5" xfId="1484" xr:uid="{5EAD9CC3-CC92-4A67-ACAE-6153468387FC}"/>
    <cellStyle name="Currency 6 5 2" xfId="4294" xr:uid="{532D026D-EFFB-4817-9A91-9CDF4DEAA018}"/>
    <cellStyle name="Currency 6 5 2 2" xfId="9930" xr:uid="{A653A49B-52DA-4F53-B0DE-672CF7D2C3EC}"/>
    <cellStyle name="Currency 6 5 3" xfId="7120" xr:uid="{76642096-6B0E-4DC1-812B-C5BD0AF6683A}"/>
    <cellStyle name="Currency 6 6" xfId="2893" xr:uid="{0194F439-774A-47A4-B52A-230772BCC416}"/>
    <cellStyle name="Currency 6 6 2" xfId="8529" xr:uid="{D8D33650-2F96-4DD2-95B6-A7C09E13FEF5}"/>
    <cellStyle name="Currency 6 7" xfId="5719" xr:uid="{771324F0-313A-405B-AF53-E91C14955A38}"/>
    <cellStyle name="Currency 7" xfId="161" xr:uid="{6B511634-B905-402F-A488-1FA659051A24}"/>
    <cellStyle name="Currency 7 2" xfId="333" xr:uid="{04540845-D32B-4BC6-B281-A56F536938E0}"/>
    <cellStyle name="Currency 7 2 2" xfId="677" xr:uid="{0704DF6A-8D77-49D6-97F7-7530A21DED2D}"/>
    <cellStyle name="Currency 7 2 2 2" xfId="1373" xr:uid="{BFB383D1-378B-44C9-91C2-D8E545B13EB6}"/>
    <cellStyle name="Currency 7 2 2 2 2" xfId="2774" xr:uid="{D0D94D2B-7A83-47A1-B644-EE94D79DA067}"/>
    <cellStyle name="Currency 7 2 2 2 2 2" xfId="5584" xr:uid="{A8F6ABED-589A-4B73-A43A-DCBF6B674935}"/>
    <cellStyle name="Currency 7 2 2 2 2 2 2" xfId="11220" xr:uid="{D63A3969-DF38-4BD4-A138-5BD0362574E6}"/>
    <cellStyle name="Currency 7 2 2 2 2 3" xfId="8410" xr:uid="{A80F2309-D8BD-4018-8159-A35500F8B7EF}"/>
    <cellStyle name="Currency 7 2 2 2 3" xfId="4183" xr:uid="{7D73995A-0C5B-43EB-836C-ED902ED43911}"/>
    <cellStyle name="Currency 7 2 2 2 3 2" xfId="9819" xr:uid="{EE37EBF5-4BF4-4C6F-B7E7-774BA762A59C}"/>
    <cellStyle name="Currency 7 2 2 2 4" xfId="7009" xr:uid="{35C24E22-1126-4A28-910D-0A4AF8E383B4}"/>
    <cellStyle name="Currency 7 2 2 3" xfId="2078" xr:uid="{6E93BCCE-F6C4-4C48-939D-EDCE915ED316}"/>
    <cellStyle name="Currency 7 2 2 3 2" xfId="4888" xr:uid="{B4E45035-CB46-459E-BEC4-CAD5FB2AA9FF}"/>
    <cellStyle name="Currency 7 2 2 3 2 2" xfId="10524" xr:uid="{C90F6321-DF43-4402-A929-10FCC774F3EF}"/>
    <cellStyle name="Currency 7 2 2 3 3" xfId="7714" xr:uid="{1DF93917-FDE3-47FF-B209-38CBB388B1DC}"/>
    <cellStyle name="Currency 7 2 2 4" xfId="3487" xr:uid="{1BB9D3F4-DDA1-46D6-9D93-8D7DF97D0B9E}"/>
    <cellStyle name="Currency 7 2 2 4 2" xfId="9123" xr:uid="{67068254-1145-4B72-9E34-2AE77098A6EF}"/>
    <cellStyle name="Currency 7 2 2 5" xfId="6313" xr:uid="{8DC5DCD8-B386-4EC9-A4AF-EA53CC577D99}"/>
    <cellStyle name="Currency 7 2 3" xfId="1029" xr:uid="{B15B616C-48BA-4B98-BAF9-097CB06F15CC}"/>
    <cellStyle name="Currency 7 2 3 2" xfId="2430" xr:uid="{8E816242-EE82-4A04-A3CF-4C8DF55C85A9}"/>
    <cellStyle name="Currency 7 2 3 2 2" xfId="5240" xr:uid="{55039B2F-49E0-48DB-B66A-EC66362D93C3}"/>
    <cellStyle name="Currency 7 2 3 2 2 2" xfId="10876" xr:uid="{52D193F2-433A-4491-8DD9-71012081DDA0}"/>
    <cellStyle name="Currency 7 2 3 2 3" xfId="8066" xr:uid="{7EE64E4D-F850-4DBB-8AA6-15B7F756204E}"/>
    <cellStyle name="Currency 7 2 3 3" xfId="3839" xr:uid="{55544BB9-4577-45E1-B264-6990B9A100A6}"/>
    <cellStyle name="Currency 7 2 3 3 2" xfId="9475" xr:uid="{534D438B-2369-42DD-A968-6D6B3FE5F12F}"/>
    <cellStyle name="Currency 7 2 3 4" xfId="6665" xr:uid="{AD65C7DF-9DEE-467D-A7E8-D434B0FADCF3}"/>
    <cellStyle name="Currency 7 2 4" xfId="1734" xr:uid="{F38ECEDC-7D1D-4D77-AAF9-0DAC6F8C93EA}"/>
    <cellStyle name="Currency 7 2 4 2" xfId="4544" xr:uid="{4A84267E-8441-4119-B5C8-EB64B5953C9F}"/>
    <cellStyle name="Currency 7 2 4 2 2" xfId="10180" xr:uid="{5CD9CFB9-83C6-44EF-B07A-BBD5E3E0B34D}"/>
    <cellStyle name="Currency 7 2 4 3" xfId="7370" xr:uid="{2135B9EB-6B41-43AD-A057-34FE9D44D670}"/>
    <cellStyle name="Currency 7 2 5" xfId="3143" xr:uid="{A009F79B-452C-4B3F-82D9-F17F792CC21D}"/>
    <cellStyle name="Currency 7 2 5 2" xfId="8779" xr:uid="{C408C3FA-6D70-495D-B5B4-D3D6E52D59DF}"/>
    <cellStyle name="Currency 7 2 6" xfId="5969" xr:uid="{4AA64B92-2280-43D9-9524-D93F5D64FCFD}"/>
    <cellStyle name="Currency 7 3" xfId="505" xr:uid="{506FF268-139D-4F56-A51C-0B1B493EDDC0}"/>
    <cellStyle name="Currency 7 3 2" xfId="1201" xr:uid="{E753CF99-3E85-4F9B-8FD1-1DAF40026945}"/>
    <cellStyle name="Currency 7 3 2 2" xfId="2602" xr:uid="{47369EE6-C73C-4CFA-B502-3FE5F0F625F3}"/>
    <cellStyle name="Currency 7 3 2 2 2" xfId="5412" xr:uid="{C7B74D69-C54D-4DD5-B328-C5041A54C4D1}"/>
    <cellStyle name="Currency 7 3 2 2 2 2" xfId="11048" xr:uid="{09530EB0-24B0-4A53-815F-4982041371AF}"/>
    <cellStyle name="Currency 7 3 2 2 3" xfId="8238" xr:uid="{A861A3C1-7E8D-490F-B3C0-0F373E98A392}"/>
    <cellStyle name="Currency 7 3 2 3" xfId="4011" xr:uid="{F46D5C5E-D4C2-4B65-BA20-5BD722ABDE50}"/>
    <cellStyle name="Currency 7 3 2 3 2" xfId="9647" xr:uid="{FDA8D0CF-9F37-4F14-85FC-093F2163853C}"/>
    <cellStyle name="Currency 7 3 2 4" xfId="6837" xr:uid="{CFBD25C2-3857-4876-9467-9ACB77EAED92}"/>
    <cellStyle name="Currency 7 3 3" xfId="1906" xr:uid="{4498006F-21B2-4646-A0B4-900823553038}"/>
    <cellStyle name="Currency 7 3 3 2" xfId="4716" xr:uid="{2AEDACCE-AF59-4452-A7AA-C1EE126E570B}"/>
    <cellStyle name="Currency 7 3 3 2 2" xfId="10352" xr:uid="{032ABD2D-7822-4051-89C5-8C2ED2AD1779}"/>
    <cellStyle name="Currency 7 3 3 3" xfId="7542" xr:uid="{CDD529C0-5983-49BF-8539-047B0E445136}"/>
    <cellStyle name="Currency 7 3 4" xfId="3315" xr:uid="{056C59FA-9639-4781-A7E2-DDC465B2B94C}"/>
    <cellStyle name="Currency 7 3 4 2" xfId="8951" xr:uid="{BEB4ABE1-8A2D-49D1-870A-05425B9E6430}"/>
    <cellStyle name="Currency 7 3 5" xfId="6141" xr:uid="{0EB62651-F413-41A4-8767-E265D371CBD2}"/>
    <cellStyle name="Currency 7 4" xfId="857" xr:uid="{05DD1763-2F0B-49D5-B39B-252F803EB119}"/>
    <cellStyle name="Currency 7 4 2" xfId="2258" xr:uid="{03733659-2BBB-4FD1-8C72-BB7A71A666A1}"/>
    <cellStyle name="Currency 7 4 2 2" xfId="5068" xr:uid="{F3B26F20-DA61-4900-8963-69E03943E7B5}"/>
    <cellStyle name="Currency 7 4 2 2 2" xfId="10704" xr:uid="{C70EB278-0D1E-42D9-BE15-44CFE9026FE1}"/>
    <cellStyle name="Currency 7 4 2 3" xfId="7894" xr:uid="{C26F3C24-BDEC-4B8B-AA5F-705CC829CC12}"/>
    <cellStyle name="Currency 7 4 3" xfId="3667" xr:uid="{2C3EA4CD-3057-4F74-ABB3-585848E23818}"/>
    <cellStyle name="Currency 7 4 3 2" xfId="9303" xr:uid="{4440BCAA-2BF4-401F-A858-1A2A13981699}"/>
    <cellStyle name="Currency 7 4 4" xfId="6493" xr:uid="{C062065C-3D46-4EE8-A574-8080977078C5}"/>
    <cellStyle name="Currency 7 5" xfId="1562" xr:uid="{D022E1CF-8D46-4CE9-A82B-F4BF53588E5F}"/>
    <cellStyle name="Currency 7 5 2" xfId="4372" xr:uid="{449A3842-818F-4EC6-9277-4AC3D15222F4}"/>
    <cellStyle name="Currency 7 5 2 2" xfId="10008" xr:uid="{7D360BB2-A30B-4170-8247-1FE248F10B84}"/>
    <cellStyle name="Currency 7 5 3" xfId="7198" xr:uid="{179C6445-9CE6-4F39-BB83-7B6D99204F35}"/>
    <cellStyle name="Currency 7 6" xfId="2971" xr:uid="{C695AA7D-E24F-47D7-8A80-E45FAAF477C4}"/>
    <cellStyle name="Currency 7 6 2" xfId="8607" xr:uid="{CC98332C-CCA2-4DD1-AD04-580444E86C0B}"/>
    <cellStyle name="Currency 7 7" xfId="5797" xr:uid="{2EC57C69-21B8-48C1-B684-BCEA8E42F26C}"/>
    <cellStyle name="Currency 8" xfId="175" xr:uid="{F40E7473-8EA1-4688-B9E4-1D57ABD158F4}"/>
    <cellStyle name="Currency 8 2" xfId="519" xr:uid="{6344AD7E-AF32-4E59-9157-0578FF86A320}"/>
    <cellStyle name="Currency 8 2 2" xfId="1215" xr:uid="{E18B1DB7-C74A-4932-8A0E-580B328F80B6}"/>
    <cellStyle name="Currency 8 2 2 2" xfId="2616" xr:uid="{1327887B-0E8B-447C-9546-3D2C7011E38A}"/>
    <cellStyle name="Currency 8 2 2 2 2" xfId="5426" xr:uid="{D1CFA06A-2B1A-48D5-AE7E-48976503952D}"/>
    <cellStyle name="Currency 8 2 2 2 2 2" xfId="11062" xr:uid="{EFF05BB4-0F29-403F-87FF-3C4A7DA1B37F}"/>
    <cellStyle name="Currency 8 2 2 2 3" xfId="8252" xr:uid="{1002F554-1B84-4261-9838-E24CBA35D605}"/>
    <cellStyle name="Currency 8 2 2 3" xfId="4025" xr:uid="{D07C3F7D-E084-4B12-8651-196A87581F24}"/>
    <cellStyle name="Currency 8 2 2 3 2" xfId="9661" xr:uid="{CCD1C31F-DAE1-493E-A477-9C745F3599D0}"/>
    <cellStyle name="Currency 8 2 2 4" xfId="6851" xr:uid="{2B088440-AD57-4B80-BE09-BD27BB160875}"/>
    <cellStyle name="Currency 8 2 3" xfId="1920" xr:uid="{D13E894B-B284-48CE-B18E-3379F9E65745}"/>
    <cellStyle name="Currency 8 2 3 2" xfId="4730" xr:uid="{BBFEF9F7-4D8B-49FF-B303-D4BAFF073C34}"/>
    <cellStyle name="Currency 8 2 3 2 2" xfId="10366" xr:uid="{B91D1606-6900-493B-9A96-A047BCFE9FF9}"/>
    <cellStyle name="Currency 8 2 3 3" xfId="7556" xr:uid="{F1289E1C-D6C8-400D-A253-B22FE9DE3793}"/>
    <cellStyle name="Currency 8 2 4" xfId="3329" xr:uid="{B4537465-788B-4908-996A-0C58D7ACFE51}"/>
    <cellStyle name="Currency 8 2 4 2" xfId="8965" xr:uid="{DFB3254C-F919-4FEB-AEA5-46E40A89A57B}"/>
    <cellStyle name="Currency 8 2 5" xfId="6155" xr:uid="{B81F012B-ECA0-436B-B6EB-A6EDDCD702C2}"/>
    <cellStyle name="Currency 8 3" xfId="871" xr:uid="{2B10FCA7-CB7E-4BA7-B6F6-0959BCA7310A}"/>
    <cellStyle name="Currency 8 3 2" xfId="2272" xr:uid="{E3C1859C-2719-4779-87AE-9B185A24F414}"/>
    <cellStyle name="Currency 8 3 2 2" xfId="5082" xr:uid="{6C918F20-2614-4F7A-B4F9-C8C40E09F471}"/>
    <cellStyle name="Currency 8 3 2 2 2" xfId="10718" xr:uid="{EF812D0D-B844-49F6-BD07-8E34441021BC}"/>
    <cellStyle name="Currency 8 3 2 3" xfId="7908" xr:uid="{5C354DD2-DDF9-471E-A0C0-06F363C2670C}"/>
    <cellStyle name="Currency 8 3 3" xfId="3681" xr:uid="{816C2DA9-4125-4973-BD6F-CBC9527C1346}"/>
    <cellStyle name="Currency 8 3 3 2" xfId="9317" xr:uid="{F5D2EE58-75D6-492B-B8D1-4A743FF081CF}"/>
    <cellStyle name="Currency 8 3 4" xfId="6507" xr:uid="{C4108225-A091-40EC-B362-B787D0C0E35B}"/>
    <cellStyle name="Currency 8 4" xfId="1576" xr:uid="{804649F5-1765-49FE-94A1-5DCD4EBDE464}"/>
    <cellStyle name="Currency 8 4 2" xfId="4386" xr:uid="{1A03BDDB-B31A-4486-AE5B-30AB7E8B9D79}"/>
    <cellStyle name="Currency 8 4 2 2" xfId="10022" xr:uid="{59D10D6D-B382-428B-92A4-417BDE6E19F3}"/>
    <cellStyle name="Currency 8 4 3" xfId="7212" xr:uid="{5E153242-1E22-4207-884C-EB6C995150F2}"/>
    <cellStyle name="Currency 8 5" xfId="2985" xr:uid="{CE297862-529D-4A24-8355-C5D01652399D}"/>
    <cellStyle name="Currency 8 5 2" xfId="8621" xr:uid="{ED468A30-429D-4E13-B982-55E413E59D3F}"/>
    <cellStyle name="Currency 8 6" xfId="5811" xr:uid="{BDF28349-AECC-4BCD-B2B7-B3432CF90C6B}"/>
    <cellStyle name="Currency 9" xfId="347" xr:uid="{F10D97E7-7EDC-4409-AB9E-B4E1C4A020A1}"/>
    <cellStyle name="Currency 9 2" xfId="1043" xr:uid="{C7B34952-34B3-45A4-A50E-F60B9B5AF86D}"/>
    <cellStyle name="Currency 9 2 2" xfId="2444" xr:uid="{A802B21E-628F-48E2-986A-1564D5EB0971}"/>
    <cellStyle name="Currency 9 2 2 2" xfId="5254" xr:uid="{C0FA23D3-80B1-490F-8ED4-4FBAEE1CD836}"/>
    <cellStyle name="Currency 9 2 2 2 2" xfId="10890" xr:uid="{959003BC-E524-49C8-A3A1-3FEA005BF7C0}"/>
    <cellStyle name="Currency 9 2 2 3" xfId="8080" xr:uid="{AB3E99EA-B6B8-403D-8D57-122634AA3C2D}"/>
    <cellStyle name="Currency 9 2 3" xfId="3853" xr:uid="{76979CCA-547A-40CE-AD1D-4B1B427000CB}"/>
    <cellStyle name="Currency 9 2 3 2" xfId="9489" xr:uid="{2A3D3826-2386-4B97-9036-177CFCA82E53}"/>
    <cellStyle name="Currency 9 2 4" xfId="6679" xr:uid="{DDCDA396-2723-4B3E-8345-3A51AFA5C324}"/>
    <cellStyle name="Currency 9 3" xfId="1748" xr:uid="{3E231A55-2041-4E65-A77A-080BE2C3E6F1}"/>
    <cellStyle name="Currency 9 3 2" xfId="4558" xr:uid="{C1BEDBAA-6A11-484C-B124-2DA23665A2CD}"/>
    <cellStyle name="Currency 9 3 2 2" xfId="10194" xr:uid="{6AF63555-EE63-48B3-A080-9B42C3C62D2B}"/>
    <cellStyle name="Currency 9 3 3" xfId="7384" xr:uid="{2929BA74-2B33-4446-B78A-9367EB22939F}"/>
    <cellStyle name="Currency 9 4" xfId="3157" xr:uid="{F05A5086-17DF-4904-8D5B-29A9A7C35A5F}"/>
    <cellStyle name="Currency 9 4 2" xfId="8793" xr:uid="{0B4B0A1E-7B68-44C7-80CF-67E1DC5CBB5B}"/>
    <cellStyle name="Currency 9 5" xfId="5983" xr:uid="{17403CD2-CCA3-41DB-9B51-66941E62A914}"/>
    <cellStyle name="Lien hypertexte" xfId="11272" builtinId="8"/>
    <cellStyle name="Milliers" xfId="1" builtinId="3"/>
    <cellStyle name="Monétaire" xfId="3" builtinId="4"/>
    <cellStyle name="Monétaire 2" xfId="5629" xr:uid="{8A73055C-2879-4814-B4E8-A552B297E1BC}"/>
    <cellStyle name="Monétaire 2 2" xfId="11265" xr:uid="{DF638825-C3BE-46FD-87B6-942FB7B0DFF2}"/>
    <cellStyle name="Normal" xfId="0" builtinId="0"/>
    <cellStyle name="Normal 10" xfId="30" xr:uid="{2660B1E4-04B3-4089-85AB-6977324D46E7}"/>
    <cellStyle name="Normal 10 2" xfId="62" xr:uid="{17A8D256-1348-49BC-99FD-82E401BC6831}"/>
    <cellStyle name="Normal 10 2 2" xfId="142" xr:uid="{65AE22CE-80C9-4A48-A29A-B085580E9735}"/>
    <cellStyle name="Normal 10 2 2 2" xfId="314" xr:uid="{2C9587CC-D07E-4C8A-A17A-1CC8DAFBBF44}"/>
    <cellStyle name="Normal 10 2 2 2 2" xfId="658" xr:uid="{1F2B5EA8-C6F1-4FE4-9ECC-D8762DB0E8FD}"/>
    <cellStyle name="Normal 10 2 2 2 2 2" xfId="1354" xr:uid="{65594900-6661-4360-A9ED-D3053D75256A}"/>
    <cellStyle name="Normal 10 2 2 2 2 2 2" xfId="2755" xr:uid="{6DCD9634-58D9-4FA0-9E64-6FDA7B1094B5}"/>
    <cellStyle name="Normal 10 2 2 2 2 2 2 2" xfId="5565" xr:uid="{68B62CC7-ED2C-46E2-AE61-878E156AD80A}"/>
    <cellStyle name="Normal 10 2 2 2 2 2 2 2 2" xfId="11201" xr:uid="{46371A97-CBA7-4F96-8397-D54487FC12B6}"/>
    <cellStyle name="Normal 10 2 2 2 2 2 2 3" xfId="8391" xr:uid="{FACC82FB-CF12-4757-A650-27118F36FCC9}"/>
    <cellStyle name="Normal 10 2 2 2 2 2 3" xfId="4164" xr:uid="{739BBAC6-8CCF-43C7-A9FC-940FF40E3387}"/>
    <cellStyle name="Normal 10 2 2 2 2 2 3 2" xfId="9800" xr:uid="{CF67D69A-3350-4763-AEA1-B4CC49FB6295}"/>
    <cellStyle name="Normal 10 2 2 2 2 2 4" xfId="6990" xr:uid="{6BEB9253-2071-4715-ACDD-CAE8F802F35F}"/>
    <cellStyle name="Normal 10 2 2 2 2 3" xfId="2059" xr:uid="{2BB9D406-5202-4163-9612-1FDF276273CF}"/>
    <cellStyle name="Normal 10 2 2 2 2 3 2" xfId="4869" xr:uid="{46538615-6277-402E-A79D-712C8FA61A20}"/>
    <cellStyle name="Normal 10 2 2 2 2 3 2 2" xfId="10505" xr:uid="{77327EFF-5164-41FD-AB8E-6832DA19E839}"/>
    <cellStyle name="Normal 10 2 2 2 2 3 3" xfId="7695" xr:uid="{024D612E-09F9-4C01-97F4-7D65C47E32E7}"/>
    <cellStyle name="Normal 10 2 2 2 2 4" xfId="3468" xr:uid="{222A2F67-E1B5-4024-AF22-924F2B686860}"/>
    <cellStyle name="Normal 10 2 2 2 2 4 2" xfId="9104" xr:uid="{18DD7E14-5566-4B3A-BE8E-67EAF5B14EFE}"/>
    <cellStyle name="Normal 10 2 2 2 2 5" xfId="6294" xr:uid="{BF615246-EA23-4F96-A532-ED2814FA8896}"/>
    <cellStyle name="Normal 10 2 2 2 3" xfId="1010" xr:uid="{13F2A4D8-4620-4D97-84A7-D7E18C7FB890}"/>
    <cellStyle name="Normal 10 2 2 2 3 2" xfId="2411" xr:uid="{1DD2A93B-2EEA-4918-AB91-2C63F08F2B74}"/>
    <cellStyle name="Normal 10 2 2 2 3 2 2" xfId="5221" xr:uid="{675A63E9-7137-4DEC-A59F-914F54F33D69}"/>
    <cellStyle name="Normal 10 2 2 2 3 2 2 2" xfId="10857" xr:uid="{33C2B38F-E7C8-426C-977B-42C895A22533}"/>
    <cellStyle name="Normal 10 2 2 2 3 2 3" xfId="8047" xr:uid="{FB2DD308-385B-4640-916A-24FB3F4F2652}"/>
    <cellStyle name="Normal 10 2 2 2 3 3" xfId="3820" xr:uid="{BE48EE52-6821-44F8-959E-8DD5FB14310C}"/>
    <cellStyle name="Normal 10 2 2 2 3 3 2" xfId="9456" xr:uid="{54365FC9-7C2A-4BBE-ACA8-FC27CB7113AF}"/>
    <cellStyle name="Normal 10 2 2 2 3 4" xfId="6646" xr:uid="{5A8C9630-C295-4737-A3E3-D16F8BFFB565}"/>
    <cellStyle name="Normal 10 2 2 2 4" xfId="1715" xr:uid="{561E2851-571D-41E4-81D4-4F8C4E05C745}"/>
    <cellStyle name="Normal 10 2 2 2 4 2" xfId="4525" xr:uid="{CE92F336-16FA-4373-AF73-19A52339C0B7}"/>
    <cellStyle name="Normal 10 2 2 2 4 2 2" xfId="10161" xr:uid="{34CE67EC-ED26-4D5A-83A0-DDC1B5403873}"/>
    <cellStyle name="Normal 10 2 2 2 4 3" xfId="7351" xr:uid="{8DB7FA17-4FF3-42F4-8C74-0D484A8EAD09}"/>
    <cellStyle name="Normal 10 2 2 2 5" xfId="3124" xr:uid="{F994A932-27E0-4956-8CEC-057F50400465}"/>
    <cellStyle name="Normal 10 2 2 2 5 2" xfId="8760" xr:uid="{CB2EF9F4-A765-436D-BD13-EBB2EDA66E26}"/>
    <cellStyle name="Normal 10 2 2 2 6" xfId="5950" xr:uid="{C3B75B5F-CE0E-46B6-81F4-D79D5A973C8E}"/>
    <cellStyle name="Normal 10 2 2 3" xfId="486" xr:uid="{43D16343-549C-4800-8484-0BC9EEA28F06}"/>
    <cellStyle name="Normal 10 2 2 3 2" xfId="1182" xr:uid="{2EA32761-CEAB-4ECC-96D2-5C87E3EC8439}"/>
    <cellStyle name="Normal 10 2 2 3 2 2" xfId="2583" xr:uid="{5649449C-3F5C-4A2B-B556-481A3AC4F38D}"/>
    <cellStyle name="Normal 10 2 2 3 2 2 2" xfId="5393" xr:uid="{D57C01A1-D3CC-43B4-A70C-4B27AED3AD2C}"/>
    <cellStyle name="Normal 10 2 2 3 2 2 2 2" xfId="11029" xr:uid="{52765A52-3F78-451D-9055-29F4158A1DF3}"/>
    <cellStyle name="Normal 10 2 2 3 2 2 3" xfId="8219" xr:uid="{E9F8842C-16EE-43C6-9E33-7F076013FD78}"/>
    <cellStyle name="Normal 10 2 2 3 2 3" xfId="3992" xr:uid="{CC2B9DD4-676B-4E85-A3DD-35709DAF6EC2}"/>
    <cellStyle name="Normal 10 2 2 3 2 3 2" xfId="9628" xr:uid="{A206D9EE-B3FD-483C-A768-B4DD67A779E4}"/>
    <cellStyle name="Normal 10 2 2 3 2 4" xfId="6818" xr:uid="{D76A453F-5E25-4EDE-A6FA-67FDEF187A81}"/>
    <cellStyle name="Normal 10 2 2 3 3" xfId="1887" xr:uid="{5DAAC14B-8572-449C-9405-DFD5B026F068}"/>
    <cellStyle name="Normal 10 2 2 3 3 2" xfId="4697" xr:uid="{653F7EEE-BF4D-4688-8C44-97E31F5C5676}"/>
    <cellStyle name="Normal 10 2 2 3 3 2 2" xfId="10333" xr:uid="{104587A6-0343-4ED3-B5E6-7AC267B9B745}"/>
    <cellStyle name="Normal 10 2 2 3 3 3" xfId="7523" xr:uid="{E1C286F8-8AB2-4FB9-830A-9789BE446979}"/>
    <cellStyle name="Normal 10 2 2 3 4" xfId="3296" xr:uid="{1BE82B94-D6E4-45DC-95A9-05DD520CF549}"/>
    <cellStyle name="Normal 10 2 2 3 4 2" xfId="8932" xr:uid="{2A1E6993-4A3C-40AB-9335-EAFBDFD64B78}"/>
    <cellStyle name="Normal 10 2 2 3 5" xfId="6122" xr:uid="{0DC84B88-3A77-47F2-A20C-DDE8FAC8F3BD}"/>
    <cellStyle name="Normal 10 2 2 4" xfId="838" xr:uid="{7488C544-4059-40B9-BDF1-5FE3723C6DA8}"/>
    <cellStyle name="Normal 10 2 2 4 2" xfId="2239" xr:uid="{EC46937F-9C14-4A1A-95D5-18B74B6A63E0}"/>
    <cellStyle name="Normal 10 2 2 4 2 2" xfId="5049" xr:uid="{7B4EDDA6-6588-4993-A24A-7A6A791CBBCC}"/>
    <cellStyle name="Normal 10 2 2 4 2 2 2" xfId="10685" xr:uid="{16125664-9996-4AD9-8AFA-52701F394577}"/>
    <cellStyle name="Normal 10 2 2 4 2 3" xfId="7875" xr:uid="{BA01A0C0-52D8-4D97-AD4C-D0917A9504D8}"/>
    <cellStyle name="Normal 10 2 2 4 3" xfId="3648" xr:uid="{18B86AE3-B290-413B-A90C-B5F13702B684}"/>
    <cellStyle name="Normal 10 2 2 4 3 2" xfId="9284" xr:uid="{CC4BD37D-5FD3-4183-A67D-D1998A2EC84C}"/>
    <cellStyle name="Normal 10 2 2 4 4" xfId="6474" xr:uid="{61FAFB2E-5465-468A-9A4B-3007257EB7FF}"/>
    <cellStyle name="Normal 10 2 2 5" xfId="1543" xr:uid="{06B74E0E-8AA3-4416-821E-C55F8F2A73AA}"/>
    <cellStyle name="Normal 10 2 2 5 2" xfId="4353" xr:uid="{C7DE01C0-3F97-4E26-AD1D-4BFEC1E02D26}"/>
    <cellStyle name="Normal 10 2 2 5 2 2" xfId="9989" xr:uid="{58971E52-A84D-4AEE-AB71-707861772579}"/>
    <cellStyle name="Normal 10 2 2 5 3" xfId="7179" xr:uid="{D5D06F7A-EE8D-4995-B216-425752E37EC5}"/>
    <cellStyle name="Normal 10 2 2 6" xfId="2952" xr:uid="{09281377-4913-44D9-8DCD-3E2D810872F0}"/>
    <cellStyle name="Normal 10 2 2 6 2" xfId="8588" xr:uid="{C61AE65D-884C-41A3-9396-C1B36F43E64E}"/>
    <cellStyle name="Normal 10 2 2 7" xfId="5778" xr:uid="{F3F96B1B-291B-4057-BDB9-A5A7499F23B9}"/>
    <cellStyle name="Normal 10 2 3" xfId="234" xr:uid="{C3B24AB5-8E7C-420B-86A8-5DF09CCC3C3D}"/>
    <cellStyle name="Normal 10 2 3 2" xfId="578" xr:uid="{CBCEDAC7-A116-4D35-AEA7-91563B3F2CBA}"/>
    <cellStyle name="Normal 10 2 3 2 2" xfId="1274" xr:uid="{0822F7F8-7483-4FBC-8A2C-B01D7B1713E8}"/>
    <cellStyle name="Normal 10 2 3 2 2 2" xfId="2675" xr:uid="{F422E79E-C059-420E-9E53-9201B3819DD7}"/>
    <cellStyle name="Normal 10 2 3 2 2 2 2" xfId="5485" xr:uid="{193ED3E0-4F97-494E-B212-0C3F071D73B9}"/>
    <cellStyle name="Normal 10 2 3 2 2 2 2 2" xfId="11121" xr:uid="{86249547-4A9D-4AD7-ACDA-A5327C4F44EF}"/>
    <cellStyle name="Normal 10 2 3 2 2 2 3" xfId="8311" xr:uid="{2D1F7F3D-176A-40F8-929C-A54E46EA5F3D}"/>
    <cellStyle name="Normal 10 2 3 2 2 3" xfId="4084" xr:uid="{C6A04FF1-005B-4C33-AC3E-34ED3E00575A}"/>
    <cellStyle name="Normal 10 2 3 2 2 3 2" xfId="9720" xr:uid="{BF7708A9-4DB7-46E1-A620-32035CC23BAE}"/>
    <cellStyle name="Normal 10 2 3 2 2 4" xfId="6910" xr:uid="{D510BDFE-0295-4BC2-A059-BC373470DBB8}"/>
    <cellStyle name="Normal 10 2 3 2 3" xfId="1979" xr:uid="{B2516841-C7CB-4E9B-81E2-BBF9857A30AD}"/>
    <cellStyle name="Normal 10 2 3 2 3 2" xfId="4789" xr:uid="{3FBBFA29-84B5-48CE-8A1F-FE2C5CA71E0A}"/>
    <cellStyle name="Normal 10 2 3 2 3 2 2" xfId="10425" xr:uid="{11D00DC8-5BBC-44CA-BC86-4AAF834D6A69}"/>
    <cellStyle name="Normal 10 2 3 2 3 3" xfId="7615" xr:uid="{9FF9F3B3-BC42-4A56-B66A-D7E71CF29249}"/>
    <cellStyle name="Normal 10 2 3 2 4" xfId="3388" xr:uid="{A872AF8D-4922-4379-BC38-8F3756ABCDB8}"/>
    <cellStyle name="Normal 10 2 3 2 4 2" xfId="9024" xr:uid="{53589C0B-9C46-4A61-8B25-9CF36E9E03CC}"/>
    <cellStyle name="Normal 10 2 3 2 5" xfId="6214" xr:uid="{FB3AB7B1-BDE8-45B1-8B78-A508E4978E7A}"/>
    <cellStyle name="Normal 10 2 3 3" xfId="930" xr:uid="{62934E42-726F-4C4E-A041-3DE2A71F22AA}"/>
    <cellStyle name="Normal 10 2 3 3 2" xfId="2331" xr:uid="{D5F9A5CC-B514-4B13-8289-E79EA1C4BCD3}"/>
    <cellStyle name="Normal 10 2 3 3 2 2" xfId="5141" xr:uid="{586DD9D8-C5C7-4AFD-98DD-537D381F1BEA}"/>
    <cellStyle name="Normal 10 2 3 3 2 2 2" xfId="10777" xr:uid="{BF8E660B-9396-4B1C-A5C0-440A7812F6E2}"/>
    <cellStyle name="Normal 10 2 3 3 2 3" xfId="7967" xr:uid="{B7F53329-DF5D-4668-8286-B62A72E41CB0}"/>
    <cellStyle name="Normal 10 2 3 3 3" xfId="3740" xr:uid="{3AE36BE9-C698-4619-9BAF-E9B0469D93C4}"/>
    <cellStyle name="Normal 10 2 3 3 3 2" xfId="9376" xr:uid="{7F9C718C-F1BE-4894-95F8-FDB614E30340}"/>
    <cellStyle name="Normal 10 2 3 3 4" xfId="6566" xr:uid="{B4F7897A-CE06-461B-8E07-3127A67D3E02}"/>
    <cellStyle name="Normal 10 2 3 4" xfId="1635" xr:uid="{B80562F8-EE68-4437-A2DB-77FB7F95018D}"/>
    <cellStyle name="Normal 10 2 3 4 2" xfId="4445" xr:uid="{2C7D7A86-E6B9-4529-90AE-0AE9C63B0790}"/>
    <cellStyle name="Normal 10 2 3 4 2 2" xfId="10081" xr:uid="{7BA23339-F7B2-400F-9492-0AFD5BD53198}"/>
    <cellStyle name="Normal 10 2 3 4 3" xfId="7271" xr:uid="{3439812E-2372-49C6-86BF-B09EDA23ABDE}"/>
    <cellStyle name="Normal 10 2 3 5" xfId="3044" xr:uid="{B2972443-000C-4393-A87D-2D62584EAB7B}"/>
    <cellStyle name="Normal 10 2 3 5 2" xfId="8680" xr:uid="{F32BB575-B682-4872-B7CB-1847A4BD4627}"/>
    <cellStyle name="Normal 10 2 3 6" xfId="5870" xr:uid="{F1056346-77F8-4402-B387-898A83925E6C}"/>
    <cellStyle name="Normal 10 2 4" xfId="406" xr:uid="{325D930F-C58D-41EB-BDF8-F0CE326DD858}"/>
    <cellStyle name="Normal 10 2 4 2" xfId="1102" xr:uid="{417ECAE3-68C3-412E-B84D-AA9E12E3F83E}"/>
    <cellStyle name="Normal 10 2 4 2 2" xfId="2503" xr:uid="{1CFEC7CC-DA4E-4D72-97F7-7784014CFB8B}"/>
    <cellStyle name="Normal 10 2 4 2 2 2" xfId="5313" xr:uid="{0BB2B704-647C-4940-8A12-8571757F2478}"/>
    <cellStyle name="Normal 10 2 4 2 2 2 2" xfId="10949" xr:uid="{5738FE98-53FE-4F8F-A69E-F0127C969A42}"/>
    <cellStyle name="Normal 10 2 4 2 2 3" xfId="8139" xr:uid="{832FF50E-433F-4423-99AD-B86FA073BC03}"/>
    <cellStyle name="Normal 10 2 4 2 3" xfId="3912" xr:uid="{3EF2572B-05ED-425D-8DA2-42BCCE1FE47D}"/>
    <cellStyle name="Normal 10 2 4 2 3 2" xfId="9548" xr:uid="{C1CFA1CA-3B36-434D-B387-75902733F001}"/>
    <cellStyle name="Normal 10 2 4 2 4" xfId="6738" xr:uid="{45C5E81C-84AA-4A9C-B585-2619886E6BEB}"/>
    <cellStyle name="Normal 10 2 4 3" xfId="1807" xr:uid="{0695056A-614F-4CDC-BDA9-C7A9287F6571}"/>
    <cellStyle name="Normal 10 2 4 3 2" xfId="4617" xr:uid="{A5F6C058-2FF0-49B1-97F1-E000B92D7853}"/>
    <cellStyle name="Normal 10 2 4 3 2 2" xfId="10253" xr:uid="{7C8ABC43-D6EB-41A0-A185-B1B39E29E5DD}"/>
    <cellStyle name="Normal 10 2 4 3 3" xfId="7443" xr:uid="{91C52036-09F9-4B2A-91F2-C35FB0045F34}"/>
    <cellStyle name="Normal 10 2 4 4" xfId="3216" xr:uid="{AC10955E-E321-4AA8-9FBB-F8A8A61680C8}"/>
    <cellStyle name="Normal 10 2 4 4 2" xfId="8852" xr:uid="{AE9049ED-3AB3-4C1A-9512-E60BDECF454C}"/>
    <cellStyle name="Normal 10 2 4 5" xfId="6042" xr:uid="{C6ECE999-4682-4450-9DF0-6C39A34A4E80}"/>
    <cellStyle name="Normal 10 2 5" xfId="758" xr:uid="{2DE144B6-F97F-4CFA-99CF-15C52CC1568D}"/>
    <cellStyle name="Normal 10 2 5 2" xfId="2159" xr:uid="{D14E2011-0787-4846-858B-325456D67DC4}"/>
    <cellStyle name="Normal 10 2 5 2 2" xfId="4969" xr:uid="{D0D7C259-D0F7-4702-9831-92C427316BAE}"/>
    <cellStyle name="Normal 10 2 5 2 2 2" xfId="10605" xr:uid="{8D3A4196-FEE4-4181-8740-06C9278C3AD2}"/>
    <cellStyle name="Normal 10 2 5 2 3" xfId="7795" xr:uid="{BA826909-71D1-469E-9DBC-14CFD154E83F}"/>
    <cellStyle name="Normal 10 2 5 3" xfId="3568" xr:uid="{DBF2F43D-2EB1-437B-B360-9BA54CF61957}"/>
    <cellStyle name="Normal 10 2 5 3 2" xfId="9204" xr:uid="{C2BFD1F3-13BD-440E-A4AF-37B1E1104C2E}"/>
    <cellStyle name="Normal 10 2 5 4" xfId="6394" xr:uid="{3F727FAF-6C9E-499B-8DA1-15AA1A308A78}"/>
    <cellStyle name="Normal 10 2 6" xfId="1463" xr:uid="{68D2827C-6E5F-4818-A66C-CC97A956ACCD}"/>
    <cellStyle name="Normal 10 2 6 2" xfId="4273" xr:uid="{F69E17C7-8D41-4E87-B766-5ADA817EF3CD}"/>
    <cellStyle name="Normal 10 2 6 2 2" xfId="9909" xr:uid="{F5C30F4F-B233-4CBA-B262-316055720430}"/>
    <cellStyle name="Normal 10 2 6 3" xfId="7099" xr:uid="{619BDED0-CBA1-4D13-90BD-B8D774BCFA53}"/>
    <cellStyle name="Normal 10 2 7" xfId="2872" xr:uid="{89F62815-890E-45C3-8801-E2CE6DC48494}"/>
    <cellStyle name="Normal 10 2 7 2" xfId="8508" xr:uid="{8741CAB8-5DC4-40CB-8C0E-B63FDE11EB75}"/>
    <cellStyle name="Normal 10 2 8" xfId="5698" xr:uid="{DD785974-3DCA-49EC-B409-3289E24938C2}"/>
    <cellStyle name="Normal 10 3" xfId="110" xr:uid="{F6925C12-341D-4E99-9AD0-C49E7FDA8908}"/>
    <cellStyle name="Normal 10 3 2" xfId="282" xr:uid="{233613B3-5342-4383-9E84-6D174BD5EC37}"/>
    <cellStyle name="Normal 10 3 2 2" xfId="626" xr:uid="{2A84FEEB-0C62-40F8-8A7B-223404596F4C}"/>
    <cellStyle name="Normal 10 3 2 2 2" xfId="1322" xr:uid="{99EA7167-C7C8-4F68-A2AE-3AE3C2E8D9B9}"/>
    <cellStyle name="Normal 10 3 2 2 2 2" xfId="2723" xr:uid="{6F1CEEFE-F38C-46FA-A2A0-097E2E361B76}"/>
    <cellStyle name="Normal 10 3 2 2 2 2 2" xfId="5533" xr:uid="{312FC924-5382-4E6D-83E2-06D4116F72E6}"/>
    <cellStyle name="Normal 10 3 2 2 2 2 2 2" xfId="11169" xr:uid="{EF6E8AEF-3745-4D8F-9033-72401F2C2A37}"/>
    <cellStyle name="Normal 10 3 2 2 2 2 3" xfId="8359" xr:uid="{182FE350-3EEC-49BA-AE69-508DF3952E15}"/>
    <cellStyle name="Normal 10 3 2 2 2 3" xfId="4132" xr:uid="{6E60631F-4D14-4E6B-B710-C9776180C17D}"/>
    <cellStyle name="Normal 10 3 2 2 2 3 2" xfId="9768" xr:uid="{86914914-FC7F-47E9-8751-F8D574873AD7}"/>
    <cellStyle name="Normal 10 3 2 2 2 4" xfId="6958" xr:uid="{ABED6DCD-3827-436C-82C8-3911209BFB6B}"/>
    <cellStyle name="Normal 10 3 2 2 3" xfId="2027" xr:uid="{370706E1-1AC2-459B-ACEC-1F3C277B6AFC}"/>
    <cellStyle name="Normal 10 3 2 2 3 2" xfId="4837" xr:uid="{9511526B-2527-4A02-A610-8F83ECEBA06F}"/>
    <cellStyle name="Normal 10 3 2 2 3 2 2" xfId="10473" xr:uid="{84C45BD0-3DD6-4CC1-9805-F65817D325B3}"/>
    <cellStyle name="Normal 10 3 2 2 3 3" xfId="7663" xr:uid="{57AD58F9-62E0-4752-BE02-5B3043D84E73}"/>
    <cellStyle name="Normal 10 3 2 2 4" xfId="3436" xr:uid="{24049E7A-B34F-4CDF-905F-0E7DC01EA707}"/>
    <cellStyle name="Normal 10 3 2 2 4 2" xfId="9072" xr:uid="{16904D70-3258-4C3F-BCA4-52A0B6F164B1}"/>
    <cellStyle name="Normal 10 3 2 2 5" xfId="6262" xr:uid="{918DB2A5-1104-45AB-8E10-8BFADCD62D36}"/>
    <cellStyle name="Normal 10 3 2 3" xfId="978" xr:uid="{2D257FDF-4574-4874-91F3-2004B18E84AE}"/>
    <cellStyle name="Normal 10 3 2 3 2" xfId="2379" xr:uid="{C99CAECE-6C54-4C3B-AF39-55B0C61FB126}"/>
    <cellStyle name="Normal 10 3 2 3 2 2" xfId="5189" xr:uid="{98DBB9F6-77B9-4AA2-8DB2-F345DDE9AF8E}"/>
    <cellStyle name="Normal 10 3 2 3 2 2 2" xfId="10825" xr:uid="{4CAA96DB-8108-47E8-A251-FFBB72F10180}"/>
    <cellStyle name="Normal 10 3 2 3 2 3" xfId="8015" xr:uid="{7270F661-9FBB-43B8-9EF1-4BE09165702A}"/>
    <cellStyle name="Normal 10 3 2 3 3" xfId="3788" xr:uid="{21797A65-3DAF-4B25-A351-C4CEE266DFF3}"/>
    <cellStyle name="Normal 10 3 2 3 3 2" xfId="9424" xr:uid="{5F175D44-DB37-4ABD-AD49-3C811177A3FB}"/>
    <cellStyle name="Normal 10 3 2 3 4" xfId="6614" xr:uid="{67E56F7F-7943-4E3E-96F1-2D4BD1543B5E}"/>
    <cellStyle name="Normal 10 3 2 4" xfId="1683" xr:uid="{E3A5C92A-5F5B-47CA-AA7A-D9B77B7EB25C}"/>
    <cellStyle name="Normal 10 3 2 4 2" xfId="4493" xr:uid="{D41308D7-EA1F-434D-8FDC-C08C98B651CE}"/>
    <cellStyle name="Normal 10 3 2 4 2 2" xfId="10129" xr:uid="{73B381BA-0E86-4D80-AB99-A30AD9023865}"/>
    <cellStyle name="Normal 10 3 2 4 3" xfId="7319" xr:uid="{6B2F858E-AC98-417F-AC6C-E0EF2426EF7D}"/>
    <cellStyle name="Normal 10 3 2 5" xfId="3092" xr:uid="{AC9C827D-B371-467A-9128-A7EDEE5C4144}"/>
    <cellStyle name="Normal 10 3 2 5 2" xfId="8728" xr:uid="{74B71C3D-3ECC-4D79-A405-07DA9681C102}"/>
    <cellStyle name="Normal 10 3 2 6" xfId="5918" xr:uid="{8CE47CBA-FF1F-42D9-BE02-ADF1F1702490}"/>
    <cellStyle name="Normal 10 3 3" xfId="454" xr:uid="{D498AC68-DAC1-4394-9A80-AFB82EF2C6EC}"/>
    <cellStyle name="Normal 10 3 3 2" xfId="1150" xr:uid="{566C962C-1DDF-4094-B617-834B673FE777}"/>
    <cellStyle name="Normal 10 3 3 2 2" xfId="2551" xr:uid="{507660D9-64B1-455B-938D-46298B37C126}"/>
    <cellStyle name="Normal 10 3 3 2 2 2" xfId="5361" xr:uid="{E077E721-ED47-4BB0-ABAF-12EE4B67F38C}"/>
    <cellStyle name="Normal 10 3 3 2 2 2 2" xfId="10997" xr:uid="{F0FA8CBC-9088-4615-96EC-B7E3C567B807}"/>
    <cellStyle name="Normal 10 3 3 2 2 3" xfId="8187" xr:uid="{4BFE8DDF-49A1-4F3C-B7C1-DF3F3EBA29ED}"/>
    <cellStyle name="Normal 10 3 3 2 3" xfId="3960" xr:uid="{FA07236C-E214-4890-AEA0-8AF88ABFFC5F}"/>
    <cellStyle name="Normal 10 3 3 2 3 2" xfId="9596" xr:uid="{7A40F08B-E339-4426-B757-25826FE60ECF}"/>
    <cellStyle name="Normal 10 3 3 2 4" xfId="6786" xr:uid="{FDD25D57-311D-4B92-A4E4-8BB616D66EE1}"/>
    <cellStyle name="Normal 10 3 3 3" xfId="1855" xr:uid="{F84BB18F-C1B2-4F16-81F1-F1C476B30217}"/>
    <cellStyle name="Normal 10 3 3 3 2" xfId="4665" xr:uid="{B53CAF2A-8B91-4032-BA72-FDE09BCD0DF5}"/>
    <cellStyle name="Normal 10 3 3 3 2 2" xfId="10301" xr:uid="{29991D4C-7E57-4444-AF1D-180AB6DF7F28}"/>
    <cellStyle name="Normal 10 3 3 3 3" xfId="7491" xr:uid="{D67D452E-5A3B-47BC-AF4C-7660CB2E011C}"/>
    <cellStyle name="Normal 10 3 3 4" xfId="3264" xr:uid="{BA99E671-3644-4501-8B75-A4725961C8EA}"/>
    <cellStyle name="Normal 10 3 3 4 2" xfId="8900" xr:uid="{05CF5A04-F358-406D-94FD-FB3951949C0B}"/>
    <cellStyle name="Normal 10 3 3 5" xfId="6090" xr:uid="{508652E8-0E04-4770-83BE-E26978E4F54C}"/>
    <cellStyle name="Normal 10 3 4" xfId="806" xr:uid="{91FF1EAB-6942-47A5-8DB1-7FACD02BC527}"/>
    <cellStyle name="Normal 10 3 4 2" xfId="2207" xr:uid="{C0F3EAF9-6E5B-466A-BE8C-6A9DECF05FF1}"/>
    <cellStyle name="Normal 10 3 4 2 2" xfId="5017" xr:uid="{39554B11-A60A-4FC1-8976-F480C070D3CE}"/>
    <cellStyle name="Normal 10 3 4 2 2 2" xfId="10653" xr:uid="{55AB6E0B-BD67-40D7-836E-4D321027F60E}"/>
    <cellStyle name="Normal 10 3 4 2 3" xfId="7843" xr:uid="{3FFF0F12-F635-40C0-88B3-EB55464F0435}"/>
    <cellStyle name="Normal 10 3 4 3" xfId="3616" xr:uid="{E9D79F29-CE40-4147-9672-46F821F1969F}"/>
    <cellStyle name="Normal 10 3 4 3 2" xfId="9252" xr:uid="{9315711C-0931-4595-8077-97B4A72AF5F9}"/>
    <cellStyle name="Normal 10 3 4 4" xfId="6442" xr:uid="{EEAE4CF9-34B4-4A4B-A8A0-52858CAA9D45}"/>
    <cellStyle name="Normal 10 3 5" xfId="1511" xr:uid="{A63AE770-7499-48DF-B48E-699065FB4A77}"/>
    <cellStyle name="Normal 10 3 5 2" xfId="4321" xr:uid="{31C8D3D2-1D5B-457D-82CE-038811199E2E}"/>
    <cellStyle name="Normal 10 3 5 2 2" xfId="9957" xr:uid="{AA66EF90-620B-48D8-9B95-18D2EA8DC864}"/>
    <cellStyle name="Normal 10 3 5 3" xfId="7147" xr:uid="{372793CE-0BC9-405A-8E64-4E5EAC6CA76E}"/>
    <cellStyle name="Normal 10 3 6" xfId="2920" xr:uid="{8A7788DF-45EB-4183-AA9F-32EFDD3EF890}"/>
    <cellStyle name="Normal 10 3 6 2" xfId="8556" xr:uid="{894BC652-287A-481A-9C34-74D58812B85C}"/>
    <cellStyle name="Normal 10 3 7" xfId="5746" xr:uid="{1D1C6764-2D84-4FC8-ACFF-039E561B4AD6}"/>
    <cellStyle name="Normal 10 4" xfId="202" xr:uid="{C9D64C54-CB7D-46AC-8809-9F46B5BFCDD8}"/>
    <cellStyle name="Normal 10 4 2" xfId="546" xr:uid="{234772FD-9F9F-48FF-8077-802E47F39BED}"/>
    <cellStyle name="Normal 10 4 2 2" xfId="1242" xr:uid="{913D7D4C-19A0-449B-9D03-61D7F9E8D564}"/>
    <cellStyle name="Normal 10 4 2 2 2" xfId="2643" xr:uid="{CEC0A91B-E97C-4B3A-9B37-9A50DEECB850}"/>
    <cellStyle name="Normal 10 4 2 2 2 2" xfId="5453" xr:uid="{3DC9CC5A-EE92-4D11-8E9B-924B7D240D07}"/>
    <cellStyle name="Normal 10 4 2 2 2 2 2" xfId="11089" xr:uid="{398A8828-D577-4C07-8230-FFF864749E72}"/>
    <cellStyle name="Normal 10 4 2 2 2 3" xfId="8279" xr:uid="{FACFCFE8-5232-4689-8064-CFCC1FE49824}"/>
    <cellStyle name="Normal 10 4 2 2 3" xfId="4052" xr:uid="{131D1729-2128-45D6-A5E0-9E6D474B3D06}"/>
    <cellStyle name="Normal 10 4 2 2 3 2" xfId="9688" xr:uid="{A6024F4E-FE2D-46AA-85FA-7D67C5BB995A}"/>
    <cellStyle name="Normal 10 4 2 2 4" xfId="6878" xr:uid="{EFB458D8-15E7-476D-B182-ACBAA671FEFA}"/>
    <cellStyle name="Normal 10 4 2 3" xfId="1947" xr:uid="{85FD06CE-7B20-4ECD-8F7B-282D472D73ED}"/>
    <cellStyle name="Normal 10 4 2 3 2" xfId="4757" xr:uid="{3B3CE829-24B5-4CFB-806C-E9A1746D1F87}"/>
    <cellStyle name="Normal 10 4 2 3 2 2" xfId="10393" xr:uid="{99F28BD7-04BB-4F35-9951-C9E5F2D32A0A}"/>
    <cellStyle name="Normal 10 4 2 3 3" xfId="7583" xr:uid="{2FE0D7D8-64B9-4D8E-AEF1-316190025334}"/>
    <cellStyle name="Normal 10 4 2 4" xfId="3356" xr:uid="{D8A040F8-A9B8-45C9-81A4-BB56DE876B8D}"/>
    <cellStyle name="Normal 10 4 2 4 2" xfId="8992" xr:uid="{526BCCE5-7690-4B41-97CE-40C693EB9CD5}"/>
    <cellStyle name="Normal 10 4 2 5" xfId="6182" xr:uid="{78FC9069-C48D-4DFF-9C10-296083D86C07}"/>
    <cellStyle name="Normal 10 4 3" xfId="898" xr:uid="{95686C4F-39DB-4C19-8C09-98513C7C80FD}"/>
    <cellStyle name="Normal 10 4 3 2" xfId="2299" xr:uid="{C06B33F6-3B30-42E1-8792-1F6B4D791226}"/>
    <cellStyle name="Normal 10 4 3 2 2" xfId="5109" xr:uid="{2009AAB7-98EA-4E2C-A81F-726EFE0AEF80}"/>
    <cellStyle name="Normal 10 4 3 2 2 2" xfId="10745" xr:uid="{93FCDCA7-0568-4EB8-91B0-F9582E1C017D}"/>
    <cellStyle name="Normal 10 4 3 2 3" xfId="7935" xr:uid="{8A685C69-D51F-4CC8-BFA3-1769E3EAFC60}"/>
    <cellStyle name="Normal 10 4 3 3" xfId="3708" xr:uid="{D1CC133F-A936-4CFA-8239-A93FD2132368}"/>
    <cellStyle name="Normal 10 4 3 3 2" xfId="9344" xr:uid="{79748A7E-433A-45B9-B781-C7614CCEBF76}"/>
    <cellStyle name="Normal 10 4 3 4" xfId="6534" xr:uid="{73D8F8E4-5D46-4789-8E3D-D29EC6B2115E}"/>
    <cellStyle name="Normal 10 4 4" xfId="1603" xr:uid="{020307A8-CF81-41CD-A089-3B17A0B17283}"/>
    <cellStyle name="Normal 10 4 4 2" xfId="4413" xr:uid="{65FAF41B-FFBC-4522-9F5C-AF508F8E8DB2}"/>
    <cellStyle name="Normal 10 4 4 2 2" xfId="10049" xr:uid="{873C05B7-EC32-465F-8ACA-B64BCAC7B88B}"/>
    <cellStyle name="Normal 10 4 4 3" xfId="7239" xr:uid="{9D85EF47-DCA6-4C54-BF95-EC8AD23736D5}"/>
    <cellStyle name="Normal 10 4 5" xfId="3012" xr:uid="{840441BA-98CD-4323-B4B4-F86316671EFD}"/>
    <cellStyle name="Normal 10 4 5 2" xfId="8648" xr:uid="{B4B16C33-8813-484A-863F-0BFC2C94B017}"/>
    <cellStyle name="Normal 10 4 6" xfId="5838" xr:uid="{895072D4-7349-407B-9E46-E41949A3B22B}"/>
    <cellStyle name="Normal 10 5" xfId="374" xr:uid="{CB0DF28F-AF47-4EE4-9B51-C0539D730301}"/>
    <cellStyle name="Normal 10 5 2" xfId="1070" xr:uid="{946801FA-8FF6-4261-B979-60AAB461D6A9}"/>
    <cellStyle name="Normal 10 5 2 2" xfId="2471" xr:uid="{FF864933-CA4F-41DA-8696-72463FA6B14D}"/>
    <cellStyle name="Normal 10 5 2 2 2" xfId="5281" xr:uid="{9E242A0C-0339-4DFE-9519-6EBC42BEE411}"/>
    <cellStyle name="Normal 10 5 2 2 2 2" xfId="10917" xr:uid="{92C19D07-0F84-4792-8407-86F5B32409F2}"/>
    <cellStyle name="Normal 10 5 2 2 3" xfId="8107" xr:uid="{C2C6E15D-BE0D-4E49-986B-47007D372151}"/>
    <cellStyle name="Normal 10 5 2 3" xfId="3880" xr:uid="{06E8FF6E-1567-4009-96DD-AC29731D9024}"/>
    <cellStyle name="Normal 10 5 2 3 2" xfId="9516" xr:uid="{55DDF052-3819-4CAA-8218-D8852D9D833C}"/>
    <cellStyle name="Normal 10 5 2 4" xfId="6706" xr:uid="{5F72960C-0BE3-4E00-9B9F-9EEBD6534E15}"/>
    <cellStyle name="Normal 10 5 3" xfId="1775" xr:uid="{9B5723EE-D8FA-443A-BED6-79686C2ACCB7}"/>
    <cellStyle name="Normal 10 5 3 2" xfId="4585" xr:uid="{BDE93430-F30F-4B79-AED2-00D2DB9558FB}"/>
    <cellStyle name="Normal 10 5 3 2 2" xfId="10221" xr:uid="{4310C135-3FA6-498C-8C91-9182E4E012F9}"/>
    <cellStyle name="Normal 10 5 3 3" xfId="7411" xr:uid="{FEF57761-8EC7-4552-AC89-8F0AE4FE84E6}"/>
    <cellStyle name="Normal 10 5 4" xfId="3184" xr:uid="{37D6935C-1001-4FC7-9FA6-187FEACBA71E}"/>
    <cellStyle name="Normal 10 5 4 2" xfId="8820" xr:uid="{4F050A4C-D4C0-456C-BF2F-01844BBDD91B}"/>
    <cellStyle name="Normal 10 5 5" xfId="6010" xr:uid="{A7A077BE-9501-48AA-B639-0CE309858884}"/>
    <cellStyle name="Normal 10 6" xfId="726" xr:uid="{5E0D2814-2EAA-408B-B833-3471C467A083}"/>
    <cellStyle name="Normal 10 6 2" xfId="2127" xr:uid="{CCDBBB92-26A1-4044-BC8F-F2A159F67372}"/>
    <cellStyle name="Normal 10 6 2 2" xfId="4937" xr:uid="{F35F6E8A-7A46-443C-8422-E30485D55DEE}"/>
    <cellStyle name="Normal 10 6 2 2 2" xfId="10573" xr:uid="{0B0DDF69-5B52-44A0-9A0B-374799336E36}"/>
    <cellStyle name="Normal 10 6 2 3" xfId="7763" xr:uid="{CED7928C-A3CA-4E39-9B28-C6634D0BEB59}"/>
    <cellStyle name="Normal 10 6 3" xfId="3536" xr:uid="{5936E602-81FB-4290-9CDF-B516C4FC70BA}"/>
    <cellStyle name="Normal 10 6 3 2" xfId="9172" xr:uid="{976696B6-42D4-461C-9341-4A17BD2E912C}"/>
    <cellStyle name="Normal 10 6 4" xfId="6362" xr:uid="{479073A5-614B-47FE-89B0-E8B8EF22CC79}"/>
    <cellStyle name="Normal 10 7" xfId="1431" xr:uid="{E5156F0D-68CF-4CAD-B00B-6948324C853D}"/>
    <cellStyle name="Normal 10 7 2" xfId="4241" xr:uid="{9DC465B0-F372-4B4E-969C-7D3229B360C4}"/>
    <cellStyle name="Normal 10 7 2 2" xfId="9877" xr:uid="{BD325771-425D-4B13-8B1A-057F00E277E1}"/>
    <cellStyle name="Normal 10 7 3" xfId="7067" xr:uid="{9E01D3BE-8F97-4007-ABDC-D79C1917C0E8}"/>
    <cellStyle name="Normal 10 8" xfId="2840" xr:uid="{1B4111B2-DA5C-4E39-AFDD-8ECDBBB79E54}"/>
    <cellStyle name="Normal 10 8 2" xfId="8476" xr:uid="{2E9FF212-00C6-483F-BFAA-4AFDA0CA0B71}"/>
    <cellStyle name="Normal 10 9" xfId="5666" xr:uid="{4D5E0FD9-5E7B-4DD7-9139-5F7DEFBD2FDB}"/>
    <cellStyle name="Normal 100" xfId="11323" xr:uid="{238BF07F-CB3C-42EB-B181-5E9AA0E8FAA5}"/>
    <cellStyle name="Normal 101" xfId="11324" xr:uid="{97CC59CD-2559-46D3-8D70-B91069F1F789}"/>
    <cellStyle name="Normal 102" xfId="11325" xr:uid="{8F985BBA-CE9C-4B07-B3AC-DAC9EC883376}"/>
    <cellStyle name="Normal 103" xfId="11326" xr:uid="{3AD4E412-7546-4437-94A5-6901C189203F}"/>
    <cellStyle name="Normal 104" xfId="11327" xr:uid="{4FDB210D-A02F-42BF-8E6E-2A3DE3679FC7}"/>
    <cellStyle name="Normal 105" xfId="11328" xr:uid="{8DABD734-2B65-4A88-AE63-F658F19551DF}"/>
    <cellStyle name="Normal 106" xfId="11329" xr:uid="{4BD17FA5-8E22-48E5-9E2F-EA9DB5C1C45E}"/>
    <cellStyle name="Normal 107" xfId="11330" xr:uid="{C615D0F4-1138-49EC-8204-6D33DF7DA2E7}"/>
    <cellStyle name="Normal 108" xfId="11331" xr:uid="{64255E71-5590-499A-80CE-4B185D52339F}"/>
    <cellStyle name="Normal 109" xfId="11332" xr:uid="{8AA3C7BA-0A8A-4118-ABAE-EA7E2870A2A8}"/>
    <cellStyle name="Normal 11" xfId="32" xr:uid="{2A017651-2FB2-47D8-A7A9-6B135F81D679}"/>
    <cellStyle name="Normal 11 2" xfId="64" xr:uid="{64626497-1E60-4B79-BFFA-8F3C34B24B7A}"/>
    <cellStyle name="Normal 11 2 2" xfId="144" xr:uid="{8BE8D61A-F353-4168-8ED8-CAD18F695ADA}"/>
    <cellStyle name="Normal 11 2 2 2" xfId="316" xr:uid="{510E5BC0-D763-45A5-937C-8DDEDDE32991}"/>
    <cellStyle name="Normal 11 2 2 2 2" xfId="660" xr:uid="{B94AC5C5-5795-4806-960E-688C489C1586}"/>
    <cellStyle name="Normal 11 2 2 2 2 2" xfId="1356" xr:uid="{DB49D317-BABA-4EEF-AEC9-8F82D56BEFB0}"/>
    <cellStyle name="Normal 11 2 2 2 2 2 2" xfId="2757" xr:uid="{A8188338-4F20-414A-82E8-CE72DCF39B9B}"/>
    <cellStyle name="Normal 11 2 2 2 2 2 2 2" xfId="5567" xr:uid="{E6AE7AB2-5295-4437-94C5-55F8AD7EE7C2}"/>
    <cellStyle name="Normal 11 2 2 2 2 2 2 2 2" xfId="11203" xr:uid="{0F261D6A-6E16-4C4B-B72F-7DCA6CFFE357}"/>
    <cellStyle name="Normal 11 2 2 2 2 2 2 3" xfId="8393" xr:uid="{35F6425B-9DA9-4B9A-A1F5-F51A4A72B07C}"/>
    <cellStyle name="Normal 11 2 2 2 2 2 3" xfId="4166" xr:uid="{DF4A423D-2301-4203-A158-42A692017FB9}"/>
    <cellStyle name="Normal 11 2 2 2 2 2 3 2" xfId="9802" xr:uid="{FB5BB69E-2A43-4899-867D-2D89AB62DC6C}"/>
    <cellStyle name="Normal 11 2 2 2 2 2 4" xfId="6992" xr:uid="{78909E78-D7B1-44FF-B8EF-54D23DFA7EDD}"/>
    <cellStyle name="Normal 11 2 2 2 2 3" xfId="2061" xr:uid="{3D73E34B-FD2F-4462-BD31-E4D233A819C6}"/>
    <cellStyle name="Normal 11 2 2 2 2 3 2" xfId="4871" xr:uid="{68C896D7-A483-4F0D-8EDA-3AA07A2460CF}"/>
    <cellStyle name="Normal 11 2 2 2 2 3 2 2" xfId="10507" xr:uid="{5CBD9F05-D7C6-4297-97C7-DD33CE56CEC4}"/>
    <cellStyle name="Normal 11 2 2 2 2 3 3" xfId="7697" xr:uid="{12A1DB32-FC06-45EE-8240-26C3D4835421}"/>
    <cellStyle name="Normal 11 2 2 2 2 4" xfId="3470" xr:uid="{5A6E2490-891C-4918-8079-205541863A4E}"/>
    <cellStyle name="Normal 11 2 2 2 2 4 2" xfId="9106" xr:uid="{E24499C1-3AFB-4E7F-9D43-A7A7DCC0B847}"/>
    <cellStyle name="Normal 11 2 2 2 2 5" xfId="6296" xr:uid="{06E83828-0489-49D1-BD0A-E9EB6BB7B0B8}"/>
    <cellStyle name="Normal 11 2 2 2 3" xfId="1012" xr:uid="{8FF7A6D7-C994-4367-8B1F-C76B56188282}"/>
    <cellStyle name="Normal 11 2 2 2 3 2" xfId="2413" xr:uid="{F5B7AD33-B24E-4CF6-B72E-8BA65D2F0829}"/>
    <cellStyle name="Normal 11 2 2 2 3 2 2" xfId="5223" xr:uid="{C54B73A9-3BCE-43C9-9835-472C8BC970D7}"/>
    <cellStyle name="Normal 11 2 2 2 3 2 2 2" xfId="10859" xr:uid="{3B70C999-E5EC-44A0-8CBA-07B9DEA66B03}"/>
    <cellStyle name="Normal 11 2 2 2 3 2 3" xfId="8049" xr:uid="{0001345F-CB7D-42BC-96CC-F142C6B7F736}"/>
    <cellStyle name="Normal 11 2 2 2 3 3" xfId="3822" xr:uid="{52146E08-E9DC-4A40-8141-FCAE6F118DAD}"/>
    <cellStyle name="Normal 11 2 2 2 3 3 2" xfId="9458" xr:uid="{9F314E8A-24AC-4F29-9832-2851F1E2CB9B}"/>
    <cellStyle name="Normal 11 2 2 2 3 4" xfId="6648" xr:uid="{E1D7CE33-C105-4305-8E14-5851850C11CD}"/>
    <cellStyle name="Normal 11 2 2 2 4" xfId="1717" xr:uid="{83CEB404-265F-47B1-9242-C0CFE87A03B8}"/>
    <cellStyle name="Normal 11 2 2 2 4 2" xfId="4527" xr:uid="{D32B52E8-AA86-4AD3-8E97-AAC751FEDC61}"/>
    <cellStyle name="Normal 11 2 2 2 4 2 2" xfId="10163" xr:uid="{E7433C75-6564-4F13-A952-03FEF4A4C42A}"/>
    <cellStyle name="Normal 11 2 2 2 4 3" xfId="7353" xr:uid="{F34F0C7E-18A4-4A3E-B7E2-64D3258A7024}"/>
    <cellStyle name="Normal 11 2 2 2 5" xfId="3126" xr:uid="{14DB857E-5BB4-40C1-A3D0-C74C2B18A275}"/>
    <cellStyle name="Normal 11 2 2 2 5 2" xfId="8762" xr:uid="{FFDE58E9-327C-4EE8-88FA-6E8794CABE93}"/>
    <cellStyle name="Normal 11 2 2 2 6" xfId="5952" xr:uid="{BFFDC8F2-F2FB-4524-A2DF-499D8E0A3473}"/>
    <cellStyle name="Normal 11 2 2 3" xfId="488" xr:uid="{A1E4003C-FF44-42C8-BB9C-FEFC52A03574}"/>
    <cellStyle name="Normal 11 2 2 3 2" xfId="1184" xr:uid="{A98009E1-E472-4834-9F66-398B4114A8ED}"/>
    <cellStyle name="Normal 11 2 2 3 2 2" xfId="2585" xr:uid="{D7EBCDCA-6863-40BE-9DE9-D6BC3F7C0CC0}"/>
    <cellStyle name="Normal 11 2 2 3 2 2 2" xfId="5395" xr:uid="{978FD496-C786-41DD-A9AC-EF7B4587C72A}"/>
    <cellStyle name="Normal 11 2 2 3 2 2 2 2" xfId="11031" xr:uid="{5AEB0D81-66CF-40D4-87AE-0774DA0B26C5}"/>
    <cellStyle name="Normal 11 2 2 3 2 2 3" xfId="8221" xr:uid="{036F7690-BD48-477E-9660-D9CE9EA03D59}"/>
    <cellStyle name="Normal 11 2 2 3 2 3" xfId="3994" xr:uid="{FA577FC9-DDF7-4ECB-A1D4-7FDA0F47C327}"/>
    <cellStyle name="Normal 11 2 2 3 2 3 2" xfId="9630" xr:uid="{323F5442-20AB-4438-9832-FA81467FE55B}"/>
    <cellStyle name="Normal 11 2 2 3 2 4" xfId="6820" xr:uid="{2D818303-C922-4700-90B8-62D9024ED3DE}"/>
    <cellStyle name="Normal 11 2 2 3 3" xfId="1889" xr:uid="{D788246E-1A19-4F96-9A45-2EAFEFD2E9A2}"/>
    <cellStyle name="Normal 11 2 2 3 3 2" xfId="4699" xr:uid="{4EB3E8E0-6E7D-4AF3-A857-1966D198933A}"/>
    <cellStyle name="Normal 11 2 2 3 3 2 2" xfId="10335" xr:uid="{36D56C2C-3237-4970-AA0C-95B32EEC986A}"/>
    <cellStyle name="Normal 11 2 2 3 3 3" xfId="7525" xr:uid="{55C8064C-8499-4EB5-A3F3-938F35D3F09B}"/>
    <cellStyle name="Normal 11 2 2 3 4" xfId="3298" xr:uid="{39CFBE4F-88DF-4F2D-A2F9-6163BB8BA4A9}"/>
    <cellStyle name="Normal 11 2 2 3 4 2" xfId="8934" xr:uid="{90D47D75-A1B7-4220-B12A-96549C0B1795}"/>
    <cellStyle name="Normal 11 2 2 3 5" xfId="6124" xr:uid="{3EB2FE78-DB5C-4D37-91A5-25084279816C}"/>
    <cellStyle name="Normal 11 2 2 4" xfId="840" xr:uid="{BA0FAB87-1EDD-4492-83A6-7D5725350451}"/>
    <cellStyle name="Normal 11 2 2 4 2" xfId="2241" xr:uid="{643662C4-B7B3-44D3-89CA-796C7A5C4E56}"/>
    <cellStyle name="Normal 11 2 2 4 2 2" xfId="5051" xr:uid="{E6A17775-E4B8-4026-B03A-E8B940368AF5}"/>
    <cellStyle name="Normal 11 2 2 4 2 2 2" xfId="10687" xr:uid="{803A017B-B100-45DD-BC26-54E403AED70C}"/>
    <cellStyle name="Normal 11 2 2 4 2 3" xfId="7877" xr:uid="{A63AD28B-40AB-4A7A-9DF7-A2887F39269F}"/>
    <cellStyle name="Normal 11 2 2 4 3" xfId="3650" xr:uid="{C4A7E8E6-C1C5-417D-BDD6-16C54CAC798A}"/>
    <cellStyle name="Normal 11 2 2 4 3 2" xfId="9286" xr:uid="{4155147F-34DC-4F35-A4F8-348F9C9BD52F}"/>
    <cellStyle name="Normal 11 2 2 4 4" xfId="6476" xr:uid="{425B1E68-B425-49DC-82F0-121612349BA7}"/>
    <cellStyle name="Normal 11 2 2 5" xfId="1545" xr:uid="{986D6F5C-6387-4045-BF48-5CED6420B97B}"/>
    <cellStyle name="Normal 11 2 2 5 2" xfId="4355" xr:uid="{D3657B81-FF73-48F3-B707-EF09F5DAFF68}"/>
    <cellStyle name="Normal 11 2 2 5 2 2" xfId="9991" xr:uid="{56E745E1-2833-47C6-89F8-47B5DA930A6C}"/>
    <cellStyle name="Normal 11 2 2 5 3" xfId="7181" xr:uid="{8B8013AE-683E-4629-88C0-AA3B0156EAA8}"/>
    <cellStyle name="Normal 11 2 2 6" xfId="2954" xr:uid="{390F78C5-13A2-46FA-B2D3-9F5DCA4ED028}"/>
    <cellStyle name="Normal 11 2 2 6 2" xfId="8590" xr:uid="{95FFDE74-5BC1-46FF-A614-500036C4BF91}"/>
    <cellStyle name="Normal 11 2 2 7" xfId="5780" xr:uid="{D868D636-7E37-48ED-9914-61EE0A7C4496}"/>
    <cellStyle name="Normal 11 2 3" xfId="236" xr:uid="{BB659689-5781-47C3-8CD2-DBB01846B570}"/>
    <cellStyle name="Normal 11 2 3 2" xfId="580" xr:uid="{A5478379-60D9-4E7D-9B32-125C0623D93C}"/>
    <cellStyle name="Normal 11 2 3 2 2" xfId="1276" xr:uid="{6337018D-7DC7-464B-AAA8-AC1A2B50C47D}"/>
    <cellStyle name="Normal 11 2 3 2 2 2" xfId="2677" xr:uid="{4E8EAB3A-E9B1-4BBC-B154-CA84ACB48A58}"/>
    <cellStyle name="Normal 11 2 3 2 2 2 2" xfId="5487" xr:uid="{940A2687-052B-41D4-B3D4-790B07CD06B1}"/>
    <cellStyle name="Normal 11 2 3 2 2 2 2 2" xfId="11123" xr:uid="{5B2E5349-B0CA-42A0-870F-4589B45E818C}"/>
    <cellStyle name="Normal 11 2 3 2 2 2 3" xfId="8313" xr:uid="{2451C312-68D7-4DA8-9218-003370F9835B}"/>
    <cellStyle name="Normal 11 2 3 2 2 3" xfId="4086" xr:uid="{FD177076-DC28-47C9-9A38-814C96634C54}"/>
    <cellStyle name="Normal 11 2 3 2 2 3 2" xfId="9722" xr:uid="{BB06CF52-F506-4226-926F-9AC619A758B7}"/>
    <cellStyle name="Normal 11 2 3 2 2 4" xfId="6912" xr:uid="{FF54596F-8F2C-4F34-8CC7-9B0C5A83EDDD}"/>
    <cellStyle name="Normal 11 2 3 2 3" xfId="1981" xr:uid="{C2172EE9-0E33-44EB-8C7C-9BD7DE889689}"/>
    <cellStyle name="Normal 11 2 3 2 3 2" xfId="4791" xr:uid="{1CD87071-955F-4185-9E3D-1B0A9EA8B458}"/>
    <cellStyle name="Normal 11 2 3 2 3 2 2" xfId="10427" xr:uid="{29B1ED3F-E8A4-4226-83C3-8803FAD888BA}"/>
    <cellStyle name="Normal 11 2 3 2 3 3" xfId="7617" xr:uid="{9405AE17-9759-4755-99A3-6D831936B112}"/>
    <cellStyle name="Normal 11 2 3 2 4" xfId="3390" xr:uid="{B3DC7747-A73B-43E9-B591-F253C6A62A90}"/>
    <cellStyle name="Normal 11 2 3 2 4 2" xfId="9026" xr:uid="{3D93C200-2A65-4506-8AF1-CDAC1343E8CF}"/>
    <cellStyle name="Normal 11 2 3 2 5" xfId="6216" xr:uid="{FAE68C17-87BF-42A7-8D2D-2E6A8329F95D}"/>
    <cellStyle name="Normal 11 2 3 3" xfId="932" xr:uid="{FA3C3CDA-E574-4AA3-A386-225DD4B43C92}"/>
    <cellStyle name="Normal 11 2 3 3 2" xfId="2333" xr:uid="{5CEEEB8F-4B88-4BAF-9CC6-14CADAFE4CD7}"/>
    <cellStyle name="Normal 11 2 3 3 2 2" xfId="5143" xr:uid="{090B8317-8EEF-4563-8078-5E383FF6CED3}"/>
    <cellStyle name="Normal 11 2 3 3 2 2 2" xfId="10779" xr:uid="{DA3E9E4C-BE42-4AF0-92B7-7737C4C1F0F1}"/>
    <cellStyle name="Normal 11 2 3 3 2 3" xfId="7969" xr:uid="{1E9A1DBC-3837-4AE3-A9C0-F7586E25C202}"/>
    <cellStyle name="Normal 11 2 3 3 3" xfId="3742" xr:uid="{66A0026B-1140-4A87-A25D-57987BF69AF3}"/>
    <cellStyle name="Normal 11 2 3 3 3 2" xfId="9378" xr:uid="{179D12A6-077A-4488-8374-EAEB9B77DC9A}"/>
    <cellStyle name="Normal 11 2 3 3 4" xfId="6568" xr:uid="{FF8BD31E-62C8-405B-9D24-D6EB37F5B036}"/>
    <cellStyle name="Normal 11 2 3 4" xfId="1637" xr:uid="{9DA44E43-0B2C-46ED-B673-DEB14680EBFA}"/>
    <cellStyle name="Normal 11 2 3 4 2" xfId="4447" xr:uid="{E9A873F0-8272-41D1-8253-D4E4F3B41CB1}"/>
    <cellStyle name="Normal 11 2 3 4 2 2" xfId="10083" xr:uid="{23468C20-B6ED-4E73-B089-880158B2B625}"/>
    <cellStyle name="Normal 11 2 3 4 3" xfId="7273" xr:uid="{F513FB6C-B006-4381-A4DC-052780379A31}"/>
    <cellStyle name="Normal 11 2 3 5" xfId="3046" xr:uid="{D05C7CF3-8D3B-471F-AF1B-DB969D422EA5}"/>
    <cellStyle name="Normal 11 2 3 5 2" xfId="8682" xr:uid="{592801BA-0982-4CFC-8451-72C314D69D14}"/>
    <cellStyle name="Normal 11 2 3 6" xfId="5872" xr:uid="{97F37FE4-4002-4B22-8E2D-6FDB6F93FA11}"/>
    <cellStyle name="Normal 11 2 4" xfId="408" xr:uid="{BAF29200-2D05-4AD8-B1B3-364A3E7E63BC}"/>
    <cellStyle name="Normal 11 2 4 2" xfId="1104" xr:uid="{07CCF485-FBB1-4B85-9B31-02C8EA094A07}"/>
    <cellStyle name="Normal 11 2 4 2 2" xfId="2505" xr:uid="{B013F06E-C6F8-401F-A725-55B0221BC191}"/>
    <cellStyle name="Normal 11 2 4 2 2 2" xfId="5315" xr:uid="{1D412EF3-6A47-484E-A77E-BD11F868A887}"/>
    <cellStyle name="Normal 11 2 4 2 2 2 2" xfId="10951" xr:uid="{E476D774-C81C-4BE5-9686-F4478E6E2752}"/>
    <cellStyle name="Normal 11 2 4 2 2 3" xfId="8141" xr:uid="{136115D8-1DB7-4B5B-85E6-15876DD09C35}"/>
    <cellStyle name="Normal 11 2 4 2 3" xfId="3914" xr:uid="{BAB453EF-B5B7-49A9-9BEE-151493A7B05B}"/>
    <cellStyle name="Normal 11 2 4 2 3 2" xfId="9550" xr:uid="{2594B574-AFB4-44A3-86D2-E9C15840FCAA}"/>
    <cellStyle name="Normal 11 2 4 2 4" xfId="6740" xr:uid="{97E5F652-BB16-474D-B270-A092D6D45D05}"/>
    <cellStyle name="Normal 11 2 4 3" xfId="1809" xr:uid="{BAC78490-BF70-460C-A0EC-CAB904CF5ADE}"/>
    <cellStyle name="Normal 11 2 4 3 2" xfId="4619" xr:uid="{EAA73550-EB3D-4B5D-9DAB-04BCFF104FBD}"/>
    <cellStyle name="Normal 11 2 4 3 2 2" xfId="10255" xr:uid="{9E0D650E-D5DB-4764-AA09-90B15A8AFE5D}"/>
    <cellStyle name="Normal 11 2 4 3 3" xfId="7445" xr:uid="{B7FEABDA-6D0B-4357-8711-A58659635149}"/>
    <cellStyle name="Normal 11 2 4 4" xfId="3218" xr:uid="{E97BC9E8-2B7B-46F4-8B33-C035021F30F6}"/>
    <cellStyle name="Normal 11 2 4 4 2" xfId="8854" xr:uid="{D781BC2B-C7E5-4EE0-9CA9-62F7370474D6}"/>
    <cellStyle name="Normal 11 2 4 5" xfId="6044" xr:uid="{1418D95F-507B-44B2-8637-B1E18F1D395E}"/>
    <cellStyle name="Normal 11 2 5" xfId="760" xr:uid="{AA0E8E9C-B496-4828-A705-572EE144D578}"/>
    <cellStyle name="Normal 11 2 5 2" xfId="2161" xr:uid="{A8C0A29F-AB4A-4C99-8E00-80B0F892D35A}"/>
    <cellStyle name="Normal 11 2 5 2 2" xfId="4971" xr:uid="{7E4DE985-938A-4B63-9AC1-7C1A34FBC01C}"/>
    <cellStyle name="Normal 11 2 5 2 2 2" xfId="10607" xr:uid="{D914423A-4970-41E9-816A-4903843DF879}"/>
    <cellStyle name="Normal 11 2 5 2 3" xfId="7797" xr:uid="{9404EB28-A070-4952-9323-2676876274B3}"/>
    <cellStyle name="Normal 11 2 5 3" xfId="3570" xr:uid="{8D661C1C-C65A-475F-94D9-B1A2AC828984}"/>
    <cellStyle name="Normal 11 2 5 3 2" xfId="9206" xr:uid="{A13B5784-AAF2-4C8D-B315-499B86C2B9C0}"/>
    <cellStyle name="Normal 11 2 5 4" xfId="6396" xr:uid="{E5368806-FE15-46EE-B617-A139CA8050B6}"/>
    <cellStyle name="Normal 11 2 6" xfId="1465" xr:uid="{3AB0174D-46A8-4C8B-9AA0-706087E821F4}"/>
    <cellStyle name="Normal 11 2 6 2" xfId="4275" xr:uid="{FBEADD66-0142-48F6-B038-FB5378D0AD44}"/>
    <cellStyle name="Normal 11 2 6 2 2" xfId="9911" xr:uid="{C4930E19-ECA4-44B6-9A1A-1A8E696CDA06}"/>
    <cellStyle name="Normal 11 2 6 3" xfId="7101" xr:uid="{17BC8A9F-13AD-4037-96AF-25D5D563DD68}"/>
    <cellStyle name="Normal 11 2 7" xfId="2874" xr:uid="{68E1EE92-DDA7-45C4-921B-60F45CC8D0AB}"/>
    <cellStyle name="Normal 11 2 7 2" xfId="8510" xr:uid="{85F16C3E-7A86-4B9C-8F5E-12D25B59EB7E}"/>
    <cellStyle name="Normal 11 2 8" xfId="5700" xr:uid="{6B39B3BB-6480-460D-A8A8-72CDF3904A69}"/>
    <cellStyle name="Normal 11 3" xfId="112" xr:uid="{5542807E-A93C-457A-A696-056D92727BF7}"/>
    <cellStyle name="Normal 11 3 2" xfId="284" xr:uid="{734A2797-0467-4CBA-B6C9-33BC104AF561}"/>
    <cellStyle name="Normal 11 3 2 2" xfId="628" xr:uid="{1E7C40AF-80DE-4D61-9BB5-338FF5AFCEB9}"/>
    <cellStyle name="Normal 11 3 2 2 2" xfId="1324" xr:uid="{1B7F2850-A068-4537-912A-3C0ACD844C0C}"/>
    <cellStyle name="Normal 11 3 2 2 2 2" xfId="2725" xr:uid="{5F27EAE3-8DE1-46B5-AD61-FCD9326E046F}"/>
    <cellStyle name="Normal 11 3 2 2 2 2 2" xfId="5535" xr:uid="{C8E9D3E3-6FC3-4EA9-BA93-E9F90B4D0FAD}"/>
    <cellStyle name="Normal 11 3 2 2 2 2 2 2" xfId="11171" xr:uid="{ECE0377C-CA76-4FD6-A1DA-31901C83548F}"/>
    <cellStyle name="Normal 11 3 2 2 2 2 3" xfId="8361" xr:uid="{A12EEC72-1B4C-4235-A855-8BF41FF07BF9}"/>
    <cellStyle name="Normal 11 3 2 2 2 3" xfId="4134" xr:uid="{B4689668-5E14-4744-8BF8-73A8BE0D6D20}"/>
    <cellStyle name="Normal 11 3 2 2 2 3 2" xfId="9770" xr:uid="{5C5E3404-15B9-465E-903C-D2D4F6803B6A}"/>
    <cellStyle name="Normal 11 3 2 2 2 4" xfId="6960" xr:uid="{9470255C-6A36-4EB5-AB3E-782E3B33D734}"/>
    <cellStyle name="Normal 11 3 2 2 3" xfId="2029" xr:uid="{832F34DF-4E78-4AE4-A69B-D4305F690B55}"/>
    <cellStyle name="Normal 11 3 2 2 3 2" xfId="4839" xr:uid="{D500A11E-5585-4F46-8F80-D0A6DB84F506}"/>
    <cellStyle name="Normal 11 3 2 2 3 2 2" xfId="10475" xr:uid="{B2E2B2D4-819B-45FC-A2B8-83048A2607E4}"/>
    <cellStyle name="Normal 11 3 2 2 3 3" xfId="7665" xr:uid="{116D4493-848C-43EC-AFDE-A9FF54A7356E}"/>
    <cellStyle name="Normal 11 3 2 2 4" xfId="3438" xr:uid="{3D6506DC-E546-482C-9979-E260C01339B1}"/>
    <cellStyle name="Normal 11 3 2 2 4 2" xfId="9074" xr:uid="{C9A331D7-A490-455C-AAFD-EE392DB59B19}"/>
    <cellStyle name="Normal 11 3 2 2 5" xfId="6264" xr:uid="{3E9C0E6E-C931-4162-975C-CEF322C0C34F}"/>
    <cellStyle name="Normal 11 3 2 3" xfId="980" xr:uid="{E240457A-4E23-490C-8C92-AE746AEAFAE1}"/>
    <cellStyle name="Normal 11 3 2 3 2" xfId="2381" xr:uid="{08827957-81AC-4239-899F-2D7B531641FD}"/>
    <cellStyle name="Normal 11 3 2 3 2 2" xfId="5191" xr:uid="{ABCC1F33-CF9F-45EF-A2CB-6508F8742CEB}"/>
    <cellStyle name="Normal 11 3 2 3 2 2 2" xfId="10827" xr:uid="{55CAE423-3247-47FE-B722-54460D0E50F3}"/>
    <cellStyle name="Normal 11 3 2 3 2 3" xfId="8017" xr:uid="{A17CB1F0-05C7-4167-8346-015648F99D6A}"/>
    <cellStyle name="Normal 11 3 2 3 3" xfId="3790" xr:uid="{227E129B-E354-4D31-901D-6C738CD7FED1}"/>
    <cellStyle name="Normal 11 3 2 3 3 2" xfId="9426" xr:uid="{2C9125B8-8275-4682-983E-ED05503076E9}"/>
    <cellStyle name="Normal 11 3 2 3 4" xfId="6616" xr:uid="{514038A1-AA71-472F-B372-F3F5DDDE316A}"/>
    <cellStyle name="Normal 11 3 2 4" xfId="1685" xr:uid="{F3F9FFEE-114A-4A01-8322-FC8A1EA2D7D2}"/>
    <cellStyle name="Normal 11 3 2 4 2" xfId="4495" xr:uid="{7ECC5CCA-E297-4A58-812D-A3288C012884}"/>
    <cellStyle name="Normal 11 3 2 4 2 2" xfId="10131" xr:uid="{9B04DFCA-61A7-46A1-95D6-B3FEB90A9B69}"/>
    <cellStyle name="Normal 11 3 2 4 3" xfId="7321" xr:uid="{7562DCB7-9E8D-4BF9-8257-936C2C0E6395}"/>
    <cellStyle name="Normal 11 3 2 5" xfId="3094" xr:uid="{BCEE3330-4BB2-4F69-BD5B-4B51E593AED6}"/>
    <cellStyle name="Normal 11 3 2 5 2" xfId="8730" xr:uid="{D08C7B64-328E-41DB-9A55-8F5D8652A9FC}"/>
    <cellStyle name="Normal 11 3 2 6" xfId="5920" xr:uid="{F81BC3E0-FE2F-4608-B2EA-5853E6A2FD05}"/>
    <cellStyle name="Normal 11 3 3" xfId="456" xr:uid="{2D775591-46ED-4995-9F1A-38851906B4EC}"/>
    <cellStyle name="Normal 11 3 3 2" xfId="1152" xr:uid="{88A5552F-02A3-4B18-9C7D-8E4F6CCAE4D0}"/>
    <cellStyle name="Normal 11 3 3 2 2" xfId="2553" xr:uid="{8271106A-45FB-49A1-9B58-53F68B537A44}"/>
    <cellStyle name="Normal 11 3 3 2 2 2" xfId="5363" xr:uid="{6F0D9820-DDC3-4485-8E8D-44C3BFAFD0E8}"/>
    <cellStyle name="Normal 11 3 3 2 2 2 2" xfId="10999" xr:uid="{4FECA8AF-89F5-4B7F-B662-46DB16570225}"/>
    <cellStyle name="Normal 11 3 3 2 2 3" xfId="8189" xr:uid="{0FF6FA12-0C15-448C-B4AB-8412C654D563}"/>
    <cellStyle name="Normal 11 3 3 2 3" xfId="3962" xr:uid="{D8F889B0-CA39-4CF0-A5D6-436176AC16B8}"/>
    <cellStyle name="Normal 11 3 3 2 3 2" xfId="9598" xr:uid="{3123660E-D654-4984-B408-69A4514DC256}"/>
    <cellStyle name="Normal 11 3 3 2 4" xfId="6788" xr:uid="{4C566165-F2EE-4A1E-BEAD-DF3D4623EC1D}"/>
    <cellStyle name="Normal 11 3 3 3" xfId="1857" xr:uid="{3EF892F7-A4B9-467C-84FF-B7F1304AD36A}"/>
    <cellStyle name="Normal 11 3 3 3 2" xfId="4667" xr:uid="{3066591F-FE2E-4970-8F29-D51DB412644E}"/>
    <cellStyle name="Normal 11 3 3 3 2 2" xfId="10303" xr:uid="{FF2BD557-7DE2-4662-A349-9E0B2F9E1689}"/>
    <cellStyle name="Normal 11 3 3 3 3" xfId="7493" xr:uid="{1EDC65D7-1CB0-4B82-ABDE-09F2C60553C9}"/>
    <cellStyle name="Normal 11 3 3 4" xfId="3266" xr:uid="{C10BDD83-8727-4B45-94E2-6D38766E900D}"/>
    <cellStyle name="Normal 11 3 3 4 2" xfId="8902" xr:uid="{65722C59-3D25-4302-9A6A-B4D97C697B3D}"/>
    <cellStyle name="Normal 11 3 3 5" xfId="6092" xr:uid="{5C798DBD-38B4-4767-8D4D-34E6760D6F8A}"/>
    <cellStyle name="Normal 11 3 4" xfId="808" xr:uid="{96019876-2446-41C3-A8FC-00732D9C778B}"/>
    <cellStyle name="Normal 11 3 4 2" xfId="2209" xr:uid="{D29B47D0-957A-4548-9F69-0995C14C5874}"/>
    <cellStyle name="Normal 11 3 4 2 2" xfId="5019" xr:uid="{5F28497E-1C42-4AF5-9DCE-E43165E0B4F5}"/>
    <cellStyle name="Normal 11 3 4 2 2 2" xfId="10655" xr:uid="{9C1837FA-820F-462C-B388-03B4D6AC7802}"/>
    <cellStyle name="Normal 11 3 4 2 3" xfId="7845" xr:uid="{6BF847BA-CAD3-4AF2-B226-A84E49883DF5}"/>
    <cellStyle name="Normal 11 3 4 3" xfId="3618" xr:uid="{8C9B4DD9-EFF0-4640-95E6-C6CD223C5C36}"/>
    <cellStyle name="Normal 11 3 4 3 2" xfId="9254" xr:uid="{A2832997-675D-4D80-BC5B-1F214FD5B7E4}"/>
    <cellStyle name="Normal 11 3 4 4" xfId="6444" xr:uid="{571A1574-E085-485C-9370-570650044A17}"/>
    <cellStyle name="Normal 11 3 5" xfId="1513" xr:uid="{7CF208E3-AAF3-44EA-BCB9-152FF7D8A901}"/>
    <cellStyle name="Normal 11 3 5 2" xfId="4323" xr:uid="{1082ED54-FE55-43B6-BC41-692828D5213B}"/>
    <cellStyle name="Normal 11 3 5 2 2" xfId="9959" xr:uid="{DAE13234-7DA7-4BB9-868D-765C6E0ED5C4}"/>
    <cellStyle name="Normal 11 3 5 3" xfId="7149" xr:uid="{447F31B2-6D37-4F2A-BAE6-6B4AB5E0E6E5}"/>
    <cellStyle name="Normal 11 3 6" xfId="2922" xr:uid="{80BCA4FA-9B9C-40C7-8742-FCA23F1CC7BC}"/>
    <cellStyle name="Normal 11 3 6 2" xfId="8558" xr:uid="{7317327E-2A14-4206-9610-F90C71C2DB3D}"/>
    <cellStyle name="Normal 11 3 7" xfId="5748" xr:uid="{5E245F2E-E159-48B1-958C-76E86C698BF6}"/>
    <cellStyle name="Normal 11 4" xfId="204" xr:uid="{132723CC-35A9-450B-A8E9-C37771F0F797}"/>
    <cellStyle name="Normal 11 4 2" xfId="548" xr:uid="{8DCD969B-1CED-4767-9E8B-29994C714E1D}"/>
    <cellStyle name="Normal 11 4 2 2" xfId="1244" xr:uid="{507D59CE-192B-494A-8FB0-F69E76F24C28}"/>
    <cellStyle name="Normal 11 4 2 2 2" xfId="2645" xr:uid="{6854A730-BD66-48AF-AF9B-F56F696D6FF4}"/>
    <cellStyle name="Normal 11 4 2 2 2 2" xfId="5455" xr:uid="{44591A2B-A007-428A-B00E-49B3FA6C3598}"/>
    <cellStyle name="Normal 11 4 2 2 2 2 2" xfId="11091" xr:uid="{92100935-372F-4D01-862C-DB58089A3BF9}"/>
    <cellStyle name="Normal 11 4 2 2 2 3" xfId="8281" xr:uid="{FC72A9FC-A5CA-4848-83E5-6526CF6C3462}"/>
    <cellStyle name="Normal 11 4 2 2 3" xfId="4054" xr:uid="{2F0E6CCA-B775-439F-A12B-576FB43A9B12}"/>
    <cellStyle name="Normal 11 4 2 2 3 2" xfId="9690" xr:uid="{6EE1EFF0-B166-44F0-A9B3-945D1565C483}"/>
    <cellStyle name="Normal 11 4 2 2 4" xfId="6880" xr:uid="{A358AEF7-B849-4D7B-84E6-16D3BBC8035C}"/>
    <cellStyle name="Normal 11 4 2 3" xfId="1949" xr:uid="{C5325A50-5BFE-4F4B-991B-D7F57E003E38}"/>
    <cellStyle name="Normal 11 4 2 3 2" xfId="4759" xr:uid="{D2379589-CDF7-47F3-80EA-1E519FE0F490}"/>
    <cellStyle name="Normal 11 4 2 3 2 2" xfId="10395" xr:uid="{9DE51533-14EF-461A-AB59-D0FAE3D1B5F2}"/>
    <cellStyle name="Normal 11 4 2 3 3" xfId="7585" xr:uid="{6FD33AEE-8960-486D-9107-8A8719DE7DA7}"/>
    <cellStyle name="Normal 11 4 2 4" xfId="3358" xr:uid="{64190623-DCB9-484C-90D3-BB47DBE4071E}"/>
    <cellStyle name="Normal 11 4 2 4 2" xfId="8994" xr:uid="{F9939D9C-D07F-4639-832B-D56C2A54BB9F}"/>
    <cellStyle name="Normal 11 4 2 5" xfId="6184" xr:uid="{434A2305-EAFC-4577-BE6C-EC8162FF0EED}"/>
    <cellStyle name="Normal 11 4 3" xfId="900" xr:uid="{819233B1-AB5E-49A3-9C62-4D9B1DCD5AC1}"/>
    <cellStyle name="Normal 11 4 3 2" xfId="2301" xr:uid="{426036F3-3094-461C-BA3C-E68036124305}"/>
    <cellStyle name="Normal 11 4 3 2 2" xfId="5111" xr:uid="{85ACB285-6F2A-470F-8E18-D36B0146F966}"/>
    <cellStyle name="Normal 11 4 3 2 2 2" xfId="10747" xr:uid="{EB8A68D5-DFB9-4FE0-A2E1-3E874DCABDBB}"/>
    <cellStyle name="Normal 11 4 3 2 3" xfId="7937" xr:uid="{B5B3FD98-DEDF-4D46-916F-B21E4E0C731F}"/>
    <cellStyle name="Normal 11 4 3 3" xfId="3710" xr:uid="{8F5CFF92-A3C7-4292-9FA9-3D94A21ABB6B}"/>
    <cellStyle name="Normal 11 4 3 3 2" xfId="9346" xr:uid="{B498D609-3052-4B6F-9905-124974B0CC36}"/>
    <cellStyle name="Normal 11 4 3 4" xfId="6536" xr:uid="{2510B0FB-ED96-423F-AC59-A6CA12CDEB5C}"/>
    <cellStyle name="Normal 11 4 4" xfId="1605" xr:uid="{F6E86FE6-F35E-4887-8FC7-16BF605943BC}"/>
    <cellStyle name="Normal 11 4 4 2" xfId="4415" xr:uid="{416A1E2A-CE0F-44B1-982B-714F52871643}"/>
    <cellStyle name="Normal 11 4 4 2 2" xfId="10051" xr:uid="{EF6D032D-9E8D-49F8-88B7-FAF806FF2DDD}"/>
    <cellStyle name="Normal 11 4 4 3" xfId="7241" xr:uid="{5ED9F891-1833-48F4-8334-E7717D2C16FE}"/>
    <cellStyle name="Normal 11 4 5" xfId="3014" xr:uid="{2FD1247B-250C-4637-A29B-81BE282A3D53}"/>
    <cellStyle name="Normal 11 4 5 2" xfId="8650" xr:uid="{9CFB5C94-E2B4-4C89-B8D2-858FCA49C79D}"/>
    <cellStyle name="Normal 11 4 6" xfId="5840" xr:uid="{D27171F6-7589-4A7E-AB0C-4ABAF9368A5D}"/>
    <cellStyle name="Normal 11 5" xfId="376" xr:uid="{4FAF0D46-263B-4CCE-83AB-03B3EDFD6722}"/>
    <cellStyle name="Normal 11 5 2" xfId="1072" xr:uid="{03A708F8-2C0E-4208-BDCD-32B291BD4EA5}"/>
    <cellStyle name="Normal 11 5 2 2" xfId="2473" xr:uid="{EF9F8DBE-8060-40BE-8F26-C18B0A47A70A}"/>
    <cellStyle name="Normal 11 5 2 2 2" xfId="5283" xr:uid="{9683790C-CCF7-43D3-A1A3-B2CDCEF94092}"/>
    <cellStyle name="Normal 11 5 2 2 2 2" xfId="10919" xr:uid="{F9900A3D-B4BC-497C-8B47-2C70A55560DB}"/>
    <cellStyle name="Normal 11 5 2 2 3" xfId="8109" xr:uid="{BC0C703F-755E-42AA-9BE8-E2B023C2DDF0}"/>
    <cellStyle name="Normal 11 5 2 3" xfId="3882" xr:uid="{EBF3D307-C225-4FC6-ADCC-DCEFAD77164F}"/>
    <cellStyle name="Normal 11 5 2 3 2" xfId="9518" xr:uid="{DC256B46-06AB-46C0-9F18-73622492EDC2}"/>
    <cellStyle name="Normal 11 5 2 4" xfId="6708" xr:uid="{1BA3AA08-B868-4762-AD47-249C8ADF83D6}"/>
    <cellStyle name="Normal 11 5 3" xfId="1777" xr:uid="{0B6BC4DC-7717-4654-9FB7-650E995E2BB6}"/>
    <cellStyle name="Normal 11 5 3 2" xfId="4587" xr:uid="{034717D2-BA93-46AB-BE9C-B772AA51652C}"/>
    <cellStyle name="Normal 11 5 3 2 2" xfId="10223" xr:uid="{467CE46A-FA53-42EB-83A5-C5A7EA4A8771}"/>
    <cellStyle name="Normal 11 5 3 3" xfId="7413" xr:uid="{03FED6EC-EC4B-462C-8474-8A07832AB466}"/>
    <cellStyle name="Normal 11 5 4" xfId="3186" xr:uid="{7441D03C-435A-4322-9BF1-51B02533280A}"/>
    <cellStyle name="Normal 11 5 4 2" xfId="8822" xr:uid="{5BB42077-8C8B-4835-91CC-8A372BA38C1B}"/>
    <cellStyle name="Normal 11 5 5" xfId="6012" xr:uid="{97C12D53-162A-4A8B-8A5A-B5DC232CCBE2}"/>
    <cellStyle name="Normal 11 6" xfId="728" xr:uid="{A983E6E6-2F42-4F90-A43A-01DBE891BFF7}"/>
    <cellStyle name="Normal 11 6 2" xfId="2129" xr:uid="{0945AAC1-5049-4909-9F45-DB9933654D2F}"/>
    <cellStyle name="Normal 11 6 2 2" xfId="4939" xr:uid="{C41D4219-1766-4BEC-A2B2-5B0BD88CDF2E}"/>
    <cellStyle name="Normal 11 6 2 2 2" xfId="10575" xr:uid="{1CD0E5E9-4914-48AA-89F7-CA4D42EEEFD6}"/>
    <cellStyle name="Normal 11 6 2 3" xfId="7765" xr:uid="{83F7CAF3-F808-41EA-890B-CBB0B0FD97B9}"/>
    <cellStyle name="Normal 11 6 3" xfId="3538" xr:uid="{5F5F451B-9662-4A15-B66C-715E3AE15037}"/>
    <cellStyle name="Normal 11 6 3 2" xfId="9174" xr:uid="{EEE57B14-314F-407B-872F-92815CE0DC52}"/>
    <cellStyle name="Normal 11 6 4" xfId="6364" xr:uid="{2DFBE031-74BE-40A2-9950-4BC168FAB024}"/>
    <cellStyle name="Normal 11 7" xfId="1433" xr:uid="{EEFE2E8B-78A5-4017-926B-6DC59158B9FD}"/>
    <cellStyle name="Normal 11 7 2" xfId="4243" xr:uid="{50FA27F4-71F1-4620-8159-8D417C4192B2}"/>
    <cellStyle name="Normal 11 7 2 2" xfId="9879" xr:uid="{4A859945-0FF8-47CD-B8E8-2CE1AEF26FF8}"/>
    <cellStyle name="Normal 11 7 3" xfId="7069" xr:uid="{E6A48CEF-1BF5-441B-B2CE-96549A83D0CA}"/>
    <cellStyle name="Normal 11 8" xfId="2842" xr:uid="{7501829E-4DCA-4F21-976B-5663994D89C6}"/>
    <cellStyle name="Normal 11 8 2" xfId="8478" xr:uid="{2308A47D-8C00-4209-B2F5-7E309C0CD3F8}"/>
    <cellStyle name="Normal 11 9" xfId="5668" xr:uid="{F47E36B0-8DBF-47A5-8F85-4719A5D6C31D}"/>
    <cellStyle name="Normal 110" xfId="11333" xr:uid="{453D04D7-A404-47DC-BE73-1DEF33F2E487}"/>
    <cellStyle name="Normal 111" xfId="11334" xr:uid="{A8F8CC7D-8DE4-487C-AB92-1BAC8A795971}"/>
    <cellStyle name="Normal 112" xfId="11335" xr:uid="{B68CB122-93D1-4288-B401-C3ADD9B25118}"/>
    <cellStyle name="Normal 113" xfId="11336" xr:uid="{2F850214-EE17-4971-9637-690126FCE662}"/>
    <cellStyle name="Normal 114" xfId="11337" xr:uid="{E28CA698-FE0A-470C-840B-7BF05BFA26E2}"/>
    <cellStyle name="Normal 115" xfId="11338" xr:uid="{7B6089A7-D9A9-4444-AD64-A9A7652C7B62}"/>
    <cellStyle name="Normal 116" xfId="11339" xr:uid="{C75EFAFB-412F-4C6B-8325-07E23964FA60}"/>
    <cellStyle name="Normal 117" xfId="11340" xr:uid="{3E7F83DB-FA77-417E-967B-17EFE1D0FB5A}"/>
    <cellStyle name="Normal 12" xfId="34" xr:uid="{A8B27402-9E61-481E-AB49-3B04E56B0A07}"/>
    <cellStyle name="Normal 12 2" xfId="114" xr:uid="{BBFAB3BC-E057-4EBE-ACC4-B7621A727567}"/>
    <cellStyle name="Normal 12 2 2" xfId="286" xr:uid="{94056D92-CD4D-4EDA-B1FB-50E550EA13F6}"/>
    <cellStyle name="Normal 12 2 2 2" xfId="630" xr:uid="{F2D2E8EE-9DB3-441C-BB5F-5E78FA9B1D4F}"/>
    <cellStyle name="Normal 12 2 2 2 2" xfId="1326" xr:uid="{F6E554AA-3226-4E87-92C5-37BD904C8205}"/>
    <cellStyle name="Normal 12 2 2 2 2 2" xfId="2727" xr:uid="{F010F161-1EC2-4ABE-BCA6-1EEE31121760}"/>
    <cellStyle name="Normal 12 2 2 2 2 2 2" xfId="5537" xr:uid="{060CA10B-7108-4F99-998D-38A260985FE3}"/>
    <cellStyle name="Normal 12 2 2 2 2 2 2 2" xfId="11173" xr:uid="{24BD8F11-819F-4220-AE4A-369FEA15F5D5}"/>
    <cellStyle name="Normal 12 2 2 2 2 2 3" xfId="8363" xr:uid="{0D5AD3C1-4D20-4872-B016-6C348221372F}"/>
    <cellStyle name="Normal 12 2 2 2 2 3" xfId="4136" xr:uid="{53F275D0-0CB4-4A69-A586-26DE5FFD1FBC}"/>
    <cellStyle name="Normal 12 2 2 2 2 3 2" xfId="9772" xr:uid="{BD64B258-EAD7-4004-BDF7-696791EEC672}"/>
    <cellStyle name="Normal 12 2 2 2 2 4" xfId="6962" xr:uid="{41FDA72E-2186-4B3D-A3F1-6422F14BA42E}"/>
    <cellStyle name="Normal 12 2 2 2 3" xfId="2031" xr:uid="{35B698D2-0641-4EDE-A738-8AD72CD3DE40}"/>
    <cellStyle name="Normal 12 2 2 2 3 2" xfId="4841" xr:uid="{D9E40CB6-FC5A-45B1-A46E-A5E3D84C536C}"/>
    <cellStyle name="Normal 12 2 2 2 3 2 2" xfId="10477" xr:uid="{B93CBC78-5461-4359-80EA-356DCC825E8A}"/>
    <cellStyle name="Normal 12 2 2 2 3 3" xfId="7667" xr:uid="{0ED8A73A-AB52-4307-B88C-D42265963EF2}"/>
    <cellStyle name="Normal 12 2 2 2 4" xfId="3440" xr:uid="{F1F7A091-EFC4-49A0-B77A-E3F1943EFFC2}"/>
    <cellStyle name="Normal 12 2 2 2 4 2" xfId="9076" xr:uid="{02F2DFE3-BF7C-4F16-AB46-EA7070A14A06}"/>
    <cellStyle name="Normal 12 2 2 2 5" xfId="6266" xr:uid="{1100A432-17C2-428B-B999-1A39F8111BA5}"/>
    <cellStyle name="Normal 12 2 2 3" xfId="982" xr:uid="{C7A87E6C-C14E-4DEB-9397-8BC99CA6E749}"/>
    <cellStyle name="Normal 12 2 2 3 2" xfId="2383" xr:uid="{F612628E-2214-41AC-A16C-2CD125638FAB}"/>
    <cellStyle name="Normal 12 2 2 3 2 2" xfId="5193" xr:uid="{FACB5F39-79AB-4DB2-80EE-958BC166CCA8}"/>
    <cellStyle name="Normal 12 2 2 3 2 2 2" xfId="10829" xr:uid="{7FEED5A1-AB0E-46E3-A26C-38CD8465AE43}"/>
    <cellStyle name="Normal 12 2 2 3 2 3" xfId="8019" xr:uid="{413AA641-4E27-49D6-9B21-39179E78D459}"/>
    <cellStyle name="Normal 12 2 2 3 3" xfId="3792" xr:uid="{9D0A667E-447C-4E9D-B765-56C4C9DF9E41}"/>
    <cellStyle name="Normal 12 2 2 3 3 2" xfId="9428" xr:uid="{CD58273E-0B79-4814-9F4D-50768CBDB23C}"/>
    <cellStyle name="Normal 12 2 2 3 4" xfId="6618" xr:uid="{FC33FFD3-6789-4EE7-9854-F1C03BF36289}"/>
    <cellStyle name="Normal 12 2 2 4" xfId="1687" xr:uid="{0E5309CD-F724-425B-9B11-25A80C5478E3}"/>
    <cellStyle name="Normal 12 2 2 4 2" xfId="4497" xr:uid="{D348C86C-C3BC-49F2-8F2E-2D370813AEE2}"/>
    <cellStyle name="Normal 12 2 2 4 2 2" xfId="10133" xr:uid="{941FAF57-F73E-4B10-A9EA-E3D69AA940C0}"/>
    <cellStyle name="Normal 12 2 2 4 3" xfId="7323" xr:uid="{EBD9B733-C5F9-4285-B449-A7E66CDDC862}"/>
    <cellStyle name="Normal 12 2 2 5" xfId="3096" xr:uid="{E9766121-9F10-42D1-B0EF-BA1DFB3F526F}"/>
    <cellStyle name="Normal 12 2 2 5 2" xfId="8732" xr:uid="{9542D057-54F0-4461-B3D8-C8A9BF9E5D46}"/>
    <cellStyle name="Normal 12 2 2 6" xfId="5922" xr:uid="{2131822D-9E46-4499-8DA2-74C6C86E9353}"/>
    <cellStyle name="Normal 12 2 3" xfId="458" xr:uid="{3058BE58-C767-48B6-B096-D5701E7402F1}"/>
    <cellStyle name="Normal 12 2 3 2" xfId="1154" xr:uid="{D7B1856C-DD6B-4A7D-BADC-7E849F0CFFCD}"/>
    <cellStyle name="Normal 12 2 3 2 2" xfId="2555" xr:uid="{F09B6FE5-71FE-46C8-B2AA-40674AC630C0}"/>
    <cellStyle name="Normal 12 2 3 2 2 2" xfId="5365" xr:uid="{01B52FD1-8F71-40BD-A24F-F3A6C0A6A434}"/>
    <cellStyle name="Normal 12 2 3 2 2 2 2" xfId="11001" xr:uid="{14005320-5697-4930-AE0F-9D85FDC9678A}"/>
    <cellStyle name="Normal 12 2 3 2 2 3" xfId="8191" xr:uid="{6D3F93A6-4B11-4B79-BCE1-B546AAA33FDD}"/>
    <cellStyle name="Normal 12 2 3 2 3" xfId="3964" xr:uid="{8ABABC92-21C0-4696-9877-1F02A6F7262F}"/>
    <cellStyle name="Normal 12 2 3 2 3 2" xfId="9600" xr:uid="{5D0C4986-6313-42AB-92F2-9882288CB995}"/>
    <cellStyle name="Normal 12 2 3 2 4" xfId="6790" xr:uid="{B5DEAF7B-1213-4B08-87B1-E65E30A5B162}"/>
    <cellStyle name="Normal 12 2 3 3" xfId="1859" xr:uid="{CBEBD290-D4BF-45A9-B35D-3655F32C1A23}"/>
    <cellStyle name="Normal 12 2 3 3 2" xfId="4669" xr:uid="{7D49BE74-97F3-4EE6-BEB6-FBA3C7F85965}"/>
    <cellStyle name="Normal 12 2 3 3 2 2" xfId="10305" xr:uid="{6D08FB06-D0CE-4C63-A2A9-A1178406E7F1}"/>
    <cellStyle name="Normal 12 2 3 3 3" xfId="7495" xr:uid="{627EE777-03B7-4B6E-B0D7-814ADA0ADCC2}"/>
    <cellStyle name="Normal 12 2 3 4" xfId="3268" xr:uid="{557C5757-8896-4C82-8719-7C9F7CE1B955}"/>
    <cellStyle name="Normal 12 2 3 4 2" xfId="8904" xr:uid="{D1FE699B-C5D0-452B-A145-4306EE47A9D6}"/>
    <cellStyle name="Normal 12 2 3 5" xfId="6094" xr:uid="{2610CB0B-ACE4-43BB-B925-333DA2633CE4}"/>
    <cellStyle name="Normal 12 2 4" xfId="810" xr:uid="{B0616192-6814-4F92-A8A8-9654790C375E}"/>
    <cellStyle name="Normal 12 2 4 2" xfId="2211" xr:uid="{5555F754-7BAA-44A6-8BB0-E91D3E540A89}"/>
    <cellStyle name="Normal 12 2 4 2 2" xfId="5021" xr:uid="{72454DC5-1C63-4FA7-A650-8D867B28FFF5}"/>
    <cellStyle name="Normal 12 2 4 2 2 2" xfId="10657" xr:uid="{C74358C7-87E6-4EDF-9AF1-2D40B119BE1A}"/>
    <cellStyle name="Normal 12 2 4 2 3" xfId="7847" xr:uid="{69F7E757-CE14-46E5-A654-2935FC2F9F46}"/>
    <cellStyle name="Normal 12 2 4 3" xfId="3620" xr:uid="{149C7EBB-964B-46E0-ACFE-E2BD73E081F2}"/>
    <cellStyle name="Normal 12 2 4 3 2" xfId="9256" xr:uid="{911B4EF8-1FC5-4376-B09F-DD4E3F23B99F}"/>
    <cellStyle name="Normal 12 2 4 4" xfId="6446" xr:uid="{934FB7DC-20F6-47D3-8F20-BB41D7313ED2}"/>
    <cellStyle name="Normal 12 2 5" xfId="1515" xr:uid="{6B030EEA-4FC8-4328-961E-CCB8EF16A165}"/>
    <cellStyle name="Normal 12 2 5 2" xfId="4325" xr:uid="{D56B122D-31F2-4A78-B3EC-A88730A3FF73}"/>
    <cellStyle name="Normal 12 2 5 2 2" xfId="9961" xr:uid="{F9B11615-BBC9-436A-AFBE-34ED53A6E534}"/>
    <cellStyle name="Normal 12 2 5 3" xfId="7151" xr:uid="{85AB66CB-60D1-4066-B4A8-51E85D896DD5}"/>
    <cellStyle name="Normal 12 2 6" xfId="2924" xr:uid="{CB206121-7DA6-4F01-B2E1-E1EF78CD26DB}"/>
    <cellStyle name="Normal 12 2 6 2" xfId="8560" xr:uid="{A42010D6-D6F4-4B00-960C-5A2F378372E8}"/>
    <cellStyle name="Normal 12 2 7" xfId="5750" xr:uid="{FF246A89-6313-477F-A57A-7DE5B86F4EE7}"/>
    <cellStyle name="Normal 12 3" xfId="206" xr:uid="{EBD3D165-71D6-4CD4-A847-BE0D1FF5B77A}"/>
    <cellStyle name="Normal 12 3 2" xfId="550" xr:uid="{ED757BBF-E2C3-4564-8FF5-33E929F4534E}"/>
    <cellStyle name="Normal 12 3 2 2" xfId="1246" xr:uid="{A9422D64-BD5D-4306-9D00-A2A0568AE9FE}"/>
    <cellStyle name="Normal 12 3 2 2 2" xfId="2647" xr:uid="{FAA540B4-5073-4BD2-888A-9C6B9FC6CA15}"/>
    <cellStyle name="Normal 12 3 2 2 2 2" xfId="5457" xr:uid="{6A7E3057-C197-451E-BDCD-B9C37F9DF848}"/>
    <cellStyle name="Normal 12 3 2 2 2 2 2" xfId="11093" xr:uid="{051CC69F-E5A1-4EF5-BD52-4B58473F9AC8}"/>
    <cellStyle name="Normal 12 3 2 2 2 3" xfId="8283" xr:uid="{EABD2E6A-F871-42F0-B1F3-C028FC745374}"/>
    <cellStyle name="Normal 12 3 2 2 3" xfId="4056" xr:uid="{F36378CF-9A53-4BCC-B2BD-50CA241B4E8B}"/>
    <cellStyle name="Normal 12 3 2 2 3 2" xfId="9692" xr:uid="{B65CF5EF-B19C-426E-AEED-5CEEC9ECB6CC}"/>
    <cellStyle name="Normal 12 3 2 2 4" xfId="6882" xr:uid="{5D49A09B-39DF-4341-A9D4-D6CC120B557A}"/>
    <cellStyle name="Normal 12 3 2 3" xfId="1951" xr:uid="{2472382C-DBE6-4D57-A3A8-599219C48B84}"/>
    <cellStyle name="Normal 12 3 2 3 2" xfId="4761" xr:uid="{067E52F7-32C7-4196-AB36-5685E2B9B173}"/>
    <cellStyle name="Normal 12 3 2 3 2 2" xfId="10397" xr:uid="{4D5054B9-B352-4A8C-8A51-5E3CAE88E40A}"/>
    <cellStyle name="Normal 12 3 2 3 3" xfId="7587" xr:uid="{8E814AC9-4161-46CD-970F-1802665FB86E}"/>
    <cellStyle name="Normal 12 3 2 4" xfId="3360" xr:uid="{90D960A3-87EC-4CDC-86AB-DD3C8AF14D87}"/>
    <cellStyle name="Normal 12 3 2 4 2" xfId="8996" xr:uid="{B94B93FE-31B8-4D1F-9B48-416CBF9B284D}"/>
    <cellStyle name="Normal 12 3 2 5" xfId="6186" xr:uid="{8CD27F89-FE30-4B74-AF5B-776A0014870F}"/>
    <cellStyle name="Normal 12 3 3" xfId="902" xr:uid="{DA5F3A74-D261-4200-8080-CC964539EF59}"/>
    <cellStyle name="Normal 12 3 3 2" xfId="2303" xr:uid="{5FE40DA4-BA9D-4D52-9735-81823DAEE876}"/>
    <cellStyle name="Normal 12 3 3 2 2" xfId="5113" xr:uid="{D470B503-7DDE-43A7-84B4-F9277924AE23}"/>
    <cellStyle name="Normal 12 3 3 2 2 2" xfId="10749" xr:uid="{2B48FD0D-D202-4490-AA24-25A906BD67BD}"/>
    <cellStyle name="Normal 12 3 3 2 3" xfId="7939" xr:uid="{667F98C5-9DF1-486A-B1C0-C2125892A3DB}"/>
    <cellStyle name="Normal 12 3 3 3" xfId="3712" xr:uid="{1E8FE274-FE88-400C-80B2-85D5688A96DE}"/>
    <cellStyle name="Normal 12 3 3 3 2" xfId="9348" xr:uid="{C511149F-A389-4BD7-84AA-073567170703}"/>
    <cellStyle name="Normal 12 3 3 4" xfId="6538" xr:uid="{27783EE8-CE10-4056-936C-2AB8AA61BB4A}"/>
    <cellStyle name="Normal 12 3 4" xfId="1607" xr:uid="{FEA3C1A3-EEA7-4721-9850-0DCB1DE8C2DE}"/>
    <cellStyle name="Normal 12 3 4 2" xfId="4417" xr:uid="{C0DAF51B-067C-42AF-A022-0255D213D205}"/>
    <cellStyle name="Normal 12 3 4 2 2" xfId="10053" xr:uid="{FD255273-6F74-4F8E-8B6D-E41E0AD04C11}"/>
    <cellStyle name="Normal 12 3 4 3" xfId="7243" xr:uid="{4CA99428-8664-40EE-ABCC-979984CDC3E3}"/>
    <cellStyle name="Normal 12 3 5" xfId="3016" xr:uid="{BEBCBE1B-BACC-42FA-8321-69C9DCA98FFA}"/>
    <cellStyle name="Normal 12 3 5 2" xfId="8652" xr:uid="{AF0D88F8-A87E-48F2-BB52-F4DFD7A79DB8}"/>
    <cellStyle name="Normal 12 3 6" xfId="5842" xr:uid="{7B6C6F99-C608-4B55-B7EC-8F19F416271D}"/>
    <cellStyle name="Normal 12 4" xfId="378" xr:uid="{E00A772C-8EEA-4205-B179-8F012D7DDCD8}"/>
    <cellStyle name="Normal 12 4 2" xfId="1074" xr:uid="{F57274B1-F4FC-432D-9626-2EDDBD30413C}"/>
    <cellStyle name="Normal 12 4 2 2" xfId="2475" xr:uid="{E7CE2A45-3D83-47E4-8FC6-5CB93A184A6A}"/>
    <cellStyle name="Normal 12 4 2 2 2" xfId="5285" xr:uid="{8E19A99C-35EB-4AFB-8783-5483E4BD1590}"/>
    <cellStyle name="Normal 12 4 2 2 2 2" xfId="10921" xr:uid="{CAE12C9A-9F0E-4A9F-B08E-2FF73DFE9022}"/>
    <cellStyle name="Normal 12 4 2 2 3" xfId="8111" xr:uid="{BEDEF7D3-96C3-4186-A1EA-18FD63E04F43}"/>
    <cellStyle name="Normal 12 4 2 3" xfId="3884" xr:uid="{DE0755F4-8F6B-435A-A1BF-2C9B11FC1830}"/>
    <cellStyle name="Normal 12 4 2 3 2" xfId="9520" xr:uid="{3FB2B164-498A-4578-9527-685D1399D8EF}"/>
    <cellStyle name="Normal 12 4 2 4" xfId="6710" xr:uid="{BBCF9B1E-9262-4F8D-B206-D8AAF3A30D5C}"/>
    <cellStyle name="Normal 12 4 3" xfId="1779" xr:uid="{08DBEFEC-4A9E-4275-88DA-FBDC740DB153}"/>
    <cellStyle name="Normal 12 4 3 2" xfId="4589" xr:uid="{2AB5CE52-3A39-4BE4-A478-3C1186FA2FF5}"/>
    <cellStyle name="Normal 12 4 3 2 2" xfId="10225" xr:uid="{0BBB7BA7-A511-47D7-B2F6-A01EF9B05DA6}"/>
    <cellStyle name="Normal 12 4 3 3" xfId="7415" xr:uid="{47A29ACC-EAF1-4505-838A-ECA945C9E96B}"/>
    <cellStyle name="Normal 12 4 4" xfId="3188" xr:uid="{AF5E3F52-F3A9-4C0A-B4B4-094F0B634824}"/>
    <cellStyle name="Normal 12 4 4 2" xfId="8824" xr:uid="{F81033C0-FD54-4BDE-8EA2-C4576D84D477}"/>
    <cellStyle name="Normal 12 4 5" xfId="6014" xr:uid="{71809B88-689E-4C31-BC2C-E92F0177C0E1}"/>
    <cellStyle name="Normal 12 5" xfId="730" xr:uid="{1BD7A689-9394-4C7B-8295-56B335DF6F91}"/>
    <cellStyle name="Normal 12 5 2" xfId="2131" xr:uid="{895723F2-E763-4663-A7C3-B7CC3AFC5008}"/>
    <cellStyle name="Normal 12 5 2 2" xfId="4941" xr:uid="{C837C5CC-E83C-4FF6-BB84-31D346CADE13}"/>
    <cellStyle name="Normal 12 5 2 2 2" xfId="10577" xr:uid="{22D7EED2-8021-4C6A-8815-AE0E8D129B26}"/>
    <cellStyle name="Normal 12 5 2 3" xfId="7767" xr:uid="{9609EBF8-FB54-499F-BD14-B62B80E9FE56}"/>
    <cellStyle name="Normal 12 5 3" xfId="3540" xr:uid="{0954B54B-84DC-4D47-A424-C2F5D12AE486}"/>
    <cellStyle name="Normal 12 5 3 2" xfId="9176" xr:uid="{B3E4D54F-4D99-4EA3-9C95-51FB987E1D9F}"/>
    <cellStyle name="Normal 12 5 4" xfId="6366" xr:uid="{49D7A92C-0D99-4289-88F8-35673E13195C}"/>
    <cellStyle name="Normal 12 6" xfId="1435" xr:uid="{CF3B496B-6E23-46B0-A3C2-484E92DC5BF8}"/>
    <cellStyle name="Normal 12 6 2" xfId="4245" xr:uid="{6CA77A47-5060-44EB-A5E7-10220D7FC40D}"/>
    <cellStyle name="Normal 12 6 2 2" xfId="9881" xr:uid="{CC3C70B1-E92C-4CB0-962D-2440C0E37A74}"/>
    <cellStyle name="Normal 12 6 3" xfId="7071" xr:uid="{79EF2C10-0E6A-46C6-A0D9-F4D86325B646}"/>
    <cellStyle name="Normal 12 7" xfId="2844" xr:uid="{07994DAC-523F-41FC-9CD3-2CBDAE091761}"/>
    <cellStyle name="Normal 12 7 2" xfId="8480" xr:uid="{AA239FD0-35D5-4D90-9842-C960008DDD48}"/>
    <cellStyle name="Normal 12 8" xfId="5670" xr:uid="{004ABAC1-EFF9-423C-9128-67A5D3BE7111}"/>
    <cellStyle name="Normal 13" xfId="67" xr:uid="{8612BDB2-AA65-441D-B8F2-216CA886039A}"/>
    <cellStyle name="Normal 13 2" xfId="147" xr:uid="{7B76AEAF-9A25-45CF-91DA-0E0997BF7AFB}"/>
    <cellStyle name="Normal 13 2 2" xfId="319" xr:uid="{E80D7F58-E38E-41FD-93B6-DF753B400E13}"/>
    <cellStyle name="Normal 13 2 2 2" xfId="663" xr:uid="{83093A28-D2AD-408C-8116-27D587C5C910}"/>
    <cellStyle name="Normal 13 2 2 2 2" xfId="1359" xr:uid="{76AC1F06-BBD1-4D70-B7F7-608FBC5C842F}"/>
    <cellStyle name="Normal 13 2 2 2 2 2" xfId="2760" xr:uid="{E32111F0-9D56-49BA-AC3C-DC5020A7A423}"/>
    <cellStyle name="Normal 13 2 2 2 2 2 2" xfId="5570" xr:uid="{85DF2313-9EAE-4A58-9631-C128FC1D0B17}"/>
    <cellStyle name="Normal 13 2 2 2 2 2 2 2" xfId="11206" xr:uid="{B9EE88BC-226E-4BEA-9083-30E9FACF9AE7}"/>
    <cellStyle name="Normal 13 2 2 2 2 2 3" xfId="8396" xr:uid="{02206023-FCC4-4670-927C-8F25DD8EE502}"/>
    <cellStyle name="Normal 13 2 2 2 2 3" xfId="4169" xr:uid="{EA1F35DE-1084-4F12-9BA4-67DE28AE9A91}"/>
    <cellStyle name="Normal 13 2 2 2 2 3 2" xfId="9805" xr:uid="{4BB6FC46-B45E-4255-82DB-E54E8810BA91}"/>
    <cellStyle name="Normal 13 2 2 2 2 4" xfId="6995" xr:uid="{BC0E3094-9A8F-4E97-8C46-BCAA93911C37}"/>
    <cellStyle name="Normal 13 2 2 2 3" xfId="2064" xr:uid="{9F241363-E158-4075-B4D4-E89139F447C0}"/>
    <cellStyle name="Normal 13 2 2 2 3 2" xfId="4874" xr:uid="{9CDD7787-1A38-4C8B-88EE-AA936E321FA4}"/>
    <cellStyle name="Normal 13 2 2 2 3 2 2" xfId="10510" xr:uid="{51CBF912-A21B-4ED0-BA42-337EDF33007C}"/>
    <cellStyle name="Normal 13 2 2 2 3 3" xfId="7700" xr:uid="{1AAD7DE0-D484-4AFD-B730-F7B71BC1E255}"/>
    <cellStyle name="Normal 13 2 2 2 4" xfId="3473" xr:uid="{59FF295A-8D12-4985-95C6-AE11A2025B07}"/>
    <cellStyle name="Normal 13 2 2 2 4 2" xfId="9109" xr:uid="{CB7B31A1-DBF8-4CA7-BD3C-E49F5AB66E49}"/>
    <cellStyle name="Normal 13 2 2 2 5" xfId="6299" xr:uid="{BD37D742-44BF-4D29-A986-7EE434C28FFD}"/>
    <cellStyle name="Normal 13 2 2 3" xfId="1015" xr:uid="{E7AF4AF6-6B88-42C0-8AE1-C37B4989C974}"/>
    <cellStyle name="Normal 13 2 2 3 2" xfId="2416" xr:uid="{7BC7CF9D-F6CD-4BA0-A293-9367D66A2AB1}"/>
    <cellStyle name="Normal 13 2 2 3 2 2" xfId="5226" xr:uid="{5872B50B-FC88-4F30-988C-433781DF081B}"/>
    <cellStyle name="Normal 13 2 2 3 2 2 2" xfId="10862" xr:uid="{828FD7A8-3FE9-4BA8-861F-3DF1624081C9}"/>
    <cellStyle name="Normal 13 2 2 3 2 3" xfId="8052" xr:uid="{C68D717B-CDB6-4065-88BF-8D8EC529F74B}"/>
    <cellStyle name="Normal 13 2 2 3 3" xfId="3825" xr:uid="{82782918-CF23-4C4C-A01B-A5B0C73D01AB}"/>
    <cellStyle name="Normal 13 2 2 3 3 2" xfId="9461" xr:uid="{9F0D87CC-666B-4568-8BED-77AE50200E2B}"/>
    <cellStyle name="Normal 13 2 2 3 4" xfId="6651" xr:uid="{6E9E7B5B-CFB0-4314-A2F3-F40F29BCB8B0}"/>
    <cellStyle name="Normal 13 2 2 4" xfId="1720" xr:uid="{823B6FFD-509E-4E0C-A4D9-576643044936}"/>
    <cellStyle name="Normal 13 2 2 4 2" xfId="4530" xr:uid="{239082FF-C2FA-4DE1-B3FA-DC1468EEE13C}"/>
    <cellStyle name="Normal 13 2 2 4 2 2" xfId="10166" xr:uid="{0E581963-6A81-4E10-89FC-27855DD7C73D}"/>
    <cellStyle name="Normal 13 2 2 4 3" xfId="7356" xr:uid="{C9E06C7F-802B-451D-A4B4-AD7022C7AF79}"/>
    <cellStyle name="Normal 13 2 2 5" xfId="3129" xr:uid="{BB171809-5DF6-44EC-BAFB-0AAD1CE028E1}"/>
    <cellStyle name="Normal 13 2 2 5 2" xfId="8765" xr:uid="{167F8B9D-DE79-4C32-8C71-097EAFB5D6EC}"/>
    <cellStyle name="Normal 13 2 2 6" xfId="5955" xr:uid="{4E1FC868-2305-4153-95F7-5EE35B3FCB68}"/>
    <cellStyle name="Normal 13 2 3" xfId="491" xr:uid="{E73A4BE5-5C29-437A-AC42-0D01EE32747A}"/>
    <cellStyle name="Normal 13 2 3 2" xfId="1187" xr:uid="{B92F7119-9E8E-4A5F-B93E-8519A4D504A3}"/>
    <cellStyle name="Normal 13 2 3 2 2" xfId="2588" xr:uid="{13A41FF2-C9B0-4F5E-A3F1-FEF51268A496}"/>
    <cellStyle name="Normal 13 2 3 2 2 2" xfId="5398" xr:uid="{C17AB4E4-72B1-4FC5-B652-3AD95E73143E}"/>
    <cellStyle name="Normal 13 2 3 2 2 2 2" xfId="11034" xr:uid="{E5E3E217-E0E7-43A2-A7DC-CBCBDCC2BB7F}"/>
    <cellStyle name="Normal 13 2 3 2 2 3" xfId="8224" xr:uid="{CC1A02E1-5E87-4937-B179-E755DC6EF623}"/>
    <cellStyle name="Normal 13 2 3 2 3" xfId="3997" xr:uid="{31A83014-0760-45A9-9F79-54CBB86BC534}"/>
    <cellStyle name="Normal 13 2 3 2 3 2" xfId="9633" xr:uid="{883E3BEE-B8C9-4B92-AEFC-D0159F95CB6B}"/>
    <cellStyle name="Normal 13 2 3 2 4" xfId="6823" xr:uid="{DBD6B0FD-628C-4512-84C7-DC48678160B3}"/>
    <cellStyle name="Normal 13 2 3 3" xfId="1892" xr:uid="{029BD0A7-F600-49C9-B319-CCE3AEB7C416}"/>
    <cellStyle name="Normal 13 2 3 3 2" xfId="4702" xr:uid="{BA827F4E-D692-4535-96E2-04D19728CB7F}"/>
    <cellStyle name="Normal 13 2 3 3 2 2" xfId="10338" xr:uid="{645B8425-E91F-46F6-9329-43B1F5CBEC8D}"/>
    <cellStyle name="Normal 13 2 3 3 3" xfId="7528" xr:uid="{E8905A01-076D-49AA-A3D4-FAD9D43A293D}"/>
    <cellStyle name="Normal 13 2 3 4" xfId="3301" xr:uid="{12B4D368-B9C3-4CDB-808B-F3EF14981C70}"/>
    <cellStyle name="Normal 13 2 3 4 2" xfId="8937" xr:uid="{29682E4F-A70B-4B67-94C6-E7CACE3A9FC1}"/>
    <cellStyle name="Normal 13 2 3 5" xfId="6127" xr:uid="{1C171850-E581-48A0-B6A8-C03B0888DEAC}"/>
    <cellStyle name="Normal 13 2 4" xfId="843" xr:uid="{5D719EC6-2000-4DBC-B6F2-B792E182FE6C}"/>
    <cellStyle name="Normal 13 2 4 2" xfId="2244" xr:uid="{27490BD8-EC6D-4F0A-ACB7-9DEC7C6F364E}"/>
    <cellStyle name="Normal 13 2 4 2 2" xfId="5054" xr:uid="{2EB2DDDA-6D78-4E30-942B-A3A036CBC855}"/>
    <cellStyle name="Normal 13 2 4 2 2 2" xfId="10690" xr:uid="{03A154D0-5514-4531-B093-DEF7CEC08956}"/>
    <cellStyle name="Normal 13 2 4 2 3" xfId="7880" xr:uid="{CFB775F5-3FFD-49ED-8015-07261337D258}"/>
    <cellStyle name="Normal 13 2 4 3" xfId="3653" xr:uid="{CE5FAD14-F4B2-4FFC-AF98-B0C012284890}"/>
    <cellStyle name="Normal 13 2 4 3 2" xfId="9289" xr:uid="{2FFC777F-795C-4530-B942-F4166087678E}"/>
    <cellStyle name="Normal 13 2 4 4" xfId="6479" xr:uid="{9D9C1A2E-F361-4AB7-999F-E45A70CE0A5B}"/>
    <cellStyle name="Normal 13 2 5" xfId="1548" xr:uid="{36AE398C-FA73-407A-B083-E056308BD886}"/>
    <cellStyle name="Normal 13 2 5 2" xfId="4358" xr:uid="{7C2169DA-BBD6-4BAD-8A47-0DAF41107D27}"/>
    <cellStyle name="Normal 13 2 5 2 2" xfId="9994" xr:uid="{5D5B9B68-A4CB-46B7-B4B8-B832C25FEC3E}"/>
    <cellStyle name="Normal 13 2 5 3" xfId="7184" xr:uid="{B25D3F41-E4EB-425A-870D-49F53BED1FA5}"/>
    <cellStyle name="Normal 13 2 6" xfId="2957" xr:uid="{D66C58BE-8BDE-4150-A240-6302AEC551E3}"/>
    <cellStyle name="Normal 13 2 6 2" xfId="8593" xr:uid="{8206CA66-7867-4FD4-BC47-8D43F9686C4B}"/>
    <cellStyle name="Normal 13 2 7" xfId="5783" xr:uid="{FB3F3C3B-97AB-4DAD-9B10-FE4D15E1676A}"/>
    <cellStyle name="Normal 13 3" xfId="239" xr:uid="{C7F56288-04B1-4498-BAE9-A0A2C4437248}"/>
    <cellStyle name="Normal 13 3 2" xfId="583" xr:uid="{9A71132F-969F-47EA-96A9-5B6016B06764}"/>
    <cellStyle name="Normal 13 3 2 2" xfId="1279" xr:uid="{F63099F9-349A-4B84-B280-4781697C5D62}"/>
    <cellStyle name="Normal 13 3 2 2 2" xfId="2680" xr:uid="{3690918B-1611-4DBA-8782-AF96F5BF9E78}"/>
    <cellStyle name="Normal 13 3 2 2 2 2" xfId="5490" xr:uid="{D05D634E-779E-48CA-92AB-6213DB9DC6EB}"/>
    <cellStyle name="Normal 13 3 2 2 2 2 2" xfId="11126" xr:uid="{5DC1F12C-9FD7-473E-9633-153044D34F8F}"/>
    <cellStyle name="Normal 13 3 2 2 2 3" xfId="8316" xr:uid="{969748E1-293F-4122-A788-1D17197C99E0}"/>
    <cellStyle name="Normal 13 3 2 2 3" xfId="4089" xr:uid="{50084F25-BCD6-49A4-A9DD-FBAF5E4DABAE}"/>
    <cellStyle name="Normal 13 3 2 2 3 2" xfId="9725" xr:uid="{C196B587-63BC-43E2-BF71-D3222B9C2C30}"/>
    <cellStyle name="Normal 13 3 2 2 4" xfId="6915" xr:uid="{9F12C9CA-D1BD-455D-8345-4D1AEDA5B078}"/>
    <cellStyle name="Normal 13 3 2 3" xfId="1984" xr:uid="{2D5880BD-093F-4A01-9556-00BFC6736079}"/>
    <cellStyle name="Normal 13 3 2 3 2" xfId="4794" xr:uid="{8536E61E-3F02-4575-9688-5E9E87B1416F}"/>
    <cellStyle name="Normal 13 3 2 3 2 2" xfId="10430" xr:uid="{4DA2DEC9-B314-4A78-ACF3-676546F08AFC}"/>
    <cellStyle name="Normal 13 3 2 3 3" xfId="7620" xr:uid="{2DE8F010-D811-43A6-A293-4A7ADADD76C8}"/>
    <cellStyle name="Normal 13 3 2 4" xfId="3393" xr:uid="{BC52D806-E303-4D55-81E3-ED0311CCA5B0}"/>
    <cellStyle name="Normal 13 3 2 4 2" xfId="9029" xr:uid="{81905FCA-9AFE-4D5B-B470-85F253812173}"/>
    <cellStyle name="Normal 13 3 2 5" xfId="6219" xr:uid="{46974FD8-887F-45EC-9273-92E6EB6A834E}"/>
    <cellStyle name="Normal 13 3 3" xfId="935" xr:uid="{09D01C77-718E-40DF-8D6F-676439881D7A}"/>
    <cellStyle name="Normal 13 3 3 2" xfId="2336" xr:uid="{86221EA0-40A9-4124-A0B5-2AB3FD04EA9A}"/>
    <cellStyle name="Normal 13 3 3 2 2" xfId="5146" xr:uid="{12251FFE-DAC4-4583-93C2-A8C18BDF53F5}"/>
    <cellStyle name="Normal 13 3 3 2 2 2" xfId="10782" xr:uid="{888BC7D8-B80D-4450-AEEE-CE1E360D6343}"/>
    <cellStyle name="Normal 13 3 3 2 3" xfId="7972" xr:uid="{57593BCE-57A2-4EB3-BF4E-8445D4700AA3}"/>
    <cellStyle name="Normal 13 3 3 3" xfId="3745" xr:uid="{EBCA7F2E-38D6-40EA-B2C0-EBCCA447180D}"/>
    <cellStyle name="Normal 13 3 3 3 2" xfId="9381" xr:uid="{8C44D07D-47C3-4336-A3D2-4E68597BE58E}"/>
    <cellStyle name="Normal 13 3 3 4" xfId="6571" xr:uid="{22A994F8-58A2-434D-900A-7FF33B9FB5BE}"/>
    <cellStyle name="Normal 13 3 4" xfId="1640" xr:uid="{9D84AEEB-88B5-424C-81F7-C1D3AA331A00}"/>
    <cellStyle name="Normal 13 3 4 2" xfId="4450" xr:uid="{09A4BD32-EBF8-47EB-9B04-2D4182EA97BC}"/>
    <cellStyle name="Normal 13 3 4 2 2" xfId="10086" xr:uid="{2BD68A0A-3832-4787-BD20-67E8F4C45CB2}"/>
    <cellStyle name="Normal 13 3 4 3" xfId="7276" xr:uid="{8EF89DF0-4382-4C34-85E4-65E0326507C5}"/>
    <cellStyle name="Normal 13 3 5" xfId="3049" xr:uid="{A6FB8812-4073-4A89-859A-F80997893A63}"/>
    <cellStyle name="Normal 13 3 5 2" xfId="8685" xr:uid="{B10B940E-3217-4855-9535-F1376F8BD3C7}"/>
    <cellStyle name="Normal 13 3 6" xfId="5875" xr:uid="{7A8A159B-8532-47B8-BC22-280E8F31A2E8}"/>
    <cellStyle name="Normal 13 4" xfId="411" xr:uid="{8470DD30-9D15-44D8-83FE-27BD2229F345}"/>
    <cellStyle name="Normal 13 4 2" xfId="1107" xr:uid="{BF53C4DB-E3E2-48A6-9CD4-C41DCC453B22}"/>
    <cellStyle name="Normal 13 4 2 2" xfId="2508" xr:uid="{0F9AF504-4AB4-4E07-8C95-836B331390DA}"/>
    <cellStyle name="Normal 13 4 2 2 2" xfId="5318" xr:uid="{3CCE273A-311F-4E68-B6E8-1EE153F63291}"/>
    <cellStyle name="Normal 13 4 2 2 2 2" xfId="10954" xr:uid="{B156E411-DD6D-4C5B-9DB5-33EF4078B8D6}"/>
    <cellStyle name="Normal 13 4 2 2 3" xfId="8144" xr:uid="{E1D56803-074B-498F-9C61-4F1A7D36ADD0}"/>
    <cellStyle name="Normal 13 4 2 3" xfId="3917" xr:uid="{2D5DFE52-C9D9-4AD6-967A-8D176E1415D6}"/>
    <cellStyle name="Normal 13 4 2 3 2" xfId="9553" xr:uid="{9E75BAFA-1617-475C-9E54-A62FC7AE0F84}"/>
    <cellStyle name="Normal 13 4 2 4" xfId="6743" xr:uid="{7453CB76-BB12-4CC9-849B-34CE5120E2CC}"/>
    <cellStyle name="Normal 13 4 3" xfId="1812" xr:uid="{21AB67A9-52A0-4B51-BDFF-B864BD09B82F}"/>
    <cellStyle name="Normal 13 4 3 2" xfId="4622" xr:uid="{33DFA50E-9624-4248-9831-2E6A8599D282}"/>
    <cellStyle name="Normal 13 4 3 2 2" xfId="10258" xr:uid="{29CA9176-3D4B-424A-BC61-B67CB46C3377}"/>
    <cellStyle name="Normal 13 4 3 3" xfId="7448" xr:uid="{5600417F-B33F-406D-8D1B-AFACFB0A20D3}"/>
    <cellStyle name="Normal 13 4 4" xfId="3221" xr:uid="{82A654DB-8735-4CAB-90A7-A8B39A84003C}"/>
    <cellStyle name="Normal 13 4 4 2" xfId="8857" xr:uid="{63521A53-7060-4C1F-B149-03C047C10082}"/>
    <cellStyle name="Normal 13 4 5" xfId="6047" xr:uid="{6D5D2C25-A1C4-4CD7-9F9A-80BE8890F66C}"/>
    <cellStyle name="Normal 13 5" xfId="763" xr:uid="{49EC077C-FA8B-469E-8CB1-7A63B9CB2216}"/>
    <cellStyle name="Normal 13 5 2" xfId="2164" xr:uid="{02B7FE69-B706-4ADD-8C79-02CB125BA547}"/>
    <cellStyle name="Normal 13 5 2 2" xfId="4974" xr:uid="{C9F617E9-9930-4B0C-AE04-81F82C3607FB}"/>
    <cellStyle name="Normal 13 5 2 2 2" xfId="10610" xr:uid="{71396E34-5739-4513-998C-B7454706AE97}"/>
    <cellStyle name="Normal 13 5 2 3" xfId="7800" xr:uid="{E89FD0C0-43B6-4EC2-8D35-33AB30FF2E8D}"/>
    <cellStyle name="Normal 13 5 3" xfId="3573" xr:uid="{922559D8-08EB-4973-91F4-7DA6696E11A0}"/>
    <cellStyle name="Normal 13 5 3 2" xfId="9209" xr:uid="{C9A2B253-8BCF-45D6-8581-78A15DF90543}"/>
    <cellStyle name="Normal 13 5 4" xfId="6399" xr:uid="{2CE3CEEE-961A-4548-B4D9-5FAE2D04709F}"/>
    <cellStyle name="Normal 13 6" xfId="1468" xr:uid="{30ABC934-78AC-4678-80BE-E069DE0584E5}"/>
    <cellStyle name="Normal 13 6 2" xfId="4278" xr:uid="{B96C9B8E-5B20-4B46-9394-BC7F96AF48E3}"/>
    <cellStyle name="Normal 13 6 2 2" xfId="9914" xr:uid="{2A90ED3B-A66E-4CFA-BF0F-C310FF9FBB56}"/>
    <cellStyle name="Normal 13 6 3" xfId="7104" xr:uid="{DF0D94DD-BB8C-492C-AF5B-C9367201C9C6}"/>
    <cellStyle name="Normal 13 7" xfId="2877" xr:uid="{46420D8C-91F8-417F-B82C-EE11C07CF726}"/>
    <cellStyle name="Normal 13 7 2" xfId="8513" xr:uid="{511B38FC-767B-4250-BE11-B00292102E3C}"/>
    <cellStyle name="Normal 13 8" xfId="5703" xr:uid="{65882F5A-8D8E-4CB4-B150-8143940D4EDB}"/>
    <cellStyle name="Normal 14" xfId="69" xr:uid="{CFA00947-544D-4B2E-975E-EE0FC4C7D670}"/>
    <cellStyle name="Normal 14 2" xfId="149" xr:uid="{AD52FCBA-DFE6-4537-BD18-041C3FE298F8}"/>
    <cellStyle name="Normal 14 2 2" xfId="321" xr:uid="{9C62C64D-EFC2-4248-95BB-6BE5303D1026}"/>
    <cellStyle name="Normal 14 2 2 2" xfId="665" xr:uid="{8D37A3F2-B0D0-4FEA-9379-90F0789C404A}"/>
    <cellStyle name="Normal 14 2 2 2 2" xfId="1361" xr:uid="{B25AD43B-4992-484E-909E-0A0F7BADD878}"/>
    <cellStyle name="Normal 14 2 2 2 2 2" xfId="2762" xr:uid="{C5114FD2-59F3-4523-A425-A1A91466062D}"/>
    <cellStyle name="Normal 14 2 2 2 2 2 2" xfId="5572" xr:uid="{CBB1D006-894D-45AA-9052-142DA9B102DC}"/>
    <cellStyle name="Normal 14 2 2 2 2 2 2 2" xfId="11208" xr:uid="{EF78992D-01B2-4EA9-8BA1-3278D6F057F0}"/>
    <cellStyle name="Normal 14 2 2 2 2 2 3" xfId="8398" xr:uid="{90EC77C2-24AB-4410-BA88-55487B2B8703}"/>
    <cellStyle name="Normal 14 2 2 2 2 3" xfId="4171" xr:uid="{367E422F-27A9-4BA1-B586-9FD12F71774B}"/>
    <cellStyle name="Normal 14 2 2 2 2 3 2" xfId="9807" xr:uid="{11E839B2-BCF3-4AC7-B9B7-3D6FDA5F403B}"/>
    <cellStyle name="Normal 14 2 2 2 2 4" xfId="6997" xr:uid="{34E2FE75-5B79-44D9-B3A9-E8E74EFC111F}"/>
    <cellStyle name="Normal 14 2 2 2 3" xfId="2066" xr:uid="{296CB3FA-CFB4-47B5-88A4-DCE62BEE185C}"/>
    <cellStyle name="Normal 14 2 2 2 3 2" xfId="4876" xr:uid="{9D681F27-2866-41BE-9B48-4CFF4337903A}"/>
    <cellStyle name="Normal 14 2 2 2 3 2 2" xfId="10512" xr:uid="{6642725A-D4CB-4DB5-AAEE-F5569297F770}"/>
    <cellStyle name="Normal 14 2 2 2 3 3" xfId="7702" xr:uid="{451E4753-7D98-41CF-87B1-DF5CA0A81AF0}"/>
    <cellStyle name="Normal 14 2 2 2 4" xfId="3475" xr:uid="{1419FD77-D6F1-4E9B-BDBE-2372B6B3A299}"/>
    <cellStyle name="Normal 14 2 2 2 4 2" xfId="9111" xr:uid="{BA511EA0-97A5-4E4D-8EA9-5061351405A9}"/>
    <cellStyle name="Normal 14 2 2 2 5" xfId="6301" xr:uid="{8372EE97-CD92-4EEA-BA16-CDC6B5EB0EB5}"/>
    <cellStyle name="Normal 14 2 2 3" xfId="1017" xr:uid="{A7F68851-0ABB-4E24-99A1-E33561F1F585}"/>
    <cellStyle name="Normal 14 2 2 3 2" xfId="2418" xr:uid="{CA6D732E-B17A-42AE-A806-316692A7B79B}"/>
    <cellStyle name="Normal 14 2 2 3 2 2" xfId="5228" xr:uid="{CC61FF88-9D96-4EB9-B28D-35561FEF8582}"/>
    <cellStyle name="Normal 14 2 2 3 2 2 2" xfId="10864" xr:uid="{91016A71-125E-47C8-B194-D9F33ADA0A75}"/>
    <cellStyle name="Normal 14 2 2 3 2 3" xfId="8054" xr:uid="{6F26CDAC-4D60-4C74-BBD1-DA270CA2922B}"/>
    <cellStyle name="Normal 14 2 2 3 3" xfId="3827" xr:uid="{E3823F8B-41F2-4B49-B62B-1E7D68CC69B3}"/>
    <cellStyle name="Normal 14 2 2 3 3 2" xfId="9463" xr:uid="{D839CBDB-5C4F-4F24-ACC6-B93E7DFCF732}"/>
    <cellStyle name="Normal 14 2 2 3 4" xfId="6653" xr:uid="{A10B0D24-14CD-41F5-BBE7-9799023260E9}"/>
    <cellStyle name="Normal 14 2 2 4" xfId="1722" xr:uid="{60D57130-B347-4105-BA79-712D6F451F36}"/>
    <cellStyle name="Normal 14 2 2 4 2" xfId="4532" xr:uid="{271686CF-4F15-4669-BB27-52AD15328BDE}"/>
    <cellStyle name="Normal 14 2 2 4 2 2" xfId="10168" xr:uid="{2A389EC7-8AE3-4CC6-A9E1-2F8DFFC3B2BD}"/>
    <cellStyle name="Normal 14 2 2 4 3" xfId="7358" xr:uid="{F7FADE86-ADEA-4683-A8ED-875E4439996A}"/>
    <cellStyle name="Normal 14 2 2 5" xfId="3131" xr:uid="{9D41EE47-8641-49CE-86E5-A26D95CDC0B1}"/>
    <cellStyle name="Normal 14 2 2 5 2" xfId="8767" xr:uid="{247A742C-3BE2-49C7-A220-D6B641C96431}"/>
    <cellStyle name="Normal 14 2 2 6" xfId="5957" xr:uid="{EE3336DD-B998-4F8E-973A-5C7D40BD393F}"/>
    <cellStyle name="Normal 14 2 3" xfId="493" xr:uid="{8CCD2B3C-4D41-4996-AA2C-5683E4C3C31F}"/>
    <cellStyle name="Normal 14 2 3 2" xfId="1189" xr:uid="{6EA7E040-32B0-4672-9A43-729521632EDB}"/>
    <cellStyle name="Normal 14 2 3 2 2" xfId="2590" xr:uid="{E6D8B76C-18F2-4B4A-A908-822258B3FFD2}"/>
    <cellStyle name="Normal 14 2 3 2 2 2" xfId="5400" xr:uid="{6418553D-12BD-4050-8D2B-47B8C50A56CC}"/>
    <cellStyle name="Normal 14 2 3 2 2 2 2" xfId="11036" xr:uid="{25C0CE64-2A26-41E2-AC84-EE91ECCA550D}"/>
    <cellStyle name="Normal 14 2 3 2 2 3" xfId="8226" xr:uid="{622B763A-1798-4BB2-A048-F5A77267828D}"/>
    <cellStyle name="Normal 14 2 3 2 3" xfId="3999" xr:uid="{6412B042-FA07-456F-82D6-2D8E0D830CFE}"/>
    <cellStyle name="Normal 14 2 3 2 3 2" xfId="9635" xr:uid="{4A49A6A3-F0CC-4767-9A18-26925A52E758}"/>
    <cellStyle name="Normal 14 2 3 2 4" xfId="6825" xr:uid="{FCBD6754-7A56-4DFB-BDD2-BE750D986912}"/>
    <cellStyle name="Normal 14 2 3 3" xfId="1894" xr:uid="{93DF8813-6557-430C-B0FA-A99DD2B297DA}"/>
    <cellStyle name="Normal 14 2 3 3 2" xfId="4704" xr:uid="{1C9B2866-22AF-4E4F-BABE-3EE796BAFD58}"/>
    <cellStyle name="Normal 14 2 3 3 2 2" xfId="10340" xr:uid="{405A5D0C-D7EC-479B-9ED9-D1B0B26879B4}"/>
    <cellStyle name="Normal 14 2 3 3 3" xfId="7530" xr:uid="{116DBFB8-1200-49DD-8379-188EAD4E8795}"/>
    <cellStyle name="Normal 14 2 3 4" xfId="3303" xr:uid="{784C5911-C934-408A-B971-D8F5FAD9CFF1}"/>
    <cellStyle name="Normal 14 2 3 4 2" xfId="8939" xr:uid="{39E55B8D-6845-4E62-A125-20DB10EF8608}"/>
    <cellStyle name="Normal 14 2 3 5" xfId="6129" xr:uid="{7C96183D-F92A-4171-A6A8-BDD1B187527D}"/>
    <cellStyle name="Normal 14 2 4" xfId="845" xr:uid="{A25D7B66-958B-485D-8937-179FC7D7B55E}"/>
    <cellStyle name="Normal 14 2 4 2" xfId="2246" xr:uid="{B7F6F85C-BC18-4BA9-8030-814B196F43FB}"/>
    <cellStyle name="Normal 14 2 4 2 2" xfId="5056" xr:uid="{4137A738-9F75-4AB1-91F2-C6EEF96A57A5}"/>
    <cellStyle name="Normal 14 2 4 2 2 2" xfId="10692" xr:uid="{04EFC8BA-2D35-4889-9446-ED922D0CC68C}"/>
    <cellStyle name="Normal 14 2 4 2 3" xfId="7882" xr:uid="{58FC516A-7AAE-4333-9126-75C25B9D7DDB}"/>
    <cellStyle name="Normal 14 2 4 3" xfId="3655" xr:uid="{82FFB45F-2C75-482D-84DD-454ADDFDE3BA}"/>
    <cellStyle name="Normal 14 2 4 3 2" xfId="9291" xr:uid="{5AD31992-48A1-4C5B-A019-39AF9F8EE8FB}"/>
    <cellStyle name="Normal 14 2 4 4" xfId="6481" xr:uid="{CBD5FBBE-3CDC-4220-AD2A-BADF19CD8E44}"/>
    <cellStyle name="Normal 14 2 5" xfId="1550" xr:uid="{EF71E1E5-7295-490B-A451-CEA99248FA51}"/>
    <cellStyle name="Normal 14 2 5 2" xfId="4360" xr:uid="{1E0B01E7-969C-4E44-B4D7-C82F5C0382B0}"/>
    <cellStyle name="Normal 14 2 5 2 2" xfId="9996" xr:uid="{D2AFEC80-B282-482F-9F7F-DAC206B0D5BD}"/>
    <cellStyle name="Normal 14 2 5 3" xfId="7186" xr:uid="{F1A42A17-FFA6-442C-98E6-13E8155F37C9}"/>
    <cellStyle name="Normal 14 2 6" xfId="2959" xr:uid="{101EB8E2-C116-4C91-9B86-CA516DE01AB5}"/>
    <cellStyle name="Normal 14 2 6 2" xfId="8595" xr:uid="{2CD57C21-7BDC-4722-A395-F024FCEA5C39}"/>
    <cellStyle name="Normal 14 2 7" xfId="5785" xr:uid="{F3F29293-0100-4762-8188-8D1F9254EC63}"/>
    <cellStyle name="Normal 14 3" xfId="241" xr:uid="{19330F51-44D6-424D-8FDC-576BD06E40E1}"/>
    <cellStyle name="Normal 14 3 2" xfId="585" xr:uid="{4AF8015B-A487-4669-B8C5-81A0375E1EF0}"/>
    <cellStyle name="Normal 14 3 2 2" xfId="1281" xr:uid="{5DBEBAA7-D28A-4DA0-87B5-3A5A0DDFBE77}"/>
    <cellStyle name="Normal 14 3 2 2 2" xfId="2682" xr:uid="{E1B8B535-8D72-4F12-8503-5AD1C1D9F690}"/>
    <cellStyle name="Normal 14 3 2 2 2 2" xfId="5492" xr:uid="{E7D68D38-FC4D-4214-97F3-9B2AFEA99760}"/>
    <cellStyle name="Normal 14 3 2 2 2 2 2" xfId="11128" xr:uid="{2810CEB0-9C0B-406B-AFEB-D015E2FB7C87}"/>
    <cellStyle name="Normal 14 3 2 2 2 3" xfId="8318" xr:uid="{56E9468F-D410-4964-B9A9-15EDAB8174A2}"/>
    <cellStyle name="Normal 14 3 2 2 3" xfId="4091" xr:uid="{7C0A17AF-9FAF-4287-A114-CD44D92E4C22}"/>
    <cellStyle name="Normal 14 3 2 2 3 2" xfId="9727" xr:uid="{69700C60-263D-4FCB-802B-4A101FC201AB}"/>
    <cellStyle name="Normal 14 3 2 2 4" xfId="6917" xr:uid="{2FA998D2-5A3B-4BAF-B5E9-00D74573AAA0}"/>
    <cellStyle name="Normal 14 3 2 3" xfId="1986" xr:uid="{FA6A52A1-3A72-4B1D-A59E-195F003B2324}"/>
    <cellStyle name="Normal 14 3 2 3 2" xfId="4796" xr:uid="{28B79503-4164-4781-BA31-F5B89839C650}"/>
    <cellStyle name="Normal 14 3 2 3 2 2" xfId="10432" xr:uid="{66904E63-3120-4384-8DEF-75F263636137}"/>
    <cellStyle name="Normal 14 3 2 3 3" xfId="7622" xr:uid="{0DB92B4E-385E-4641-A425-4CEFFCC550B9}"/>
    <cellStyle name="Normal 14 3 2 4" xfId="3395" xr:uid="{C7E7933E-AB85-43CE-B326-B68A13A03102}"/>
    <cellStyle name="Normal 14 3 2 4 2" xfId="9031" xr:uid="{7760651A-F234-4E8A-B99F-960749DA4470}"/>
    <cellStyle name="Normal 14 3 2 5" xfId="6221" xr:uid="{45FF60B2-3730-4510-A801-55F46EB9C72A}"/>
    <cellStyle name="Normal 14 3 3" xfId="937" xr:uid="{EC8A988B-DA40-4919-A502-7CE2F43E1641}"/>
    <cellStyle name="Normal 14 3 3 2" xfId="2338" xr:uid="{9CB5E205-451B-4197-9D32-492BAAC306F5}"/>
    <cellStyle name="Normal 14 3 3 2 2" xfId="5148" xr:uid="{1BB883DF-D0F9-49AA-8ACB-35413A1B747D}"/>
    <cellStyle name="Normal 14 3 3 2 2 2" xfId="10784" xr:uid="{F87343A5-310C-4AE0-BC44-5F2730114139}"/>
    <cellStyle name="Normal 14 3 3 2 3" xfId="7974" xr:uid="{34D558F9-7C4F-4A81-A1BB-5863C55DE1D7}"/>
    <cellStyle name="Normal 14 3 3 3" xfId="3747" xr:uid="{5B4C755A-1F20-4F4C-8E91-C3CAE3C152E8}"/>
    <cellStyle name="Normal 14 3 3 3 2" xfId="9383" xr:uid="{A1EB3D8C-51EE-43A3-A852-A59387D66B2A}"/>
    <cellStyle name="Normal 14 3 3 4" xfId="6573" xr:uid="{5CA762FE-E0C4-46EB-BCB0-4DDE401DA749}"/>
    <cellStyle name="Normal 14 3 4" xfId="1642" xr:uid="{1913D2CA-9E31-4322-BA9E-AEB269C3CE1C}"/>
    <cellStyle name="Normal 14 3 4 2" xfId="4452" xr:uid="{1595F1FC-9CF2-4286-8A71-189FB7C9AC50}"/>
    <cellStyle name="Normal 14 3 4 2 2" xfId="10088" xr:uid="{21D93CAE-A984-4428-8231-E317444F4A3B}"/>
    <cellStyle name="Normal 14 3 4 3" xfId="7278" xr:uid="{8D2131F1-2F00-4895-9A58-D3164505D6DD}"/>
    <cellStyle name="Normal 14 3 5" xfId="3051" xr:uid="{AB92C2F7-4378-4F9D-8D23-1D97E2E643C6}"/>
    <cellStyle name="Normal 14 3 5 2" xfId="8687" xr:uid="{D2174A37-A5B6-428F-BB17-AB1DD0A7B956}"/>
    <cellStyle name="Normal 14 3 6" xfId="5877" xr:uid="{88CA0D99-B543-4064-8E87-7EE595FA86A2}"/>
    <cellStyle name="Normal 14 4" xfId="413" xr:uid="{56D68B72-3BE5-4989-91BA-812A5C06E61A}"/>
    <cellStyle name="Normal 14 4 2" xfId="1109" xr:uid="{5D811AE3-194E-4872-8394-FB83EE90D791}"/>
    <cellStyle name="Normal 14 4 2 2" xfId="2510" xr:uid="{14D6CB44-1C50-496C-B0A5-D4C91C2F1CF7}"/>
    <cellStyle name="Normal 14 4 2 2 2" xfId="5320" xr:uid="{61DE39D8-DB9C-46D4-952D-E6F2417E9E86}"/>
    <cellStyle name="Normal 14 4 2 2 2 2" xfId="10956" xr:uid="{4FD4F9B6-F268-450A-98ED-3D63999B21BE}"/>
    <cellStyle name="Normal 14 4 2 2 3" xfId="8146" xr:uid="{BF9FD2BB-EB65-4D9D-AEA3-A3558AA1D0B2}"/>
    <cellStyle name="Normal 14 4 2 3" xfId="3919" xr:uid="{11B235C6-10AC-48B2-821A-73F5093CFF1E}"/>
    <cellStyle name="Normal 14 4 2 3 2" xfId="9555" xr:uid="{5BB1CB15-3799-464C-84B0-07CD5C03B137}"/>
    <cellStyle name="Normal 14 4 2 4" xfId="6745" xr:uid="{CC045348-54FC-45AA-A5BA-E14369F67292}"/>
    <cellStyle name="Normal 14 4 3" xfId="1814" xr:uid="{358806A4-043F-4032-B601-017A1AB2934F}"/>
    <cellStyle name="Normal 14 4 3 2" xfId="4624" xr:uid="{485AEC4F-2867-40C7-ABB7-124CB8FF0ADA}"/>
    <cellStyle name="Normal 14 4 3 2 2" xfId="10260" xr:uid="{0380D4E2-BC86-4806-A169-1A88128F6F62}"/>
    <cellStyle name="Normal 14 4 3 3" xfId="7450" xr:uid="{17A34FAF-FB1B-4A08-90E6-9F42BCD80F1D}"/>
    <cellStyle name="Normal 14 4 4" xfId="3223" xr:uid="{E4619042-A526-43BF-9957-EC1112D130D4}"/>
    <cellStyle name="Normal 14 4 4 2" xfId="8859" xr:uid="{45495740-E4E0-4A5D-8DB5-8CB6C479BAE4}"/>
    <cellStyle name="Normal 14 4 5" xfId="6049" xr:uid="{B3FD3C11-6963-428F-85CA-2A3A4072C83F}"/>
    <cellStyle name="Normal 14 5" xfId="765" xr:uid="{7D56C3EB-C6E3-4542-887B-62A3099CD01F}"/>
    <cellStyle name="Normal 14 5 2" xfId="2166" xr:uid="{2CC2A760-20D9-4E8A-8ADA-0ED7E263961D}"/>
    <cellStyle name="Normal 14 5 2 2" xfId="4976" xr:uid="{395EF7DE-4014-4DE2-8638-B87BFEF8B8E8}"/>
    <cellStyle name="Normal 14 5 2 2 2" xfId="10612" xr:uid="{AAC8A2CA-9FE2-440B-86B4-F579B16F3FF1}"/>
    <cellStyle name="Normal 14 5 2 3" xfId="7802" xr:uid="{28A71CA5-09EC-463F-B30E-48A5AC11DCAB}"/>
    <cellStyle name="Normal 14 5 3" xfId="3575" xr:uid="{3BB11245-1FE6-47D9-943D-8DDFCDD1F4C5}"/>
    <cellStyle name="Normal 14 5 3 2" xfId="9211" xr:uid="{54456BA0-9322-4255-9F3A-8EE43E625154}"/>
    <cellStyle name="Normal 14 5 4" xfId="6401" xr:uid="{918A7DC9-4D96-4CB5-8E0B-9A20D9993EB5}"/>
    <cellStyle name="Normal 14 6" xfId="1470" xr:uid="{C8175140-99F1-4500-8705-A72EF7989F43}"/>
    <cellStyle name="Normal 14 6 2" xfId="4280" xr:uid="{1026C629-83AE-44F7-BEE1-E64B6971EBB5}"/>
    <cellStyle name="Normal 14 6 2 2" xfId="9916" xr:uid="{D06AA0AD-A63B-46E7-89BF-2ABBAB38E79E}"/>
    <cellStyle name="Normal 14 6 3" xfId="7106" xr:uid="{5AC37F18-5E34-4ACD-B0E4-1F785A236BBD}"/>
    <cellStyle name="Normal 14 7" xfId="2879" xr:uid="{CBECE367-A325-48EF-A3CE-B37DECD89963}"/>
    <cellStyle name="Normal 14 7 2" xfId="8515" xr:uid="{F5F0705F-0D71-43A4-93FF-FF2E2C118659}"/>
    <cellStyle name="Normal 14 8" xfId="5705" xr:uid="{C3D0827B-DB3D-4A11-9752-ADCD64FA5BD4}"/>
    <cellStyle name="Normal 15" xfId="71" xr:uid="{671119E5-E03F-4721-B5BC-30BF0355DDD4}"/>
    <cellStyle name="Normal 15 2" xfId="151" xr:uid="{8CDE0C86-8292-40BC-A8F6-8ABF48C3F0B1}"/>
    <cellStyle name="Normal 15 2 2" xfId="323" xr:uid="{6940C120-88CC-418E-8677-242B1A4931AC}"/>
    <cellStyle name="Normal 15 2 2 2" xfId="667" xr:uid="{D7B97B45-F7B1-449D-8301-5BB33FC33056}"/>
    <cellStyle name="Normal 15 2 2 2 2" xfId="1363" xr:uid="{FDE0CD05-7872-490F-9A11-E8521CC060E5}"/>
    <cellStyle name="Normal 15 2 2 2 2 2" xfId="2764" xr:uid="{5DA6C057-72E0-468F-BD0B-FBC9717FCBE1}"/>
    <cellStyle name="Normal 15 2 2 2 2 2 2" xfId="5574" xr:uid="{C36492E2-7A95-4E14-904C-B17B99060BBE}"/>
    <cellStyle name="Normal 15 2 2 2 2 2 2 2" xfId="11210" xr:uid="{018DF7C4-8212-4CA3-BB6C-9344DEB99A19}"/>
    <cellStyle name="Normal 15 2 2 2 2 2 3" xfId="8400" xr:uid="{A80976BA-A107-4598-8D45-43F3B37EBB59}"/>
    <cellStyle name="Normal 15 2 2 2 2 3" xfId="4173" xr:uid="{F94AC619-51E9-4B00-8B8B-BDC545784211}"/>
    <cellStyle name="Normal 15 2 2 2 2 3 2" xfId="9809" xr:uid="{B75B04FB-94F3-4E6E-9B0D-201CAA328B98}"/>
    <cellStyle name="Normal 15 2 2 2 2 4" xfId="6999" xr:uid="{18552102-BECC-4856-86EA-6C8B3AB647C7}"/>
    <cellStyle name="Normal 15 2 2 2 3" xfId="2068" xr:uid="{31A20B94-78EE-47BE-BA30-BA4446706898}"/>
    <cellStyle name="Normal 15 2 2 2 3 2" xfId="4878" xr:uid="{FE011A4D-C7AB-4524-AEF8-FF12ADC77BE6}"/>
    <cellStyle name="Normal 15 2 2 2 3 2 2" xfId="10514" xr:uid="{C4D29A34-279E-44C6-A7FF-12C4FE832DBE}"/>
    <cellStyle name="Normal 15 2 2 2 3 3" xfId="7704" xr:uid="{F8143C17-30B0-44A8-BFC5-46065F9266A4}"/>
    <cellStyle name="Normal 15 2 2 2 4" xfId="3477" xr:uid="{D750DD87-CCA8-47ED-AF48-8C85F1B4F1CE}"/>
    <cellStyle name="Normal 15 2 2 2 4 2" xfId="9113" xr:uid="{87584F74-2126-4330-86E7-91AC3EDB36B2}"/>
    <cellStyle name="Normal 15 2 2 2 5" xfId="6303" xr:uid="{69F32CE7-5ED8-40DE-AF4C-8DBDD3048B48}"/>
    <cellStyle name="Normal 15 2 2 3" xfId="1019" xr:uid="{15FE167C-F115-41F2-A87C-CE4064546007}"/>
    <cellStyle name="Normal 15 2 2 3 2" xfId="2420" xr:uid="{20A54537-A7A2-4890-972B-F6B7A8C63886}"/>
    <cellStyle name="Normal 15 2 2 3 2 2" xfId="5230" xr:uid="{350AD960-9EC5-4087-86DB-FA409925E00E}"/>
    <cellStyle name="Normal 15 2 2 3 2 2 2" xfId="10866" xr:uid="{CBD2D92A-E9D8-43FE-BD4D-C4C4388B1B04}"/>
    <cellStyle name="Normal 15 2 2 3 2 3" xfId="8056" xr:uid="{155C569C-1CEA-405B-81A6-F503E366253A}"/>
    <cellStyle name="Normal 15 2 2 3 3" xfId="3829" xr:uid="{FB30F7F5-0992-4E1B-85A2-A016031B72C8}"/>
    <cellStyle name="Normal 15 2 2 3 3 2" xfId="9465" xr:uid="{8B56997D-8DD4-440D-950E-9A5414B5F11E}"/>
    <cellStyle name="Normal 15 2 2 3 4" xfId="6655" xr:uid="{1B83A1BB-2F3F-4857-A005-70A168AE214F}"/>
    <cellStyle name="Normal 15 2 2 4" xfId="1724" xr:uid="{873CB585-85C4-4AB3-BC83-8828F9FB1DD2}"/>
    <cellStyle name="Normal 15 2 2 4 2" xfId="4534" xr:uid="{FE350A3B-ABE4-4DC6-B284-BC32A858D000}"/>
    <cellStyle name="Normal 15 2 2 4 2 2" xfId="10170" xr:uid="{3BE946B5-A5AC-4047-9EA3-B3D6740BC93A}"/>
    <cellStyle name="Normal 15 2 2 4 3" xfId="7360" xr:uid="{DC0AAF14-3674-4F24-A91C-8C271FEF310B}"/>
    <cellStyle name="Normal 15 2 2 5" xfId="3133" xr:uid="{90809DBE-F538-4D2C-ADE7-2A67C44A7A8F}"/>
    <cellStyle name="Normal 15 2 2 5 2" xfId="8769" xr:uid="{ECEF593A-78EB-497F-94AC-28F56797184A}"/>
    <cellStyle name="Normal 15 2 2 6" xfId="5959" xr:uid="{C0EB2252-70B1-44AE-815E-09E3F2DDEA73}"/>
    <cellStyle name="Normal 15 2 3" xfId="495" xr:uid="{EBFAB5E8-4FE2-4DA8-B306-985E2E2C158E}"/>
    <cellStyle name="Normal 15 2 3 2" xfId="1191" xr:uid="{F8A256B5-0A00-4F71-A3B2-B20CF800B035}"/>
    <cellStyle name="Normal 15 2 3 2 2" xfId="2592" xr:uid="{497A6094-B1F8-4822-A3C7-B5EB9660852F}"/>
    <cellStyle name="Normal 15 2 3 2 2 2" xfId="5402" xr:uid="{E8A82FD5-A9CA-499F-8476-02C3948027CF}"/>
    <cellStyle name="Normal 15 2 3 2 2 2 2" xfId="11038" xr:uid="{A36385BD-BE31-4C0A-ABD1-96060539608B}"/>
    <cellStyle name="Normal 15 2 3 2 2 3" xfId="8228" xr:uid="{DA2DD1A8-49D6-4074-B616-05081794D676}"/>
    <cellStyle name="Normal 15 2 3 2 3" xfId="4001" xr:uid="{2AD415BB-1E01-414F-9DAB-2505E48B70EF}"/>
    <cellStyle name="Normal 15 2 3 2 3 2" xfId="9637" xr:uid="{781418D9-76F1-4D8B-8131-A1677B88DE1A}"/>
    <cellStyle name="Normal 15 2 3 2 4" xfId="6827" xr:uid="{1CA1438E-2297-47C2-9909-3B3F4785889D}"/>
    <cellStyle name="Normal 15 2 3 3" xfId="1896" xr:uid="{DFB3D2DA-C4F8-4A9B-8C4F-91673FB43F2D}"/>
    <cellStyle name="Normal 15 2 3 3 2" xfId="4706" xr:uid="{D82325BA-A24A-45EC-9023-BDD8E414EFC6}"/>
    <cellStyle name="Normal 15 2 3 3 2 2" xfId="10342" xr:uid="{34FFA47F-3B81-452B-A1CD-F80C9125BF14}"/>
    <cellStyle name="Normal 15 2 3 3 3" xfId="7532" xr:uid="{84594035-A37D-48CB-9663-0F1692D82490}"/>
    <cellStyle name="Normal 15 2 3 4" xfId="3305" xr:uid="{178F220A-F922-4D67-9368-1F231F6CF771}"/>
    <cellStyle name="Normal 15 2 3 4 2" xfId="8941" xr:uid="{39CDC0CE-6801-4C82-94F2-F63A30730763}"/>
    <cellStyle name="Normal 15 2 3 5" xfId="6131" xr:uid="{23FAF83D-6F9E-4ABB-B48C-2F48B62B3F67}"/>
    <cellStyle name="Normal 15 2 4" xfId="847" xr:uid="{F2B508ED-BA40-460D-AF4E-AE6F1F3A2643}"/>
    <cellStyle name="Normal 15 2 4 2" xfId="2248" xr:uid="{8B471FA2-511A-4482-B8C1-7603C14655C3}"/>
    <cellStyle name="Normal 15 2 4 2 2" xfId="5058" xr:uid="{92069555-EB1B-4FD3-A793-438127E5D71D}"/>
    <cellStyle name="Normal 15 2 4 2 2 2" xfId="10694" xr:uid="{6B5F72C4-386F-40DF-95E1-C6CB00D5D690}"/>
    <cellStyle name="Normal 15 2 4 2 3" xfId="7884" xr:uid="{783351E3-B358-4985-B168-783E09FD7D01}"/>
    <cellStyle name="Normal 15 2 4 3" xfId="3657" xr:uid="{A5CFEA44-2F0A-44F1-9E7B-10745412E418}"/>
    <cellStyle name="Normal 15 2 4 3 2" xfId="9293" xr:uid="{CB3190FA-243E-4091-B6D2-2E38EC504DC2}"/>
    <cellStyle name="Normal 15 2 4 4" xfId="6483" xr:uid="{5D0AE3A5-285D-416E-8811-9AD5DE9B8264}"/>
    <cellStyle name="Normal 15 2 5" xfId="1552" xr:uid="{2CC91AE4-632D-444B-BC47-6BA3D16164AB}"/>
    <cellStyle name="Normal 15 2 5 2" xfId="4362" xr:uid="{A79A9E4C-FDFE-4778-AE6E-BBD73389A017}"/>
    <cellStyle name="Normal 15 2 5 2 2" xfId="9998" xr:uid="{94CE8D74-4871-4E7D-B530-56C5159C1699}"/>
    <cellStyle name="Normal 15 2 5 3" xfId="7188" xr:uid="{07B20373-84C6-429D-AF2B-4A6383E92677}"/>
    <cellStyle name="Normal 15 2 6" xfId="2961" xr:uid="{9F0A6329-02C8-4D35-A51E-2ECAFEF350F5}"/>
    <cellStyle name="Normal 15 2 6 2" xfId="8597" xr:uid="{56C2AAFA-304B-4B41-8FC8-3AE139D45C5D}"/>
    <cellStyle name="Normal 15 2 7" xfId="5787" xr:uid="{E5EDF62F-C9F7-4AEF-BD58-3BDC6F31EE70}"/>
    <cellStyle name="Normal 15 3" xfId="243" xr:uid="{EF2573DC-D285-45C4-B57E-DC2A351C9C19}"/>
    <cellStyle name="Normal 15 3 2" xfId="587" xr:uid="{F66B9776-C468-4ACA-87CD-C84E97A8B8A3}"/>
    <cellStyle name="Normal 15 3 2 2" xfId="1283" xr:uid="{23AA7986-ABB9-49FE-B1E3-AFA5B5B554F0}"/>
    <cellStyle name="Normal 15 3 2 2 2" xfId="2684" xr:uid="{849C5E7E-8A38-4FCA-9327-FDC7AB8D6A57}"/>
    <cellStyle name="Normal 15 3 2 2 2 2" xfId="5494" xr:uid="{05ED17A5-1C64-4FB6-B058-74D7128EA6E3}"/>
    <cellStyle name="Normal 15 3 2 2 2 2 2" xfId="11130" xr:uid="{2B9CEE3E-95BD-44EC-9F6C-4E244220C09A}"/>
    <cellStyle name="Normal 15 3 2 2 2 3" xfId="8320" xr:uid="{77165306-3A03-4E52-9ADE-584C64FBB6CC}"/>
    <cellStyle name="Normal 15 3 2 2 3" xfId="4093" xr:uid="{459F3696-9244-4F6A-BF83-EFDCCF77A41C}"/>
    <cellStyle name="Normal 15 3 2 2 3 2" xfId="9729" xr:uid="{1399F6F6-9358-4BEC-95A0-2855B2289CA4}"/>
    <cellStyle name="Normal 15 3 2 2 4" xfId="6919" xr:uid="{1DB81002-BABA-49ED-AACD-1A7540B49EA2}"/>
    <cellStyle name="Normal 15 3 2 3" xfId="1988" xr:uid="{9C56C0D9-9B11-4A6C-99CA-940239D761CA}"/>
    <cellStyle name="Normal 15 3 2 3 2" xfId="4798" xr:uid="{2536565A-6C15-4932-984F-10DB4FEEA3D0}"/>
    <cellStyle name="Normal 15 3 2 3 2 2" xfId="10434" xr:uid="{AF49AA71-3631-4730-A12D-4A71CDF1F649}"/>
    <cellStyle name="Normal 15 3 2 3 3" xfId="7624" xr:uid="{49FE9771-9A74-402D-8879-B115A58D99A1}"/>
    <cellStyle name="Normal 15 3 2 4" xfId="3397" xr:uid="{8A26FD28-1A4F-4400-AFF5-D781FA7B82A7}"/>
    <cellStyle name="Normal 15 3 2 4 2" xfId="9033" xr:uid="{A5318FA3-059B-49B6-83B7-BA894A03319C}"/>
    <cellStyle name="Normal 15 3 2 5" xfId="6223" xr:uid="{E21B4BC5-20F2-40A6-A850-125427CAE83E}"/>
    <cellStyle name="Normal 15 3 3" xfId="939" xr:uid="{6374624B-AA1D-426C-B26E-BC904AEB550B}"/>
    <cellStyle name="Normal 15 3 3 2" xfId="2340" xr:uid="{1642C1A9-86B9-4D9A-A35C-5BE758E65BCC}"/>
    <cellStyle name="Normal 15 3 3 2 2" xfId="5150" xr:uid="{F0AECFED-0676-4D42-989C-96E32953401C}"/>
    <cellStyle name="Normal 15 3 3 2 2 2" xfId="10786" xr:uid="{91DC91ED-9627-4B0A-8F8E-C2A16BE7400A}"/>
    <cellStyle name="Normal 15 3 3 2 3" xfId="7976" xr:uid="{BE82D14B-A48F-41AF-82F2-7D285388CB71}"/>
    <cellStyle name="Normal 15 3 3 3" xfId="3749" xr:uid="{21F7782A-BE32-4DA9-A438-F31C64C850A0}"/>
    <cellStyle name="Normal 15 3 3 3 2" xfId="9385" xr:uid="{71C84F51-B01D-4112-8552-5DDDC0BC1AF9}"/>
    <cellStyle name="Normal 15 3 3 4" xfId="6575" xr:uid="{2AC50A79-A5A9-43F3-9264-3AADAB55F5A8}"/>
    <cellStyle name="Normal 15 3 4" xfId="1644" xr:uid="{B9B5A062-A34F-45B3-B1AD-AE3259D80434}"/>
    <cellStyle name="Normal 15 3 4 2" xfId="4454" xr:uid="{EE3164D2-1A98-4F59-B8E0-A0E9BAEA30D6}"/>
    <cellStyle name="Normal 15 3 4 2 2" xfId="10090" xr:uid="{EE2ED5D4-7A98-443E-9C8F-1F05A11E8B74}"/>
    <cellStyle name="Normal 15 3 4 3" xfId="7280" xr:uid="{CE1BA9FE-0E29-4FDB-B6C1-BBB1A6065418}"/>
    <cellStyle name="Normal 15 3 5" xfId="3053" xr:uid="{C7496286-B17E-4E1C-A00B-D29C13FECBAD}"/>
    <cellStyle name="Normal 15 3 5 2" xfId="8689" xr:uid="{32197404-6873-4592-AC6B-073AD1DAA5E3}"/>
    <cellStyle name="Normal 15 3 6" xfId="5879" xr:uid="{A0AF5E87-CD20-4BCB-A29A-4862D5538516}"/>
    <cellStyle name="Normal 15 4" xfId="415" xr:uid="{26208B5D-EAE8-4ED9-A272-68493E97EF84}"/>
    <cellStyle name="Normal 15 4 2" xfId="1111" xr:uid="{970895E8-73AD-4B31-BEE9-9907880A5747}"/>
    <cellStyle name="Normal 15 4 2 2" xfId="2512" xr:uid="{81B0011B-CF5C-47FD-A7C5-1D3D9E46D7D8}"/>
    <cellStyle name="Normal 15 4 2 2 2" xfId="5322" xr:uid="{90880EBE-4BC8-49AC-85D1-2540F31A2C0A}"/>
    <cellStyle name="Normal 15 4 2 2 2 2" xfId="10958" xr:uid="{C5E52DF3-B0DF-41D3-86B2-2A054D6BE6DB}"/>
    <cellStyle name="Normal 15 4 2 2 3" xfId="8148" xr:uid="{DA6D8624-475A-4DFF-B882-A61C545F67FF}"/>
    <cellStyle name="Normal 15 4 2 3" xfId="3921" xr:uid="{0C745146-7C6C-4487-B054-3012A0F949C9}"/>
    <cellStyle name="Normal 15 4 2 3 2" xfId="9557" xr:uid="{7DB001A7-3303-40D1-9CF6-81C53647217D}"/>
    <cellStyle name="Normal 15 4 2 4" xfId="6747" xr:uid="{BB3B43E8-35EB-4703-B2B3-C7D4D8E96C78}"/>
    <cellStyle name="Normal 15 4 3" xfId="1816" xr:uid="{19707614-CFA5-4305-95B1-65481690ACDF}"/>
    <cellStyle name="Normal 15 4 3 2" xfId="4626" xr:uid="{9C9D50A2-5DEC-43F3-B643-48D8B5649060}"/>
    <cellStyle name="Normal 15 4 3 2 2" xfId="10262" xr:uid="{74B48FB2-C66D-4214-9B42-57236825C86B}"/>
    <cellStyle name="Normal 15 4 3 3" xfId="7452" xr:uid="{3BD28596-2D4F-4DDE-BB0C-5748AC21DEE6}"/>
    <cellStyle name="Normal 15 4 4" xfId="3225" xr:uid="{91C9021B-1CDA-4BF8-83C8-1C9CBE1A0144}"/>
    <cellStyle name="Normal 15 4 4 2" xfId="8861" xr:uid="{3C693C7C-9DF6-45EA-89DA-3C3AF2484465}"/>
    <cellStyle name="Normal 15 4 5" xfId="6051" xr:uid="{F32D82D5-1FE0-4979-8B2B-8DCCDD91E952}"/>
    <cellStyle name="Normal 15 5" xfId="767" xr:uid="{AF2DBE8B-273A-4578-B298-CFD665034355}"/>
    <cellStyle name="Normal 15 5 2" xfId="2168" xr:uid="{EAD35BEA-E244-47F6-9346-9902B9C8BC7D}"/>
    <cellStyle name="Normal 15 5 2 2" xfId="4978" xr:uid="{63A0BE5B-8614-42A5-9C4D-B6C95463C058}"/>
    <cellStyle name="Normal 15 5 2 2 2" xfId="10614" xr:uid="{20BF236C-D865-4220-B0FD-1238AFBDD302}"/>
    <cellStyle name="Normal 15 5 2 3" xfId="7804" xr:uid="{AFA25C60-5F2E-43D9-BD3F-EB4B733DBA7C}"/>
    <cellStyle name="Normal 15 5 3" xfId="3577" xr:uid="{0ED02156-1EA0-4B4F-819D-46CD270CDD02}"/>
    <cellStyle name="Normal 15 5 3 2" xfId="9213" xr:uid="{6CDEB193-001D-4784-9EF6-1A9FD188261F}"/>
    <cellStyle name="Normal 15 5 4" xfId="6403" xr:uid="{422BE174-D1B4-4ED2-9F93-CBD056F32C6F}"/>
    <cellStyle name="Normal 15 6" xfId="1472" xr:uid="{49694713-F43B-41EA-9910-31CA9B89F55E}"/>
    <cellStyle name="Normal 15 6 2" xfId="4282" xr:uid="{62097F20-7287-4D72-B20D-D11A2757FF49}"/>
    <cellStyle name="Normal 15 6 2 2" xfId="9918" xr:uid="{B810D59E-5D49-4811-86CD-BF71107B62E4}"/>
    <cellStyle name="Normal 15 6 3" xfId="7108" xr:uid="{71F1C9D0-DA47-49B4-98DD-FA7D2088BCFC}"/>
    <cellStyle name="Normal 15 7" xfId="2881" xr:uid="{7EA5C651-17A0-4E4A-9744-92B683817A2A}"/>
    <cellStyle name="Normal 15 7 2" xfId="8517" xr:uid="{282C3F5B-6CC2-411F-B5E9-C73612A30F26}"/>
    <cellStyle name="Normal 15 8" xfId="5707" xr:uid="{44E9E89E-3334-4E8C-9CAD-F0862DD1179D}"/>
    <cellStyle name="Normal 16" xfId="73" xr:uid="{AB6E5F45-5BE2-4566-9DB6-F16170C3BE5A}"/>
    <cellStyle name="Normal 16 2" xfId="153" xr:uid="{D814CE85-4204-471A-93EF-24CDA29E6624}"/>
    <cellStyle name="Normal 16 2 2" xfId="325" xr:uid="{AC577503-3872-4AFF-85FA-60074353A9A4}"/>
    <cellStyle name="Normal 16 2 2 2" xfId="669" xr:uid="{7525301E-B837-4E06-B639-D9494C9B9979}"/>
    <cellStyle name="Normal 16 2 2 2 2" xfId="1365" xr:uid="{29F2F141-EA50-4CEB-A029-7141ED8D92FD}"/>
    <cellStyle name="Normal 16 2 2 2 2 2" xfId="2766" xr:uid="{2618CAC6-7DEC-4A1B-8561-B3A1244B8A14}"/>
    <cellStyle name="Normal 16 2 2 2 2 2 2" xfId="5576" xr:uid="{B821FBB2-9004-4E4E-9487-9AC3B3C8EE69}"/>
    <cellStyle name="Normal 16 2 2 2 2 2 2 2" xfId="11212" xr:uid="{7FC715DA-38B5-48FB-86E0-BBBEAD7BA89A}"/>
    <cellStyle name="Normal 16 2 2 2 2 2 3" xfId="8402" xr:uid="{98C84498-88B6-487A-AE1B-478E758E9831}"/>
    <cellStyle name="Normal 16 2 2 2 2 3" xfId="4175" xr:uid="{F135FA89-5F25-4F8A-8C9F-F5618F83A6E9}"/>
    <cellStyle name="Normal 16 2 2 2 2 3 2" xfId="9811" xr:uid="{1EFE4DCC-B393-410C-813A-3C9DA2BC9968}"/>
    <cellStyle name="Normal 16 2 2 2 2 4" xfId="7001" xr:uid="{46BB00D2-B62E-48FC-95BE-B4EFE2435479}"/>
    <cellStyle name="Normal 16 2 2 2 3" xfId="2070" xr:uid="{99531BDA-CF73-477D-AB40-2E458FC7FAC7}"/>
    <cellStyle name="Normal 16 2 2 2 3 2" xfId="4880" xr:uid="{95142F37-4535-4CD6-B321-2DDF7CCEB84B}"/>
    <cellStyle name="Normal 16 2 2 2 3 2 2" xfId="10516" xr:uid="{CE2F49C5-77F2-480D-B4E2-44E3868CECAA}"/>
    <cellStyle name="Normal 16 2 2 2 3 3" xfId="7706" xr:uid="{42FEE987-6B45-4883-9697-EC9194AE0BD0}"/>
    <cellStyle name="Normal 16 2 2 2 4" xfId="3479" xr:uid="{EE747CE0-AAF0-4EB7-92A8-AEC1B1D32EAF}"/>
    <cellStyle name="Normal 16 2 2 2 4 2" xfId="9115" xr:uid="{888AFC25-9E71-4094-B4D2-0771EF085C6A}"/>
    <cellStyle name="Normal 16 2 2 2 5" xfId="6305" xr:uid="{57D3646F-6AA0-4E11-83EE-33C5945BD279}"/>
    <cellStyle name="Normal 16 2 2 3" xfId="1021" xr:uid="{38808561-F0A2-4298-8917-E48EE713EE25}"/>
    <cellStyle name="Normal 16 2 2 3 2" xfId="2422" xr:uid="{AC525709-3D68-495E-A1F2-8A9738E916B2}"/>
    <cellStyle name="Normal 16 2 2 3 2 2" xfId="5232" xr:uid="{1494608C-9604-46D3-9477-ADAD7292B464}"/>
    <cellStyle name="Normal 16 2 2 3 2 2 2" xfId="10868" xr:uid="{B7B148E1-48DB-408C-B225-4662B4BBC135}"/>
    <cellStyle name="Normal 16 2 2 3 2 3" xfId="8058" xr:uid="{4A9B13C5-F5C0-40DC-9203-E46054EF6E9F}"/>
    <cellStyle name="Normal 16 2 2 3 3" xfId="3831" xr:uid="{D475001B-1013-489A-B21A-D507C00BAE2C}"/>
    <cellStyle name="Normal 16 2 2 3 3 2" xfId="9467" xr:uid="{3A87CF8C-0EC2-44AF-A24F-E7EC0301C659}"/>
    <cellStyle name="Normal 16 2 2 3 4" xfId="6657" xr:uid="{CA148578-C153-4E5A-A182-A5836E6E9D68}"/>
    <cellStyle name="Normal 16 2 2 4" xfId="1726" xr:uid="{8D4293DA-DC5A-4341-BAA1-E341B803D01E}"/>
    <cellStyle name="Normal 16 2 2 4 2" xfId="4536" xr:uid="{AC16E7C2-6268-4E27-9414-2B72F347C84D}"/>
    <cellStyle name="Normal 16 2 2 4 2 2" xfId="10172" xr:uid="{CBF811F5-1507-4C24-AF2B-202A225AB274}"/>
    <cellStyle name="Normal 16 2 2 4 3" xfId="7362" xr:uid="{D3CA3AE3-85EB-4BFC-91BF-890CB0F21487}"/>
    <cellStyle name="Normal 16 2 2 5" xfId="3135" xr:uid="{BA5C8298-816B-426A-BE36-18ECEC0AF28C}"/>
    <cellStyle name="Normal 16 2 2 5 2" xfId="8771" xr:uid="{E98B6627-E0B1-452B-8F3A-301C9C1896D1}"/>
    <cellStyle name="Normal 16 2 2 6" xfId="5961" xr:uid="{FE46A2DE-9040-40D5-A62F-064DDCED041A}"/>
    <cellStyle name="Normal 16 2 3" xfId="497" xr:uid="{29BA8B6B-D15D-4C9B-B48B-D3C9F3D706CC}"/>
    <cellStyle name="Normal 16 2 3 2" xfId="1193" xr:uid="{0697BE86-D209-4491-B8AF-4B71CF6F2283}"/>
    <cellStyle name="Normal 16 2 3 2 2" xfId="2594" xr:uid="{F3FDC40E-4819-4093-A337-EA8632A0CA76}"/>
    <cellStyle name="Normal 16 2 3 2 2 2" xfId="5404" xr:uid="{143337AA-27BC-4FA3-AD4F-D60E947B825F}"/>
    <cellStyle name="Normal 16 2 3 2 2 2 2" xfId="11040" xr:uid="{00122390-1D07-44A7-AFAA-703B2F2F510B}"/>
    <cellStyle name="Normal 16 2 3 2 2 3" xfId="8230" xr:uid="{48E87225-89B3-485C-8699-0CD0A4073C10}"/>
    <cellStyle name="Normal 16 2 3 2 3" xfId="4003" xr:uid="{C86033E8-0DED-4CFA-8F5B-244E058B1FFC}"/>
    <cellStyle name="Normal 16 2 3 2 3 2" xfId="9639" xr:uid="{9A728709-2852-4EE2-BFEF-D013A020F2AB}"/>
    <cellStyle name="Normal 16 2 3 2 4" xfId="6829" xr:uid="{9B5D45E6-74D4-4188-A6EA-3B375C17B304}"/>
    <cellStyle name="Normal 16 2 3 3" xfId="1898" xr:uid="{D17E0525-FD74-4567-B93F-E6FC7CF0E28C}"/>
    <cellStyle name="Normal 16 2 3 3 2" xfId="4708" xr:uid="{D975B56C-2726-4422-9976-B5751B37C5EA}"/>
    <cellStyle name="Normal 16 2 3 3 2 2" xfId="10344" xr:uid="{FDACDD31-D866-4F97-B11A-E4D91AFB11DB}"/>
    <cellStyle name="Normal 16 2 3 3 3" xfId="7534" xr:uid="{98B087E7-A6D3-4DCD-9883-5CAC3A14411B}"/>
    <cellStyle name="Normal 16 2 3 4" xfId="3307" xr:uid="{6428ECBD-8171-465A-9C83-C278092B2C69}"/>
    <cellStyle name="Normal 16 2 3 4 2" xfId="8943" xr:uid="{1957E4A1-3BC4-4020-B849-374832486DD3}"/>
    <cellStyle name="Normal 16 2 3 5" xfId="6133" xr:uid="{281C6E05-0665-4420-9BFE-A66A791578DB}"/>
    <cellStyle name="Normal 16 2 4" xfId="849" xr:uid="{B28E6E7E-16CC-43F9-A3BB-A9134C448BA5}"/>
    <cellStyle name="Normal 16 2 4 2" xfId="2250" xr:uid="{A6A7F265-AD03-4D68-83BD-FA33B1BFCEF9}"/>
    <cellStyle name="Normal 16 2 4 2 2" xfId="5060" xr:uid="{0786D375-0736-484A-8A9A-8DFDA5CD382C}"/>
    <cellStyle name="Normal 16 2 4 2 2 2" xfId="10696" xr:uid="{BFEB1440-16E0-4620-9462-58BAE930E299}"/>
    <cellStyle name="Normal 16 2 4 2 3" xfId="7886" xr:uid="{38803D4B-E27B-49F4-BC4C-58F81F66BCFF}"/>
    <cellStyle name="Normal 16 2 4 3" xfId="3659" xr:uid="{E788765A-BF7B-465E-A0A8-79B6998D6A69}"/>
    <cellStyle name="Normal 16 2 4 3 2" xfId="9295" xr:uid="{3FEF5C0D-588B-4E29-A510-A761CF99A9F1}"/>
    <cellStyle name="Normal 16 2 4 4" xfId="6485" xr:uid="{5A5D40E0-E2CD-43D0-9025-99F8D8C30B80}"/>
    <cellStyle name="Normal 16 2 5" xfId="1554" xr:uid="{E3E83692-A359-449A-8F8C-5A0A27DE1715}"/>
    <cellStyle name="Normal 16 2 5 2" xfId="4364" xr:uid="{AD3737AE-E442-4FB7-BF0D-3118C9DB4F6C}"/>
    <cellStyle name="Normal 16 2 5 2 2" xfId="10000" xr:uid="{F20EA1C8-BA86-49D4-8FFD-8D68E871F942}"/>
    <cellStyle name="Normal 16 2 5 3" xfId="7190" xr:uid="{D1B77C59-0305-496A-9AB4-4E4504BF0477}"/>
    <cellStyle name="Normal 16 2 6" xfId="2963" xr:uid="{B32BF199-DCF9-4BA5-AC63-3E2BE6604A89}"/>
    <cellStyle name="Normal 16 2 6 2" xfId="8599" xr:uid="{746A13D6-733E-4D02-AB51-A7C0694E42DF}"/>
    <cellStyle name="Normal 16 2 7" xfId="5789" xr:uid="{BF85C6B8-FAA8-4CB7-A5F3-291435D0A70E}"/>
    <cellStyle name="Normal 16 3" xfId="245" xr:uid="{44CD1515-7CD9-4354-9663-B7939FDA19BD}"/>
    <cellStyle name="Normal 16 3 2" xfId="589" xr:uid="{D903BFF6-A423-4487-9E03-C49C5469DA6E}"/>
    <cellStyle name="Normal 16 3 2 2" xfId="1285" xr:uid="{A7C4EC67-6A2C-46AF-8555-E11CF75E4BD0}"/>
    <cellStyle name="Normal 16 3 2 2 2" xfId="2686" xr:uid="{C7350350-B4D9-46D9-80F5-D150B6FCD6A0}"/>
    <cellStyle name="Normal 16 3 2 2 2 2" xfId="5496" xr:uid="{A91B63A5-E4CB-4FDD-B27D-40545A5DD302}"/>
    <cellStyle name="Normal 16 3 2 2 2 2 2" xfId="11132" xr:uid="{26C124D1-9DE4-48CB-A987-72CF3364475A}"/>
    <cellStyle name="Normal 16 3 2 2 2 3" xfId="8322" xr:uid="{CBF421F3-5863-4AAD-AD2B-7ECFC9EB9034}"/>
    <cellStyle name="Normal 16 3 2 2 3" xfId="4095" xr:uid="{3D0E5F54-7A39-4271-BC8C-C21A91AE623D}"/>
    <cellStyle name="Normal 16 3 2 2 3 2" xfId="9731" xr:uid="{98F045A2-AEE7-43E5-BCE4-D77B20B82910}"/>
    <cellStyle name="Normal 16 3 2 2 4" xfId="6921" xr:uid="{17F961C4-0754-4CD5-A3C8-46D166CD47B4}"/>
    <cellStyle name="Normal 16 3 2 3" xfId="1990" xr:uid="{A4F6BFE2-7931-4B07-A60B-9F9FC375CD74}"/>
    <cellStyle name="Normal 16 3 2 3 2" xfId="4800" xr:uid="{F9D15A1F-F9B2-45A7-B196-A2EECD1F3D65}"/>
    <cellStyle name="Normal 16 3 2 3 2 2" xfId="10436" xr:uid="{9A48AFAA-7C36-49C5-8A61-ADAEF321D6D7}"/>
    <cellStyle name="Normal 16 3 2 3 3" xfId="7626" xr:uid="{D3E0E83B-1BFA-4EF3-B9C1-A424164AACDF}"/>
    <cellStyle name="Normal 16 3 2 4" xfId="3399" xr:uid="{52125F73-B6BF-47F9-8216-ABA89BFA3E36}"/>
    <cellStyle name="Normal 16 3 2 4 2" xfId="9035" xr:uid="{C7F65604-8279-4FA8-84A2-F33A3DBA77A3}"/>
    <cellStyle name="Normal 16 3 2 5" xfId="6225" xr:uid="{BCCB7541-2892-4F13-899C-6E16D52081CB}"/>
    <cellStyle name="Normal 16 3 3" xfId="941" xr:uid="{BDE86E4C-09C2-4B9E-8205-A008FD9FC9AC}"/>
    <cellStyle name="Normal 16 3 3 2" xfId="2342" xr:uid="{EA99250A-6905-4F55-9936-5FB5D01FDF07}"/>
    <cellStyle name="Normal 16 3 3 2 2" xfId="5152" xr:uid="{A20B1906-9E7A-4C1B-BC0F-4FDA33EE9807}"/>
    <cellStyle name="Normal 16 3 3 2 2 2" xfId="10788" xr:uid="{7BEC1139-7820-485B-A343-E99F1B61AC19}"/>
    <cellStyle name="Normal 16 3 3 2 3" xfId="7978" xr:uid="{4AFF06C5-7F95-4350-9347-B856E92E4D94}"/>
    <cellStyle name="Normal 16 3 3 3" xfId="3751" xr:uid="{C3594EC2-3CF6-45AE-BF52-806137F92F12}"/>
    <cellStyle name="Normal 16 3 3 3 2" xfId="9387" xr:uid="{7BB0E209-47EC-4E92-9429-6B1B4C6A6800}"/>
    <cellStyle name="Normal 16 3 3 4" xfId="6577" xr:uid="{A7BA99A9-D8C5-4F07-8230-9B14A06EC1BC}"/>
    <cellStyle name="Normal 16 3 4" xfId="1646" xr:uid="{61ED633F-6D6C-4591-8992-E86132F4CE8B}"/>
    <cellStyle name="Normal 16 3 4 2" xfId="4456" xr:uid="{C7A3645A-F779-40F7-A767-4F97332E65FF}"/>
    <cellStyle name="Normal 16 3 4 2 2" xfId="10092" xr:uid="{B3349A84-69B1-42BF-853C-60D194064D3B}"/>
    <cellStyle name="Normal 16 3 4 3" xfId="7282" xr:uid="{2B7246D6-1E9B-438F-8724-0B6058ED243F}"/>
    <cellStyle name="Normal 16 3 5" xfId="3055" xr:uid="{D99D808C-6474-41AE-A3A9-448BD706A49C}"/>
    <cellStyle name="Normal 16 3 5 2" xfId="8691" xr:uid="{CA584D2A-7310-4EAE-AAD9-92D4CB068C8D}"/>
    <cellStyle name="Normal 16 3 6" xfId="5881" xr:uid="{834F16A8-7C98-4AC2-B713-13DDE98964F0}"/>
    <cellStyle name="Normal 16 4" xfId="417" xr:uid="{7FE7EC5E-A6AC-4B7C-84B7-EFDA650B35FB}"/>
    <cellStyle name="Normal 16 4 2" xfId="1113" xr:uid="{4FD03916-CA5B-43AA-B343-67BE641206DE}"/>
    <cellStyle name="Normal 16 4 2 2" xfId="2514" xr:uid="{9384898A-0C50-4E2E-954B-E31A9A7BC2BA}"/>
    <cellStyle name="Normal 16 4 2 2 2" xfId="5324" xr:uid="{12527FAD-BA58-450F-8F65-844315160BA8}"/>
    <cellStyle name="Normal 16 4 2 2 2 2" xfId="10960" xr:uid="{5802FC83-3A4D-416C-B854-247EADB07158}"/>
    <cellStyle name="Normal 16 4 2 2 3" xfId="8150" xr:uid="{2C43C245-73EB-4C3E-AE10-C4948729C04A}"/>
    <cellStyle name="Normal 16 4 2 3" xfId="3923" xr:uid="{BC655177-905C-458F-A598-D633F79CECFE}"/>
    <cellStyle name="Normal 16 4 2 3 2" xfId="9559" xr:uid="{CD36F93D-9413-446B-A48E-C1FFE1F50EB7}"/>
    <cellStyle name="Normal 16 4 2 4" xfId="6749" xr:uid="{34FC5FCD-352C-46A0-A474-88DF7DAB1916}"/>
    <cellStyle name="Normal 16 4 3" xfId="1818" xr:uid="{3C18B059-5F72-4924-B86A-528F64AC4BE1}"/>
    <cellStyle name="Normal 16 4 3 2" xfId="4628" xr:uid="{22535009-A146-4327-BAE3-0B566E2AB938}"/>
    <cellStyle name="Normal 16 4 3 2 2" xfId="10264" xr:uid="{285C9F0C-5133-4D72-B2FB-C5B32F3F0CF4}"/>
    <cellStyle name="Normal 16 4 3 3" xfId="7454" xr:uid="{2B6B8E65-EAB0-4217-8B24-27D0D90A7524}"/>
    <cellStyle name="Normal 16 4 4" xfId="3227" xr:uid="{5FB6FF68-FCB4-489D-B2E8-853703FCBBF2}"/>
    <cellStyle name="Normal 16 4 4 2" xfId="8863" xr:uid="{96107EED-61A5-4DDE-9712-BF03E4CFFD6F}"/>
    <cellStyle name="Normal 16 4 5" xfId="6053" xr:uid="{BD9A7497-C857-4769-A3B9-062D342BD542}"/>
    <cellStyle name="Normal 16 5" xfId="769" xr:uid="{E0B45FB6-FB22-4F0F-9EBB-EA652ED44996}"/>
    <cellStyle name="Normal 16 5 2" xfId="2170" xr:uid="{4092E054-AC7E-4651-8CD3-8DB61E29E028}"/>
    <cellStyle name="Normal 16 5 2 2" xfId="4980" xr:uid="{BD26223C-046D-4291-95FF-7EBE0770892C}"/>
    <cellStyle name="Normal 16 5 2 2 2" xfId="10616" xr:uid="{2BC0C10E-9A85-4258-9202-942220C224BB}"/>
    <cellStyle name="Normal 16 5 2 3" xfId="7806" xr:uid="{AB90519C-7D17-49E0-87A2-FA167B832D6A}"/>
    <cellStyle name="Normal 16 5 3" xfId="3579" xr:uid="{C5F44631-0CE0-491B-BD0E-FBE8DED5EB89}"/>
    <cellStyle name="Normal 16 5 3 2" xfId="9215" xr:uid="{64CA1699-5CC5-4846-BB19-13D4AE333CBC}"/>
    <cellStyle name="Normal 16 5 4" xfId="6405" xr:uid="{8F4DFF44-0953-4676-845B-6FF47BACAA2D}"/>
    <cellStyle name="Normal 16 6" xfId="1474" xr:uid="{51E67DF5-7953-4CE0-9AD5-9B6ED386080B}"/>
    <cellStyle name="Normal 16 6 2" xfId="4284" xr:uid="{BBD6EE23-53B5-4ACD-A5BA-6069F3BB4175}"/>
    <cellStyle name="Normal 16 6 2 2" xfId="9920" xr:uid="{2137597E-E2EB-405F-924C-8EDEBDD5E042}"/>
    <cellStyle name="Normal 16 6 3" xfId="7110" xr:uid="{F4EA1C5D-18E1-47F4-A1DE-AF4ABBB2BBE5}"/>
    <cellStyle name="Normal 16 7" xfId="2883" xr:uid="{B7046102-DB6C-475E-BAD2-93908BB4E47C}"/>
    <cellStyle name="Normal 16 7 2" xfId="8519" xr:uid="{93C54603-A102-443E-B843-02B4899DE75E}"/>
    <cellStyle name="Normal 16 8" xfId="5709" xr:uid="{D0C7A7CA-D950-482A-9977-EA0041E6C2EB}"/>
    <cellStyle name="Normal 17" xfId="75" xr:uid="{6F1E8DA1-D6F5-4C70-A815-8BB70BA9F68B}"/>
    <cellStyle name="Normal 17 2" xfId="155" xr:uid="{087C3456-CD20-4D2A-9D0D-94FB7E4AE6D4}"/>
    <cellStyle name="Normal 17 2 2" xfId="327" xr:uid="{0CCCAA00-F30E-48D2-8EE9-42B8F3BFCCDB}"/>
    <cellStyle name="Normal 17 2 2 2" xfId="671" xr:uid="{183AB6F4-17D3-45E4-A035-CEC51326DA9F}"/>
    <cellStyle name="Normal 17 2 2 2 2" xfId="1367" xr:uid="{EAA69027-E61A-46DE-AEB9-9DE246DD1F45}"/>
    <cellStyle name="Normal 17 2 2 2 2 2" xfId="2768" xr:uid="{3B14B3DA-99B0-40D3-88B3-60C5CD81F280}"/>
    <cellStyle name="Normal 17 2 2 2 2 2 2" xfId="5578" xr:uid="{C34E72BA-1F5C-4B40-83AB-C754BC5DC2D5}"/>
    <cellStyle name="Normal 17 2 2 2 2 2 2 2" xfId="11214" xr:uid="{EB732C8B-795E-40D0-9716-A7DED20B5083}"/>
    <cellStyle name="Normal 17 2 2 2 2 2 3" xfId="8404" xr:uid="{9FFE9297-7174-42E8-878D-44F3C869FB41}"/>
    <cellStyle name="Normal 17 2 2 2 2 3" xfId="4177" xr:uid="{6A5B899D-0112-479A-92D1-6007C5BC32FC}"/>
    <cellStyle name="Normal 17 2 2 2 2 3 2" xfId="9813" xr:uid="{64F5A1B5-B007-41AE-81D2-A828874B79DA}"/>
    <cellStyle name="Normal 17 2 2 2 2 4" xfId="7003" xr:uid="{A5F3F14E-6324-4A1E-BCF4-2A1B846F58F6}"/>
    <cellStyle name="Normal 17 2 2 2 3" xfId="2072" xr:uid="{2A98C805-B4BE-4E3B-9B24-227F2F4A37BF}"/>
    <cellStyle name="Normal 17 2 2 2 3 2" xfId="4882" xr:uid="{3776CB85-A1BA-47FA-B85F-D8B3A8F12DD6}"/>
    <cellStyle name="Normal 17 2 2 2 3 2 2" xfId="10518" xr:uid="{B9B70AF1-ED04-4BEE-A6D0-FD685D73B99B}"/>
    <cellStyle name="Normal 17 2 2 2 3 3" xfId="7708" xr:uid="{284B412B-2F03-415D-913D-A5FE57FA42BC}"/>
    <cellStyle name="Normal 17 2 2 2 4" xfId="3481" xr:uid="{3D1E89D4-73C7-44C4-B07E-FE83FF3A0333}"/>
    <cellStyle name="Normal 17 2 2 2 4 2" xfId="9117" xr:uid="{655800F3-F7DD-4448-8691-6860D7F25520}"/>
    <cellStyle name="Normal 17 2 2 2 5" xfId="6307" xr:uid="{E86349A6-7D36-4B03-8F13-053769F8FCA5}"/>
    <cellStyle name="Normal 17 2 2 3" xfId="1023" xr:uid="{1145EA81-46E5-4F02-A88D-FEE4A7C7DDF4}"/>
    <cellStyle name="Normal 17 2 2 3 2" xfId="2424" xr:uid="{F98D8314-4F5D-4C08-A698-D075797709C8}"/>
    <cellStyle name="Normal 17 2 2 3 2 2" xfId="5234" xr:uid="{B2BAF907-CB78-4D17-BEA0-1DE4E3B1C1D3}"/>
    <cellStyle name="Normal 17 2 2 3 2 2 2" xfId="10870" xr:uid="{990A4418-8573-4394-8126-73C9D3098E65}"/>
    <cellStyle name="Normal 17 2 2 3 2 3" xfId="8060" xr:uid="{12D39A86-86C9-43D2-B634-91951207C10A}"/>
    <cellStyle name="Normal 17 2 2 3 3" xfId="3833" xr:uid="{F9B78A5F-AC8B-4D01-AF2D-A9F761D55663}"/>
    <cellStyle name="Normal 17 2 2 3 3 2" xfId="9469" xr:uid="{FC9C7EC3-7750-4FDA-84BA-B964937586EC}"/>
    <cellStyle name="Normal 17 2 2 3 4" xfId="6659" xr:uid="{B66FDD72-3805-4E61-9D06-E79F87208589}"/>
    <cellStyle name="Normal 17 2 2 4" xfId="1728" xr:uid="{E64BDCB5-17A2-4F89-BF0A-EF9E9BE774A7}"/>
    <cellStyle name="Normal 17 2 2 4 2" xfId="4538" xr:uid="{0CC9C89D-6955-44BB-8190-ABC087B2F249}"/>
    <cellStyle name="Normal 17 2 2 4 2 2" xfId="10174" xr:uid="{2D0244E2-5E1A-489E-A039-4B0E127D0710}"/>
    <cellStyle name="Normal 17 2 2 4 3" xfId="7364" xr:uid="{D74D0E30-629C-41B2-8753-DCFE8394FDD2}"/>
    <cellStyle name="Normal 17 2 2 5" xfId="3137" xr:uid="{F684BC15-439F-4EA2-B1F5-A0D81907E80B}"/>
    <cellStyle name="Normal 17 2 2 5 2" xfId="8773" xr:uid="{9611B850-F75F-46BB-B11F-BC982A51A178}"/>
    <cellStyle name="Normal 17 2 2 6" xfId="5963" xr:uid="{50CA4DC1-53E4-4DC5-8D63-451C43D2B57F}"/>
    <cellStyle name="Normal 17 2 3" xfId="499" xr:uid="{21543B22-556A-41BA-9DBD-B2275ED15EAA}"/>
    <cellStyle name="Normal 17 2 3 2" xfId="1195" xr:uid="{8C32E1F7-1C62-4810-A7B8-D37F7D2A114B}"/>
    <cellStyle name="Normal 17 2 3 2 2" xfId="2596" xr:uid="{5E0CE21D-B9CF-42D4-8AFA-F2EF804CF62F}"/>
    <cellStyle name="Normal 17 2 3 2 2 2" xfId="5406" xr:uid="{315AA1B3-0BA5-4842-84CA-D790A6B4D985}"/>
    <cellStyle name="Normal 17 2 3 2 2 2 2" xfId="11042" xr:uid="{188EA909-6567-409E-A18D-D60076D8F6DC}"/>
    <cellStyle name="Normal 17 2 3 2 2 3" xfId="8232" xr:uid="{4F87FDE6-E677-49B1-861A-897F6E2155A8}"/>
    <cellStyle name="Normal 17 2 3 2 3" xfId="4005" xr:uid="{D434033B-EC14-43F9-A21D-0D0A8F0C3C9E}"/>
    <cellStyle name="Normal 17 2 3 2 3 2" xfId="9641" xr:uid="{6DE0DBBD-4525-4AAE-9B6F-1F933B922A66}"/>
    <cellStyle name="Normal 17 2 3 2 4" xfId="6831" xr:uid="{8C64E316-D84D-4407-9A94-91455877E3C1}"/>
    <cellStyle name="Normal 17 2 3 3" xfId="1900" xr:uid="{A8014AD8-9B83-4772-861D-3641AFCFF0A1}"/>
    <cellStyle name="Normal 17 2 3 3 2" xfId="4710" xr:uid="{696C1269-9C76-485F-8BBF-D4149C46C249}"/>
    <cellStyle name="Normal 17 2 3 3 2 2" xfId="10346" xr:uid="{3544A936-ECFD-417D-AE66-1DE3F028CB1B}"/>
    <cellStyle name="Normal 17 2 3 3 3" xfId="7536" xr:uid="{AAB7BCAA-6140-4291-9CEE-B4A4D87FC3C6}"/>
    <cellStyle name="Normal 17 2 3 4" xfId="3309" xr:uid="{237EC503-ED76-4342-9F44-7936E3B24219}"/>
    <cellStyle name="Normal 17 2 3 4 2" xfId="8945" xr:uid="{CD246849-018B-4680-8F93-11ED05F8C135}"/>
    <cellStyle name="Normal 17 2 3 5" xfId="6135" xr:uid="{6991A546-0C70-4272-ADC1-BA98825BD2C6}"/>
    <cellStyle name="Normal 17 2 4" xfId="851" xr:uid="{98A0B8D0-176E-466E-A9B9-BDC3BFD961DA}"/>
    <cellStyle name="Normal 17 2 4 2" xfId="2252" xr:uid="{E4E87B24-E5A4-4BC5-9EFA-1FCFD23936D2}"/>
    <cellStyle name="Normal 17 2 4 2 2" xfId="5062" xr:uid="{BC2F4C68-2F01-4DFE-9E2A-4C57A16EA39F}"/>
    <cellStyle name="Normal 17 2 4 2 2 2" xfId="10698" xr:uid="{E8E6B1F8-517E-4199-A778-BC226E8E901A}"/>
    <cellStyle name="Normal 17 2 4 2 3" xfId="7888" xr:uid="{B58E9721-656A-4C8F-8DEB-85D867D5AA46}"/>
    <cellStyle name="Normal 17 2 4 3" xfId="3661" xr:uid="{488AD723-513B-462C-8DF0-0C5DA8013C59}"/>
    <cellStyle name="Normal 17 2 4 3 2" xfId="9297" xr:uid="{5A8BEE9F-69FB-4300-A163-B6277FD2922C}"/>
    <cellStyle name="Normal 17 2 4 4" xfId="6487" xr:uid="{0DBE2B28-E9B0-4890-A550-E1D775D0475F}"/>
    <cellStyle name="Normal 17 2 5" xfId="1556" xr:uid="{8D76F664-3302-4A2D-89B2-8DDCC2B220E8}"/>
    <cellStyle name="Normal 17 2 5 2" xfId="4366" xr:uid="{6545B884-85D7-4EEE-BCF7-815B333E4BDA}"/>
    <cellStyle name="Normal 17 2 5 2 2" xfId="10002" xr:uid="{0A992A07-E5B5-4295-94CD-7E6BD2F906A0}"/>
    <cellStyle name="Normal 17 2 5 3" xfId="7192" xr:uid="{0B9A2E9F-ABDC-417D-B863-F8ED01460311}"/>
    <cellStyle name="Normal 17 2 6" xfId="2965" xr:uid="{876D6EC9-644F-4B00-8C1C-88E30FC09F39}"/>
    <cellStyle name="Normal 17 2 6 2" xfId="8601" xr:uid="{FEEFBF6F-9179-405D-B996-71837F7AF933}"/>
    <cellStyle name="Normal 17 2 7" xfId="5791" xr:uid="{F14F2555-DB29-4213-B9BB-BD63711852B3}"/>
    <cellStyle name="Normal 17 3" xfId="247" xr:uid="{B976E3A4-431B-4885-9316-2239E51B642C}"/>
    <cellStyle name="Normal 17 3 2" xfId="591" xr:uid="{D0A9E90E-7670-47DB-9C7B-60C4FF4048D7}"/>
    <cellStyle name="Normal 17 3 2 2" xfId="1287" xr:uid="{5FB2B0B7-BE39-4A58-91A0-759C7145796B}"/>
    <cellStyle name="Normal 17 3 2 2 2" xfId="2688" xr:uid="{0474EEC2-9204-4BBC-803E-575148849F61}"/>
    <cellStyle name="Normal 17 3 2 2 2 2" xfId="5498" xr:uid="{4710F584-4B6E-40D6-ADE1-0C80915F8C54}"/>
    <cellStyle name="Normal 17 3 2 2 2 2 2" xfId="11134" xr:uid="{E1A9BF34-F5D3-47BB-9416-4D0DC8EDFD08}"/>
    <cellStyle name="Normal 17 3 2 2 2 3" xfId="8324" xr:uid="{88A87BFB-42FD-4557-8851-F31146FF2384}"/>
    <cellStyle name="Normal 17 3 2 2 3" xfId="4097" xr:uid="{CB87A915-146B-46FD-AD8C-F30D66292F8C}"/>
    <cellStyle name="Normal 17 3 2 2 3 2" xfId="9733" xr:uid="{35C544DD-3785-4E0A-BE66-2FF7C45CFE53}"/>
    <cellStyle name="Normal 17 3 2 2 4" xfId="6923" xr:uid="{65301152-0266-47D3-98E5-0DEAA835519B}"/>
    <cellStyle name="Normal 17 3 2 3" xfId="1992" xr:uid="{BD314969-3542-4F22-8ED9-490D85A86216}"/>
    <cellStyle name="Normal 17 3 2 3 2" xfId="4802" xr:uid="{9AC05620-4FBA-4D86-A683-891F97648761}"/>
    <cellStyle name="Normal 17 3 2 3 2 2" xfId="10438" xr:uid="{560DB88A-7854-4066-B175-8DE6E4A5678F}"/>
    <cellStyle name="Normal 17 3 2 3 3" xfId="7628" xr:uid="{AB0F5A96-DA37-423B-9B00-20C11727EDB8}"/>
    <cellStyle name="Normal 17 3 2 4" xfId="3401" xr:uid="{8B6D2881-BFD3-43AA-A949-F3B20515F70C}"/>
    <cellStyle name="Normal 17 3 2 4 2" xfId="9037" xr:uid="{E4554824-E391-4C4A-9320-644C5F64F3AF}"/>
    <cellStyle name="Normal 17 3 2 5" xfId="6227" xr:uid="{A33F4E0E-D91C-4384-82B6-6DC237692166}"/>
    <cellStyle name="Normal 17 3 3" xfId="943" xr:uid="{192E423D-0B5C-4DFC-A94E-F7EE57C45BBA}"/>
    <cellStyle name="Normal 17 3 3 2" xfId="2344" xr:uid="{6F151FC5-0B65-48FB-B48C-633F6AC6DDB9}"/>
    <cellStyle name="Normal 17 3 3 2 2" xfId="5154" xr:uid="{FF116AB1-68F6-4F5F-B922-3E7854EAF989}"/>
    <cellStyle name="Normal 17 3 3 2 2 2" xfId="10790" xr:uid="{6D391772-9D90-470B-8AED-744328476D16}"/>
    <cellStyle name="Normal 17 3 3 2 3" xfId="7980" xr:uid="{EC96B040-A854-435E-89F3-B0CAC73E526E}"/>
    <cellStyle name="Normal 17 3 3 3" xfId="3753" xr:uid="{8CF79AE7-10D4-4D9D-AAEB-FDF92AA6E5D2}"/>
    <cellStyle name="Normal 17 3 3 3 2" xfId="9389" xr:uid="{B08D180D-6ECB-4305-B41A-FD8E020E3A7B}"/>
    <cellStyle name="Normal 17 3 3 4" xfId="6579" xr:uid="{B4F2AB5A-E1BD-4105-AD9F-9E9BE8CF7FF6}"/>
    <cellStyle name="Normal 17 3 4" xfId="1648" xr:uid="{2C60E36D-29E9-457E-9F6C-3FCA579E50B1}"/>
    <cellStyle name="Normal 17 3 4 2" xfId="4458" xr:uid="{806C494D-92D6-4014-932E-D07BB7C0D22E}"/>
    <cellStyle name="Normal 17 3 4 2 2" xfId="10094" xr:uid="{DDD47C12-F660-421A-9C67-C626022D9128}"/>
    <cellStyle name="Normal 17 3 4 3" xfId="7284" xr:uid="{EB678B2B-22C1-4246-8CF6-8DCC650442C7}"/>
    <cellStyle name="Normal 17 3 5" xfId="3057" xr:uid="{30C141F7-F2B0-49D0-BA96-D471DFA7394B}"/>
    <cellStyle name="Normal 17 3 5 2" xfId="8693" xr:uid="{102D0CF5-601F-4CB0-8FFB-D44E53B14B55}"/>
    <cellStyle name="Normal 17 3 6" xfId="5883" xr:uid="{E6224527-6272-47CB-B89D-D84D5F967F43}"/>
    <cellStyle name="Normal 17 4" xfId="419" xr:uid="{26BDF037-DB23-4547-885D-6D9807318E0D}"/>
    <cellStyle name="Normal 17 4 2" xfId="1115" xr:uid="{E9C615BA-F2F9-46E3-B3B2-8CACABB73C27}"/>
    <cellStyle name="Normal 17 4 2 2" xfId="2516" xr:uid="{63AEFDBF-7DFF-430E-A668-9B561DB5F10E}"/>
    <cellStyle name="Normal 17 4 2 2 2" xfId="5326" xr:uid="{BCDF169F-9E3A-4B80-A87F-69E97840CF26}"/>
    <cellStyle name="Normal 17 4 2 2 2 2" xfId="10962" xr:uid="{B69A59F0-0D6E-46CE-BF03-C1F0AD4AC442}"/>
    <cellStyle name="Normal 17 4 2 2 3" xfId="8152" xr:uid="{4EEE5BAF-AB19-4755-A38D-E2BF7716E7B7}"/>
    <cellStyle name="Normal 17 4 2 3" xfId="3925" xr:uid="{E73C9897-F9DA-41C7-8A1B-BED26DDC0698}"/>
    <cellStyle name="Normal 17 4 2 3 2" xfId="9561" xr:uid="{F37FE841-8238-446C-B2B2-E4E29DAAD3A3}"/>
    <cellStyle name="Normal 17 4 2 4" xfId="6751" xr:uid="{5B0F4923-F861-4498-B7D7-AA78C8CAF9DF}"/>
    <cellStyle name="Normal 17 4 3" xfId="1820" xr:uid="{F1737A8A-C71C-46C9-828E-DA896D438B3B}"/>
    <cellStyle name="Normal 17 4 3 2" xfId="4630" xr:uid="{CE7703BB-DFB4-44C8-B8AC-9474911C113E}"/>
    <cellStyle name="Normal 17 4 3 2 2" xfId="10266" xr:uid="{4CE28F24-D9F0-46CD-98F0-38121C0163CD}"/>
    <cellStyle name="Normal 17 4 3 3" xfId="7456" xr:uid="{53CFFE04-C04A-408A-AB62-FD7D57BC6414}"/>
    <cellStyle name="Normal 17 4 4" xfId="3229" xr:uid="{73D7CA2B-2946-44F6-8148-E1B5778A86A5}"/>
    <cellStyle name="Normal 17 4 4 2" xfId="8865" xr:uid="{493F0705-0B1E-4E9D-A042-26DB045DF2A2}"/>
    <cellStyle name="Normal 17 4 5" xfId="6055" xr:uid="{B22114B4-2F21-4D2B-8D84-D93817744FBF}"/>
    <cellStyle name="Normal 17 5" xfId="771" xr:uid="{7DE52630-5BFE-411C-972D-3E258F4B171A}"/>
    <cellStyle name="Normal 17 5 2" xfId="2172" xr:uid="{987971DE-40B8-4AB7-8977-EC5885B7279C}"/>
    <cellStyle name="Normal 17 5 2 2" xfId="4982" xr:uid="{7BE7FDD8-DC85-4B2B-971B-495524420B74}"/>
    <cellStyle name="Normal 17 5 2 2 2" xfId="10618" xr:uid="{AE6A527B-266E-4774-AEC3-317071B173CF}"/>
    <cellStyle name="Normal 17 5 2 3" xfId="7808" xr:uid="{8464445D-91EA-4023-B3B4-0D9CF1F1ED02}"/>
    <cellStyle name="Normal 17 5 3" xfId="3581" xr:uid="{927439E5-D608-4E40-8659-51CFD412E648}"/>
    <cellStyle name="Normal 17 5 3 2" xfId="9217" xr:uid="{E0964C86-9C1C-472F-869A-551BEFDCAA29}"/>
    <cellStyle name="Normal 17 5 4" xfId="6407" xr:uid="{8D411FDF-6B58-4637-93EB-4E37AEA267E7}"/>
    <cellStyle name="Normal 17 6" xfId="1476" xr:uid="{B6042E6D-5541-4F5D-95FB-88688E5C70EB}"/>
    <cellStyle name="Normal 17 6 2" xfId="4286" xr:uid="{223F388F-1286-4842-877E-ADF0F709C111}"/>
    <cellStyle name="Normal 17 6 2 2" xfId="9922" xr:uid="{041E6DB4-DCBB-4CC1-9756-A4AEE5364188}"/>
    <cellStyle name="Normal 17 6 3" xfId="7112" xr:uid="{53CF99E5-C3DF-44A4-99E3-CCF2B346B505}"/>
    <cellStyle name="Normal 17 7" xfId="2885" xr:uid="{BC170B05-BCD0-4A76-9E17-B5BB68524968}"/>
    <cellStyle name="Normal 17 7 2" xfId="8521" xr:uid="{24D7343D-712E-4906-87E0-9F90AF70ACD6}"/>
    <cellStyle name="Normal 17 8" xfId="5711" xr:uid="{151725D8-D607-4803-84DC-1F3D211190E2}"/>
    <cellStyle name="Normal 18" xfId="77" xr:uid="{6BD0871F-1EE8-4848-93C6-1E5D8906871A}"/>
    <cellStyle name="Normal 18 2" xfId="157" xr:uid="{D41E41C9-8F76-4C76-9A61-595C194B6E49}"/>
    <cellStyle name="Normal 18 2 2" xfId="329" xr:uid="{E8D19509-1BFD-4F82-922A-9F8CDC3DB83A}"/>
    <cellStyle name="Normal 18 2 2 2" xfId="673" xr:uid="{A5399E25-B26B-4A94-A0EB-E8A3B2A9467B}"/>
    <cellStyle name="Normal 18 2 2 2 2" xfId="1369" xr:uid="{31E0FF28-D88E-4AEB-88AE-CD766FDDCBB9}"/>
    <cellStyle name="Normal 18 2 2 2 2 2" xfId="2770" xr:uid="{4E2AFB5D-BB86-48D4-B5A6-6BEB57B4A399}"/>
    <cellStyle name="Normal 18 2 2 2 2 2 2" xfId="5580" xr:uid="{3B1A2897-B700-4841-AD86-F4229B11EC25}"/>
    <cellStyle name="Normal 18 2 2 2 2 2 2 2" xfId="11216" xr:uid="{A622DB12-4457-4DE9-BACA-55E6C9F522A7}"/>
    <cellStyle name="Normal 18 2 2 2 2 2 3" xfId="8406" xr:uid="{145C4710-07F3-4B85-B92A-27B2AB10AA9F}"/>
    <cellStyle name="Normal 18 2 2 2 2 3" xfId="4179" xr:uid="{78B26699-99E2-42ED-A4AB-ACDCABAA888D}"/>
    <cellStyle name="Normal 18 2 2 2 2 3 2" xfId="9815" xr:uid="{4D67D743-BBF3-4C02-B23C-E92C478CFC0F}"/>
    <cellStyle name="Normal 18 2 2 2 2 4" xfId="7005" xr:uid="{43F3188B-B1FB-48A9-A348-3BBA0E82EBFD}"/>
    <cellStyle name="Normal 18 2 2 2 3" xfId="2074" xr:uid="{5060FBB5-6842-469A-A00A-C9CE3ECA6CEC}"/>
    <cellStyle name="Normal 18 2 2 2 3 2" xfId="4884" xr:uid="{FD9C8990-663C-4735-B800-F8DB911BC340}"/>
    <cellStyle name="Normal 18 2 2 2 3 2 2" xfId="10520" xr:uid="{15CFB826-5B27-45C2-ADB8-FB74F7B584D1}"/>
    <cellStyle name="Normal 18 2 2 2 3 3" xfId="7710" xr:uid="{D1C1862A-87A9-4060-BDF9-4883BA3A18D7}"/>
    <cellStyle name="Normal 18 2 2 2 4" xfId="3483" xr:uid="{FA276629-DE39-4C34-B867-7F16FD9AB2E0}"/>
    <cellStyle name="Normal 18 2 2 2 4 2" xfId="9119" xr:uid="{E1F06351-A6C0-4B4A-AC68-EDE9212E9D8A}"/>
    <cellStyle name="Normal 18 2 2 2 5" xfId="6309" xr:uid="{3A6C1E34-A873-418F-85AB-47BA4D31E005}"/>
    <cellStyle name="Normal 18 2 2 3" xfId="1025" xr:uid="{5347307F-DDE4-4F59-B3F3-5A223AFD2C1F}"/>
    <cellStyle name="Normal 18 2 2 3 2" xfId="2426" xr:uid="{F4F98965-5DB2-4DE5-9D31-3BBD364948A7}"/>
    <cellStyle name="Normal 18 2 2 3 2 2" xfId="5236" xr:uid="{41BCADDD-5578-4CB5-AFFF-D2491317DAE5}"/>
    <cellStyle name="Normal 18 2 2 3 2 2 2" xfId="10872" xr:uid="{DAB7A987-F903-427A-BED9-2B71CA144764}"/>
    <cellStyle name="Normal 18 2 2 3 2 3" xfId="8062" xr:uid="{556DBA32-323E-40AB-B8D0-8BB006279042}"/>
    <cellStyle name="Normal 18 2 2 3 3" xfId="3835" xr:uid="{3F308C47-37F1-47A7-8492-A9F1DC6D7FF1}"/>
    <cellStyle name="Normal 18 2 2 3 3 2" xfId="9471" xr:uid="{595F5B62-4746-4681-9E80-500E71344292}"/>
    <cellStyle name="Normal 18 2 2 3 4" xfId="6661" xr:uid="{0C9A321B-A8BA-44D9-8245-C8B1AFA65AD6}"/>
    <cellStyle name="Normal 18 2 2 4" xfId="1730" xr:uid="{3F2E71B8-2AF6-48CF-B1F4-FCF778844624}"/>
    <cellStyle name="Normal 18 2 2 4 2" xfId="4540" xr:uid="{519F24B7-9B5F-4A72-B9FB-02537AFA8812}"/>
    <cellStyle name="Normal 18 2 2 4 2 2" xfId="10176" xr:uid="{CDF978DB-7F64-4480-A6BC-97E028CDEF47}"/>
    <cellStyle name="Normal 18 2 2 4 3" xfId="7366" xr:uid="{93C1694C-39BD-4494-8299-EB76106C8A1F}"/>
    <cellStyle name="Normal 18 2 2 5" xfId="3139" xr:uid="{E78646CC-60DE-4204-ACFE-6870316142D8}"/>
    <cellStyle name="Normal 18 2 2 5 2" xfId="8775" xr:uid="{E95F6738-20E2-4BED-82EA-D6E31C7AF834}"/>
    <cellStyle name="Normal 18 2 2 6" xfId="5965" xr:uid="{ADA09D7F-5329-4270-BAC8-8EE3B15DD7A9}"/>
    <cellStyle name="Normal 18 2 3" xfId="501" xr:uid="{C39BCFA5-D725-4562-97BF-F9CAFAF36711}"/>
    <cellStyle name="Normal 18 2 3 2" xfId="1197" xr:uid="{27B7BDF4-A840-40BB-B540-E474B8ABB63B}"/>
    <cellStyle name="Normal 18 2 3 2 2" xfId="2598" xr:uid="{35073613-55D9-4CAF-BE4C-EBF287D167DF}"/>
    <cellStyle name="Normal 18 2 3 2 2 2" xfId="5408" xr:uid="{69F0C61A-2068-4D0D-AD2C-97E9CE521B3D}"/>
    <cellStyle name="Normal 18 2 3 2 2 2 2" xfId="11044" xr:uid="{78A18962-ADDE-483C-9C0B-E1C8DEEF0460}"/>
    <cellStyle name="Normal 18 2 3 2 2 3" xfId="8234" xr:uid="{263CDEEF-AAFB-4CDF-ABEA-160A8DC3072E}"/>
    <cellStyle name="Normal 18 2 3 2 3" xfId="4007" xr:uid="{04A47720-7386-4842-9ACB-04178581DFA0}"/>
    <cellStyle name="Normal 18 2 3 2 3 2" xfId="9643" xr:uid="{8C1FEE45-8BB4-4E38-AD39-B0F2A49C1993}"/>
    <cellStyle name="Normal 18 2 3 2 4" xfId="6833" xr:uid="{B515A83C-D8D1-48A2-9B20-8AB2B99148AB}"/>
    <cellStyle name="Normal 18 2 3 3" xfId="1902" xr:uid="{99C917FA-703F-4D6E-AEF7-F57C8BBC187B}"/>
    <cellStyle name="Normal 18 2 3 3 2" xfId="4712" xr:uid="{73156EE8-78C6-41A0-BD4A-B4047653E43B}"/>
    <cellStyle name="Normal 18 2 3 3 2 2" xfId="10348" xr:uid="{369AC4A8-B8ED-4428-9916-F7B67BF1FB80}"/>
    <cellStyle name="Normal 18 2 3 3 3" xfId="7538" xr:uid="{D42D9DCA-6DD1-4C3C-9D97-957084B93B27}"/>
    <cellStyle name="Normal 18 2 3 4" xfId="3311" xr:uid="{848BA103-DE37-4EAC-8049-B6A5E30AF6B1}"/>
    <cellStyle name="Normal 18 2 3 4 2" xfId="8947" xr:uid="{522E9862-8DF7-4B06-81CC-3844DF5687C9}"/>
    <cellStyle name="Normal 18 2 3 5" xfId="6137" xr:uid="{87AF7187-D027-4511-95E3-B51430D34C1B}"/>
    <cellStyle name="Normal 18 2 4" xfId="853" xr:uid="{F5FC4A34-68E2-4A6D-BB78-981C2BFEF61C}"/>
    <cellStyle name="Normal 18 2 4 2" xfId="2254" xr:uid="{FB624280-B00D-448E-B318-6A80F8DC5ACE}"/>
    <cellStyle name="Normal 18 2 4 2 2" xfId="5064" xr:uid="{F7F30F48-EA50-4A41-99EC-902B3AE89C7B}"/>
    <cellStyle name="Normal 18 2 4 2 2 2" xfId="10700" xr:uid="{769A34AF-8E99-4481-A4E5-EDC0A7E81B0A}"/>
    <cellStyle name="Normal 18 2 4 2 3" xfId="7890" xr:uid="{8BB6AECF-DF37-43FD-9239-9F74DA61DA9C}"/>
    <cellStyle name="Normal 18 2 4 3" xfId="3663" xr:uid="{44482214-4B0D-4C15-84C6-01A0E844E954}"/>
    <cellStyle name="Normal 18 2 4 3 2" xfId="9299" xr:uid="{4D237C83-3845-4E2D-AA44-4D9EDBFD8086}"/>
    <cellStyle name="Normal 18 2 4 4" xfId="6489" xr:uid="{AF6F2A6D-AF92-4F9F-A20E-5DCB03D6AE34}"/>
    <cellStyle name="Normal 18 2 5" xfId="1558" xr:uid="{B318697D-A3DA-4AEB-A838-F0C196445EEE}"/>
    <cellStyle name="Normal 18 2 5 2" xfId="4368" xr:uid="{AE655336-9025-487F-8116-C24C4725C323}"/>
    <cellStyle name="Normal 18 2 5 2 2" xfId="10004" xr:uid="{986DC809-C7EC-4C21-A2C1-149F61EBC7C4}"/>
    <cellStyle name="Normal 18 2 5 3" xfId="7194" xr:uid="{55E70885-5905-47A3-860C-F56CF5686171}"/>
    <cellStyle name="Normal 18 2 6" xfId="2967" xr:uid="{66503FC6-D8C0-44D3-B177-49689212BD05}"/>
    <cellStyle name="Normal 18 2 6 2" xfId="8603" xr:uid="{0B92C651-2925-48D6-9997-C9F778ED3A4B}"/>
    <cellStyle name="Normal 18 2 7" xfId="5793" xr:uid="{FE00AED4-25FB-4276-826D-6C74E93A89EB}"/>
    <cellStyle name="Normal 18 3" xfId="249" xr:uid="{630D166B-AF62-43C3-89E5-760615BFF859}"/>
    <cellStyle name="Normal 18 3 2" xfId="593" xr:uid="{79B4ADDD-FDEE-4090-864D-804ACAF29E05}"/>
    <cellStyle name="Normal 18 3 2 2" xfId="1289" xr:uid="{711883C4-6429-4F1B-9660-9A6B0E30AAAA}"/>
    <cellStyle name="Normal 18 3 2 2 2" xfId="2690" xr:uid="{B32AD9F1-13E2-46EC-A0DD-1B4A712F947D}"/>
    <cellStyle name="Normal 18 3 2 2 2 2" xfId="5500" xr:uid="{AFF55C4B-D623-4FB3-BF5D-A1CB8B40E225}"/>
    <cellStyle name="Normal 18 3 2 2 2 2 2" xfId="11136" xr:uid="{073B9F43-5B55-41B5-B7E0-57EF62B854BD}"/>
    <cellStyle name="Normal 18 3 2 2 2 3" xfId="8326" xr:uid="{C0DCAC6A-E415-445C-A0A0-92FB853BB9B4}"/>
    <cellStyle name="Normal 18 3 2 2 3" xfId="4099" xr:uid="{C94ABF38-32E0-4084-A770-0A37AA94A545}"/>
    <cellStyle name="Normal 18 3 2 2 3 2" xfId="9735" xr:uid="{FA5872BF-37D7-4D80-BD4F-D37C2DD729B7}"/>
    <cellStyle name="Normal 18 3 2 2 4" xfId="6925" xr:uid="{2CFE59DD-A857-49A1-B8AD-1A972A530C12}"/>
    <cellStyle name="Normal 18 3 2 3" xfId="1994" xr:uid="{2E367094-F3B2-4EDA-ADB3-1AF168815EE5}"/>
    <cellStyle name="Normal 18 3 2 3 2" xfId="4804" xr:uid="{E7DA8EB1-80F5-4575-8394-A301BA7FE66E}"/>
    <cellStyle name="Normal 18 3 2 3 2 2" xfId="10440" xr:uid="{3DBEF49B-DA72-4098-95F7-A29E8B21A246}"/>
    <cellStyle name="Normal 18 3 2 3 3" xfId="7630" xr:uid="{C29A0804-7E20-4982-B16A-495F81BA4780}"/>
    <cellStyle name="Normal 18 3 2 4" xfId="3403" xr:uid="{0955FA87-1EA9-4DA8-8B91-2747B3D58721}"/>
    <cellStyle name="Normal 18 3 2 4 2" xfId="9039" xr:uid="{4AEE2498-28B8-4E4C-8532-E855FDDB6E17}"/>
    <cellStyle name="Normal 18 3 2 5" xfId="6229" xr:uid="{BFC16A24-F8AF-4792-A1CC-AEEDFEE5E466}"/>
    <cellStyle name="Normal 18 3 3" xfId="945" xr:uid="{E9FA72E3-2E85-4E94-BEB8-86B2CB0D2CB8}"/>
    <cellStyle name="Normal 18 3 3 2" xfId="2346" xr:uid="{26EAB92A-DE3D-4C58-B2DB-EE379789F4F5}"/>
    <cellStyle name="Normal 18 3 3 2 2" xfId="5156" xr:uid="{B3FDE5F5-5537-494F-822E-A95559D0A105}"/>
    <cellStyle name="Normal 18 3 3 2 2 2" xfId="10792" xr:uid="{C31512EC-37D9-4C9E-9384-A8CA859003D1}"/>
    <cellStyle name="Normal 18 3 3 2 3" xfId="7982" xr:uid="{72AE0F4F-F954-46D6-840E-F1BFAAE5584C}"/>
    <cellStyle name="Normal 18 3 3 3" xfId="3755" xr:uid="{D6AB6964-609C-4BAA-998B-FA1426DBCFF4}"/>
    <cellStyle name="Normal 18 3 3 3 2" xfId="9391" xr:uid="{E170C7FC-D2A7-4A38-B597-EBABAF3F5B33}"/>
    <cellStyle name="Normal 18 3 3 4" xfId="6581" xr:uid="{16E247B7-FA5B-4D56-8966-0FEFDC060468}"/>
    <cellStyle name="Normal 18 3 4" xfId="1650" xr:uid="{8152FFBA-0508-4D41-A79A-B5F85119A1E1}"/>
    <cellStyle name="Normal 18 3 4 2" xfId="4460" xr:uid="{25C1EAA1-EE6C-49BE-AA01-11F108F792D2}"/>
    <cellStyle name="Normal 18 3 4 2 2" xfId="10096" xr:uid="{8DD6AB3B-E65B-45C2-83E0-CE740D90FBD7}"/>
    <cellStyle name="Normal 18 3 4 3" xfId="7286" xr:uid="{8E990741-ADC8-4499-B299-82970AADAB79}"/>
    <cellStyle name="Normal 18 3 5" xfId="3059" xr:uid="{78A0CD30-6650-44FA-82B9-5F7F68F0FE7B}"/>
    <cellStyle name="Normal 18 3 5 2" xfId="8695" xr:uid="{F9CA440E-7356-49A7-A9FB-2786A0B27949}"/>
    <cellStyle name="Normal 18 3 6" xfId="5885" xr:uid="{9EDC5B0F-4076-4766-BFF1-E47D2EBA2432}"/>
    <cellStyle name="Normal 18 4" xfId="421" xr:uid="{9591E634-FA8C-45F0-8B00-051CEDD6A0BE}"/>
    <cellStyle name="Normal 18 4 2" xfId="1117" xr:uid="{8B8EBDA7-BFA6-4C98-A228-6410B41E2800}"/>
    <cellStyle name="Normal 18 4 2 2" xfId="2518" xr:uid="{FA5EF271-7B62-485A-A3F1-117E1F1C0F3A}"/>
    <cellStyle name="Normal 18 4 2 2 2" xfId="5328" xr:uid="{ABFEC50E-BB55-43DD-A921-4E6BA0B6228B}"/>
    <cellStyle name="Normal 18 4 2 2 2 2" xfId="10964" xr:uid="{BA2A00BE-50DD-421A-A20B-86348E747F34}"/>
    <cellStyle name="Normal 18 4 2 2 3" xfId="8154" xr:uid="{57DA525B-388C-4921-BC2F-056802B797AD}"/>
    <cellStyle name="Normal 18 4 2 3" xfId="3927" xr:uid="{E2193B3E-B3FC-4FC1-8AA4-385EBA3AE28A}"/>
    <cellStyle name="Normal 18 4 2 3 2" xfId="9563" xr:uid="{6B908E39-DFB0-4316-BA5F-0E7DB61E2347}"/>
    <cellStyle name="Normal 18 4 2 4" xfId="6753" xr:uid="{E267730C-0A8F-4C39-B1C9-1A3972F603BA}"/>
    <cellStyle name="Normal 18 4 3" xfId="1822" xr:uid="{FBC83E76-19C5-4D18-858D-257D7782EDEA}"/>
    <cellStyle name="Normal 18 4 3 2" xfId="4632" xr:uid="{A354A95F-C735-4D27-B95E-11F06D8E680C}"/>
    <cellStyle name="Normal 18 4 3 2 2" xfId="10268" xr:uid="{88C51280-38B8-4DB8-B30D-EDC274E4CC01}"/>
    <cellStyle name="Normal 18 4 3 3" xfId="7458" xr:uid="{78533AB6-1D41-4A8C-AA46-35051A6FC24A}"/>
    <cellStyle name="Normal 18 4 4" xfId="3231" xr:uid="{922FE878-0408-4F9C-8E75-1ADB08F4FE23}"/>
    <cellStyle name="Normal 18 4 4 2" xfId="8867" xr:uid="{1E1E59E0-21B6-420F-A14A-32265B0AEFB8}"/>
    <cellStyle name="Normal 18 4 5" xfId="6057" xr:uid="{78B91741-320B-47C5-A515-2E97BA62D4FC}"/>
    <cellStyle name="Normal 18 5" xfId="773" xr:uid="{27177421-1EC4-441E-8829-68AD9F0E04BE}"/>
    <cellStyle name="Normal 18 5 2" xfId="2174" xr:uid="{3BE8415B-0A4B-499A-95EF-829D0C163445}"/>
    <cellStyle name="Normal 18 5 2 2" xfId="4984" xr:uid="{08C03F11-1391-486A-9A38-9137EDDFB2EC}"/>
    <cellStyle name="Normal 18 5 2 2 2" xfId="10620" xr:uid="{879F778C-A5C9-4804-856B-5E9F7D2A2A23}"/>
    <cellStyle name="Normal 18 5 2 3" xfId="7810" xr:uid="{1E6AEDEE-6136-4493-BFDB-3A94524868AB}"/>
    <cellStyle name="Normal 18 5 3" xfId="3583" xr:uid="{2E8F2228-DD76-45F9-B8D3-A9700EB3E9DF}"/>
    <cellStyle name="Normal 18 5 3 2" xfId="9219" xr:uid="{82A7442E-9A7D-4213-968B-DC1B7788CE92}"/>
    <cellStyle name="Normal 18 5 4" xfId="6409" xr:uid="{5E8DB9E7-5D3E-4D76-8940-567ECA3D0C36}"/>
    <cellStyle name="Normal 18 6" xfId="1478" xr:uid="{35E1E13D-62A2-491A-A1F1-90868D1FF24D}"/>
    <cellStyle name="Normal 18 6 2" xfId="4288" xr:uid="{EB049892-8827-46D2-9911-2D18F8288862}"/>
    <cellStyle name="Normal 18 6 2 2" xfId="9924" xr:uid="{98EE2E8A-B9CF-45ED-A100-1BB0A553B24F}"/>
    <cellStyle name="Normal 18 6 3" xfId="7114" xr:uid="{82295B7E-9413-447F-9474-5B640C7190F9}"/>
    <cellStyle name="Normal 18 7" xfId="2887" xr:uid="{05F7105E-F9B8-4530-B8EF-76296DC11192}"/>
    <cellStyle name="Normal 18 7 2" xfId="8523" xr:uid="{A8F42BDF-CBF6-47D2-8ACC-7574ACBC5576}"/>
    <cellStyle name="Normal 18 8" xfId="5713" xr:uid="{7FEE7094-25C1-42DD-8E35-E2A00DB2FBFA}"/>
    <cellStyle name="Normal 19" xfId="79" xr:uid="{743F3B6F-4431-4664-B24B-35C6A4CDCA4F}"/>
    <cellStyle name="Normal 19 2" xfId="159" xr:uid="{CF44BD24-3B83-44DC-87D2-E9F978CD2D2D}"/>
    <cellStyle name="Normal 19 2 2" xfId="331" xr:uid="{EF89D0D1-5A54-4B9F-BAFC-728A2AD40AE4}"/>
    <cellStyle name="Normal 19 2 2 2" xfId="675" xr:uid="{F8DED63A-AEE0-4087-8C8A-BE24378B793A}"/>
    <cellStyle name="Normal 19 2 2 2 2" xfId="1371" xr:uid="{549864FF-BAA1-4BB5-A134-6B54EF2DA720}"/>
    <cellStyle name="Normal 19 2 2 2 2 2" xfId="2772" xr:uid="{63D639BD-BDB5-40B4-9AFC-3DCFED9AA01A}"/>
    <cellStyle name="Normal 19 2 2 2 2 2 2" xfId="5582" xr:uid="{9ED211ED-30DB-40B6-A70D-505C2CC285B7}"/>
    <cellStyle name="Normal 19 2 2 2 2 2 2 2" xfId="11218" xr:uid="{0C59372B-E1A5-40AC-B9AC-AF059B1F7B6E}"/>
    <cellStyle name="Normal 19 2 2 2 2 2 3" xfId="8408" xr:uid="{04E2DDF9-3C4A-405A-A895-6D4C7A6F609B}"/>
    <cellStyle name="Normal 19 2 2 2 2 3" xfId="4181" xr:uid="{D2776A70-2DC6-4744-85DD-6578028C5577}"/>
    <cellStyle name="Normal 19 2 2 2 2 3 2" xfId="9817" xr:uid="{D0BABE2B-41FC-4D66-AE3F-A3F932337D09}"/>
    <cellStyle name="Normal 19 2 2 2 2 4" xfId="7007" xr:uid="{C2E300D2-4BEE-4976-8BD9-5376CD05B033}"/>
    <cellStyle name="Normal 19 2 2 2 3" xfId="2076" xr:uid="{75509B4E-0ABB-4E68-80E2-E78F74CB2BED}"/>
    <cellStyle name="Normal 19 2 2 2 3 2" xfId="4886" xr:uid="{B3FCD593-402E-48D9-8042-F7D1313441A2}"/>
    <cellStyle name="Normal 19 2 2 2 3 2 2" xfId="10522" xr:uid="{8A9EAE8D-94DB-4197-AD69-11B916667AB0}"/>
    <cellStyle name="Normal 19 2 2 2 3 3" xfId="7712" xr:uid="{60C733B9-6188-4C64-82C7-0624AE496F29}"/>
    <cellStyle name="Normal 19 2 2 2 4" xfId="3485" xr:uid="{15B62C53-2238-4991-87A1-C48CC54427AB}"/>
    <cellStyle name="Normal 19 2 2 2 4 2" xfId="9121" xr:uid="{5FEEE824-1E15-41BA-9749-CAC282BD91A6}"/>
    <cellStyle name="Normal 19 2 2 2 5" xfId="6311" xr:uid="{FC24E66D-8288-4EB3-8E25-D5D87EB76BFE}"/>
    <cellStyle name="Normal 19 2 2 3" xfId="1027" xr:uid="{E99D318D-C418-4144-AE72-71990C0BA465}"/>
    <cellStyle name="Normal 19 2 2 3 2" xfId="2428" xr:uid="{C656DC03-79D4-41DD-B850-F145F71BA3E5}"/>
    <cellStyle name="Normal 19 2 2 3 2 2" xfId="5238" xr:uid="{98E037BB-5CD6-4010-AD9B-27C050043A44}"/>
    <cellStyle name="Normal 19 2 2 3 2 2 2" xfId="10874" xr:uid="{D7D1D236-C05C-4596-BCEB-5F48B284734F}"/>
    <cellStyle name="Normal 19 2 2 3 2 3" xfId="8064" xr:uid="{ECB43C61-4F37-4A06-AAB4-3BD23BE1C607}"/>
    <cellStyle name="Normal 19 2 2 3 3" xfId="3837" xr:uid="{BD69FAC9-D64F-40E3-9A43-8425130254C7}"/>
    <cellStyle name="Normal 19 2 2 3 3 2" xfId="9473" xr:uid="{D0AFAB4A-BEB4-422C-9917-814DA375A7B8}"/>
    <cellStyle name="Normal 19 2 2 3 4" xfId="6663" xr:uid="{620DA750-8CE1-42FA-857A-0EA300F4C42D}"/>
    <cellStyle name="Normal 19 2 2 4" xfId="1732" xr:uid="{5C883081-52BE-41A8-A656-6BFE520A0D75}"/>
    <cellStyle name="Normal 19 2 2 4 2" xfId="4542" xr:uid="{A9BA3EE7-28E6-4C6F-8A5F-3BF43FB02554}"/>
    <cellStyle name="Normal 19 2 2 4 2 2" xfId="10178" xr:uid="{820A35FE-CE2F-47D9-9426-A64C751C7C0C}"/>
    <cellStyle name="Normal 19 2 2 4 3" xfId="7368" xr:uid="{69A7A722-D040-4225-8FB5-EDB549283377}"/>
    <cellStyle name="Normal 19 2 2 5" xfId="3141" xr:uid="{47D48D6D-65DF-4F50-89C8-10C5CD30A24F}"/>
    <cellStyle name="Normal 19 2 2 5 2" xfId="8777" xr:uid="{7CDEF2F5-656B-4274-86B7-67FAAC509816}"/>
    <cellStyle name="Normal 19 2 2 6" xfId="5967" xr:uid="{48CCF439-C0FB-4A90-BC78-937F7A76FD27}"/>
    <cellStyle name="Normal 19 2 3" xfId="503" xr:uid="{5553BFD6-7A21-4186-9DBC-D4C54F521F91}"/>
    <cellStyle name="Normal 19 2 3 2" xfId="1199" xr:uid="{A11F3A46-4379-44A8-9BA2-3C04DAFA9AE8}"/>
    <cellStyle name="Normal 19 2 3 2 2" xfId="2600" xr:uid="{359AD482-748D-4999-8CC0-25E5B801307C}"/>
    <cellStyle name="Normal 19 2 3 2 2 2" xfId="5410" xr:uid="{AA9EDAC6-5E82-4E6F-BE0E-5BC38FADF299}"/>
    <cellStyle name="Normal 19 2 3 2 2 2 2" xfId="11046" xr:uid="{0919E4B8-E58F-43DD-84B5-13FAF9300C97}"/>
    <cellStyle name="Normal 19 2 3 2 2 3" xfId="8236" xr:uid="{ED9E2BF3-3A6E-4886-84C0-98904BEE99A1}"/>
    <cellStyle name="Normal 19 2 3 2 3" xfId="4009" xr:uid="{3C6E48DD-7DF9-415D-871E-E40C2AB8F917}"/>
    <cellStyle name="Normal 19 2 3 2 3 2" xfId="9645" xr:uid="{D56BDEB4-D573-448F-8513-BF8AF2B14D19}"/>
    <cellStyle name="Normal 19 2 3 2 4" xfId="6835" xr:uid="{150ED36A-4942-42AB-A5EB-FD14754B2A90}"/>
    <cellStyle name="Normal 19 2 3 3" xfId="1904" xr:uid="{77DB97DE-2B41-4028-90CF-E94022792A31}"/>
    <cellStyle name="Normal 19 2 3 3 2" xfId="4714" xr:uid="{0BBEC124-4580-4F40-992B-98C35F76D053}"/>
    <cellStyle name="Normal 19 2 3 3 2 2" xfId="10350" xr:uid="{321C4919-4D3C-459A-B8CF-773890A51AE3}"/>
    <cellStyle name="Normal 19 2 3 3 3" xfId="7540" xr:uid="{ECCFB98E-B121-4C53-BD48-43EF21EF0AB6}"/>
    <cellStyle name="Normal 19 2 3 4" xfId="3313" xr:uid="{DACE4E95-719C-434C-B940-09892FF53B4F}"/>
    <cellStyle name="Normal 19 2 3 4 2" xfId="8949" xr:uid="{8E0A46F2-4011-43E2-98FA-1B18FA790290}"/>
    <cellStyle name="Normal 19 2 3 5" xfId="6139" xr:uid="{028D4347-979D-4367-A991-ADF96FF170F5}"/>
    <cellStyle name="Normal 19 2 4" xfId="855" xr:uid="{2EE48BB0-DC93-40FD-9E66-A3CA534CD1FB}"/>
    <cellStyle name="Normal 19 2 4 2" xfId="2256" xr:uid="{054AF170-BED4-47DD-8379-276E37BA584B}"/>
    <cellStyle name="Normal 19 2 4 2 2" xfId="5066" xr:uid="{EC2F9C2D-0319-4106-BF11-387377FF0867}"/>
    <cellStyle name="Normal 19 2 4 2 2 2" xfId="10702" xr:uid="{D9493996-D6C4-440F-8559-80BB30B9E814}"/>
    <cellStyle name="Normal 19 2 4 2 3" xfId="7892" xr:uid="{3E5FA270-E050-4A7C-B23D-618E4C3A7E52}"/>
    <cellStyle name="Normal 19 2 4 3" xfId="3665" xr:uid="{E967939B-6453-47F4-917E-D63A784809D2}"/>
    <cellStyle name="Normal 19 2 4 3 2" xfId="9301" xr:uid="{CC981B74-A30A-482D-BD0F-78C1871A4DBD}"/>
    <cellStyle name="Normal 19 2 4 4" xfId="6491" xr:uid="{FDFA75E2-7C0F-473D-A319-53E31D308F74}"/>
    <cellStyle name="Normal 19 2 5" xfId="1560" xr:uid="{C868A59D-2A7C-4F61-BB63-2B29271384D6}"/>
    <cellStyle name="Normal 19 2 5 2" xfId="4370" xr:uid="{018B00EE-E50A-4365-8662-45A1B86A7B0A}"/>
    <cellStyle name="Normal 19 2 5 2 2" xfId="10006" xr:uid="{73142320-0EAC-40C0-8711-EB85E731B242}"/>
    <cellStyle name="Normal 19 2 5 3" xfId="7196" xr:uid="{E70BB895-EA27-4A62-90A7-88E25937A339}"/>
    <cellStyle name="Normal 19 2 6" xfId="2969" xr:uid="{084A9FD7-BF36-4A8C-8ED0-8A541EA958CD}"/>
    <cellStyle name="Normal 19 2 6 2" xfId="8605" xr:uid="{C1774285-A412-4FA7-B77C-AFC660726C72}"/>
    <cellStyle name="Normal 19 2 7" xfId="5795" xr:uid="{37A0C4BE-DD2F-4F82-9FC0-45DC748F6A01}"/>
    <cellStyle name="Normal 19 3" xfId="251" xr:uid="{CBA799E1-318F-4AD8-AC79-B684CF290201}"/>
    <cellStyle name="Normal 19 3 2" xfId="595" xr:uid="{B4AAB7EF-794C-49D9-92CB-09846423FF0E}"/>
    <cellStyle name="Normal 19 3 2 2" xfId="1291" xr:uid="{BBB251E2-C15F-439F-A7D3-C5663D97162B}"/>
    <cellStyle name="Normal 19 3 2 2 2" xfId="2692" xr:uid="{E712C447-98DA-4695-98B2-0A2B285C92BE}"/>
    <cellStyle name="Normal 19 3 2 2 2 2" xfId="5502" xr:uid="{44A80DF6-C321-4F46-8EA2-35601644B119}"/>
    <cellStyle name="Normal 19 3 2 2 2 2 2" xfId="11138" xr:uid="{B1EB8E2F-ED54-4F67-9D34-F2FA994CD396}"/>
    <cellStyle name="Normal 19 3 2 2 2 3" xfId="8328" xr:uid="{38BC2BFB-E9E9-4CA9-B892-BE0BE9D5AD34}"/>
    <cellStyle name="Normal 19 3 2 2 3" xfId="4101" xr:uid="{40E6A6DF-CB80-4E75-98AB-5BE33490F5E2}"/>
    <cellStyle name="Normal 19 3 2 2 3 2" xfId="9737" xr:uid="{58E1D640-46BB-47CB-9F1B-92D2E89B4AF7}"/>
    <cellStyle name="Normal 19 3 2 2 4" xfId="6927" xr:uid="{B5893ED2-7327-4125-8BF8-67EAB23FB40B}"/>
    <cellStyle name="Normal 19 3 2 3" xfId="1996" xr:uid="{D9C6033D-FE2D-4595-846B-FEAB9060A59B}"/>
    <cellStyle name="Normal 19 3 2 3 2" xfId="4806" xr:uid="{332D7536-B9E5-4005-B9C9-C2F125A14ED2}"/>
    <cellStyle name="Normal 19 3 2 3 2 2" xfId="10442" xr:uid="{3A807359-0495-47E7-97BC-5F8DA9F666B1}"/>
    <cellStyle name="Normal 19 3 2 3 3" xfId="7632" xr:uid="{53FB4A96-D1ED-4C28-8E58-B6A868E5774E}"/>
    <cellStyle name="Normal 19 3 2 4" xfId="3405" xr:uid="{33631835-4039-4940-89A3-E475B8198271}"/>
    <cellStyle name="Normal 19 3 2 4 2" xfId="9041" xr:uid="{292264FC-2CF0-4650-8E27-FDB5C1D9138B}"/>
    <cellStyle name="Normal 19 3 2 5" xfId="6231" xr:uid="{64E28D17-191E-47A9-AE24-7641BE2CFEFF}"/>
    <cellStyle name="Normal 19 3 3" xfId="947" xr:uid="{97F74C36-F81A-4C38-820B-03091C70DEA6}"/>
    <cellStyle name="Normal 19 3 3 2" xfId="2348" xr:uid="{601B90E2-95AF-4CF9-8256-7BB4F2DB6943}"/>
    <cellStyle name="Normal 19 3 3 2 2" xfId="5158" xr:uid="{F75E878F-75EE-43B9-96D5-9BA6E0D4AE77}"/>
    <cellStyle name="Normal 19 3 3 2 2 2" xfId="10794" xr:uid="{07470056-9220-477C-ADBB-68CFC4788FBA}"/>
    <cellStyle name="Normal 19 3 3 2 3" xfId="7984" xr:uid="{8482D972-ACD1-41F3-BF42-43E330ACAFC7}"/>
    <cellStyle name="Normal 19 3 3 3" xfId="3757" xr:uid="{215912D0-1402-4A38-B39A-42594AC96859}"/>
    <cellStyle name="Normal 19 3 3 3 2" xfId="9393" xr:uid="{5D040CCE-D8BE-4558-B0E2-3A8C42FF0213}"/>
    <cellStyle name="Normal 19 3 3 4" xfId="6583" xr:uid="{6240C416-F47B-4100-B602-A6A29EB39D9B}"/>
    <cellStyle name="Normal 19 3 4" xfId="1652" xr:uid="{A365BCC5-917A-4835-80CE-8DFF97DC2015}"/>
    <cellStyle name="Normal 19 3 4 2" xfId="4462" xr:uid="{DD3576AD-1236-4C6A-8D85-A2171D0C0A34}"/>
    <cellStyle name="Normal 19 3 4 2 2" xfId="10098" xr:uid="{60DBA3DB-081B-4B9B-B9CA-2F7B0DD6E00D}"/>
    <cellStyle name="Normal 19 3 4 3" xfId="7288" xr:uid="{C1ECB826-A293-4A0B-BC3E-14D703879519}"/>
    <cellStyle name="Normal 19 3 5" xfId="3061" xr:uid="{107EB32D-8D17-4D1D-9580-7CAC276D0C74}"/>
    <cellStyle name="Normal 19 3 5 2" xfId="8697" xr:uid="{E9324040-579C-487D-BA5B-DEAE46C6E174}"/>
    <cellStyle name="Normal 19 3 6" xfId="5887" xr:uid="{F5061154-3EEC-49EA-B266-E1298F9F907E}"/>
    <cellStyle name="Normal 19 4" xfId="423" xr:uid="{C72C55CB-5C66-4017-B4E3-A1AE27B1B017}"/>
    <cellStyle name="Normal 19 4 2" xfId="1119" xr:uid="{1603F815-CDA1-4EF0-814B-2E6691A1D056}"/>
    <cellStyle name="Normal 19 4 2 2" xfId="2520" xr:uid="{DF103B1F-7BFB-4182-8D63-A0D6D84033DE}"/>
    <cellStyle name="Normal 19 4 2 2 2" xfId="5330" xr:uid="{2F54721E-BEF5-4BC0-BC79-985CEF633330}"/>
    <cellStyle name="Normal 19 4 2 2 2 2" xfId="10966" xr:uid="{96FA0EAA-FF2C-4D04-B52E-FE4B21D81490}"/>
    <cellStyle name="Normal 19 4 2 2 3" xfId="8156" xr:uid="{6A77805B-FE9A-4C11-BDD1-1BFB41710EBF}"/>
    <cellStyle name="Normal 19 4 2 3" xfId="3929" xr:uid="{48F5A0EA-4BE9-4BAD-839A-FC4D93AE1DEE}"/>
    <cellStyle name="Normal 19 4 2 3 2" xfId="9565" xr:uid="{A74E347C-91E6-4853-9230-C8BE1675003A}"/>
    <cellStyle name="Normal 19 4 2 4" xfId="6755" xr:uid="{49722F36-8718-42AA-8DDC-EDC604BEDCE2}"/>
    <cellStyle name="Normal 19 4 3" xfId="1824" xr:uid="{5E0B55A3-9EED-4072-9305-A022BCCE3385}"/>
    <cellStyle name="Normal 19 4 3 2" xfId="4634" xr:uid="{F999DC4B-06BC-4645-B32F-2A74ADE0F84A}"/>
    <cellStyle name="Normal 19 4 3 2 2" xfId="10270" xr:uid="{356C93E0-1355-4E61-BEC5-6FA31E521006}"/>
    <cellStyle name="Normal 19 4 3 3" xfId="7460" xr:uid="{B031901D-0530-49A3-898A-B0E6FBE19215}"/>
    <cellStyle name="Normal 19 4 4" xfId="3233" xr:uid="{C7789992-4841-4E2C-9EC0-9F8763AD3D21}"/>
    <cellStyle name="Normal 19 4 4 2" xfId="8869" xr:uid="{44FAE0AB-E12D-4985-A1A3-7DF81EF4CFB9}"/>
    <cellStyle name="Normal 19 4 5" xfId="6059" xr:uid="{E4A01D66-F7FE-41D5-9C2E-81996B552687}"/>
    <cellStyle name="Normal 19 5" xfId="775" xr:uid="{68075720-E733-4799-9ED5-880238122C36}"/>
    <cellStyle name="Normal 19 5 2" xfId="2176" xr:uid="{2D63F966-10F7-4FD0-8572-83A869A639D3}"/>
    <cellStyle name="Normal 19 5 2 2" xfId="4986" xr:uid="{92593D2C-2B35-43D5-8535-EF0F8BE1E8C6}"/>
    <cellStyle name="Normal 19 5 2 2 2" xfId="10622" xr:uid="{00B4F441-A0A5-4870-B43B-707649ADC41B}"/>
    <cellStyle name="Normal 19 5 2 3" xfId="7812" xr:uid="{3C6948BA-04CC-44D3-A2EF-8F340AC6BF47}"/>
    <cellStyle name="Normal 19 5 3" xfId="3585" xr:uid="{B3C6EF08-C60D-4122-A31C-C34C373F159A}"/>
    <cellStyle name="Normal 19 5 3 2" xfId="9221" xr:uid="{1F264C9F-A52B-4D37-8D79-1BFC7A2CBB97}"/>
    <cellStyle name="Normal 19 5 4" xfId="6411" xr:uid="{A47CFE92-A670-49B0-9053-0FC8761C31C0}"/>
    <cellStyle name="Normal 19 6" xfId="1480" xr:uid="{B65C67A5-D6C2-43E9-BD55-71C46C2705DD}"/>
    <cellStyle name="Normal 19 6 2" xfId="4290" xr:uid="{10446149-1D57-4E17-B57B-A99801E3C4D6}"/>
    <cellStyle name="Normal 19 6 2 2" xfId="9926" xr:uid="{15269F02-38C2-4C6B-8291-91E35254156D}"/>
    <cellStyle name="Normal 19 6 3" xfId="7116" xr:uid="{EA26A7A5-DC99-4C57-8B5A-59EB9E08735F}"/>
    <cellStyle name="Normal 19 7" xfId="2889" xr:uid="{4272760E-036F-4981-816C-AA2429EFD9C8}"/>
    <cellStyle name="Normal 19 7 2" xfId="8525" xr:uid="{26562738-0B61-434D-B8A7-856473CD9583}"/>
    <cellStyle name="Normal 19 8" xfId="5715" xr:uid="{DC1E4795-35E3-4C85-A287-D3AAA2EF2F7B}"/>
    <cellStyle name="Normal 2" xfId="4" xr:uid="{0FE4445A-CAC7-454C-B932-5F1DB0B32CBC}"/>
    <cellStyle name="Normal 2 10" xfId="5640" xr:uid="{D4C62BAC-9D4F-4DFC-B691-C447D78F1048}"/>
    <cellStyle name="Normal 2 2" xfId="16" xr:uid="{7B00F14E-420D-4DD8-96D6-B6EFAA20BE91}"/>
    <cellStyle name="Normal 2 2 2" xfId="48" xr:uid="{E072F9BF-9D71-4B6D-9BF4-FD582306678C}"/>
    <cellStyle name="Normal 2 2 2 2" xfId="128" xr:uid="{2072D283-26B2-42EA-BDF8-05BAC5879ABB}"/>
    <cellStyle name="Normal 2 2 2 2 2" xfId="300" xr:uid="{7769FA1E-2162-4DBA-8081-9597D7E359BE}"/>
    <cellStyle name="Normal 2 2 2 2 2 2" xfId="644" xr:uid="{A1D95626-5C41-48F0-9F00-9511C3DC6C9C}"/>
    <cellStyle name="Normal 2 2 2 2 2 2 2" xfId="1340" xr:uid="{634D10F1-F7C6-4AC6-80B6-6ED13F197C93}"/>
    <cellStyle name="Normal 2 2 2 2 2 2 2 2" xfId="2741" xr:uid="{050C5DFB-B939-4741-8EF0-83622FC791BD}"/>
    <cellStyle name="Normal 2 2 2 2 2 2 2 2 2" xfId="5551" xr:uid="{17C52EE2-5E32-47A9-A6BC-BA2DA21F215A}"/>
    <cellStyle name="Normal 2 2 2 2 2 2 2 2 2 2" xfId="11187" xr:uid="{D99B5CCA-03B0-4D58-B887-83CA373D4FC7}"/>
    <cellStyle name="Normal 2 2 2 2 2 2 2 2 3" xfId="8377" xr:uid="{72E632AC-19C0-4CE7-965D-181F99E8B420}"/>
    <cellStyle name="Normal 2 2 2 2 2 2 2 3" xfId="4150" xr:uid="{4CEAAF02-86C4-4097-9EB1-B54D05AF2FBA}"/>
    <cellStyle name="Normal 2 2 2 2 2 2 2 3 2" xfId="9786" xr:uid="{E74781C4-9154-497D-914C-FB5A17F46E86}"/>
    <cellStyle name="Normal 2 2 2 2 2 2 2 4" xfId="6976" xr:uid="{D977BB8C-9B8E-4A7B-B9AD-5FE1923158B9}"/>
    <cellStyle name="Normal 2 2 2 2 2 2 3" xfId="2045" xr:uid="{57C83EDF-B596-485D-88B3-1E846FA11CED}"/>
    <cellStyle name="Normal 2 2 2 2 2 2 3 2" xfId="4855" xr:uid="{EB1381CD-41B8-40D6-A206-22D9B9651796}"/>
    <cellStyle name="Normal 2 2 2 2 2 2 3 2 2" xfId="10491" xr:uid="{0D2144F1-A645-4963-A067-3A0A5C78FD2E}"/>
    <cellStyle name="Normal 2 2 2 2 2 2 3 3" xfId="7681" xr:uid="{16264F9F-C642-4830-B2CB-C1E20FF17CDA}"/>
    <cellStyle name="Normal 2 2 2 2 2 2 4" xfId="3454" xr:uid="{4F3B5966-0EA2-46DD-BB87-6EFB436F09CB}"/>
    <cellStyle name="Normal 2 2 2 2 2 2 4 2" xfId="9090" xr:uid="{409CB619-EBE6-460E-8153-D832BA723C7F}"/>
    <cellStyle name="Normal 2 2 2 2 2 2 5" xfId="6280" xr:uid="{A84F25AD-15EF-4955-A7E9-C0AC3CAAF5B3}"/>
    <cellStyle name="Normal 2 2 2 2 2 3" xfId="996" xr:uid="{7CC25427-6A14-4723-87A0-B5C78AABB1C1}"/>
    <cellStyle name="Normal 2 2 2 2 2 3 2" xfId="2397" xr:uid="{819F2BF1-29E6-46D0-A43C-AD9AB39CDDA9}"/>
    <cellStyle name="Normal 2 2 2 2 2 3 2 2" xfId="5207" xr:uid="{7677BE7C-CEA0-41BD-B0FF-6CFAD5551158}"/>
    <cellStyle name="Normal 2 2 2 2 2 3 2 2 2" xfId="10843" xr:uid="{45E6EA72-386C-4F0A-9A4D-96C2897228A4}"/>
    <cellStyle name="Normal 2 2 2 2 2 3 2 3" xfId="8033" xr:uid="{C178F190-6EB3-456E-AD0F-3BFCAC262445}"/>
    <cellStyle name="Normal 2 2 2 2 2 3 3" xfId="3806" xr:uid="{4A5A65D2-792C-4790-A0BD-7229D8FB24F7}"/>
    <cellStyle name="Normal 2 2 2 2 2 3 3 2" xfId="9442" xr:uid="{90EA4728-94A5-4F4D-9DD3-53166BA5AD9A}"/>
    <cellStyle name="Normal 2 2 2 2 2 3 4" xfId="6632" xr:uid="{777058A8-25AF-44CB-8996-9AAA62E213F1}"/>
    <cellStyle name="Normal 2 2 2 2 2 4" xfId="1701" xr:uid="{E77BAF7B-697C-41EA-BDD9-4DD7C20648E7}"/>
    <cellStyle name="Normal 2 2 2 2 2 4 2" xfId="4511" xr:uid="{E00F0A68-41FD-4C24-8965-44681FF4718B}"/>
    <cellStyle name="Normal 2 2 2 2 2 4 2 2" xfId="10147" xr:uid="{84911554-E0EB-41B6-859F-CB39405B19F4}"/>
    <cellStyle name="Normal 2 2 2 2 2 4 3" xfId="7337" xr:uid="{FF0C7DF4-E844-41DB-BE7C-677A95274387}"/>
    <cellStyle name="Normal 2 2 2 2 2 5" xfId="3110" xr:uid="{CF37C856-EF78-48FC-BFF0-A4DFB04D0403}"/>
    <cellStyle name="Normal 2 2 2 2 2 5 2" xfId="8746" xr:uid="{7C4150E9-B04C-4AD8-82DB-27FC49BC4087}"/>
    <cellStyle name="Normal 2 2 2 2 2 6" xfId="5936" xr:uid="{798B55B4-F6C7-40F1-A133-BC6D8F66E17A}"/>
    <cellStyle name="Normal 2 2 2 2 3" xfId="472" xr:uid="{157D8B43-F35C-4652-BFCB-CDD32D300296}"/>
    <cellStyle name="Normal 2 2 2 2 3 2" xfId="1168" xr:uid="{C9364F63-AE0F-49F4-8E96-ED9D024A1FA2}"/>
    <cellStyle name="Normal 2 2 2 2 3 2 2" xfId="2569" xr:uid="{A1CF48BB-8771-43C3-9BD6-F41CBAA99385}"/>
    <cellStyle name="Normal 2 2 2 2 3 2 2 2" xfId="5379" xr:uid="{D9D80D4F-0F32-4DDC-A8B3-7141184B01D8}"/>
    <cellStyle name="Normal 2 2 2 2 3 2 2 2 2" xfId="11015" xr:uid="{810764A9-6EC0-4F5A-80DA-579D680CF3D8}"/>
    <cellStyle name="Normal 2 2 2 2 3 2 2 3" xfId="8205" xr:uid="{FE6A270F-748D-4A13-936D-B742B748E86A}"/>
    <cellStyle name="Normal 2 2 2 2 3 2 3" xfId="3978" xr:uid="{5B5449D8-4C4C-45FF-B5F7-8DF19916DFA2}"/>
    <cellStyle name="Normal 2 2 2 2 3 2 3 2" xfId="9614" xr:uid="{40C68643-914C-43F0-A224-C3528E1F43B1}"/>
    <cellStyle name="Normal 2 2 2 2 3 2 4" xfId="6804" xr:uid="{C4580164-EC0C-4EB2-88E9-A94A5C4D13E8}"/>
    <cellStyle name="Normal 2 2 2 2 3 3" xfId="1873" xr:uid="{815E5A9E-E27B-4A38-8EFF-310DB13C7257}"/>
    <cellStyle name="Normal 2 2 2 2 3 3 2" xfId="4683" xr:uid="{0CF16011-1129-4D0C-83D6-A9ED92AB8B4D}"/>
    <cellStyle name="Normal 2 2 2 2 3 3 2 2" xfId="10319" xr:uid="{3FFBC5BF-96BC-4CEA-9595-05E041477893}"/>
    <cellStyle name="Normal 2 2 2 2 3 3 3" xfId="7509" xr:uid="{F0BBB964-CC44-4F17-880E-A60086D1A416}"/>
    <cellStyle name="Normal 2 2 2 2 3 4" xfId="3282" xr:uid="{BEAD22CB-B11C-4B99-B9B8-2DF888DEBC35}"/>
    <cellStyle name="Normal 2 2 2 2 3 4 2" xfId="8918" xr:uid="{8814B89F-B38E-4532-9F44-BA26D2B8CA6A}"/>
    <cellStyle name="Normal 2 2 2 2 3 5" xfId="6108" xr:uid="{AF748625-48E7-4B6D-87E4-AF76E34CC12B}"/>
    <cellStyle name="Normal 2 2 2 2 4" xfId="824" xr:uid="{2AA6D5DC-B9C4-49E9-ACD5-C1AD2B18CCA8}"/>
    <cellStyle name="Normal 2 2 2 2 4 2" xfId="2225" xr:uid="{C843F22A-BCC4-438D-9BC6-9C384EE5C594}"/>
    <cellStyle name="Normal 2 2 2 2 4 2 2" xfId="5035" xr:uid="{2F53D5F4-7022-41A0-9CAF-BD05666D8E40}"/>
    <cellStyle name="Normal 2 2 2 2 4 2 2 2" xfId="10671" xr:uid="{E90D6D41-9907-4F72-9629-067742DFE053}"/>
    <cellStyle name="Normal 2 2 2 2 4 2 3" xfId="7861" xr:uid="{21E25076-16CB-47AC-B3EF-6712843B3FB5}"/>
    <cellStyle name="Normal 2 2 2 2 4 3" xfId="3634" xr:uid="{BB5309AD-2429-4C86-AF00-B5C2EE62E9F5}"/>
    <cellStyle name="Normal 2 2 2 2 4 3 2" xfId="9270" xr:uid="{F31E12F3-64E0-440F-AE2D-9567D9946AF2}"/>
    <cellStyle name="Normal 2 2 2 2 4 4" xfId="6460" xr:uid="{FAA057D9-0E00-481E-B8C3-4176A84C43E2}"/>
    <cellStyle name="Normal 2 2 2 2 5" xfId="1529" xr:uid="{E56EEB5B-9C68-42CD-8E48-6936684DC30D}"/>
    <cellStyle name="Normal 2 2 2 2 5 2" xfId="4339" xr:uid="{686A7448-D361-48B6-BC41-06E208ED7DBC}"/>
    <cellStyle name="Normal 2 2 2 2 5 2 2" xfId="9975" xr:uid="{87D21787-A8E2-40C7-95B6-6EC960190A18}"/>
    <cellStyle name="Normal 2 2 2 2 5 3" xfId="7165" xr:uid="{17737157-4308-49BE-9AAB-054F12860E48}"/>
    <cellStyle name="Normal 2 2 2 2 6" xfId="2938" xr:uid="{40957F2D-3801-46CA-8F1C-5359B13769A5}"/>
    <cellStyle name="Normal 2 2 2 2 6 2" xfId="8574" xr:uid="{F0BA9C03-765A-45FB-83C2-DBE1D61F8890}"/>
    <cellStyle name="Normal 2 2 2 2 7" xfId="5764" xr:uid="{7EF97D73-2870-4081-80C8-779C77499BBA}"/>
    <cellStyle name="Normal 2 2 2 3" xfId="220" xr:uid="{A84846ED-0696-43FC-B95E-2CDBA74BD548}"/>
    <cellStyle name="Normal 2 2 2 3 2" xfId="564" xr:uid="{849B275C-BA39-4BCA-B3DC-B2E47B732736}"/>
    <cellStyle name="Normal 2 2 2 3 2 2" xfId="1260" xr:uid="{871C29B1-FDA5-4320-9D0D-93C54C875205}"/>
    <cellStyle name="Normal 2 2 2 3 2 2 2" xfId="2661" xr:uid="{CA1728CA-A83F-46B3-80EA-212FBB386908}"/>
    <cellStyle name="Normal 2 2 2 3 2 2 2 2" xfId="5471" xr:uid="{CE1849D9-9D16-437A-9470-006CBA3080E7}"/>
    <cellStyle name="Normal 2 2 2 3 2 2 2 2 2" xfId="11107" xr:uid="{4D0FD8AF-4E80-4DAE-846C-283F80C9ABB2}"/>
    <cellStyle name="Normal 2 2 2 3 2 2 2 3" xfId="8297" xr:uid="{CB14BBFB-5722-415C-8201-39B43065CB11}"/>
    <cellStyle name="Normal 2 2 2 3 2 2 3" xfId="4070" xr:uid="{9AB18A9A-55C8-4E6F-BCA4-235C854854AD}"/>
    <cellStyle name="Normal 2 2 2 3 2 2 3 2" xfId="9706" xr:uid="{30BEEB4B-0503-4058-9073-E9207EBE505F}"/>
    <cellStyle name="Normal 2 2 2 3 2 2 4" xfId="6896" xr:uid="{9630E809-912D-49EA-AA62-384542C2FCE3}"/>
    <cellStyle name="Normal 2 2 2 3 2 3" xfId="1965" xr:uid="{C0AB7982-2549-485A-88CD-06E51E86825B}"/>
    <cellStyle name="Normal 2 2 2 3 2 3 2" xfId="4775" xr:uid="{B4190774-76BD-4050-ADA6-FD736C6A4254}"/>
    <cellStyle name="Normal 2 2 2 3 2 3 2 2" xfId="10411" xr:uid="{CB230B14-D726-4D56-AFE6-3551BCE744A5}"/>
    <cellStyle name="Normal 2 2 2 3 2 3 3" xfId="7601" xr:uid="{A4C05162-59DF-4CCC-82BF-468548C95844}"/>
    <cellStyle name="Normal 2 2 2 3 2 4" xfId="3374" xr:uid="{C89049BD-3164-4AF4-BE44-303B66C6E1AE}"/>
    <cellStyle name="Normal 2 2 2 3 2 4 2" xfId="9010" xr:uid="{087D55A7-65E5-4BF6-BD40-23AE02CD5F52}"/>
    <cellStyle name="Normal 2 2 2 3 2 5" xfId="6200" xr:uid="{0BD9CDBD-AEEE-43B1-AC6D-CB23135C3173}"/>
    <cellStyle name="Normal 2 2 2 3 3" xfId="916" xr:uid="{B429D23D-9B88-4754-8148-753F1428B514}"/>
    <cellStyle name="Normal 2 2 2 3 3 2" xfId="2317" xr:uid="{F834ED03-B1AF-4232-B30F-4AB1C268B1A0}"/>
    <cellStyle name="Normal 2 2 2 3 3 2 2" xfId="5127" xr:uid="{8B57B1ED-DAD1-4243-BE61-E25BCEBC85DE}"/>
    <cellStyle name="Normal 2 2 2 3 3 2 2 2" xfId="10763" xr:uid="{03372CD7-2260-47D3-BD46-535492036AB0}"/>
    <cellStyle name="Normal 2 2 2 3 3 2 3" xfId="7953" xr:uid="{473981D2-3B6B-4ABD-9F6B-F8FADB0EC84E}"/>
    <cellStyle name="Normal 2 2 2 3 3 3" xfId="3726" xr:uid="{00B8BA6D-EBE9-4B72-A1AE-A86619DDBA6A}"/>
    <cellStyle name="Normal 2 2 2 3 3 3 2" xfId="9362" xr:uid="{C1762C23-846D-45B0-9B40-68358D1948CB}"/>
    <cellStyle name="Normal 2 2 2 3 3 4" xfId="6552" xr:uid="{65106A21-4453-4575-BB28-507612433737}"/>
    <cellStyle name="Normal 2 2 2 3 4" xfId="1621" xr:uid="{4FF82729-4C15-4255-9D5A-50DF328B3B5D}"/>
    <cellStyle name="Normal 2 2 2 3 4 2" xfId="4431" xr:uid="{90B20C9C-ABFA-4A4C-A85B-EB619DEFDCD9}"/>
    <cellStyle name="Normal 2 2 2 3 4 2 2" xfId="10067" xr:uid="{EFA03685-D9CE-4A39-A1B3-1A19E026BF35}"/>
    <cellStyle name="Normal 2 2 2 3 4 3" xfId="7257" xr:uid="{A616B7D7-BC11-4386-AFF8-E37861651638}"/>
    <cellStyle name="Normal 2 2 2 3 5" xfId="3030" xr:uid="{95C54372-9FAB-49B4-A897-5671F1396FFC}"/>
    <cellStyle name="Normal 2 2 2 3 5 2" xfId="8666" xr:uid="{885D5198-3CEE-4179-A00C-28E32DA81893}"/>
    <cellStyle name="Normal 2 2 2 3 6" xfId="5856" xr:uid="{AA2CA508-ED96-4DEF-AA87-D1A42FF647FE}"/>
    <cellStyle name="Normal 2 2 2 4" xfId="392" xr:uid="{156B9990-9B2C-4872-A0F8-CB941C3CA830}"/>
    <cellStyle name="Normal 2 2 2 4 2" xfId="1088" xr:uid="{BE3FF199-F63D-4620-8B7E-B88E8FC87373}"/>
    <cellStyle name="Normal 2 2 2 4 2 2" xfId="2489" xr:uid="{CC7C1386-532D-4E3A-A31A-87F0742B6C95}"/>
    <cellStyle name="Normal 2 2 2 4 2 2 2" xfId="5299" xr:uid="{E1917F3B-01D2-4ED5-B1B4-0117996AAF80}"/>
    <cellStyle name="Normal 2 2 2 4 2 2 2 2" xfId="10935" xr:uid="{D285DDE2-3898-44F3-9381-760F8470E18E}"/>
    <cellStyle name="Normal 2 2 2 4 2 2 3" xfId="8125" xr:uid="{056CC826-5117-4CB0-8FB0-250ED8B2B299}"/>
    <cellStyle name="Normal 2 2 2 4 2 3" xfId="3898" xr:uid="{834C706B-A2E8-4203-810C-9019CB12AC80}"/>
    <cellStyle name="Normal 2 2 2 4 2 3 2" xfId="9534" xr:uid="{3A110BA6-9D91-4F5E-AD03-EA17A1904166}"/>
    <cellStyle name="Normal 2 2 2 4 2 4" xfId="6724" xr:uid="{1C0396CF-918B-4653-831A-3D8B420D4698}"/>
    <cellStyle name="Normal 2 2 2 4 3" xfId="1793" xr:uid="{2F902516-09FA-4BB4-A218-0C11807B928A}"/>
    <cellStyle name="Normal 2 2 2 4 3 2" xfId="4603" xr:uid="{3B120154-3B1A-447D-959A-983595C7AD79}"/>
    <cellStyle name="Normal 2 2 2 4 3 2 2" xfId="10239" xr:uid="{7E9862FB-A007-45AE-8DF7-5DDD3773B849}"/>
    <cellStyle name="Normal 2 2 2 4 3 3" xfId="7429" xr:uid="{4CEE86E3-A54F-48F6-9FA0-FC043A42B9BB}"/>
    <cellStyle name="Normal 2 2 2 4 4" xfId="3202" xr:uid="{A0E7D9B3-3FE0-4CAE-8165-600C5D97D84D}"/>
    <cellStyle name="Normal 2 2 2 4 4 2" xfId="8838" xr:uid="{586F9156-D155-4FBC-8ED1-C9C185C552B2}"/>
    <cellStyle name="Normal 2 2 2 4 5" xfId="6028" xr:uid="{5AB656CE-27CE-4848-A46A-7FE3D787699C}"/>
    <cellStyle name="Normal 2 2 2 5" xfId="744" xr:uid="{B9F3EBC9-8CCD-44EA-B505-3F1098B909F2}"/>
    <cellStyle name="Normal 2 2 2 5 2" xfId="2145" xr:uid="{17CD0BB4-D6BC-47A8-8B22-65E70D947FE1}"/>
    <cellStyle name="Normal 2 2 2 5 2 2" xfId="4955" xr:uid="{A191FDD9-1F07-4EC0-862B-B39C29AAE495}"/>
    <cellStyle name="Normal 2 2 2 5 2 2 2" xfId="10591" xr:uid="{8D7FA1BB-AEA6-4C20-8A5A-709263732303}"/>
    <cellStyle name="Normal 2 2 2 5 2 3" xfId="7781" xr:uid="{048AC7B6-661D-43BF-8459-D21074E17AAD}"/>
    <cellStyle name="Normal 2 2 2 5 3" xfId="3554" xr:uid="{9426670A-4B98-4D91-AB5D-C538BEA91C5D}"/>
    <cellStyle name="Normal 2 2 2 5 3 2" xfId="9190" xr:uid="{7D432330-4D1E-4EA7-8008-E183B9031D33}"/>
    <cellStyle name="Normal 2 2 2 5 4" xfId="6380" xr:uid="{30820825-4D48-4487-A1F2-6E7398D803F2}"/>
    <cellStyle name="Normal 2 2 2 6" xfId="1449" xr:uid="{62C3879E-B8E9-4F39-9BF2-300EBFFFC607}"/>
    <cellStyle name="Normal 2 2 2 6 2" xfId="4259" xr:uid="{1F3A6853-3366-4981-8A05-ACE1895F8E67}"/>
    <cellStyle name="Normal 2 2 2 6 2 2" xfId="9895" xr:uid="{BD1644DD-8A12-4752-B324-30F42823A0C6}"/>
    <cellStyle name="Normal 2 2 2 6 3" xfId="7085" xr:uid="{388D694A-76CC-4ED5-8787-F75EC04BCBDE}"/>
    <cellStyle name="Normal 2 2 2 7" xfId="2858" xr:uid="{B3A395DC-485B-428F-8394-2233C62A8991}"/>
    <cellStyle name="Normal 2 2 2 7 2" xfId="8494" xr:uid="{BA8F37C6-D541-4BD5-A95C-07FB766AAC35}"/>
    <cellStyle name="Normal 2 2 2 8" xfId="5684" xr:uid="{BD5B9A2A-B46D-4D8C-B26D-D56F0D24E617}"/>
    <cellStyle name="Normal 2 2 3" xfId="96" xr:uid="{3685CBAF-3E2F-47ED-84B2-85C3555981C2}"/>
    <cellStyle name="Normal 2 2 3 2" xfId="268" xr:uid="{26CC8181-E4E4-4694-9C70-A45780E5BCF8}"/>
    <cellStyle name="Normal 2 2 3 2 2" xfId="612" xr:uid="{2502AF34-0860-4875-A0B6-BCFA83DA1DDF}"/>
    <cellStyle name="Normal 2 2 3 2 2 2" xfId="1308" xr:uid="{0B2CDAD5-431E-4099-AB6D-704D280BC014}"/>
    <cellStyle name="Normal 2 2 3 2 2 2 2" xfId="2709" xr:uid="{B9D6F7D0-CED2-44FA-9220-31AF73E8F50D}"/>
    <cellStyle name="Normal 2 2 3 2 2 2 2 2" xfId="5519" xr:uid="{613DC984-3563-489A-BAE8-EE1F636FA48A}"/>
    <cellStyle name="Normal 2 2 3 2 2 2 2 2 2" xfId="11155" xr:uid="{B7FFEF22-FB0F-457B-A4D4-88E0F0E6257E}"/>
    <cellStyle name="Normal 2 2 3 2 2 2 2 3" xfId="8345" xr:uid="{285BB690-A901-456A-9C9D-10A529DE1250}"/>
    <cellStyle name="Normal 2 2 3 2 2 2 3" xfId="4118" xr:uid="{D9D1BF5E-123A-4BC6-ABE2-14587DF7116C}"/>
    <cellStyle name="Normal 2 2 3 2 2 2 3 2" xfId="9754" xr:uid="{B4AA1D0C-72E9-4ACF-8BA5-15678698E5C4}"/>
    <cellStyle name="Normal 2 2 3 2 2 2 4" xfId="6944" xr:uid="{F389327E-F2D2-4B3A-97C1-C82B62370C03}"/>
    <cellStyle name="Normal 2 2 3 2 2 3" xfId="2013" xr:uid="{EE29FF58-67E8-44A0-B5CF-AE632B30E977}"/>
    <cellStyle name="Normal 2 2 3 2 2 3 2" xfId="4823" xr:uid="{79F48E61-9EC4-4A87-BF4C-48BEF67E182E}"/>
    <cellStyle name="Normal 2 2 3 2 2 3 2 2" xfId="10459" xr:uid="{E95179D8-A8AA-40EE-8E8C-6FE7FA863C94}"/>
    <cellStyle name="Normal 2 2 3 2 2 3 3" xfId="7649" xr:uid="{8E7790C7-B989-4CE9-8E40-4FDEEB028508}"/>
    <cellStyle name="Normal 2 2 3 2 2 4" xfId="3422" xr:uid="{12F37B49-995A-40AB-8936-661F5991EFD0}"/>
    <cellStyle name="Normal 2 2 3 2 2 4 2" xfId="9058" xr:uid="{DC7398BA-38B6-410E-A74C-15C79F2AE96B}"/>
    <cellStyle name="Normal 2 2 3 2 2 5" xfId="6248" xr:uid="{E427491D-869B-4522-84C5-07C56DF5760B}"/>
    <cellStyle name="Normal 2 2 3 2 3" xfId="964" xr:uid="{E98B4E86-FAE6-44EE-BF1C-8A7E010FCC64}"/>
    <cellStyle name="Normal 2 2 3 2 3 2" xfId="2365" xr:uid="{1A3F69B8-BCA2-4777-91DD-83762715B104}"/>
    <cellStyle name="Normal 2 2 3 2 3 2 2" xfId="5175" xr:uid="{A9800337-4D5A-46B3-8F74-FF665905D9D3}"/>
    <cellStyle name="Normal 2 2 3 2 3 2 2 2" xfId="10811" xr:uid="{44CBE51A-37A4-44D4-9AC0-BA554D1D17BC}"/>
    <cellStyle name="Normal 2 2 3 2 3 2 3" xfId="8001" xr:uid="{D4DFDCC7-893E-4630-96A6-1C5DFDF6C978}"/>
    <cellStyle name="Normal 2 2 3 2 3 3" xfId="3774" xr:uid="{5391BAE9-6EB8-4D03-B2F3-D13765D4F0D7}"/>
    <cellStyle name="Normal 2 2 3 2 3 3 2" xfId="9410" xr:uid="{E294629D-86F6-42F6-B986-811D2044876B}"/>
    <cellStyle name="Normal 2 2 3 2 3 4" xfId="6600" xr:uid="{7A45FACA-2B1A-48FA-B487-6836A0745AC4}"/>
    <cellStyle name="Normal 2 2 3 2 4" xfId="1669" xr:uid="{367F6338-184A-4B14-A73C-F0A1C7597305}"/>
    <cellStyle name="Normal 2 2 3 2 4 2" xfId="4479" xr:uid="{D2B2AF98-9DA2-4495-8FBF-C63DB82BDA75}"/>
    <cellStyle name="Normal 2 2 3 2 4 2 2" xfId="10115" xr:uid="{843A0D80-F9E3-4346-B653-4D6B40A334B3}"/>
    <cellStyle name="Normal 2 2 3 2 4 3" xfId="7305" xr:uid="{240E5BA0-60C6-48DE-BBAB-E90F5AE6168C}"/>
    <cellStyle name="Normal 2 2 3 2 5" xfId="3078" xr:uid="{B887614D-A47C-42E3-9BF6-4F75D1AFF710}"/>
    <cellStyle name="Normal 2 2 3 2 5 2" xfId="8714" xr:uid="{5F40CFC7-6C5C-48C9-AD17-315318E6EB11}"/>
    <cellStyle name="Normal 2 2 3 2 6" xfId="5904" xr:uid="{18F95B4D-AAA7-4D42-A26B-470AFA9FCCBA}"/>
    <cellStyle name="Normal 2 2 3 3" xfId="440" xr:uid="{C8569232-BFE4-4420-B1EF-A6CAAAE8D054}"/>
    <cellStyle name="Normal 2 2 3 3 2" xfId="1136" xr:uid="{A84BFA89-7484-4A16-9408-7F0D17CDB500}"/>
    <cellStyle name="Normal 2 2 3 3 2 2" xfId="2537" xr:uid="{896C5188-C16F-407A-BAAB-1CB9D09DFE45}"/>
    <cellStyle name="Normal 2 2 3 3 2 2 2" xfId="5347" xr:uid="{C2A0278B-0B33-47B7-8822-A1D5FBEF43D6}"/>
    <cellStyle name="Normal 2 2 3 3 2 2 2 2" xfId="10983" xr:uid="{4F61D2DA-0EEA-4AF3-8D8E-F2C509A8F91C}"/>
    <cellStyle name="Normal 2 2 3 3 2 2 3" xfId="8173" xr:uid="{469C4614-F1B4-45AE-BE32-F9C8A7CB4328}"/>
    <cellStyle name="Normal 2 2 3 3 2 3" xfId="3946" xr:uid="{9EA36BF1-EF3E-4E8A-83BD-8AD4096D8A34}"/>
    <cellStyle name="Normal 2 2 3 3 2 3 2" xfId="9582" xr:uid="{711ACCEC-62AB-4ACF-B757-00D8664E61F2}"/>
    <cellStyle name="Normal 2 2 3 3 2 4" xfId="6772" xr:uid="{C8D63FBC-9839-4E9E-BE84-63D056F8DE8A}"/>
    <cellStyle name="Normal 2 2 3 3 3" xfId="1841" xr:uid="{F891B0B1-C351-4F67-9556-326B4A365430}"/>
    <cellStyle name="Normal 2 2 3 3 3 2" xfId="4651" xr:uid="{D8B20864-32F1-41F0-962E-F92281259852}"/>
    <cellStyle name="Normal 2 2 3 3 3 2 2" xfId="10287" xr:uid="{A03E15AF-E143-40CA-89B5-011320F1847E}"/>
    <cellStyle name="Normal 2 2 3 3 3 3" xfId="7477" xr:uid="{255176D1-AF56-46C0-99B6-E5007D40A00E}"/>
    <cellStyle name="Normal 2 2 3 3 4" xfId="3250" xr:uid="{03C71FDB-0E54-438D-9AEA-6BC4378C4E56}"/>
    <cellStyle name="Normal 2 2 3 3 4 2" xfId="8886" xr:uid="{4D15FF81-5059-4C6E-AD63-E778FC8082D9}"/>
    <cellStyle name="Normal 2 2 3 3 5" xfId="6076" xr:uid="{E4C720D4-A9FD-4DCA-AD46-F3F37949AECB}"/>
    <cellStyle name="Normal 2 2 3 4" xfId="792" xr:uid="{EB9484CF-E82D-4C55-B0C0-26DB8C87D605}"/>
    <cellStyle name="Normal 2 2 3 4 2" xfId="2193" xr:uid="{D901037C-3EF0-40E8-9414-9C84224076FE}"/>
    <cellStyle name="Normal 2 2 3 4 2 2" xfId="5003" xr:uid="{32CFC378-21F9-4BA2-B839-04A775DFC0A0}"/>
    <cellStyle name="Normal 2 2 3 4 2 2 2" xfId="10639" xr:uid="{3131562D-8E49-44DE-BAB8-A009E59CAB45}"/>
    <cellStyle name="Normal 2 2 3 4 2 3" xfId="7829" xr:uid="{DD84BAE2-4B51-45B7-BCAB-A3854C0E2BBB}"/>
    <cellStyle name="Normal 2 2 3 4 3" xfId="3602" xr:uid="{25AD6C1B-9DFB-44E0-B14F-87AEDE3C4777}"/>
    <cellStyle name="Normal 2 2 3 4 3 2" xfId="9238" xr:uid="{3322B9A5-E4A6-4198-A9C9-17C778570C12}"/>
    <cellStyle name="Normal 2 2 3 4 4" xfId="6428" xr:uid="{3C2E6AA3-1C91-4A19-B41B-9CA506BA8545}"/>
    <cellStyle name="Normal 2 2 3 5" xfId="1497" xr:uid="{A6BD8241-9588-420D-A812-4513703BF806}"/>
    <cellStyle name="Normal 2 2 3 5 2" xfId="4307" xr:uid="{30E97B32-492C-4C8A-9FE9-86BAE9A7AFAB}"/>
    <cellStyle name="Normal 2 2 3 5 2 2" xfId="9943" xr:uid="{50B58DF8-4D60-41CB-8E32-88D6E82A31CF}"/>
    <cellStyle name="Normal 2 2 3 5 3" xfId="7133" xr:uid="{26C23C5A-480C-483F-8D3F-E644C838D135}"/>
    <cellStyle name="Normal 2 2 3 6" xfId="2906" xr:uid="{9292173E-796D-462D-8830-263EACF2020B}"/>
    <cellStyle name="Normal 2 2 3 6 2" xfId="8542" xr:uid="{2B9D32A0-77DA-4BD2-B3C3-8A0FEF6A2274}"/>
    <cellStyle name="Normal 2 2 3 7" xfId="5732" xr:uid="{6DFF02EC-50FC-404E-B2B4-5E378D8F20DA}"/>
    <cellStyle name="Normal 2 2 4" xfId="188" xr:uid="{2C4B40CA-08AF-4D80-A6E5-2547A90D208B}"/>
    <cellStyle name="Normal 2 2 4 2" xfId="532" xr:uid="{D9E21CB3-DE4F-4437-8FF6-852E5C49213D}"/>
    <cellStyle name="Normal 2 2 4 2 2" xfId="1228" xr:uid="{EE2776B4-487B-45BD-B406-9B9C674BDE21}"/>
    <cellStyle name="Normal 2 2 4 2 2 2" xfId="2629" xr:uid="{966C588B-E782-4938-AE6F-158197BD5DF8}"/>
    <cellStyle name="Normal 2 2 4 2 2 2 2" xfId="5439" xr:uid="{A264D108-33BD-4768-AF5D-9A1279F7E605}"/>
    <cellStyle name="Normal 2 2 4 2 2 2 2 2" xfId="11075" xr:uid="{9154B853-FB54-4E01-9A2E-CAAEEBE80C81}"/>
    <cellStyle name="Normal 2 2 4 2 2 2 3" xfId="8265" xr:uid="{ABBE0DFF-B3B2-4E3C-94AE-B1AE9AC984A9}"/>
    <cellStyle name="Normal 2 2 4 2 2 3" xfId="4038" xr:uid="{6617D922-4AFD-42E2-9D15-BB5F5BBD714C}"/>
    <cellStyle name="Normal 2 2 4 2 2 3 2" xfId="9674" xr:uid="{290C785F-9B9A-4B74-AF2E-6C6C4898D446}"/>
    <cellStyle name="Normal 2 2 4 2 2 4" xfId="6864" xr:uid="{F675FF41-B648-48F3-92F9-9DF293439B4F}"/>
    <cellStyle name="Normal 2 2 4 2 3" xfId="1933" xr:uid="{5FDCBC89-14C6-4A2E-A0A5-76D25FFB3D8E}"/>
    <cellStyle name="Normal 2 2 4 2 3 2" xfId="4743" xr:uid="{9BC7F64C-B9AD-4786-B87F-5575BFBDAE09}"/>
    <cellStyle name="Normal 2 2 4 2 3 2 2" xfId="10379" xr:uid="{DD982161-800D-45BA-A7E0-A39D5B983DA4}"/>
    <cellStyle name="Normal 2 2 4 2 3 3" xfId="7569" xr:uid="{38B72D73-C7B7-46E6-B01F-2A9D817E8857}"/>
    <cellStyle name="Normal 2 2 4 2 4" xfId="3342" xr:uid="{3429FA44-32CE-4B40-AA6D-13AF204A4B61}"/>
    <cellStyle name="Normal 2 2 4 2 4 2" xfId="8978" xr:uid="{9543A167-BB2A-48A4-B6D0-22F247669D11}"/>
    <cellStyle name="Normal 2 2 4 2 5" xfId="6168" xr:uid="{433B4B98-518E-4916-827B-2100C443B1E9}"/>
    <cellStyle name="Normal 2 2 4 3" xfId="884" xr:uid="{62D79FE6-A21E-414B-A8A7-651BE3BE0369}"/>
    <cellStyle name="Normal 2 2 4 3 2" xfId="2285" xr:uid="{B7B95AED-9B17-4DA4-AC77-C106805C1AAE}"/>
    <cellStyle name="Normal 2 2 4 3 2 2" xfId="5095" xr:uid="{AE75ED7E-E428-476B-BB5C-DDFD31F6B359}"/>
    <cellStyle name="Normal 2 2 4 3 2 2 2" xfId="10731" xr:uid="{154D949A-08D5-4D59-863D-75E3286BA5BF}"/>
    <cellStyle name="Normal 2 2 4 3 2 3" xfId="7921" xr:uid="{3A6D4653-1D30-4188-B235-FED49EFFB123}"/>
    <cellStyle name="Normal 2 2 4 3 3" xfId="3694" xr:uid="{D7294D8C-8543-4677-BEA0-015197AFCC78}"/>
    <cellStyle name="Normal 2 2 4 3 3 2" xfId="9330" xr:uid="{B28E77FA-CA50-49F0-AE9C-81BACF04D8D0}"/>
    <cellStyle name="Normal 2 2 4 3 4" xfId="6520" xr:uid="{A8C2C008-B555-4623-A115-2FC776E45031}"/>
    <cellStyle name="Normal 2 2 4 4" xfId="1589" xr:uid="{FAD6504F-B8B9-466C-BCFE-8CE37803A14F}"/>
    <cellStyle name="Normal 2 2 4 4 2" xfId="4399" xr:uid="{40B311EE-6E4C-4CD6-B9EB-DAB199AC3693}"/>
    <cellStyle name="Normal 2 2 4 4 2 2" xfId="10035" xr:uid="{111C848F-3077-424C-BA5E-D96C686A7D91}"/>
    <cellStyle name="Normal 2 2 4 4 3" xfId="7225" xr:uid="{7DA9C8CF-EDA5-4B58-AA47-BD9595AF5049}"/>
    <cellStyle name="Normal 2 2 4 5" xfId="2998" xr:uid="{CC9D683E-A09E-4EC4-A864-000D98FDC519}"/>
    <cellStyle name="Normal 2 2 4 5 2" xfId="8634" xr:uid="{FE935FAE-3E1B-4870-B337-660FC835AB4A}"/>
    <cellStyle name="Normal 2 2 4 6" xfId="5824" xr:uid="{C31333F4-55DA-4A64-9683-F7B8B34766BD}"/>
    <cellStyle name="Normal 2 2 5" xfId="360" xr:uid="{6DBEDD80-A9A5-401A-8183-C7C857F0A355}"/>
    <cellStyle name="Normal 2 2 5 2" xfId="1056" xr:uid="{A3D907AD-4150-4D43-B35B-5E6D2E44ACCC}"/>
    <cellStyle name="Normal 2 2 5 2 2" xfId="2457" xr:uid="{DDACBA25-407F-4B40-9BA0-E04DC631F0CF}"/>
    <cellStyle name="Normal 2 2 5 2 2 2" xfId="5267" xr:uid="{8C7833EB-241E-4CD0-AD29-1DBC76355FA7}"/>
    <cellStyle name="Normal 2 2 5 2 2 2 2" xfId="10903" xr:uid="{A4371812-35DE-49D9-A7F2-E27CEF842000}"/>
    <cellStyle name="Normal 2 2 5 2 2 3" xfId="8093" xr:uid="{13C359F8-29E1-4AFF-89EF-38D23C4050CE}"/>
    <cellStyle name="Normal 2 2 5 2 3" xfId="3866" xr:uid="{6EE5BB45-6D6D-4C54-A72C-8517322FE3FA}"/>
    <cellStyle name="Normal 2 2 5 2 3 2" xfId="9502" xr:uid="{BA8D8ACD-7155-496C-81F5-524E3388BF9B}"/>
    <cellStyle name="Normal 2 2 5 2 4" xfId="6692" xr:uid="{F28E2516-8589-4DB4-8507-A75429E17A75}"/>
    <cellStyle name="Normal 2 2 5 3" xfId="1761" xr:uid="{CD08DC35-E8C0-43D6-A92B-76A469CF810E}"/>
    <cellStyle name="Normal 2 2 5 3 2" xfId="4571" xr:uid="{4A5BC800-B17F-4B9C-8EA1-F994A0E6D36B}"/>
    <cellStyle name="Normal 2 2 5 3 2 2" xfId="10207" xr:uid="{64F380ED-3385-436E-ADC9-4AD00493F780}"/>
    <cellStyle name="Normal 2 2 5 3 3" xfId="7397" xr:uid="{7372C503-0942-4F47-B864-AF5CC4108D7A}"/>
    <cellStyle name="Normal 2 2 5 4" xfId="3170" xr:uid="{E897BE4D-3C60-4337-8641-84C93C3B7D8A}"/>
    <cellStyle name="Normal 2 2 5 4 2" xfId="8806" xr:uid="{B06BC6BA-F546-454F-A696-46787BCBD94F}"/>
    <cellStyle name="Normal 2 2 5 5" xfId="5996" xr:uid="{F73960EE-E4D9-42AA-B2AA-FE9EB2A853A4}"/>
    <cellStyle name="Normal 2 2 6" xfId="712" xr:uid="{F92B3672-842B-4224-9E69-1874ED4B29C3}"/>
    <cellStyle name="Normal 2 2 6 2" xfId="2113" xr:uid="{8C76192F-5AF9-4124-983D-00EFF2FCAE86}"/>
    <cellStyle name="Normal 2 2 6 2 2" xfId="4923" xr:uid="{389DB236-2400-4FE6-9D5E-6F6D68EAC284}"/>
    <cellStyle name="Normal 2 2 6 2 2 2" xfId="10559" xr:uid="{915D7708-7603-4FEE-A7A4-6018E85A2CE6}"/>
    <cellStyle name="Normal 2 2 6 2 3" xfId="7749" xr:uid="{C79F7788-24DE-4FA6-A1B9-4410B7009B86}"/>
    <cellStyle name="Normal 2 2 6 3" xfId="3522" xr:uid="{064C6863-01D2-41AB-8D3B-93A5B844D9D1}"/>
    <cellStyle name="Normal 2 2 6 3 2" xfId="9158" xr:uid="{E93AE65C-97F5-4F91-ACDE-017A9960DF24}"/>
    <cellStyle name="Normal 2 2 6 4" xfId="6348" xr:uid="{D06FBC88-DF9C-4982-A7F9-889C0C486B5A}"/>
    <cellStyle name="Normal 2 2 7" xfId="1417" xr:uid="{BFA531DE-ECFA-4F93-B17B-2092498991E5}"/>
    <cellStyle name="Normal 2 2 7 2" xfId="4227" xr:uid="{589578F0-256D-4262-B4AA-999A1C5446E0}"/>
    <cellStyle name="Normal 2 2 7 2 2" xfId="9863" xr:uid="{66C48B0A-07F8-4F64-9968-78EBF364BC78}"/>
    <cellStyle name="Normal 2 2 7 3" xfId="7053" xr:uid="{99BE95C8-D445-4DEC-863B-29BEE8A3B269}"/>
    <cellStyle name="Normal 2 2 8" xfId="2826" xr:uid="{05A1F3B3-F44F-4BC5-9C87-B0BEA8B294C2}"/>
    <cellStyle name="Normal 2 2 8 2" xfId="8462" xr:uid="{560E0D0D-E851-49B2-B292-4F35B629A4D2}"/>
    <cellStyle name="Normal 2 2 9" xfId="5652" xr:uid="{7102EFBA-B869-4FA9-80E0-3EC77B9B895E}"/>
    <cellStyle name="Normal 2 3" xfId="36" xr:uid="{7B69B9C4-899A-43E3-98B6-3D3A8B514EAA}"/>
    <cellStyle name="Normal 2 3 2" xfId="116" xr:uid="{09B5F1D7-CEA2-4F45-830B-36FD55C8250A}"/>
    <cellStyle name="Normal 2 3 2 2" xfId="288" xr:uid="{2AD54AAE-4A39-455A-B35D-7D8E8E3295BA}"/>
    <cellStyle name="Normal 2 3 2 2 2" xfId="632" xr:uid="{CEF82916-3C5A-43E7-813C-61144B39DA1D}"/>
    <cellStyle name="Normal 2 3 2 2 2 2" xfId="1328" xr:uid="{42B070B7-0470-4117-9E99-3182EBB89C2E}"/>
    <cellStyle name="Normal 2 3 2 2 2 2 2" xfId="2729" xr:uid="{8BF04032-2A22-4183-B8E9-49452D44ADC5}"/>
    <cellStyle name="Normal 2 3 2 2 2 2 2 2" xfId="5539" xr:uid="{D922B449-FA79-4F64-9CCA-EF5D5A7195C5}"/>
    <cellStyle name="Normal 2 3 2 2 2 2 2 2 2" xfId="11175" xr:uid="{1E530D91-015F-4B34-ADB2-5235E9B98982}"/>
    <cellStyle name="Normal 2 3 2 2 2 2 2 3" xfId="8365" xr:uid="{F09FABF7-C938-49A8-9B6A-ABFF82B11828}"/>
    <cellStyle name="Normal 2 3 2 2 2 2 3" xfId="4138" xr:uid="{65F80410-BBBF-44E3-A938-641A1F1A3529}"/>
    <cellStyle name="Normal 2 3 2 2 2 2 3 2" xfId="9774" xr:uid="{EF8F6AD1-2F58-4307-912C-326ECF65CF47}"/>
    <cellStyle name="Normal 2 3 2 2 2 2 4" xfId="6964" xr:uid="{FB33CCFA-5CC9-496E-B686-F47B7729DE24}"/>
    <cellStyle name="Normal 2 3 2 2 2 3" xfId="2033" xr:uid="{665BBDE8-4E90-4CFD-B932-0F4F5CDC62E3}"/>
    <cellStyle name="Normal 2 3 2 2 2 3 2" xfId="4843" xr:uid="{BE269B73-40A8-42C2-89DE-5B014C563BD9}"/>
    <cellStyle name="Normal 2 3 2 2 2 3 2 2" xfId="10479" xr:uid="{5A062124-9A3E-4F4A-AA04-4041A23BA812}"/>
    <cellStyle name="Normal 2 3 2 2 2 3 3" xfId="7669" xr:uid="{7C4D1E99-D3AF-4A6B-86D1-C0F2B0816472}"/>
    <cellStyle name="Normal 2 3 2 2 2 4" xfId="3442" xr:uid="{1780532B-411C-473D-BB87-BB4935DF6DDE}"/>
    <cellStyle name="Normal 2 3 2 2 2 4 2" xfId="9078" xr:uid="{28844405-604F-46F7-B367-64B423256DE7}"/>
    <cellStyle name="Normal 2 3 2 2 2 5" xfId="6268" xr:uid="{172F1B50-E999-4E12-A625-85BCC0DBC61F}"/>
    <cellStyle name="Normal 2 3 2 2 3" xfId="984" xr:uid="{A55F4615-4404-4247-B379-C62E220ED18C}"/>
    <cellStyle name="Normal 2 3 2 2 3 2" xfId="2385" xr:uid="{46567E16-C5C0-4EA1-A1ED-E807684B9035}"/>
    <cellStyle name="Normal 2 3 2 2 3 2 2" xfId="5195" xr:uid="{64A6F7A4-2959-4951-986B-537F145B5B27}"/>
    <cellStyle name="Normal 2 3 2 2 3 2 2 2" xfId="10831" xr:uid="{C5F1C88B-F76B-4840-9777-41406641B339}"/>
    <cellStyle name="Normal 2 3 2 2 3 2 3" xfId="8021" xr:uid="{86D6082C-71F3-4C4A-B41D-28075D0FFC52}"/>
    <cellStyle name="Normal 2 3 2 2 3 3" xfId="3794" xr:uid="{83723D67-FD65-4C57-815B-F8191CC1F638}"/>
    <cellStyle name="Normal 2 3 2 2 3 3 2" xfId="9430" xr:uid="{DE2172A2-92E8-43D8-B5EB-7E5535A29E37}"/>
    <cellStyle name="Normal 2 3 2 2 3 4" xfId="6620" xr:uid="{77E44E5A-B783-4C2D-9F95-62F1B85D8DCC}"/>
    <cellStyle name="Normal 2 3 2 2 4" xfId="1689" xr:uid="{3E44CA2A-BA73-42E1-AB52-90449E52B00A}"/>
    <cellStyle name="Normal 2 3 2 2 4 2" xfId="4499" xr:uid="{230F3D04-573F-4B45-9C30-0822E04079F5}"/>
    <cellStyle name="Normal 2 3 2 2 4 2 2" xfId="10135" xr:uid="{1789D9F9-37D2-4A62-9578-D7BB12A4CF53}"/>
    <cellStyle name="Normal 2 3 2 2 4 3" xfId="7325" xr:uid="{2C1811A0-E86D-4962-9C1A-31D8963CA2D4}"/>
    <cellStyle name="Normal 2 3 2 2 5" xfId="3098" xr:uid="{794875AA-8C19-4D6D-BC0B-D6D29D6CEA9F}"/>
    <cellStyle name="Normal 2 3 2 2 5 2" xfId="8734" xr:uid="{7491580B-D484-4405-BB15-98D6D159EB96}"/>
    <cellStyle name="Normal 2 3 2 2 6" xfId="5924" xr:uid="{392ED2D2-548F-4B7A-AF2B-811995FA581F}"/>
    <cellStyle name="Normal 2 3 2 3" xfId="460" xr:uid="{42C068D0-66C9-4B93-A7DF-FF1DB07108F4}"/>
    <cellStyle name="Normal 2 3 2 3 2" xfId="1156" xr:uid="{74404CAE-F710-49AE-8B8C-3AFAA6C5AD0D}"/>
    <cellStyle name="Normal 2 3 2 3 2 2" xfId="2557" xr:uid="{AA77B5A7-FC85-4F67-A8D1-86EEF6857F72}"/>
    <cellStyle name="Normal 2 3 2 3 2 2 2" xfId="5367" xr:uid="{71696329-6E89-498A-B60A-548E9007B2A1}"/>
    <cellStyle name="Normal 2 3 2 3 2 2 2 2" xfId="11003" xr:uid="{2777C076-7F58-49BB-9650-8BADC453F664}"/>
    <cellStyle name="Normal 2 3 2 3 2 2 3" xfId="8193" xr:uid="{5451F346-D859-49F3-83FA-84537C0766A2}"/>
    <cellStyle name="Normal 2 3 2 3 2 3" xfId="3966" xr:uid="{FBCCD8C1-FC0A-47D0-8327-77EA7D205698}"/>
    <cellStyle name="Normal 2 3 2 3 2 3 2" xfId="9602" xr:uid="{8E7DA98E-FD0C-4441-A463-24619A00901A}"/>
    <cellStyle name="Normal 2 3 2 3 2 4" xfId="6792" xr:uid="{92BD7459-9927-4573-9E4A-A04F8BEDA241}"/>
    <cellStyle name="Normal 2 3 2 3 3" xfId="1861" xr:uid="{83FDCF0E-AFE8-4EB0-B98B-3FDBDC0B3362}"/>
    <cellStyle name="Normal 2 3 2 3 3 2" xfId="4671" xr:uid="{983EA490-AB2C-49CD-B10D-E925AA219785}"/>
    <cellStyle name="Normal 2 3 2 3 3 2 2" xfId="10307" xr:uid="{D36630F3-4058-4B3D-9649-7F85A81CBF71}"/>
    <cellStyle name="Normal 2 3 2 3 3 3" xfId="7497" xr:uid="{287F4EAF-3649-4F10-9300-BE7BFFE336FF}"/>
    <cellStyle name="Normal 2 3 2 3 4" xfId="3270" xr:uid="{2A3270D8-23F5-4B8F-A85C-72E00F3A04D7}"/>
    <cellStyle name="Normal 2 3 2 3 4 2" xfId="8906" xr:uid="{906CD1FF-D30C-4476-AA6F-702D04A207DB}"/>
    <cellStyle name="Normal 2 3 2 3 5" xfId="6096" xr:uid="{59F34B93-558F-4CE7-8220-F8FB06A2C933}"/>
    <cellStyle name="Normal 2 3 2 4" xfId="812" xr:uid="{8F5487F4-ECCA-460E-804E-5BFE932CCF2A}"/>
    <cellStyle name="Normal 2 3 2 4 2" xfId="2213" xr:uid="{0B383BA0-C104-4528-A068-083C73848A2D}"/>
    <cellStyle name="Normal 2 3 2 4 2 2" xfId="5023" xr:uid="{F0DCD725-3399-4304-871A-BD564C8BF508}"/>
    <cellStyle name="Normal 2 3 2 4 2 2 2" xfId="10659" xr:uid="{0FAE4EB3-B72A-4B13-BF0D-AF0AA26CB58D}"/>
    <cellStyle name="Normal 2 3 2 4 2 3" xfId="7849" xr:uid="{04DC2F2C-EB56-4BC3-A5A7-7F6589813D5B}"/>
    <cellStyle name="Normal 2 3 2 4 3" xfId="3622" xr:uid="{A3C9D809-FA34-4AE3-93BC-FC351F3E7AEC}"/>
    <cellStyle name="Normal 2 3 2 4 3 2" xfId="9258" xr:uid="{3421F007-EA6F-445E-9A0C-101BB2DC4566}"/>
    <cellStyle name="Normal 2 3 2 4 4" xfId="6448" xr:uid="{BA972138-663C-489A-9C95-B82270F8A934}"/>
    <cellStyle name="Normal 2 3 2 5" xfId="1517" xr:uid="{79C064C2-8EF0-42EE-8FA6-7846C64C5E39}"/>
    <cellStyle name="Normal 2 3 2 5 2" xfId="4327" xr:uid="{AD662C0D-1B92-46A5-80A8-4C8B902A0DF2}"/>
    <cellStyle name="Normal 2 3 2 5 2 2" xfId="9963" xr:uid="{93A6C8D2-26B0-435C-BE29-4A7B984D1ADD}"/>
    <cellStyle name="Normal 2 3 2 5 3" xfId="7153" xr:uid="{353F66B0-DB51-468E-8E57-6AEB4878FD97}"/>
    <cellStyle name="Normal 2 3 2 6" xfId="2926" xr:uid="{388B06DB-DE7E-44B9-AD6E-2E75380C0150}"/>
    <cellStyle name="Normal 2 3 2 6 2" xfId="8562" xr:uid="{318CAB10-C8AC-4436-81EA-EFD5763A5308}"/>
    <cellStyle name="Normal 2 3 2 7" xfId="5752" xr:uid="{2EF2D7F0-6410-4517-B923-EE97F2935791}"/>
    <cellStyle name="Normal 2 3 3" xfId="208" xr:uid="{710A0477-9157-47B2-9D86-E6487E64925A}"/>
    <cellStyle name="Normal 2 3 3 2" xfId="552" xr:uid="{7793F7E4-73B4-4ACB-A0CE-F63C530F0503}"/>
    <cellStyle name="Normal 2 3 3 2 2" xfId="1248" xr:uid="{BB236B48-DF97-4611-B2CB-705FDD45877D}"/>
    <cellStyle name="Normal 2 3 3 2 2 2" xfId="2649" xr:uid="{512B0E60-7C8E-4662-B3A0-07543031B2E2}"/>
    <cellStyle name="Normal 2 3 3 2 2 2 2" xfId="5459" xr:uid="{0E0889BC-EC34-4DC2-9DF7-802E881F5E6D}"/>
    <cellStyle name="Normal 2 3 3 2 2 2 2 2" xfId="11095" xr:uid="{99556DC2-D1DB-45FF-A6A3-A74909C221DA}"/>
    <cellStyle name="Normal 2 3 3 2 2 2 3" xfId="8285" xr:uid="{8DC27686-6713-47FE-AD73-8F7175DF95AF}"/>
    <cellStyle name="Normal 2 3 3 2 2 3" xfId="4058" xr:uid="{B4C3B4C1-2BEA-4B65-B19C-03A41347042E}"/>
    <cellStyle name="Normal 2 3 3 2 2 3 2" xfId="9694" xr:uid="{6DC15F6A-5C16-45EC-85D1-4E1A2510CD3A}"/>
    <cellStyle name="Normal 2 3 3 2 2 4" xfId="6884" xr:uid="{5B008BEB-B370-401C-AE00-D83862C25AD1}"/>
    <cellStyle name="Normal 2 3 3 2 3" xfId="1953" xr:uid="{CE0BB7B9-D487-4C3B-AE8B-03041D2553BC}"/>
    <cellStyle name="Normal 2 3 3 2 3 2" xfId="4763" xr:uid="{1AEED167-AA1E-4FE1-BE02-31CE1B4FB482}"/>
    <cellStyle name="Normal 2 3 3 2 3 2 2" xfId="10399" xr:uid="{CD7C7BAF-B048-4DAA-A2A1-ACF090080192}"/>
    <cellStyle name="Normal 2 3 3 2 3 3" xfId="7589" xr:uid="{98DDA1F3-981A-45FF-B318-A0EBE188FAAF}"/>
    <cellStyle name="Normal 2 3 3 2 4" xfId="3362" xr:uid="{E4CEF395-8FDD-4DD6-9E8E-203BAD0E29B0}"/>
    <cellStyle name="Normal 2 3 3 2 4 2" xfId="8998" xr:uid="{7A21E737-2FC4-4337-B682-0CF9E75C2E8F}"/>
    <cellStyle name="Normal 2 3 3 2 5" xfId="6188" xr:uid="{D305017A-0480-4007-9A19-6863283138EE}"/>
    <cellStyle name="Normal 2 3 3 3" xfId="904" xr:uid="{54987A5B-B2C4-409B-BB44-158EA4B41FC7}"/>
    <cellStyle name="Normal 2 3 3 3 2" xfId="2305" xr:uid="{32BAE881-805B-4665-BF58-A1F089F3AF4B}"/>
    <cellStyle name="Normal 2 3 3 3 2 2" xfId="5115" xr:uid="{A7174F84-ACF2-4F85-920D-39B8CDB63232}"/>
    <cellStyle name="Normal 2 3 3 3 2 2 2" xfId="10751" xr:uid="{99041FE7-C50D-4770-97D5-82BE9634CD74}"/>
    <cellStyle name="Normal 2 3 3 3 2 3" xfId="7941" xr:uid="{A0888CCF-5E86-491E-8AD7-1D7EE2949D0E}"/>
    <cellStyle name="Normal 2 3 3 3 3" xfId="3714" xr:uid="{FAF5403B-A099-4FA6-8B59-1A25C0E93407}"/>
    <cellStyle name="Normal 2 3 3 3 3 2" xfId="9350" xr:uid="{8FA04872-6340-4151-A5C9-166B136E644F}"/>
    <cellStyle name="Normal 2 3 3 3 4" xfId="6540" xr:uid="{787E979D-5A32-46A7-BC6C-F25B4BF86CBF}"/>
    <cellStyle name="Normal 2 3 3 4" xfId="1609" xr:uid="{9B3F7113-0F00-4CFE-8FB5-007898328580}"/>
    <cellStyle name="Normal 2 3 3 4 2" xfId="4419" xr:uid="{E268AE9B-C2A2-45EA-BE08-2E90CB65E88A}"/>
    <cellStyle name="Normal 2 3 3 4 2 2" xfId="10055" xr:uid="{002E794E-1605-4AAD-9D8D-F4A5252490B2}"/>
    <cellStyle name="Normal 2 3 3 4 3" xfId="7245" xr:uid="{1D87DA5B-8B19-400B-9F75-C37A15061329}"/>
    <cellStyle name="Normal 2 3 3 5" xfId="3018" xr:uid="{CF59E5B2-E847-4FE5-A4D8-EE261E62F50A}"/>
    <cellStyle name="Normal 2 3 3 5 2" xfId="8654" xr:uid="{7F062AA8-2D7D-4AEA-8703-5DAB4E7171AB}"/>
    <cellStyle name="Normal 2 3 3 6" xfId="5844" xr:uid="{4E099CBF-EC79-4375-AFB1-7F551797F5F6}"/>
    <cellStyle name="Normal 2 3 4" xfId="380" xr:uid="{B25E1FD9-F7AB-41FE-B20E-DD55951DB822}"/>
    <cellStyle name="Normal 2 3 4 2" xfId="1076" xr:uid="{1AB81CE5-F27D-4B26-97DF-E164114ECA60}"/>
    <cellStyle name="Normal 2 3 4 2 2" xfId="2477" xr:uid="{E914C1A1-32B1-4F71-84AB-6107F8D1155B}"/>
    <cellStyle name="Normal 2 3 4 2 2 2" xfId="5287" xr:uid="{56B71EA4-2135-4F87-BEB4-D2AC82F7A820}"/>
    <cellStyle name="Normal 2 3 4 2 2 2 2" xfId="10923" xr:uid="{6A3A4C16-4212-489D-B137-09A86AAEBA22}"/>
    <cellStyle name="Normal 2 3 4 2 2 3" xfId="8113" xr:uid="{9750A846-8A31-455F-8920-63124B2FA127}"/>
    <cellStyle name="Normal 2 3 4 2 3" xfId="3886" xr:uid="{B3442131-6A78-4669-BFC3-BF0B0E377A53}"/>
    <cellStyle name="Normal 2 3 4 2 3 2" xfId="9522" xr:uid="{ED452D72-E828-42F8-8D69-87FB547F3B72}"/>
    <cellStyle name="Normal 2 3 4 2 4" xfId="6712" xr:uid="{DCB294AA-0B9E-40FF-9B32-C0341F22A194}"/>
    <cellStyle name="Normal 2 3 4 3" xfId="1781" xr:uid="{3D13F846-1F30-473B-A8EE-2FEFC6ABC8FC}"/>
    <cellStyle name="Normal 2 3 4 3 2" xfId="4591" xr:uid="{1CAA24E1-B581-45C1-BD85-FAA9AC478A65}"/>
    <cellStyle name="Normal 2 3 4 3 2 2" xfId="10227" xr:uid="{0CA4885E-AD1B-47C7-B232-C26609D8DCA5}"/>
    <cellStyle name="Normal 2 3 4 3 3" xfId="7417" xr:uid="{717A12A8-8F1C-474A-836C-19B9E58E2E03}"/>
    <cellStyle name="Normal 2 3 4 4" xfId="3190" xr:uid="{98F46CEC-21D0-4490-AFFA-3F2A9CBF60FA}"/>
    <cellStyle name="Normal 2 3 4 4 2" xfId="8826" xr:uid="{E0A8EC33-C888-4E21-A3DC-337E697B11E9}"/>
    <cellStyle name="Normal 2 3 4 5" xfId="6016" xr:uid="{453DA91C-E458-4A86-B102-72C477C17DD0}"/>
    <cellStyle name="Normal 2 3 5" xfId="732" xr:uid="{34BFF751-BDA9-4498-AE26-832C5C617CB3}"/>
    <cellStyle name="Normal 2 3 5 2" xfId="2133" xr:uid="{161B5430-BAB5-4ABB-9CB0-6FE28C43223E}"/>
    <cellStyle name="Normal 2 3 5 2 2" xfId="4943" xr:uid="{E98880B2-E20A-42D9-A701-9DE5FBA7B594}"/>
    <cellStyle name="Normal 2 3 5 2 2 2" xfId="10579" xr:uid="{85466999-9E3E-4FF7-AEEC-E79290F06FD1}"/>
    <cellStyle name="Normal 2 3 5 2 3" xfId="7769" xr:uid="{631D69D7-5519-410B-B5A6-A3086F7971C8}"/>
    <cellStyle name="Normal 2 3 5 3" xfId="3542" xr:uid="{DEF77B49-3200-4D29-98A3-C923D7AB39B1}"/>
    <cellStyle name="Normal 2 3 5 3 2" xfId="9178" xr:uid="{2678A296-79CE-4E9F-9BAE-21CA6E221FE7}"/>
    <cellStyle name="Normal 2 3 5 4" xfId="6368" xr:uid="{4A3AC1AC-2BAE-47B7-9306-949482D90A4A}"/>
    <cellStyle name="Normal 2 3 6" xfId="1437" xr:uid="{6FEA9ECE-2BBF-4AD1-B322-6A5808D30F60}"/>
    <cellStyle name="Normal 2 3 6 2" xfId="4247" xr:uid="{6C0C043A-333A-4E95-9AD4-4D324C3AC7F4}"/>
    <cellStyle name="Normal 2 3 6 2 2" xfId="9883" xr:uid="{9EE8AE0B-06D0-4A57-88B1-524543045830}"/>
    <cellStyle name="Normal 2 3 6 3" xfId="7073" xr:uid="{3127E114-CC66-4F47-AB08-3BC3B7F019DC}"/>
    <cellStyle name="Normal 2 3 7" xfId="2846" xr:uid="{4A02B273-D974-438B-AB35-94E3DE2647AC}"/>
    <cellStyle name="Normal 2 3 7 2" xfId="8482" xr:uid="{7937779D-4DF7-4577-B156-05E37F968948}"/>
    <cellStyle name="Normal 2 3 8" xfId="5672" xr:uid="{26D0E168-B686-4DED-9A01-68853B8F07CB}"/>
    <cellStyle name="Normal 2 4" xfId="84" xr:uid="{E748B026-5D81-4E8F-A5F7-FBADCA847C2B}"/>
    <cellStyle name="Normal 2 4 2" xfId="256" xr:uid="{8CFE6806-BBF5-48DB-81D2-B215280D8BDC}"/>
    <cellStyle name="Normal 2 4 2 2" xfId="600" xr:uid="{19B5DAA6-14B2-4673-B52D-6FCA3478341F}"/>
    <cellStyle name="Normal 2 4 2 2 2" xfId="1296" xr:uid="{738D09BA-8701-4E16-B7B4-50DD472BCDEF}"/>
    <cellStyle name="Normal 2 4 2 2 2 2" xfId="2697" xr:uid="{FFDFE0CE-8C58-4292-ABEE-6970E678B735}"/>
    <cellStyle name="Normal 2 4 2 2 2 2 2" xfId="5507" xr:uid="{22311C5F-C538-493A-B863-91CE78F40E18}"/>
    <cellStyle name="Normal 2 4 2 2 2 2 2 2" xfId="11143" xr:uid="{41A66152-5223-42BC-9CE0-59DB84BD6480}"/>
    <cellStyle name="Normal 2 4 2 2 2 2 3" xfId="8333" xr:uid="{4203918F-F1BD-4F8C-8A5F-8301E6B7044C}"/>
    <cellStyle name="Normal 2 4 2 2 2 3" xfId="4106" xr:uid="{F5E28670-30C0-4E32-B01B-1A7CC1F47EFB}"/>
    <cellStyle name="Normal 2 4 2 2 2 3 2" xfId="9742" xr:uid="{4546107D-6538-469F-85B1-EE2FAAEBED65}"/>
    <cellStyle name="Normal 2 4 2 2 2 4" xfId="6932" xr:uid="{DC9BAEF0-E426-4A62-A3DE-E49FA28174CF}"/>
    <cellStyle name="Normal 2 4 2 2 3" xfId="2001" xr:uid="{CC4A82EE-40DD-460F-911B-A4769DE25BB1}"/>
    <cellStyle name="Normal 2 4 2 2 3 2" xfId="4811" xr:uid="{79584694-9C17-4F26-BF91-7547E0A43500}"/>
    <cellStyle name="Normal 2 4 2 2 3 2 2" xfId="10447" xr:uid="{A991445A-AA94-486D-B755-5314207A179A}"/>
    <cellStyle name="Normal 2 4 2 2 3 3" xfId="7637" xr:uid="{185D26D2-8F00-4E87-9C2B-84BB234238A7}"/>
    <cellStyle name="Normal 2 4 2 2 4" xfId="3410" xr:uid="{D95F3E2A-0DC7-4A2A-985A-CE1ED08667C3}"/>
    <cellStyle name="Normal 2 4 2 2 4 2" xfId="9046" xr:uid="{95BD0CB9-289D-4C32-AEA2-4AF041D7ACD1}"/>
    <cellStyle name="Normal 2 4 2 2 5" xfId="6236" xr:uid="{C4295A93-ACB2-4C9C-A805-FFB5C32F96E7}"/>
    <cellStyle name="Normal 2 4 2 3" xfId="952" xr:uid="{C7C9DC55-393C-4AD2-98CC-CE0DDF3B78FE}"/>
    <cellStyle name="Normal 2 4 2 3 2" xfId="2353" xr:uid="{1E0F7377-468B-4DA9-A05A-CF41B2DB9F44}"/>
    <cellStyle name="Normal 2 4 2 3 2 2" xfId="5163" xr:uid="{B5120A0B-25BD-4535-85C9-042CAF9B2EE9}"/>
    <cellStyle name="Normal 2 4 2 3 2 2 2" xfId="10799" xr:uid="{BA879CBF-E7D9-480C-9A36-69408946DEF0}"/>
    <cellStyle name="Normal 2 4 2 3 2 3" xfId="7989" xr:uid="{D0477501-6A57-4B06-A674-A3850A675A1D}"/>
    <cellStyle name="Normal 2 4 2 3 3" xfId="3762" xr:uid="{D81B05A0-9651-45C4-8318-6DE370AD2316}"/>
    <cellStyle name="Normal 2 4 2 3 3 2" xfId="9398" xr:uid="{15711B5B-A69A-46C5-B07B-20AC53BE5BC9}"/>
    <cellStyle name="Normal 2 4 2 3 4" xfId="6588" xr:uid="{73F723EC-6AE3-4FDA-9B67-5630B34A3EF0}"/>
    <cellStyle name="Normal 2 4 2 4" xfId="1657" xr:uid="{E387FFD3-C837-44DE-B727-648537771ECA}"/>
    <cellStyle name="Normal 2 4 2 4 2" xfId="4467" xr:uid="{30947C1D-9662-408E-83D6-CCB317FCB516}"/>
    <cellStyle name="Normal 2 4 2 4 2 2" xfId="10103" xr:uid="{153FDF26-B7E1-44D6-90B2-EDAEB0D997EC}"/>
    <cellStyle name="Normal 2 4 2 4 3" xfId="7293" xr:uid="{77AD45E8-B00E-4C9C-BCEF-13985D50295D}"/>
    <cellStyle name="Normal 2 4 2 5" xfId="3066" xr:uid="{27384ACD-154F-4F59-A5EC-70826188AE21}"/>
    <cellStyle name="Normal 2 4 2 5 2" xfId="8702" xr:uid="{BC9BC97A-E3D5-4089-B908-9A7D2D35CC45}"/>
    <cellStyle name="Normal 2 4 2 6" xfId="5892" xr:uid="{E2587EB8-85BE-4BDF-BDC2-A06D0371CB41}"/>
    <cellStyle name="Normal 2 4 3" xfId="428" xr:uid="{23B31763-50A8-4956-9025-CC81ADC6FDC5}"/>
    <cellStyle name="Normal 2 4 3 2" xfId="1124" xr:uid="{91CE1F5D-ED9F-450F-B30E-FEF4438F07A7}"/>
    <cellStyle name="Normal 2 4 3 2 2" xfId="2525" xr:uid="{924E92C2-09D5-492C-880D-0113CF0E47C4}"/>
    <cellStyle name="Normal 2 4 3 2 2 2" xfId="5335" xr:uid="{EBCF1118-A6D1-4FC3-805E-12E80DBE582B}"/>
    <cellStyle name="Normal 2 4 3 2 2 2 2" xfId="10971" xr:uid="{1CDA2F6F-CDEB-4A88-ABC1-D821C02CF060}"/>
    <cellStyle name="Normal 2 4 3 2 2 3" xfId="8161" xr:uid="{2E97D87F-6627-4307-B6E1-C3859C750FBF}"/>
    <cellStyle name="Normal 2 4 3 2 3" xfId="3934" xr:uid="{CF9AC1AA-99C1-4F34-8223-2B45181B544A}"/>
    <cellStyle name="Normal 2 4 3 2 3 2" xfId="9570" xr:uid="{DD642786-7616-4F04-8F62-32E94A074ECD}"/>
    <cellStyle name="Normal 2 4 3 2 4" xfId="6760" xr:uid="{3299A479-1A1D-4198-89B4-B6DDB09D1060}"/>
    <cellStyle name="Normal 2 4 3 3" xfId="1829" xr:uid="{D0EC1333-E2BC-463B-AD46-F89B7C88D15D}"/>
    <cellStyle name="Normal 2 4 3 3 2" xfId="4639" xr:uid="{A82EF055-2643-41EC-9E3F-EEADA1129A0F}"/>
    <cellStyle name="Normal 2 4 3 3 2 2" xfId="10275" xr:uid="{D67E9E5E-3D58-465D-86D8-145CC05914E5}"/>
    <cellStyle name="Normal 2 4 3 3 3" xfId="7465" xr:uid="{83DAC322-EF7A-4510-BAB9-2434DC420404}"/>
    <cellStyle name="Normal 2 4 3 4" xfId="3238" xr:uid="{1567E99F-B4B2-47B6-B3D7-69944D11FD0F}"/>
    <cellStyle name="Normal 2 4 3 4 2" xfId="8874" xr:uid="{0A069B50-EF11-4A4E-B2C8-B6E97D9DDD92}"/>
    <cellStyle name="Normal 2 4 3 5" xfId="6064" xr:uid="{A8279A14-7234-4E11-82EF-998E7EFDEC1A}"/>
    <cellStyle name="Normal 2 4 4" xfId="780" xr:uid="{BC0A18A3-DAA2-4CFD-91C3-10A042FFC95F}"/>
    <cellStyle name="Normal 2 4 4 2" xfId="2181" xr:uid="{8C4ED63E-8E73-4BB1-B798-C639F961134E}"/>
    <cellStyle name="Normal 2 4 4 2 2" xfId="4991" xr:uid="{6453FBA7-2938-4875-83C7-4B5DF87A52C2}"/>
    <cellStyle name="Normal 2 4 4 2 2 2" xfId="10627" xr:uid="{4FB9E802-652F-416C-961D-EFE511405B76}"/>
    <cellStyle name="Normal 2 4 4 2 3" xfId="7817" xr:uid="{2DE1913F-EC72-4AF5-BD6D-2685C19E0CAD}"/>
    <cellStyle name="Normal 2 4 4 3" xfId="3590" xr:uid="{76207419-C176-479C-A810-517C4FF11A8D}"/>
    <cellStyle name="Normal 2 4 4 3 2" xfId="9226" xr:uid="{35BDC6DF-5815-498E-A8C0-B035CD66C674}"/>
    <cellStyle name="Normal 2 4 4 4" xfId="6416" xr:uid="{2D46F7CF-0F4D-447B-9475-9B9CD128368B}"/>
    <cellStyle name="Normal 2 4 5" xfId="1485" xr:uid="{DB3EB104-1985-44EA-972D-03B4AE4B97CA}"/>
    <cellStyle name="Normal 2 4 5 2" xfId="4295" xr:uid="{E9CEE220-496D-4612-9BC0-D6F5D3528BDB}"/>
    <cellStyle name="Normal 2 4 5 2 2" xfId="9931" xr:uid="{0DEBA555-1EF1-4EAE-A348-68212AD92A4D}"/>
    <cellStyle name="Normal 2 4 5 3" xfId="7121" xr:uid="{0A7A9A7E-FCF9-4A68-BB4D-FCEFCB96E537}"/>
    <cellStyle name="Normal 2 4 6" xfId="2894" xr:uid="{09CD02E1-D10E-43ED-8AF0-785C60E5A8B3}"/>
    <cellStyle name="Normal 2 4 6 2" xfId="8530" xr:uid="{51DB8775-689F-41CD-A7F6-7C1F0078CCE1}"/>
    <cellStyle name="Normal 2 4 7" xfId="5720" xr:uid="{AFF9378E-06F0-4AC7-A7F5-F6C3AB0124F2}"/>
    <cellStyle name="Normal 2 5" xfId="176" xr:uid="{BFA1376E-EF2E-4BDC-B563-1DCC7981137F}"/>
    <cellStyle name="Normal 2 5 2" xfId="520" xr:uid="{CD57985D-4C33-4469-9BE6-30884D87F66F}"/>
    <cellStyle name="Normal 2 5 2 2" xfId="1216" xr:uid="{D70A6AFC-8769-4593-BD73-4F0CC54A548C}"/>
    <cellStyle name="Normal 2 5 2 2 2" xfId="2617" xr:uid="{D17B4FE4-038B-401D-B6ED-8EE8098EAF2E}"/>
    <cellStyle name="Normal 2 5 2 2 2 2" xfId="5427" xr:uid="{EF696879-4E99-409C-BCE8-CCFE105C24B2}"/>
    <cellStyle name="Normal 2 5 2 2 2 2 2" xfId="11063" xr:uid="{8A6E0945-D63D-42DE-AD1F-D66B83FA871E}"/>
    <cellStyle name="Normal 2 5 2 2 2 3" xfId="8253" xr:uid="{815BE545-5A22-4138-9F37-7940DDBFA801}"/>
    <cellStyle name="Normal 2 5 2 2 3" xfId="4026" xr:uid="{B895A8A2-2657-428B-A21C-9B107EB13B10}"/>
    <cellStyle name="Normal 2 5 2 2 3 2" xfId="9662" xr:uid="{B14E7BE9-EE8B-4D0E-8799-83434EA51B98}"/>
    <cellStyle name="Normal 2 5 2 2 4" xfId="6852" xr:uid="{C7209023-A70A-4532-BF48-4717002BF137}"/>
    <cellStyle name="Normal 2 5 2 3" xfId="1921" xr:uid="{68DFE5A6-A9E7-435A-93CB-26985F87378A}"/>
    <cellStyle name="Normal 2 5 2 3 2" xfId="4731" xr:uid="{72E56E42-074B-4506-9E99-481E46BF7DF4}"/>
    <cellStyle name="Normal 2 5 2 3 2 2" xfId="10367" xr:uid="{309FEA98-AC41-42C6-96EB-9A163B02E62D}"/>
    <cellStyle name="Normal 2 5 2 3 3" xfId="7557" xr:uid="{343BB9E8-584B-4C1F-8E41-EA2BDDA9F274}"/>
    <cellStyle name="Normal 2 5 2 4" xfId="3330" xr:uid="{4D8A2D11-C1CD-4656-AB6D-479B9B3A3F36}"/>
    <cellStyle name="Normal 2 5 2 4 2" xfId="8966" xr:uid="{4D391A0F-45B1-4FD7-A4B6-3E4563245199}"/>
    <cellStyle name="Normal 2 5 2 5" xfId="6156" xr:uid="{DE2607CA-7FAA-45B0-A3AB-1B8620A84E96}"/>
    <cellStyle name="Normal 2 5 3" xfId="872" xr:uid="{802A6622-1246-4380-9A4B-9DCE41D818CC}"/>
    <cellStyle name="Normal 2 5 3 2" xfId="2273" xr:uid="{B9C2862F-CFEF-41A8-93F5-BE85B0354CE5}"/>
    <cellStyle name="Normal 2 5 3 2 2" xfId="5083" xr:uid="{F835CF4D-197B-4EC5-9092-829DE3E5B5BC}"/>
    <cellStyle name="Normal 2 5 3 2 2 2" xfId="10719" xr:uid="{F2CBEE52-AB03-4504-B3D2-6D7A24E6E6F1}"/>
    <cellStyle name="Normal 2 5 3 2 3" xfId="7909" xr:uid="{1A722A37-D7CA-49ED-A337-BBBC0E797B69}"/>
    <cellStyle name="Normal 2 5 3 3" xfId="3682" xr:uid="{07002954-734E-4860-9176-32A1E4D1788B}"/>
    <cellStyle name="Normal 2 5 3 3 2" xfId="9318" xr:uid="{FAF2D064-9C32-4AC6-90C4-0B9C037FCA4B}"/>
    <cellStyle name="Normal 2 5 3 4" xfId="6508" xr:uid="{86CFA50C-033F-453C-BAC0-E1301B617DBE}"/>
    <cellStyle name="Normal 2 5 4" xfId="1577" xr:uid="{4AD56100-A0F3-4D7D-B6C8-6DD62E2C71AF}"/>
    <cellStyle name="Normal 2 5 4 2" xfId="4387" xr:uid="{4CCB84C5-665C-4A9F-BBF3-DCF74815CA83}"/>
    <cellStyle name="Normal 2 5 4 2 2" xfId="10023" xr:uid="{B011C41B-346B-4486-BF19-7B8858484E6C}"/>
    <cellStyle name="Normal 2 5 4 3" xfId="7213" xr:uid="{EF0B6D19-9035-4BD4-8AC0-25AC2DF6AF47}"/>
    <cellStyle name="Normal 2 5 5" xfId="2986" xr:uid="{A00F2D54-DB7D-4F03-AD67-78F2CE9991BC}"/>
    <cellStyle name="Normal 2 5 5 2" xfId="8622" xr:uid="{88849CAD-F711-4EAE-BF06-717D850D0F6C}"/>
    <cellStyle name="Normal 2 5 6" xfId="5812" xr:uid="{38FB885C-2616-40A3-9E9C-851FB3D915C0}"/>
    <cellStyle name="Normal 2 6" xfId="348" xr:uid="{F7F3E373-431D-403C-9ADF-4457DB43AB84}"/>
    <cellStyle name="Normal 2 6 2" xfId="1044" xr:uid="{9D32C4EE-0B4C-47F8-A5DF-8C0A7B4C1800}"/>
    <cellStyle name="Normal 2 6 2 2" xfId="2445" xr:uid="{641BE75A-ABF6-4262-BDA1-9E0F888AC3E0}"/>
    <cellStyle name="Normal 2 6 2 2 2" xfId="5255" xr:uid="{1E903ABC-D366-443C-9D7D-BA693E1C4C5D}"/>
    <cellStyle name="Normal 2 6 2 2 2 2" xfId="10891" xr:uid="{44F5453C-D005-49A6-A868-10F4736C16E4}"/>
    <cellStyle name="Normal 2 6 2 2 3" xfId="8081" xr:uid="{D23AB86C-5519-451E-A55D-ABF98967DF2D}"/>
    <cellStyle name="Normal 2 6 2 3" xfId="3854" xr:uid="{27594FD5-D748-4D88-8B22-BFB29310F3A6}"/>
    <cellStyle name="Normal 2 6 2 3 2" xfId="9490" xr:uid="{DA975F2F-37BD-479B-89C0-9D11F95CB147}"/>
    <cellStyle name="Normal 2 6 2 4" xfId="6680" xr:uid="{968F769E-9075-45DE-BFFD-4B6ABA9A847F}"/>
    <cellStyle name="Normal 2 6 3" xfId="1749" xr:uid="{201F5A63-2F71-409C-95CC-03F614FF1FDF}"/>
    <cellStyle name="Normal 2 6 3 2" xfId="4559" xr:uid="{8B9DB624-4A24-4007-9E1D-C2245DE0AB45}"/>
    <cellStyle name="Normal 2 6 3 2 2" xfId="10195" xr:uid="{71F6F314-668E-43B8-B60B-6B89EA015E7B}"/>
    <cellStyle name="Normal 2 6 3 3" xfId="7385" xr:uid="{7838497C-8709-4DF3-A30C-9A3ECD0319E3}"/>
    <cellStyle name="Normal 2 6 4" xfId="3158" xr:uid="{11E61BDB-7C06-44A1-9541-D66ECF140FEC}"/>
    <cellStyle name="Normal 2 6 4 2" xfId="8794" xr:uid="{8C54FDCC-FAAE-45C9-8490-61461F39B687}"/>
    <cellStyle name="Normal 2 6 5" xfId="5984" xr:uid="{0A48E2FF-FD34-4092-899C-9F4B07E5F454}"/>
    <cellStyle name="Normal 2 7" xfId="700" xr:uid="{05AD1EE7-5568-469D-8832-131A808D1471}"/>
    <cellStyle name="Normal 2 7 2" xfId="2101" xr:uid="{45567C22-9068-4E39-B386-DDF01A02B042}"/>
    <cellStyle name="Normal 2 7 2 2" xfId="4911" xr:uid="{245BDADF-E2B6-440D-A273-AEF277532C5A}"/>
    <cellStyle name="Normal 2 7 2 2 2" xfId="10547" xr:uid="{9F676B6C-5404-41F3-A3B8-961DCF7B4D66}"/>
    <cellStyle name="Normal 2 7 2 3" xfId="7737" xr:uid="{DA6E655C-81E3-4192-9378-278F4AF595AB}"/>
    <cellStyle name="Normal 2 7 3" xfId="3510" xr:uid="{9BED1BBF-1FD3-4A35-9702-20CE00403A1E}"/>
    <cellStyle name="Normal 2 7 3 2" xfId="9146" xr:uid="{E13E5362-6EA7-407D-9DAA-0BAECBC97D3B}"/>
    <cellStyle name="Normal 2 7 4" xfId="6336" xr:uid="{66C851A8-E425-4B33-B6AD-D8165BBCC866}"/>
    <cellStyle name="Normal 2 8" xfId="1405" xr:uid="{4F22AEF6-AC17-4E26-ABB9-A261BE8BCDA6}"/>
    <cellStyle name="Normal 2 8 2" xfId="4215" xr:uid="{E79C6288-18CE-45A3-8B2D-3C43DAFA30F8}"/>
    <cellStyle name="Normal 2 8 2 2" xfId="9851" xr:uid="{B996B695-6603-46D5-AE95-DDB06B7FCD48}"/>
    <cellStyle name="Normal 2 8 3" xfId="7041" xr:uid="{EFBB2082-4585-4B5B-9B34-9C569F6873F1}"/>
    <cellStyle name="Normal 2 9" xfId="2814" xr:uid="{3AD0776E-532D-4C58-B666-DE5FA330F1C3}"/>
    <cellStyle name="Normal 2 9 2" xfId="8450" xr:uid="{DE15D36B-2112-4A37-93C8-1876B8311FD1}"/>
    <cellStyle name="Normal 20" xfId="81" xr:uid="{4E4F79E0-CD8C-4BAF-BED9-6AB9EDBFB71A}"/>
    <cellStyle name="Normal 20 2" xfId="253" xr:uid="{52079598-6E8E-48E2-9299-883D42C056B6}"/>
    <cellStyle name="Normal 20 2 2" xfId="597" xr:uid="{532751C0-9A6E-47C3-A783-AA0788050B5C}"/>
    <cellStyle name="Normal 20 2 2 2" xfId="1293" xr:uid="{8FB65E2D-7F6A-4226-91AD-78C02EC1F09F}"/>
    <cellStyle name="Normal 20 2 2 2 2" xfId="2694" xr:uid="{BE51AA91-7508-4C89-9D71-7B4A1518E063}"/>
    <cellStyle name="Normal 20 2 2 2 2 2" xfId="5504" xr:uid="{6EABD0CA-0D22-4759-ADC6-6D853529C84E}"/>
    <cellStyle name="Normal 20 2 2 2 2 2 2" xfId="11140" xr:uid="{ED015ADF-3EA2-486F-A3C8-5AB0BFA43D75}"/>
    <cellStyle name="Normal 20 2 2 2 2 3" xfId="8330" xr:uid="{4186266F-6905-4781-A4D8-B65E54CC804A}"/>
    <cellStyle name="Normal 20 2 2 2 3" xfId="4103" xr:uid="{5835B3BA-A615-4A28-A2A2-36E377132FA6}"/>
    <cellStyle name="Normal 20 2 2 2 3 2" xfId="9739" xr:uid="{A031F816-2429-4F68-9A99-A007F7604FB5}"/>
    <cellStyle name="Normal 20 2 2 2 4" xfId="6929" xr:uid="{8F961B3A-0F98-4EC0-BB2A-9C9D25E0B6B0}"/>
    <cellStyle name="Normal 20 2 2 3" xfId="1998" xr:uid="{3A3DD503-DAE7-4FEB-8C49-BA712A1DC4FD}"/>
    <cellStyle name="Normal 20 2 2 3 2" xfId="4808" xr:uid="{BFE8654A-94D8-422A-B2F9-8249824C5E51}"/>
    <cellStyle name="Normal 20 2 2 3 2 2" xfId="10444" xr:uid="{00DB5571-29FD-4F15-8452-230C33076931}"/>
    <cellStyle name="Normal 20 2 2 3 3" xfId="7634" xr:uid="{E03B2A65-45D5-49A5-B408-BBC87ADF1AA2}"/>
    <cellStyle name="Normal 20 2 2 4" xfId="3407" xr:uid="{473F96A6-B3EB-47F5-B26D-1C33B81BE57A}"/>
    <cellStyle name="Normal 20 2 2 4 2" xfId="9043" xr:uid="{0DD21F96-55FD-4DE4-A6A6-71C80E56D984}"/>
    <cellStyle name="Normal 20 2 2 5" xfId="6233" xr:uid="{F4BD0A1B-530F-463E-BEF9-319BB96E535C}"/>
    <cellStyle name="Normal 20 2 3" xfId="949" xr:uid="{79ECBF00-78A2-438E-8F54-4A69294DCEC3}"/>
    <cellStyle name="Normal 20 2 3 2" xfId="2350" xr:uid="{F953BA38-27ED-401C-B3A1-0DF5C5D3204C}"/>
    <cellStyle name="Normal 20 2 3 2 2" xfId="5160" xr:uid="{FA2DA1D8-B620-4C76-B419-9ABD9A484B8D}"/>
    <cellStyle name="Normal 20 2 3 2 2 2" xfId="10796" xr:uid="{8F18E503-FFA5-41E8-981C-78215EEBC773}"/>
    <cellStyle name="Normal 20 2 3 2 3" xfId="7986" xr:uid="{4E793462-88C6-43C7-81E0-99AEF33B2B46}"/>
    <cellStyle name="Normal 20 2 3 3" xfId="3759" xr:uid="{2C8BEA5B-1431-48CD-BD5A-DCF76E238AB2}"/>
    <cellStyle name="Normal 20 2 3 3 2" xfId="9395" xr:uid="{5B1E3B25-3E16-4729-8BD5-D4F3A728E13F}"/>
    <cellStyle name="Normal 20 2 3 4" xfId="6585" xr:uid="{9FA535E1-7C98-4FBC-B783-4EACDD549AAB}"/>
    <cellStyle name="Normal 20 2 4" xfId="1654" xr:uid="{7420BFEC-E2BB-488E-9DE1-F53CAEB9F9DD}"/>
    <cellStyle name="Normal 20 2 4 2" xfId="4464" xr:uid="{C31B9B02-C6A6-4CF2-A864-644E94158F41}"/>
    <cellStyle name="Normal 20 2 4 2 2" xfId="10100" xr:uid="{259856FC-FF9E-41B9-830E-9530D5A377D3}"/>
    <cellStyle name="Normal 20 2 4 3" xfId="7290" xr:uid="{85C048A8-02D8-456A-96A7-FAE1DFA3452D}"/>
    <cellStyle name="Normal 20 2 5" xfId="3063" xr:uid="{C6BB6551-6F4E-45F5-9A9E-855300210D83}"/>
    <cellStyle name="Normal 20 2 5 2" xfId="8699" xr:uid="{DD9BE8B3-E2BD-4B3C-AE38-8FBCA64E9BAD}"/>
    <cellStyle name="Normal 20 2 6" xfId="5889" xr:uid="{9F2FB70A-9DA0-40AC-9E16-739659739AD9}"/>
    <cellStyle name="Normal 20 3" xfId="425" xr:uid="{DB3EF93A-B470-4086-9895-69DD81ECBE6A}"/>
    <cellStyle name="Normal 20 3 2" xfId="1121" xr:uid="{6289C8F7-8C80-4873-99E7-A6BB4F2A69F4}"/>
    <cellStyle name="Normal 20 3 2 2" xfId="2522" xr:uid="{5C688579-08B8-4F9A-A23F-79B5D6B8778A}"/>
    <cellStyle name="Normal 20 3 2 2 2" xfId="5332" xr:uid="{887E047F-5F05-425E-8819-29FD5A2EB036}"/>
    <cellStyle name="Normal 20 3 2 2 2 2" xfId="10968" xr:uid="{0CE5791D-8FF7-4FE1-9807-95DB0FB92A58}"/>
    <cellStyle name="Normal 20 3 2 2 3" xfId="8158" xr:uid="{F615D634-7437-489F-B8C3-72A13583C155}"/>
    <cellStyle name="Normal 20 3 2 3" xfId="3931" xr:uid="{AE7D6135-2BAC-4BC5-84E8-B5D136D8E898}"/>
    <cellStyle name="Normal 20 3 2 3 2" xfId="9567" xr:uid="{A88704FE-B287-4F16-B89A-B45E7D7DA292}"/>
    <cellStyle name="Normal 20 3 2 4" xfId="6757" xr:uid="{94F8FB7B-207A-410C-87F1-7CBC9ACEA116}"/>
    <cellStyle name="Normal 20 3 3" xfId="1826" xr:uid="{984EC69B-D168-42AF-877B-C3E5245B8FC7}"/>
    <cellStyle name="Normal 20 3 3 2" xfId="4636" xr:uid="{8441B79E-04AD-4051-BA64-05BF452BE4D0}"/>
    <cellStyle name="Normal 20 3 3 2 2" xfId="10272" xr:uid="{AABE3930-3629-416C-B56E-87BD62B0D90F}"/>
    <cellStyle name="Normal 20 3 3 3" xfId="7462" xr:uid="{900BAD26-6C04-42E1-A290-5A8E68164741}"/>
    <cellStyle name="Normal 20 3 4" xfId="3235" xr:uid="{785A1DF8-74D9-44A2-A7B7-9D20993C93B8}"/>
    <cellStyle name="Normal 20 3 4 2" xfId="8871" xr:uid="{73DB5A11-CBAB-48C0-B2BE-7F4D000C810F}"/>
    <cellStyle name="Normal 20 3 5" xfId="6061" xr:uid="{7B1C282D-B489-4FDF-A59F-16EDEE3A85D1}"/>
    <cellStyle name="Normal 20 4" xfId="777" xr:uid="{E8303205-F6E0-4F15-B413-2A899F119AAE}"/>
    <cellStyle name="Normal 20 4 2" xfId="2178" xr:uid="{41623026-C18E-4255-A67A-ED77DE9C41AD}"/>
    <cellStyle name="Normal 20 4 2 2" xfId="4988" xr:uid="{66DE6C31-6704-4E43-8E7E-1D30FDFF3048}"/>
    <cellStyle name="Normal 20 4 2 2 2" xfId="10624" xr:uid="{C7C0800F-7DBD-4404-8B1A-5F5F15F23BC0}"/>
    <cellStyle name="Normal 20 4 2 3" xfId="7814" xr:uid="{BFBEEAEE-7400-46EA-9178-BB1338ECEC58}"/>
    <cellStyle name="Normal 20 4 3" xfId="3587" xr:uid="{15BFA8D7-6AB6-4531-AB3F-6141BF098E20}"/>
    <cellStyle name="Normal 20 4 3 2" xfId="9223" xr:uid="{046DE1A3-AF58-4FE2-916D-17C36D7C399A}"/>
    <cellStyle name="Normal 20 4 4" xfId="6413" xr:uid="{F99D8B34-A55D-45EE-B6F4-6E793C556B13}"/>
    <cellStyle name="Normal 20 5" xfId="1482" xr:uid="{6FCAE573-A743-4E3B-8D54-BF22C217656B}"/>
    <cellStyle name="Normal 20 5 2" xfId="4292" xr:uid="{6485AC90-0339-4BA7-BC8C-495D9814A51C}"/>
    <cellStyle name="Normal 20 5 2 2" xfId="9928" xr:uid="{AA1C33C8-1B9E-4098-ADC7-3C9209194CBE}"/>
    <cellStyle name="Normal 20 5 3" xfId="7118" xr:uid="{229F8692-E43C-4E55-AC5C-28F392845FEB}"/>
    <cellStyle name="Normal 20 6" xfId="2891" xr:uid="{12F106D9-AC83-4E81-B1D2-E3EE7761A2C7}"/>
    <cellStyle name="Normal 20 6 2" xfId="8527" xr:uid="{072E5A40-873F-47F9-82D7-2F525A76C37C}"/>
    <cellStyle name="Normal 20 7" xfId="5717" xr:uid="{C7211F83-2960-40BB-8CE4-2DFD4ABE6DB5}"/>
    <cellStyle name="Normal 21" xfId="162" xr:uid="{A16153B6-F7ED-4B01-959A-07130AF0BDC5}"/>
    <cellStyle name="Normal 21 2" xfId="334" xr:uid="{F716E1F5-4B6D-4F30-B926-E5253783C4D9}"/>
    <cellStyle name="Normal 21 2 2" xfId="678" xr:uid="{1656DC84-DCA9-4AE9-B6ED-F1EEBEF3B3E1}"/>
    <cellStyle name="Normal 21 2 2 2" xfId="1374" xr:uid="{DAF8A535-1A92-4B88-8776-EE7DCFDA015E}"/>
    <cellStyle name="Normal 21 2 2 2 2" xfId="2775" xr:uid="{21B4B35A-BBCA-4477-9AA0-43C14B865CF9}"/>
    <cellStyle name="Normal 21 2 2 2 2 2" xfId="5585" xr:uid="{3040668E-7E45-4C0C-9EE7-764438FF91AD}"/>
    <cellStyle name="Normal 21 2 2 2 2 2 2" xfId="11221" xr:uid="{72215E0D-9DED-47F7-ADF1-DED1F9819518}"/>
    <cellStyle name="Normal 21 2 2 2 2 3" xfId="8411" xr:uid="{BE25B119-BDEA-484D-B3D1-6698641A2CD4}"/>
    <cellStyle name="Normal 21 2 2 2 3" xfId="4184" xr:uid="{F527325A-F0A4-4EB6-9259-5CC53F737A56}"/>
    <cellStyle name="Normal 21 2 2 2 3 2" xfId="9820" xr:uid="{04F20524-A796-472C-96FB-DF3EB6E3A7D6}"/>
    <cellStyle name="Normal 21 2 2 2 4" xfId="7010" xr:uid="{88AC2525-D29F-45D2-B392-CB4D6A5F2849}"/>
    <cellStyle name="Normal 21 2 2 3" xfId="2079" xr:uid="{1C8A88AA-BB0D-4091-A761-8CDC26D3DA51}"/>
    <cellStyle name="Normal 21 2 2 3 2" xfId="4889" xr:uid="{F5766651-AA97-46A7-AD07-7157695B1F7A}"/>
    <cellStyle name="Normal 21 2 2 3 2 2" xfId="10525" xr:uid="{355F528A-288F-4E42-8B49-58E1468267D8}"/>
    <cellStyle name="Normal 21 2 2 3 3" xfId="7715" xr:uid="{78174220-9604-4DE9-9B84-4DEAA71A114F}"/>
    <cellStyle name="Normal 21 2 2 4" xfId="3488" xr:uid="{FBD7E9E2-4143-4561-8FAB-BCA400D627E3}"/>
    <cellStyle name="Normal 21 2 2 4 2" xfId="9124" xr:uid="{A84C171B-B7B9-4A30-BBCE-35104D952197}"/>
    <cellStyle name="Normal 21 2 2 5" xfId="6314" xr:uid="{F9573EB5-73CE-4FBF-893A-CF4739F34B96}"/>
    <cellStyle name="Normal 21 2 3" xfId="1030" xr:uid="{B1051EF6-4326-4E88-AEB5-03F6B1DF46A1}"/>
    <cellStyle name="Normal 21 2 3 2" xfId="2431" xr:uid="{0D66027D-C91A-4DD3-8A57-935258BB6FBF}"/>
    <cellStyle name="Normal 21 2 3 2 2" xfId="5241" xr:uid="{E47DEB00-D0FC-453F-BF96-005AF194F259}"/>
    <cellStyle name="Normal 21 2 3 2 2 2" xfId="10877" xr:uid="{109BB8B8-4405-4A73-A30F-0A0F2A2EFDE3}"/>
    <cellStyle name="Normal 21 2 3 2 3" xfId="8067" xr:uid="{4D02B68F-CE3B-47ED-AAD2-952BC4F82168}"/>
    <cellStyle name="Normal 21 2 3 3" xfId="3840" xr:uid="{D85275BE-F906-4335-8A06-3331693C359A}"/>
    <cellStyle name="Normal 21 2 3 3 2" xfId="9476" xr:uid="{C658D2F5-3878-49E3-8313-063EF72E9A44}"/>
    <cellStyle name="Normal 21 2 3 4" xfId="6666" xr:uid="{CBE0D0C8-E9D4-4912-9352-48FCC8A454E7}"/>
    <cellStyle name="Normal 21 2 4" xfId="1735" xr:uid="{C22AE883-72C9-47D6-9977-5DBA2C18F48F}"/>
    <cellStyle name="Normal 21 2 4 2" xfId="4545" xr:uid="{3A15B774-886F-49DD-9E94-F56226E1F1EF}"/>
    <cellStyle name="Normal 21 2 4 2 2" xfId="10181" xr:uid="{1DA25ECA-A9BE-4E94-817F-A9D914339C3B}"/>
    <cellStyle name="Normal 21 2 4 3" xfId="7371" xr:uid="{6613CDE6-2081-4D99-B0CC-CFCB784FB8C5}"/>
    <cellStyle name="Normal 21 2 5" xfId="3144" xr:uid="{E35300EE-1ECE-4310-9840-ACE7D9B249AB}"/>
    <cellStyle name="Normal 21 2 5 2" xfId="8780" xr:uid="{71AD372B-0A78-466D-AFDD-8D7D3F33816E}"/>
    <cellStyle name="Normal 21 2 6" xfId="5970" xr:uid="{667FEEDA-97DE-4D6E-9CFD-F9C619949311}"/>
    <cellStyle name="Normal 21 3" xfId="506" xr:uid="{BCA7B60F-687B-462C-BB9F-C099B234E719}"/>
    <cellStyle name="Normal 21 3 2" xfId="1202" xr:uid="{4A2A9BBF-D6C8-41CD-AEF9-730D645A348E}"/>
    <cellStyle name="Normal 21 3 2 2" xfId="2603" xr:uid="{3539188D-217A-4F71-8171-518DEB3ED6B1}"/>
    <cellStyle name="Normal 21 3 2 2 2" xfId="5413" xr:uid="{3002BCF0-E345-4187-9CE0-BBE94DECCF7D}"/>
    <cellStyle name="Normal 21 3 2 2 2 2" xfId="11049" xr:uid="{39D41073-65D0-4276-854A-2DF77190CC33}"/>
    <cellStyle name="Normal 21 3 2 2 3" xfId="8239" xr:uid="{0FCCF38E-5AA8-461C-A364-E870A163D80A}"/>
    <cellStyle name="Normal 21 3 2 3" xfId="4012" xr:uid="{6CFC4E31-0442-41D4-8B92-AD2CF1B7C6D9}"/>
    <cellStyle name="Normal 21 3 2 3 2" xfId="9648" xr:uid="{56B3FB5C-9CA9-42C0-8D6D-E1AED01C275E}"/>
    <cellStyle name="Normal 21 3 2 4" xfId="6838" xr:uid="{ECE8CD4E-FF79-4D6E-8679-4408B29847E6}"/>
    <cellStyle name="Normal 21 3 3" xfId="1907" xr:uid="{5766E683-B987-42AD-BBDA-2EA9E11B69E6}"/>
    <cellStyle name="Normal 21 3 3 2" xfId="4717" xr:uid="{6E4C0770-7C19-43EE-8706-738C72F92D7A}"/>
    <cellStyle name="Normal 21 3 3 2 2" xfId="10353" xr:uid="{25290EF0-9719-444F-922B-3D4A07B4AEDB}"/>
    <cellStyle name="Normal 21 3 3 3" xfId="7543" xr:uid="{125C350A-270D-44AC-BF24-7414EA4E0F67}"/>
    <cellStyle name="Normal 21 3 4" xfId="3316" xr:uid="{F104B1D9-56EA-461F-9B3E-5E221C37D4D9}"/>
    <cellStyle name="Normal 21 3 4 2" xfId="8952" xr:uid="{B1B71D66-9A0B-4638-8B48-91F90FFAD7C8}"/>
    <cellStyle name="Normal 21 3 5" xfId="6142" xr:uid="{1EB4C636-B5C4-4332-BB5C-0EF18D26B101}"/>
    <cellStyle name="Normal 21 4" xfId="858" xr:uid="{329BECBB-D327-4F1A-B34F-1CA8FCEA424C}"/>
    <cellStyle name="Normal 21 4 2" xfId="2259" xr:uid="{1F75036E-FD64-463C-AFA8-E081C813FD64}"/>
    <cellStyle name="Normal 21 4 2 2" xfId="5069" xr:uid="{CCD0EC95-88CF-4023-8ADC-724CB37374BD}"/>
    <cellStyle name="Normal 21 4 2 2 2" xfId="10705" xr:uid="{58F44C8B-527F-4181-9F54-66E826B591F7}"/>
    <cellStyle name="Normal 21 4 2 3" xfId="7895" xr:uid="{78C15E32-6FF0-4759-869E-33D53E0CC989}"/>
    <cellStyle name="Normal 21 4 3" xfId="3668" xr:uid="{B387B7C1-90DB-40B0-B1EF-DA073492D2D7}"/>
    <cellStyle name="Normal 21 4 3 2" xfId="9304" xr:uid="{ADB27C53-FB5A-4C84-8B3B-FC92435E50C6}"/>
    <cellStyle name="Normal 21 4 4" xfId="6494" xr:uid="{1C0F4838-2132-4678-9029-F127F9B4F8D1}"/>
    <cellStyle name="Normal 21 5" xfId="1563" xr:uid="{D2D9D8A4-A4F3-43A6-967E-F6E8C638F784}"/>
    <cellStyle name="Normal 21 5 2" xfId="4373" xr:uid="{868284E4-56DF-41AA-AD0A-3CEB56ED048A}"/>
    <cellStyle name="Normal 21 5 2 2" xfId="10009" xr:uid="{18446AD4-8AD1-4705-9B15-853D57C0612E}"/>
    <cellStyle name="Normal 21 5 3" xfId="7199" xr:uid="{326F03B4-D31A-44DC-822D-AB8BE8401DCC}"/>
    <cellStyle name="Normal 21 6" xfId="2972" xr:uid="{0362727F-B0EF-4719-AF50-C357745DE509}"/>
    <cellStyle name="Normal 21 6 2" xfId="8608" xr:uid="{C31E55E9-3BF5-4A5B-B997-6D559F5B5B9B}"/>
    <cellStyle name="Normal 21 7" xfId="5798" xr:uid="{37CEECEB-89DA-478E-8A3F-51D1A00C8038}"/>
    <cellStyle name="Normal 22" xfId="164" xr:uid="{B6CA95D4-CDFC-4A77-82E6-F03A86E9EA0D}"/>
    <cellStyle name="Normal 22 2" xfId="336" xr:uid="{8E0FFA4B-5B69-4AEF-AD98-4E42BC728AB9}"/>
    <cellStyle name="Normal 22 2 2" xfId="680" xr:uid="{79E773C8-2201-463B-9B74-0C6608116EC1}"/>
    <cellStyle name="Normal 22 2 2 2" xfId="1376" xr:uid="{2F6113C0-890D-4E38-A2B5-EECF63D7F3AB}"/>
    <cellStyle name="Normal 22 2 2 2 2" xfId="2777" xr:uid="{C561F779-F75D-4E9C-8173-1D3173C787E0}"/>
    <cellStyle name="Normal 22 2 2 2 2 2" xfId="5587" xr:uid="{70669C38-F71A-40A1-A43A-859CC0227B4E}"/>
    <cellStyle name="Normal 22 2 2 2 2 2 2" xfId="11223" xr:uid="{ADD2349D-7153-4648-8107-119DDBB1EB1D}"/>
    <cellStyle name="Normal 22 2 2 2 2 3" xfId="8413" xr:uid="{23C5E84F-E6CB-4931-A33B-20E30F2355CE}"/>
    <cellStyle name="Normal 22 2 2 2 3" xfId="4186" xr:uid="{82F9914D-2B78-4145-A98D-D943CCC27884}"/>
    <cellStyle name="Normal 22 2 2 2 3 2" xfId="9822" xr:uid="{B54CC11D-66EA-454B-8A42-68DD47A3CB60}"/>
    <cellStyle name="Normal 22 2 2 2 4" xfId="7012" xr:uid="{FDD7ACC9-0A1D-4CED-84D9-ADE38EA9B46F}"/>
    <cellStyle name="Normal 22 2 2 3" xfId="2081" xr:uid="{0273D3DA-DA24-4E74-A095-6A4B3F6451F6}"/>
    <cellStyle name="Normal 22 2 2 3 2" xfId="4891" xr:uid="{73627141-3760-4C78-91F8-C626C10A0CC7}"/>
    <cellStyle name="Normal 22 2 2 3 2 2" xfId="10527" xr:uid="{732A0160-DE7C-4350-9BD3-DF78861DE9EA}"/>
    <cellStyle name="Normal 22 2 2 3 3" xfId="7717" xr:uid="{D9B70721-73E9-429A-9E01-92133ECEB574}"/>
    <cellStyle name="Normal 22 2 2 4" xfId="3490" xr:uid="{2FD40D4B-19DB-4E57-9C0D-DA4E0A92DC6D}"/>
    <cellStyle name="Normal 22 2 2 4 2" xfId="9126" xr:uid="{02A4608B-1D52-4C71-A327-1ED9FBB72879}"/>
    <cellStyle name="Normal 22 2 2 5" xfId="6316" xr:uid="{DA3D1804-60ED-4561-BABD-AA45BD459314}"/>
    <cellStyle name="Normal 22 2 3" xfId="1032" xr:uid="{384F4F74-B314-46A2-9C08-A3C969AECB61}"/>
    <cellStyle name="Normal 22 2 3 2" xfId="2433" xr:uid="{A6E3C4E7-B509-40CD-995E-7D03B9F9F17D}"/>
    <cellStyle name="Normal 22 2 3 2 2" xfId="5243" xr:uid="{4FE20CCB-7D4D-42C7-A9CD-154C21481D10}"/>
    <cellStyle name="Normal 22 2 3 2 2 2" xfId="10879" xr:uid="{58165233-F590-4D97-81C8-4A363104C30C}"/>
    <cellStyle name="Normal 22 2 3 2 3" xfId="8069" xr:uid="{35F9FC30-1121-4190-B9BF-0755DBBC8F78}"/>
    <cellStyle name="Normal 22 2 3 3" xfId="3842" xr:uid="{B046175A-ED94-4A3F-9C1D-3A1CCBF48CE8}"/>
    <cellStyle name="Normal 22 2 3 3 2" xfId="9478" xr:uid="{D94A2C6D-E7AD-4745-B9E8-DD93636A9740}"/>
    <cellStyle name="Normal 22 2 3 4" xfId="6668" xr:uid="{E4706FA0-457F-40E2-B958-3D8D15CCC058}"/>
    <cellStyle name="Normal 22 2 4" xfId="1737" xr:uid="{915C821F-655F-4460-B368-4426D9476486}"/>
    <cellStyle name="Normal 22 2 4 2" xfId="4547" xr:uid="{C2B0250A-8F64-424F-B36C-06A2C4D767A7}"/>
    <cellStyle name="Normal 22 2 4 2 2" xfId="10183" xr:uid="{838A2A7D-F44A-47EA-8791-0C2EBC8097CA}"/>
    <cellStyle name="Normal 22 2 4 3" xfId="7373" xr:uid="{7C49F262-99A9-48BE-93C5-3B6D365137B1}"/>
    <cellStyle name="Normal 22 2 5" xfId="3146" xr:uid="{E2B96DBA-CA6D-43CF-8AE7-992852E9BAC4}"/>
    <cellStyle name="Normal 22 2 5 2" xfId="8782" xr:uid="{3A0120CF-FBFC-419B-BF9D-BFB0F6E17EDA}"/>
    <cellStyle name="Normal 22 2 6" xfId="5972" xr:uid="{62A84744-BE90-4901-AF0F-0F4EEA47B7B6}"/>
    <cellStyle name="Normal 22 3" xfId="508" xr:uid="{B2994B4E-E02B-4CE2-BC9F-5CE0A12566DB}"/>
    <cellStyle name="Normal 22 3 2" xfId="1204" xr:uid="{F784EB5C-D875-4DE6-9E06-ECA6424632AE}"/>
    <cellStyle name="Normal 22 3 2 2" xfId="2605" xr:uid="{3961DD0F-62C8-4977-8ED9-70B02D8B2FC7}"/>
    <cellStyle name="Normal 22 3 2 2 2" xfId="5415" xr:uid="{981F0C04-39CA-4014-9AD0-BA9D97626467}"/>
    <cellStyle name="Normal 22 3 2 2 2 2" xfId="11051" xr:uid="{BB0F2DBE-A1C6-40BA-AC0C-EB471F3E47AA}"/>
    <cellStyle name="Normal 22 3 2 2 3" xfId="8241" xr:uid="{968C609A-34DD-4798-AAF7-51D0025DA9D3}"/>
    <cellStyle name="Normal 22 3 2 3" xfId="4014" xr:uid="{92E25BCE-DFB2-4D5D-9E8F-4CE04737F7EE}"/>
    <cellStyle name="Normal 22 3 2 3 2" xfId="9650" xr:uid="{52A38976-E490-411B-96E9-052043610B0A}"/>
    <cellStyle name="Normal 22 3 2 4" xfId="6840" xr:uid="{EAA8CD9D-B006-49AE-B90A-B29F03471F9D}"/>
    <cellStyle name="Normal 22 3 3" xfId="1909" xr:uid="{88C35C54-54B4-4851-82A0-44723102C32C}"/>
    <cellStyle name="Normal 22 3 3 2" xfId="4719" xr:uid="{300FB004-F0C9-43A9-A104-926A0997D461}"/>
    <cellStyle name="Normal 22 3 3 2 2" xfId="10355" xr:uid="{995AD615-D953-4D8A-BEF2-8D4D98667D09}"/>
    <cellStyle name="Normal 22 3 3 3" xfId="7545" xr:uid="{4F52AD0F-A6B9-41E9-98F6-9822F2027AE7}"/>
    <cellStyle name="Normal 22 3 4" xfId="3318" xr:uid="{5510FAB8-C414-4661-B54E-78C1BE02617F}"/>
    <cellStyle name="Normal 22 3 4 2" xfId="8954" xr:uid="{1E918895-D828-4624-856B-8D1A903E12B0}"/>
    <cellStyle name="Normal 22 3 5" xfId="6144" xr:uid="{BC2271C0-91C4-4FF6-8168-6FE61A00E9AC}"/>
    <cellStyle name="Normal 22 4" xfId="860" xr:uid="{CD53A789-A51E-4B04-A11B-3C2951059642}"/>
    <cellStyle name="Normal 22 4 2" xfId="2261" xr:uid="{CDCC5937-20CF-47C6-B9D2-60B3490338D5}"/>
    <cellStyle name="Normal 22 4 2 2" xfId="5071" xr:uid="{F85FBE4E-21D6-45AE-862D-FDB82FC31EF3}"/>
    <cellStyle name="Normal 22 4 2 2 2" xfId="10707" xr:uid="{072BC9DA-8EB0-4EE7-BAE2-CF91BCCBDA89}"/>
    <cellStyle name="Normal 22 4 2 3" xfId="7897" xr:uid="{15A0A563-332B-418F-B741-C792CB8A2D45}"/>
    <cellStyle name="Normal 22 4 3" xfId="3670" xr:uid="{679FAF7C-2AEF-4C78-A8B7-5D3C5E08150F}"/>
    <cellStyle name="Normal 22 4 3 2" xfId="9306" xr:uid="{D6453574-D71D-4C91-8074-F8AB875CBA4F}"/>
    <cellStyle name="Normal 22 4 4" xfId="6496" xr:uid="{6A5BAD21-DB6A-40E2-B1E4-6AF9D71AA133}"/>
    <cellStyle name="Normal 22 5" xfId="1565" xr:uid="{20652A33-C93A-475B-B36A-52027AD3B3C6}"/>
    <cellStyle name="Normal 22 5 2" xfId="4375" xr:uid="{A0E8254E-67DE-4431-9764-F55BA99D0AA9}"/>
    <cellStyle name="Normal 22 5 2 2" xfId="10011" xr:uid="{8F5E1C50-BB18-485F-800A-FA23626D80F8}"/>
    <cellStyle name="Normal 22 5 3" xfId="7201" xr:uid="{FB009683-B8EB-4525-9B5F-225D75BD6A2D}"/>
    <cellStyle name="Normal 22 6" xfId="2974" xr:uid="{D6CB9CE4-54C3-4CDE-9C57-25B7B04C6592}"/>
    <cellStyle name="Normal 22 6 2" xfId="8610" xr:uid="{9AAC411A-A0F2-4E54-8816-3B3AF49EA324}"/>
    <cellStyle name="Normal 22 7" xfId="5800" xr:uid="{4C8682F4-C5B1-4223-89DB-FE604D1E54F1}"/>
    <cellStyle name="Normal 23" xfId="166" xr:uid="{BE4DDEBE-FEF2-43F8-8161-C5722502BCDD}"/>
    <cellStyle name="Normal 23 2" xfId="338" xr:uid="{93BD737E-8EC6-439F-9C32-C56B7820725C}"/>
    <cellStyle name="Normal 23 2 2" xfId="682" xr:uid="{0A2C1E7E-A03C-476F-B77F-6156409A808B}"/>
    <cellStyle name="Normal 23 2 2 2" xfId="1378" xr:uid="{E29989F8-DCC6-4657-B522-FD1F7BE0DA5C}"/>
    <cellStyle name="Normal 23 2 2 2 2" xfId="2779" xr:uid="{8D38D2CD-3C42-45EB-8565-9A9A95851426}"/>
    <cellStyle name="Normal 23 2 2 2 2 2" xfId="5589" xr:uid="{8958BDCC-5C4F-42F3-A922-37B0214F1021}"/>
    <cellStyle name="Normal 23 2 2 2 2 2 2" xfId="11225" xr:uid="{8B37C618-3570-4A9F-9615-66ABD7CA844C}"/>
    <cellStyle name="Normal 23 2 2 2 2 3" xfId="8415" xr:uid="{978AB5CE-D0D7-40AF-AC4E-7912305D2FDA}"/>
    <cellStyle name="Normal 23 2 2 2 3" xfId="4188" xr:uid="{06516D41-DA34-498A-9F13-EBF78A04469E}"/>
    <cellStyle name="Normal 23 2 2 2 3 2" xfId="9824" xr:uid="{6A4B3192-C2B0-4078-8A59-B74256CAC80E}"/>
    <cellStyle name="Normal 23 2 2 2 4" xfId="7014" xr:uid="{ACBA6E12-E94C-4D31-97B5-3ADB850600CC}"/>
    <cellStyle name="Normal 23 2 2 3" xfId="2083" xr:uid="{96735342-4DE4-494E-8029-8C5131FBD6BA}"/>
    <cellStyle name="Normal 23 2 2 3 2" xfId="4893" xr:uid="{308D54B7-5C55-4104-B506-8B636EAF8219}"/>
    <cellStyle name="Normal 23 2 2 3 2 2" xfId="10529" xr:uid="{1F2EA211-3826-4918-B58F-C7E118008E17}"/>
    <cellStyle name="Normal 23 2 2 3 3" xfId="7719" xr:uid="{62E2D709-AB01-4D5D-B57F-651B9820ABC3}"/>
    <cellStyle name="Normal 23 2 2 4" xfId="3492" xr:uid="{52CEB213-D217-435C-A312-8B9C745962F1}"/>
    <cellStyle name="Normal 23 2 2 4 2" xfId="9128" xr:uid="{DC57B31D-4C29-4117-98FB-BDBC6BD590C3}"/>
    <cellStyle name="Normal 23 2 2 5" xfId="6318" xr:uid="{383A7DC0-C493-485A-971A-960D2ADEF963}"/>
    <cellStyle name="Normal 23 2 3" xfId="1034" xr:uid="{14F9F7E5-1AB0-4B52-A6F4-B6896BDE0FE4}"/>
    <cellStyle name="Normal 23 2 3 2" xfId="2435" xr:uid="{9AD9C519-83C2-499F-9EE4-AA64C0BCF744}"/>
    <cellStyle name="Normal 23 2 3 2 2" xfId="5245" xr:uid="{DEBCD9CA-24E1-4E36-A928-8403184FE194}"/>
    <cellStyle name="Normal 23 2 3 2 2 2" xfId="10881" xr:uid="{27B540FE-66F3-4AF7-95EB-D88821DC8531}"/>
    <cellStyle name="Normal 23 2 3 2 3" xfId="8071" xr:uid="{07186F19-D155-428A-9E5F-61788BAC1BEF}"/>
    <cellStyle name="Normal 23 2 3 3" xfId="3844" xr:uid="{E570A92B-BFA5-4AF7-8510-99D1FDB04CEE}"/>
    <cellStyle name="Normal 23 2 3 3 2" xfId="9480" xr:uid="{3CB00D0F-23D0-467A-A2F4-6A0AA7477F1D}"/>
    <cellStyle name="Normal 23 2 3 4" xfId="6670" xr:uid="{23F2FAC8-B614-42B6-97B9-48C72AB63ACA}"/>
    <cellStyle name="Normal 23 2 4" xfId="1739" xr:uid="{0FDCA680-64AF-4AEA-B00B-4BC69473A940}"/>
    <cellStyle name="Normal 23 2 4 2" xfId="4549" xr:uid="{A4C78440-5660-4687-990A-24D272931976}"/>
    <cellStyle name="Normal 23 2 4 2 2" xfId="10185" xr:uid="{D5CCFDE1-FEBF-42DC-B99F-D3E75F379194}"/>
    <cellStyle name="Normal 23 2 4 3" xfId="7375" xr:uid="{09FA6D6B-9887-495E-B5F6-BBEB9DE5EBB3}"/>
    <cellStyle name="Normal 23 2 5" xfId="3148" xr:uid="{F2C11E59-EF17-4FFE-8051-8FFE33419E78}"/>
    <cellStyle name="Normal 23 2 5 2" xfId="8784" xr:uid="{F4DCC11A-84CC-496C-8D8B-B9E8856ED903}"/>
    <cellStyle name="Normal 23 2 6" xfId="5974" xr:uid="{54B92A90-EEAD-4187-BFF0-7CB487ACB077}"/>
    <cellStyle name="Normal 23 3" xfId="510" xr:uid="{6DCC823A-FE53-46B7-8A87-7B63EEF8F775}"/>
    <cellStyle name="Normal 23 3 2" xfId="1206" xr:uid="{DFDED515-CBE1-49AC-96AA-C883E745A1E0}"/>
    <cellStyle name="Normal 23 3 2 2" xfId="2607" xr:uid="{D8C58AC5-CC0B-4F10-8E30-A9A0448CF946}"/>
    <cellStyle name="Normal 23 3 2 2 2" xfId="5417" xr:uid="{B9DA414E-DF08-4D72-BD24-1CE24E21EF8F}"/>
    <cellStyle name="Normal 23 3 2 2 2 2" xfId="11053" xr:uid="{637A1E86-BAD5-4DE6-9571-B844A2214D64}"/>
    <cellStyle name="Normal 23 3 2 2 3" xfId="8243" xr:uid="{E6C4CCF0-FBEB-40D2-8703-29988B0A09D6}"/>
    <cellStyle name="Normal 23 3 2 3" xfId="4016" xr:uid="{DF462435-3BB3-448D-B0EC-52CF0EC08E7F}"/>
    <cellStyle name="Normal 23 3 2 3 2" xfId="9652" xr:uid="{6A3CA573-7527-4C88-8075-D44CD773C7B6}"/>
    <cellStyle name="Normal 23 3 2 4" xfId="6842" xr:uid="{4BDBD80D-A7FB-4179-B3A5-8F8913B4425A}"/>
    <cellStyle name="Normal 23 3 3" xfId="1911" xr:uid="{F0F94E87-94FC-447B-B3E1-4F2BA946FFA2}"/>
    <cellStyle name="Normal 23 3 3 2" xfId="4721" xr:uid="{57F56C18-8364-4BAE-86C9-A41AE883ABC0}"/>
    <cellStyle name="Normal 23 3 3 2 2" xfId="10357" xr:uid="{B907A681-8485-4C2C-90F8-73EDBE6BD89D}"/>
    <cellStyle name="Normal 23 3 3 3" xfId="7547" xr:uid="{7B2E57CE-2A40-4841-AC5F-251065DBDE88}"/>
    <cellStyle name="Normal 23 3 4" xfId="3320" xr:uid="{1185D62C-1C10-4508-950C-47C6CC3B0985}"/>
    <cellStyle name="Normal 23 3 4 2" xfId="8956" xr:uid="{85D08F69-9F1A-477B-A80D-ABD2EED7D1C7}"/>
    <cellStyle name="Normal 23 3 5" xfId="6146" xr:uid="{B0E84F3B-D66F-4A3F-A641-BC180E80767F}"/>
    <cellStyle name="Normal 23 4" xfId="862" xr:uid="{090F95F2-F2EB-4582-BDFE-7F72C4453594}"/>
    <cellStyle name="Normal 23 4 2" xfId="2263" xr:uid="{B9FE6F43-FE27-424F-939A-7EA1A3ECEF48}"/>
    <cellStyle name="Normal 23 4 2 2" xfId="5073" xr:uid="{5554015C-D017-4F28-B13E-451644FC4936}"/>
    <cellStyle name="Normal 23 4 2 2 2" xfId="10709" xr:uid="{C9ADF710-14B9-497C-937A-4F5C03CD7657}"/>
    <cellStyle name="Normal 23 4 2 3" xfId="7899" xr:uid="{6EC7E727-2267-42F9-9AF3-733A292E7FF7}"/>
    <cellStyle name="Normal 23 4 3" xfId="3672" xr:uid="{417656A1-FBBF-4650-A7B7-84DDC940B793}"/>
    <cellStyle name="Normal 23 4 3 2" xfId="9308" xr:uid="{C35F6487-B4AE-43CD-A2D5-4F866DD1520F}"/>
    <cellStyle name="Normal 23 4 4" xfId="6498" xr:uid="{43EB720E-FF03-4823-A174-060D97874D42}"/>
    <cellStyle name="Normal 23 5" xfId="1567" xr:uid="{C15E31C1-5218-4990-BB13-CF7C02BF41E9}"/>
    <cellStyle name="Normal 23 5 2" xfId="4377" xr:uid="{5EA7C90D-13E2-43C3-9B3B-7FD3A30106B1}"/>
    <cellStyle name="Normal 23 5 2 2" xfId="10013" xr:uid="{F9F8637B-6ECD-496F-A886-F09E667FF0ED}"/>
    <cellStyle name="Normal 23 5 3" xfId="7203" xr:uid="{C1F806ED-F45C-483C-B36A-8C7BCF2F4894}"/>
    <cellStyle name="Normal 23 6" xfId="2976" xr:uid="{2F05BA03-76A0-4C22-8CE6-A934D64E1C1C}"/>
    <cellStyle name="Normal 23 6 2" xfId="8612" xr:uid="{21516418-6E35-4440-A1FE-BB10A8F185E2}"/>
    <cellStyle name="Normal 23 7" xfId="5802" xr:uid="{27C479B3-32D5-4158-B67E-D99C034082F7}"/>
    <cellStyle name="Normal 24" xfId="168" xr:uid="{71C2113F-858A-43E0-BD71-35ADC02A2E1B}"/>
    <cellStyle name="Normal 24 2" xfId="340" xr:uid="{F4E513F7-0F73-4FBE-B232-DBECAAF70D0C}"/>
    <cellStyle name="Normal 24 2 2" xfId="684" xr:uid="{B2B357BE-9666-40FA-AECF-64EE7A22EADF}"/>
    <cellStyle name="Normal 24 2 2 2" xfId="1380" xr:uid="{B5144E5B-D479-41EE-8123-B9AEB6AAF76B}"/>
    <cellStyle name="Normal 24 2 2 2 2" xfId="2781" xr:uid="{BA5FF90B-5AF8-4172-94C9-D8E718D57A6D}"/>
    <cellStyle name="Normal 24 2 2 2 2 2" xfId="5591" xr:uid="{CFF64B29-1620-4ED7-8BD0-43B401564841}"/>
    <cellStyle name="Normal 24 2 2 2 2 2 2" xfId="11227" xr:uid="{CF490902-9B99-4DA5-8A5C-8B9BA04C131E}"/>
    <cellStyle name="Normal 24 2 2 2 2 3" xfId="8417" xr:uid="{F2A91406-6B47-4219-BBB9-22B96F15B709}"/>
    <cellStyle name="Normal 24 2 2 2 3" xfId="4190" xr:uid="{9FD8795B-7595-42CD-84CA-3F47B0F18AD4}"/>
    <cellStyle name="Normal 24 2 2 2 3 2" xfId="9826" xr:uid="{3136A03A-4CD7-4C52-82E1-9723BAA1B3E6}"/>
    <cellStyle name="Normal 24 2 2 2 4" xfId="7016" xr:uid="{6495B682-46E9-4755-B32E-574EB04230F3}"/>
    <cellStyle name="Normal 24 2 2 3" xfId="2085" xr:uid="{6D6C8ED6-7350-4073-8681-73D7E1AD85B4}"/>
    <cellStyle name="Normal 24 2 2 3 2" xfId="4895" xr:uid="{968FFEB9-0EC1-449F-BF75-08FB52C96199}"/>
    <cellStyle name="Normal 24 2 2 3 2 2" xfId="10531" xr:uid="{22562E57-3AA0-4078-A32D-7AB7D113C9F5}"/>
    <cellStyle name="Normal 24 2 2 3 3" xfId="7721" xr:uid="{CAABCC04-4785-4EF1-A718-789B5FC067A9}"/>
    <cellStyle name="Normal 24 2 2 4" xfId="3494" xr:uid="{2D13D9F4-8D02-4AC3-91A7-4520242BAAAB}"/>
    <cellStyle name="Normal 24 2 2 4 2" xfId="9130" xr:uid="{B94DBBBA-37AA-4BE0-8403-0AA2F84C6499}"/>
    <cellStyle name="Normal 24 2 2 5" xfId="6320" xr:uid="{F4C64B59-57D7-4F10-9F0C-91A71DFA4FFC}"/>
    <cellStyle name="Normal 24 2 3" xfId="1036" xr:uid="{947B3826-5F76-40F4-A0EC-24C2975D7DF1}"/>
    <cellStyle name="Normal 24 2 3 2" xfId="2437" xr:uid="{BFC03BC3-B284-49D5-B1C5-75795F0D3D17}"/>
    <cellStyle name="Normal 24 2 3 2 2" xfId="5247" xr:uid="{F6C88C3A-7797-40CF-9FEE-161846095AB3}"/>
    <cellStyle name="Normal 24 2 3 2 2 2" xfId="10883" xr:uid="{4E290B15-CE71-42B0-BFA8-4C345218CDD6}"/>
    <cellStyle name="Normal 24 2 3 2 3" xfId="8073" xr:uid="{A00AC278-EAB8-4A3F-BE54-A837CDA92B91}"/>
    <cellStyle name="Normal 24 2 3 3" xfId="3846" xr:uid="{2C94C9C4-F764-44ED-886E-23D0ECB917FE}"/>
    <cellStyle name="Normal 24 2 3 3 2" xfId="9482" xr:uid="{B988DEAA-6EC9-4AAD-B5A6-D32663325494}"/>
    <cellStyle name="Normal 24 2 3 4" xfId="6672" xr:uid="{7098B2DA-0A40-4183-A0A4-F687F63529E1}"/>
    <cellStyle name="Normal 24 2 4" xfId="1741" xr:uid="{3F4682B7-9173-4991-A9E1-5BFDBD84BE78}"/>
    <cellStyle name="Normal 24 2 4 2" xfId="4551" xr:uid="{7AE0C139-463A-40DA-B23E-5EFB2BEED464}"/>
    <cellStyle name="Normal 24 2 4 2 2" xfId="10187" xr:uid="{5AC7A1C8-FE14-4A50-A0C2-32772F412DE1}"/>
    <cellStyle name="Normal 24 2 4 3" xfId="7377" xr:uid="{95B1DCC9-E8FD-49D1-A0C6-2992EC53C846}"/>
    <cellStyle name="Normal 24 2 5" xfId="3150" xr:uid="{B1C57360-1D10-4550-A8C7-DE7087DC2F95}"/>
    <cellStyle name="Normal 24 2 5 2" xfId="8786" xr:uid="{2698C33F-8B83-426D-A1D8-494207FFAA52}"/>
    <cellStyle name="Normal 24 2 6" xfId="5976" xr:uid="{F593493C-CC09-49F2-B139-0ED08F4D4E2B}"/>
    <cellStyle name="Normal 24 3" xfId="512" xr:uid="{EC936565-145D-4874-8FAC-33D0ECD921AE}"/>
    <cellStyle name="Normal 24 3 2" xfId="1208" xr:uid="{5E014BBD-A9C8-4DEC-93DC-62DB604B58CE}"/>
    <cellStyle name="Normal 24 3 2 2" xfId="2609" xr:uid="{9D0E63EB-64D8-4BCB-BCC9-78884A3B2A1C}"/>
    <cellStyle name="Normal 24 3 2 2 2" xfId="5419" xr:uid="{4C818C1C-DC14-4E97-BBEB-54F7E524D7D9}"/>
    <cellStyle name="Normal 24 3 2 2 2 2" xfId="11055" xr:uid="{5F34E39E-4518-4765-8FDE-C5913B4F81E5}"/>
    <cellStyle name="Normal 24 3 2 2 3" xfId="8245" xr:uid="{AFB14BCA-72A3-4A01-B590-666F4F65211A}"/>
    <cellStyle name="Normal 24 3 2 3" xfId="4018" xr:uid="{86766D51-1B7A-4920-A785-A00AA8539986}"/>
    <cellStyle name="Normal 24 3 2 3 2" xfId="9654" xr:uid="{556DC1A0-69D2-4041-8769-8BC01B37BED3}"/>
    <cellStyle name="Normal 24 3 2 4" xfId="6844" xr:uid="{BA8EBAEA-72B8-49CC-8669-3FB31B08FF85}"/>
    <cellStyle name="Normal 24 3 3" xfId="1913" xr:uid="{9E75B858-4AC6-4411-B8BA-AF46E0BBD69C}"/>
    <cellStyle name="Normal 24 3 3 2" xfId="4723" xr:uid="{8671D812-DC14-428D-B670-D852C46D0ED7}"/>
    <cellStyle name="Normal 24 3 3 2 2" xfId="10359" xr:uid="{EFD318BA-30E9-457B-80D4-C29D7CA69ADE}"/>
    <cellStyle name="Normal 24 3 3 3" xfId="7549" xr:uid="{4953822B-33A6-4334-8779-CBF2C17373B1}"/>
    <cellStyle name="Normal 24 3 4" xfId="3322" xr:uid="{058C7E12-1BAF-4F84-A710-CC8DBE70FBB6}"/>
    <cellStyle name="Normal 24 3 4 2" xfId="8958" xr:uid="{F0351FA2-C91E-4CBC-9A9B-5429F21CE73B}"/>
    <cellStyle name="Normal 24 3 5" xfId="6148" xr:uid="{B68A5DF3-9E0A-4FC7-BECC-058735C1B63C}"/>
    <cellStyle name="Normal 24 4" xfId="864" xr:uid="{A447F6BE-7A80-4998-A030-AF35F741D86D}"/>
    <cellStyle name="Normal 24 4 2" xfId="2265" xr:uid="{BF671355-1D12-4A69-B241-4A7FC496077C}"/>
    <cellStyle name="Normal 24 4 2 2" xfId="5075" xr:uid="{47146B96-550D-4E56-9C11-79148B2F81BC}"/>
    <cellStyle name="Normal 24 4 2 2 2" xfId="10711" xr:uid="{5D3B7C17-C039-49D7-9127-BD8E2F24AD6B}"/>
    <cellStyle name="Normal 24 4 2 3" xfId="7901" xr:uid="{0EDEDEF4-476E-4E7B-A55D-FB4F18C5348D}"/>
    <cellStyle name="Normal 24 4 3" xfId="3674" xr:uid="{7E99DF1F-F88C-4547-815B-E2521AFDB3C1}"/>
    <cellStyle name="Normal 24 4 3 2" xfId="9310" xr:uid="{E446104C-FD0D-49DF-92F0-ABEED8D8C485}"/>
    <cellStyle name="Normal 24 4 4" xfId="6500" xr:uid="{03CF4B4F-5674-4365-AB36-AD78CBEA088F}"/>
    <cellStyle name="Normal 24 5" xfId="1569" xr:uid="{19BA8AC8-11EE-4811-A28B-7F0AF98F49C7}"/>
    <cellStyle name="Normal 24 5 2" xfId="4379" xr:uid="{40D5CAA1-F117-4B58-BCF1-6342D4277068}"/>
    <cellStyle name="Normal 24 5 2 2" xfId="10015" xr:uid="{97E7D090-726E-4B01-ACC7-DA43B481C6C7}"/>
    <cellStyle name="Normal 24 5 3" xfId="7205" xr:uid="{7DF206DC-D544-4D56-B7B0-951A6ED75C8B}"/>
    <cellStyle name="Normal 24 6" xfId="2978" xr:uid="{5E332D5D-FE93-4AAC-A22A-19A54C606C76}"/>
    <cellStyle name="Normal 24 6 2" xfId="8614" xr:uid="{475A4945-33CA-4AA3-AFF5-197E7987F82F}"/>
    <cellStyle name="Normal 24 7" xfId="5804" xr:uid="{4F2F9D63-0C91-4491-AF3C-18F86564372D}"/>
    <cellStyle name="Normal 25" xfId="170" xr:uid="{F1BB9500-D918-4B13-9A1E-2590398805C4}"/>
    <cellStyle name="Normal 25 2" xfId="342" xr:uid="{2118F3E7-2D25-49A8-B1BB-F5867CFF23E5}"/>
    <cellStyle name="Normal 25 2 2" xfId="686" xr:uid="{5D3BB954-B9A1-4126-9AA9-AD7AA2D39637}"/>
    <cellStyle name="Normal 25 2 2 2" xfId="1382" xr:uid="{7A45BF63-FE5F-47E4-B00B-08B5E37AED16}"/>
    <cellStyle name="Normal 25 2 2 2 2" xfId="2783" xr:uid="{D7470A8F-19EA-421D-9889-12141916F3C5}"/>
    <cellStyle name="Normal 25 2 2 2 2 2" xfId="5593" xr:uid="{1572F9CB-E258-4AF4-9154-B874EF49CB25}"/>
    <cellStyle name="Normal 25 2 2 2 2 2 2" xfId="11229" xr:uid="{49601182-D34B-47CB-A18E-C413276927AE}"/>
    <cellStyle name="Normal 25 2 2 2 2 3" xfId="8419" xr:uid="{AA54FE5B-438B-4CBC-861D-BD25366F1E9F}"/>
    <cellStyle name="Normal 25 2 2 2 3" xfId="4192" xr:uid="{AC227AC7-C581-4D71-B372-5B5EAEBBA63D}"/>
    <cellStyle name="Normal 25 2 2 2 3 2" xfId="9828" xr:uid="{E6E13174-A875-4E2D-9F19-5D8451FA3081}"/>
    <cellStyle name="Normal 25 2 2 2 4" xfId="7018" xr:uid="{56B277C7-30B0-4786-BBC2-1AD191C52440}"/>
    <cellStyle name="Normal 25 2 2 3" xfId="2087" xr:uid="{677F6E7F-F210-4461-A40D-B73A29E6A55F}"/>
    <cellStyle name="Normal 25 2 2 3 2" xfId="4897" xr:uid="{67649330-DFE2-42D3-AAA2-0E2038788564}"/>
    <cellStyle name="Normal 25 2 2 3 2 2" xfId="10533" xr:uid="{0E55ED96-29B9-4429-8FBA-F6BEE825C43D}"/>
    <cellStyle name="Normal 25 2 2 3 3" xfId="7723" xr:uid="{F4CBB637-9988-442D-B3FF-EF335A8B1EB4}"/>
    <cellStyle name="Normal 25 2 2 4" xfId="3496" xr:uid="{373EC4D4-4DFE-43CE-96DF-12DF170355EC}"/>
    <cellStyle name="Normal 25 2 2 4 2" xfId="9132" xr:uid="{0AE6F320-4B66-4B1A-ADBE-35D62077CA15}"/>
    <cellStyle name="Normal 25 2 2 5" xfId="6322" xr:uid="{C9779559-7BDA-4C36-8CD5-E0AB1DF4B940}"/>
    <cellStyle name="Normal 25 2 3" xfId="1038" xr:uid="{66C50DE2-BB90-4D9B-AAE2-E88C9DF7B26D}"/>
    <cellStyle name="Normal 25 2 3 2" xfId="2439" xr:uid="{8D921D51-AB8E-41C7-A421-CBEC8C6877F3}"/>
    <cellStyle name="Normal 25 2 3 2 2" xfId="5249" xr:uid="{D97DAD0E-E1C0-47AC-A419-CB8B8B3AC3EA}"/>
    <cellStyle name="Normal 25 2 3 2 2 2" xfId="10885" xr:uid="{88BB03D8-CD2D-412F-95FD-B6FA3687D24A}"/>
    <cellStyle name="Normal 25 2 3 2 3" xfId="8075" xr:uid="{C623CE6F-A954-4E37-B3CF-E9D34944BD3E}"/>
    <cellStyle name="Normal 25 2 3 3" xfId="3848" xr:uid="{679E99F6-E8CA-4D9E-A54B-08A44380445B}"/>
    <cellStyle name="Normal 25 2 3 3 2" xfId="9484" xr:uid="{AA99873D-079A-4786-949D-17BDF0DD32E2}"/>
    <cellStyle name="Normal 25 2 3 4" xfId="6674" xr:uid="{D578B3D0-1EDF-49B2-9B79-5B30DE3D5E36}"/>
    <cellStyle name="Normal 25 2 4" xfId="1743" xr:uid="{0B7EB90C-9C75-4561-A4B6-5F8C7F0AF97F}"/>
    <cellStyle name="Normal 25 2 4 2" xfId="4553" xr:uid="{D5A7B216-1144-4D0D-AF5E-1006B1E48F4C}"/>
    <cellStyle name="Normal 25 2 4 2 2" xfId="10189" xr:uid="{473736D2-3D89-45E2-9A73-4EA82CC0CE58}"/>
    <cellStyle name="Normal 25 2 4 3" xfId="7379" xr:uid="{809B6EDE-C4C5-48B3-910C-D84C479B45A3}"/>
    <cellStyle name="Normal 25 2 5" xfId="3152" xr:uid="{87DFBD7E-9DBE-423D-AE91-F3DB945DEECF}"/>
    <cellStyle name="Normal 25 2 5 2" xfId="8788" xr:uid="{730CCABE-9851-4488-B463-87C23B689659}"/>
    <cellStyle name="Normal 25 2 6" xfId="5978" xr:uid="{75714D74-D068-460F-A42F-801FADE554E8}"/>
    <cellStyle name="Normal 25 3" xfId="514" xr:uid="{A6195219-70DC-4394-A845-5A6B07DBE894}"/>
    <cellStyle name="Normal 25 3 2" xfId="1210" xr:uid="{9B98C0E9-A76F-40DE-B498-FB8B142731E2}"/>
    <cellStyle name="Normal 25 3 2 2" xfId="2611" xr:uid="{DCF243A5-6509-4EFC-898A-2AE6015692F8}"/>
    <cellStyle name="Normal 25 3 2 2 2" xfId="5421" xr:uid="{E17E1692-21FA-4CE5-8F0E-005EBCC1F403}"/>
    <cellStyle name="Normal 25 3 2 2 2 2" xfId="11057" xr:uid="{0DF2AB92-CC74-416B-AA79-BD091DC29411}"/>
    <cellStyle name="Normal 25 3 2 2 3" xfId="8247" xr:uid="{054BF79D-3DA2-453F-AC5A-9C532BEE9B3D}"/>
    <cellStyle name="Normal 25 3 2 3" xfId="4020" xr:uid="{BC0D0F8D-184B-4E22-9098-8F75BE64F673}"/>
    <cellStyle name="Normal 25 3 2 3 2" xfId="9656" xr:uid="{AC160D53-BA9D-4F0B-93A8-F9B9AB87B5C2}"/>
    <cellStyle name="Normal 25 3 2 4" xfId="6846" xr:uid="{119FD9D9-C22B-43B6-A91B-149A70F6BB87}"/>
    <cellStyle name="Normal 25 3 3" xfId="1915" xr:uid="{C2B9E737-FA48-4C95-A84B-632C64DD2AF9}"/>
    <cellStyle name="Normal 25 3 3 2" xfId="4725" xr:uid="{C5213383-BBEC-4025-A451-9341B446B705}"/>
    <cellStyle name="Normal 25 3 3 2 2" xfId="10361" xr:uid="{B6CA9BE7-51A6-4509-988B-C255E0D8560D}"/>
    <cellStyle name="Normal 25 3 3 3" xfId="7551" xr:uid="{1D897BD9-0C32-414A-A6D9-E1B8C2BB121B}"/>
    <cellStyle name="Normal 25 3 4" xfId="3324" xr:uid="{92E7B9A1-ACCA-45D3-843C-833F4B84A9EC}"/>
    <cellStyle name="Normal 25 3 4 2" xfId="8960" xr:uid="{AFA2C448-7E21-4092-AD51-A477BEA2D68D}"/>
    <cellStyle name="Normal 25 3 5" xfId="6150" xr:uid="{5BDE9153-FC60-4F64-AF4B-0D7A106AAD8E}"/>
    <cellStyle name="Normal 25 4" xfId="866" xr:uid="{4998E0D3-23F3-4834-93C2-A98255268EAD}"/>
    <cellStyle name="Normal 25 4 2" xfId="2267" xr:uid="{C46AEF06-94C3-4E2E-A965-4F1A01D872CF}"/>
    <cellStyle name="Normal 25 4 2 2" xfId="5077" xr:uid="{A7F3DCE4-E71B-4A20-8414-8387F4B45659}"/>
    <cellStyle name="Normal 25 4 2 2 2" xfId="10713" xr:uid="{AF866BBF-9353-45CD-A0E4-B69036CBA776}"/>
    <cellStyle name="Normal 25 4 2 3" xfId="7903" xr:uid="{195F2CA4-198C-4144-857B-F58CF3B44774}"/>
    <cellStyle name="Normal 25 4 3" xfId="3676" xr:uid="{ED81ED12-101C-4405-A455-07F44821DD0D}"/>
    <cellStyle name="Normal 25 4 3 2" xfId="9312" xr:uid="{ADA37ED2-79B0-4DC9-99DE-3E984017B377}"/>
    <cellStyle name="Normal 25 4 4" xfId="6502" xr:uid="{B0C055DA-C92D-4577-801F-2C8400A9EFDD}"/>
    <cellStyle name="Normal 25 5" xfId="1571" xr:uid="{6BC81A99-5A48-491B-99D7-DD639F6741F9}"/>
    <cellStyle name="Normal 25 5 2" xfId="4381" xr:uid="{A316B35B-F076-4F33-81DC-F01506B9D7EC}"/>
    <cellStyle name="Normal 25 5 2 2" xfId="10017" xr:uid="{C27FEE99-E5DB-4C57-9AC3-C9AEE2019BA9}"/>
    <cellStyle name="Normal 25 5 3" xfId="7207" xr:uid="{178318B5-4A36-4F0F-B5E2-15BC0D502E5E}"/>
    <cellStyle name="Normal 25 6" xfId="2980" xr:uid="{2EE37242-7578-4D98-9D34-E5392054F0FA}"/>
    <cellStyle name="Normal 25 6 2" xfId="8616" xr:uid="{FEE34A34-A820-4673-9989-EEABA88CDB9C}"/>
    <cellStyle name="Normal 25 7" xfId="5806" xr:uid="{B4B921CF-612B-4F9E-8FA9-818EF4ED56F9}"/>
    <cellStyle name="Normal 26" xfId="172" xr:uid="{3A027C8F-E751-4506-89B1-0343F4377617}"/>
    <cellStyle name="Normal 26 2" xfId="516" xr:uid="{E46D636E-AA55-4F5C-86E3-4038B4A765C1}"/>
    <cellStyle name="Normal 26 2 2" xfId="1212" xr:uid="{4D6D76C4-131E-450E-9C14-C24C58DC8394}"/>
    <cellStyle name="Normal 26 2 2 2" xfId="2613" xr:uid="{D55B254B-1B54-4249-8376-7AEA2082944D}"/>
    <cellStyle name="Normal 26 2 2 2 2" xfId="5423" xr:uid="{54B14DE3-6F61-4A51-AA74-BA077B41083F}"/>
    <cellStyle name="Normal 26 2 2 2 2 2" xfId="11059" xr:uid="{4B00C980-CC66-4FFC-9A47-DC6B0F5BE722}"/>
    <cellStyle name="Normal 26 2 2 2 3" xfId="8249" xr:uid="{075A9BC5-58DE-4856-9BB5-C10E3DBC404F}"/>
    <cellStyle name="Normal 26 2 2 3" xfId="4022" xr:uid="{CBBFB072-4457-4E5D-B379-2DD62974188F}"/>
    <cellStyle name="Normal 26 2 2 3 2" xfId="9658" xr:uid="{8C2B8022-4393-4039-8B2F-689F310376BB}"/>
    <cellStyle name="Normal 26 2 2 4" xfId="6848" xr:uid="{9FB0B583-3529-4348-9E59-0C7BCF57AA30}"/>
    <cellStyle name="Normal 26 2 3" xfId="1917" xr:uid="{15CA7FFA-F4DF-42BB-83BA-7DB75BBB109B}"/>
    <cellStyle name="Normal 26 2 3 2" xfId="4727" xr:uid="{488BDE13-ADFA-4135-8127-75832A1A48FA}"/>
    <cellStyle name="Normal 26 2 3 2 2" xfId="10363" xr:uid="{3330345A-6B51-4BD8-A1FC-661C4B5BACB1}"/>
    <cellStyle name="Normal 26 2 3 3" xfId="7553" xr:uid="{E4E29E8A-45F8-40DF-A4C3-C43D36153702}"/>
    <cellStyle name="Normal 26 2 4" xfId="3326" xr:uid="{C5702AE1-DE75-45F6-BCA0-106F43214B8D}"/>
    <cellStyle name="Normal 26 2 4 2" xfId="8962" xr:uid="{F5A39811-4F97-41DC-9193-C4F8AF0CB173}"/>
    <cellStyle name="Normal 26 2 5" xfId="6152" xr:uid="{893ACD5C-6A2E-4D91-B4EB-020E0D92E0F3}"/>
    <cellStyle name="Normal 26 3" xfId="868" xr:uid="{812177D3-BADE-48FF-8EEF-B6C5ACC58B93}"/>
    <cellStyle name="Normal 26 3 2" xfId="2269" xr:uid="{2131B4FA-3F69-42DD-B9B1-26F80E3D5A87}"/>
    <cellStyle name="Normal 26 3 2 2" xfId="5079" xr:uid="{1DF0FB76-FC0B-4EC8-AACB-1AF3B2B9CB8D}"/>
    <cellStyle name="Normal 26 3 2 2 2" xfId="10715" xr:uid="{4500293D-5BC6-415B-A5E8-128FBA5869ED}"/>
    <cellStyle name="Normal 26 3 2 3" xfId="7905" xr:uid="{A4D8E59F-5D36-4260-8446-75C9D1B3B7D4}"/>
    <cellStyle name="Normal 26 3 3" xfId="3678" xr:uid="{26507F84-0B1A-4C8E-BF6F-01A95EE33397}"/>
    <cellStyle name="Normal 26 3 3 2" xfId="9314" xr:uid="{51FA0050-346E-4143-9CF6-34306114493E}"/>
    <cellStyle name="Normal 26 3 4" xfId="6504" xr:uid="{3F457C98-D235-47CC-91E2-A15073E0617E}"/>
    <cellStyle name="Normal 26 4" xfId="1573" xr:uid="{1B68DC3D-B9F4-499F-BA6F-5B3AAAD09DE1}"/>
    <cellStyle name="Normal 26 4 2" xfId="4383" xr:uid="{2C845CA4-BD57-4141-B022-8BA91A5D80E2}"/>
    <cellStyle name="Normal 26 4 2 2" xfId="10019" xr:uid="{ABF81320-494D-4901-9E57-92970B266B39}"/>
    <cellStyle name="Normal 26 4 3" xfId="7209" xr:uid="{E519EA62-D704-4543-AD1B-C61849036D1D}"/>
    <cellStyle name="Normal 26 5" xfId="2982" xr:uid="{2A294840-0C01-4DCC-958C-93CB39BEEEC3}"/>
    <cellStyle name="Normal 26 5 2" xfId="8618" xr:uid="{F017AC60-5CAF-4D58-AF5C-8E4AE5BA1309}"/>
    <cellStyle name="Normal 26 6" xfId="5808" xr:uid="{CD421616-C7ED-48A3-A95B-1876E98177CD}"/>
    <cellStyle name="Normal 27" xfId="344" xr:uid="{80CEFDBA-363C-41D4-A45A-D420737946D9}"/>
    <cellStyle name="Normal 27 2" xfId="1040" xr:uid="{51827A62-D8B0-4BB6-95E3-94D4B595C198}"/>
    <cellStyle name="Normal 27 2 2" xfId="2441" xr:uid="{C667DE40-55E7-46FF-9E42-0A1A86D7D6C5}"/>
    <cellStyle name="Normal 27 2 2 2" xfId="5251" xr:uid="{FD66A587-20A0-454B-97F7-983F7FD9AA45}"/>
    <cellStyle name="Normal 27 2 2 2 2" xfId="10887" xr:uid="{873EB1A9-C3B8-4126-ABD6-476E4A167FAF}"/>
    <cellStyle name="Normal 27 2 2 3" xfId="8077" xr:uid="{E4A9D09F-1541-4E2B-B0E1-72C412E0A480}"/>
    <cellStyle name="Normal 27 2 3" xfId="3850" xr:uid="{05614877-FDCB-447D-88BD-8B6F5BD3FA3E}"/>
    <cellStyle name="Normal 27 2 3 2" xfId="9486" xr:uid="{3E798280-D529-477D-A714-6CA0F18B9D9A}"/>
    <cellStyle name="Normal 27 2 4" xfId="6676" xr:uid="{ABD556D8-1C76-4911-98A3-808A44BF9B4E}"/>
    <cellStyle name="Normal 27 3" xfId="1745" xr:uid="{87797F1E-50A9-456F-8775-816EA1E2F041}"/>
    <cellStyle name="Normal 27 3 2" xfId="4555" xr:uid="{A4C9A3D8-3230-4E0F-8BC3-5B3AE4BEC51D}"/>
    <cellStyle name="Normal 27 3 2 2" xfId="10191" xr:uid="{524C4B9D-403A-410B-95DA-B1916D86A7AA}"/>
    <cellStyle name="Normal 27 3 3" xfId="7381" xr:uid="{CE7FC325-E68B-4287-B0DF-292BAC42B326}"/>
    <cellStyle name="Normal 27 4" xfId="3154" xr:uid="{C81D9C1A-3584-45EF-973F-C61A74B6A4C8}"/>
    <cellStyle name="Normal 27 4 2" xfId="8790" xr:uid="{BE48B66A-8292-49B4-8415-43876E095F86}"/>
    <cellStyle name="Normal 27 5" xfId="5980" xr:uid="{3CE890A5-5605-4C05-A811-79FC3ACAB5E2}"/>
    <cellStyle name="Normal 28" xfId="688" xr:uid="{F85307CE-15EF-4B36-B364-D89DC478F395}"/>
    <cellStyle name="Normal 28 2" xfId="1384" xr:uid="{6546EE60-574C-453F-B932-31B41E204FF3}"/>
    <cellStyle name="Normal 28 2 2" xfId="2785" xr:uid="{17CCBB86-DB93-4D34-93D8-E3EB44C42C8F}"/>
    <cellStyle name="Normal 28 2 2 2" xfId="5595" xr:uid="{43E1F9FE-5B44-4972-B483-BF04B7C55AF6}"/>
    <cellStyle name="Normal 28 2 2 2 2" xfId="11231" xr:uid="{C5AD726B-D95B-41B1-AA16-D3685C19CE19}"/>
    <cellStyle name="Normal 28 2 2 3" xfId="8421" xr:uid="{9ABB172F-188B-45C0-BDDB-3D134A4E998A}"/>
    <cellStyle name="Normal 28 2 3" xfId="4194" xr:uid="{7C5C645C-1E2A-4663-8596-015A3DF6C10D}"/>
    <cellStyle name="Normal 28 2 3 2" xfId="9830" xr:uid="{3A106867-3014-4C61-B77B-DA8B604D9BE4}"/>
    <cellStyle name="Normal 28 2 4" xfId="7020" xr:uid="{02C70C42-79F7-4977-ABAB-0613EEFAFBF8}"/>
    <cellStyle name="Normal 28 3" xfId="2089" xr:uid="{A4DD66D0-A835-4A38-82F8-41DFA5639DE8}"/>
    <cellStyle name="Normal 28 3 2" xfId="4899" xr:uid="{C935BEEF-DB4C-49BC-8656-BA64195574DA}"/>
    <cellStyle name="Normal 28 3 2 2" xfId="10535" xr:uid="{E98A35DB-47F2-4B4D-A213-9D23577E05F7}"/>
    <cellStyle name="Normal 28 3 3" xfId="7725" xr:uid="{9AD1DDE3-AB80-4A74-A224-B4F15DB9DCCF}"/>
    <cellStyle name="Normal 28 4" xfId="3498" xr:uid="{8129642B-8A95-4104-BB36-C0D75F73605A}"/>
    <cellStyle name="Normal 28 4 2" xfId="9134" xr:uid="{B2B5431E-AC25-4423-AACA-17986E8E5E66}"/>
    <cellStyle name="Normal 28 5" xfId="6324" xr:uid="{5058281D-ED4F-4842-9B17-BE928669CC78}"/>
    <cellStyle name="Normal 29" xfId="690" xr:uid="{55A10B95-2E21-4643-891D-46C1AA7991A8}"/>
    <cellStyle name="Normal 29 2" xfId="1386" xr:uid="{463B6144-850E-4B04-9845-1EA617FCF79C}"/>
    <cellStyle name="Normal 29 2 2" xfId="2787" xr:uid="{158E092A-F7A6-470D-839D-1D0EA380AB4F}"/>
    <cellStyle name="Normal 29 2 2 2" xfId="5597" xr:uid="{F9071F8D-F0E8-4BBA-BA2A-3CA1BD63FA47}"/>
    <cellStyle name="Normal 29 2 2 2 2" xfId="11233" xr:uid="{232954F4-D6AB-4CF1-8C88-A5D68ECB348D}"/>
    <cellStyle name="Normal 29 2 2 3" xfId="8423" xr:uid="{2F8189F5-FA19-4707-82BC-DD648A9896C1}"/>
    <cellStyle name="Normal 29 2 3" xfId="4196" xr:uid="{98008BE7-2521-46EE-968B-1AF1ABEE8FC6}"/>
    <cellStyle name="Normal 29 2 3 2" xfId="9832" xr:uid="{63234C73-E80D-4917-AD78-C192481AD6A6}"/>
    <cellStyle name="Normal 29 2 4" xfId="7022" xr:uid="{54F253FD-B34B-4785-B27E-16097D630938}"/>
    <cellStyle name="Normal 29 3" xfId="2091" xr:uid="{647ABB8A-4EBB-4C1E-B56E-3428ABE13E37}"/>
    <cellStyle name="Normal 29 3 2" xfId="4901" xr:uid="{8C8ED817-1D25-484E-8DCD-6A59F8130205}"/>
    <cellStyle name="Normal 29 3 2 2" xfId="10537" xr:uid="{B4241DDB-1C6C-4732-9A5A-5082BDDA4FF2}"/>
    <cellStyle name="Normal 29 3 3" xfId="7727" xr:uid="{E5400D26-F340-4151-AFA6-B3410347D40C}"/>
    <cellStyle name="Normal 29 4" xfId="3500" xr:uid="{9814BEC1-AC48-4D0C-B6CA-8E6A7DE11D88}"/>
    <cellStyle name="Normal 29 4 2" xfId="9136" xr:uid="{060CAE80-0576-4346-B6D9-5C9028C4A9B5}"/>
    <cellStyle name="Normal 29 5" xfId="6326" xr:uid="{78F0D30D-A61A-4E4E-8372-6BE767B34F32}"/>
    <cellStyle name="Normal 3" xfId="6" xr:uid="{018B1A3F-2933-4BD1-9F8D-AA90DAB5A03F}"/>
    <cellStyle name="Normal 3 10" xfId="5642" xr:uid="{79E6CFD6-59D8-4CAC-AF7A-FF8D63488F91}"/>
    <cellStyle name="Normal 3 2" xfId="18" xr:uid="{284EE005-F8D1-468C-A08F-2C303406378B}"/>
    <cellStyle name="Normal 3 2 2" xfId="50" xr:uid="{224FEF09-2B28-4CE0-8014-1DEBF6D17745}"/>
    <cellStyle name="Normal 3 2 2 2" xfId="130" xr:uid="{C999CF11-063A-4B24-B054-C62EB10D8C5F}"/>
    <cellStyle name="Normal 3 2 2 2 2" xfId="302" xr:uid="{3F977602-549B-48F9-805A-7E079C60413E}"/>
    <cellStyle name="Normal 3 2 2 2 2 2" xfId="646" xr:uid="{0099AE27-E381-4938-AC68-CBFA49BE3E94}"/>
    <cellStyle name="Normal 3 2 2 2 2 2 2" xfId="1342" xr:uid="{3232FADD-BCAA-4A22-87B9-B5AB57892D70}"/>
    <cellStyle name="Normal 3 2 2 2 2 2 2 2" xfId="2743" xr:uid="{0FFFABCC-011B-4BAC-9F8C-F29CFE1FE571}"/>
    <cellStyle name="Normal 3 2 2 2 2 2 2 2 2" xfId="5553" xr:uid="{C3C2C99A-5C62-499A-8A9F-5F718519A38A}"/>
    <cellStyle name="Normal 3 2 2 2 2 2 2 2 2 2" xfId="11189" xr:uid="{64F2EA50-6A4F-4291-A5D1-3B5E88AFD7A6}"/>
    <cellStyle name="Normal 3 2 2 2 2 2 2 2 3" xfId="8379" xr:uid="{3145A1F3-0297-4B78-9B13-4D06B6F74E1E}"/>
    <cellStyle name="Normal 3 2 2 2 2 2 2 3" xfId="4152" xr:uid="{AAFA1D9A-754A-4DCE-943F-16E0BC3D5447}"/>
    <cellStyle name="Normal 3 2 2 2 2 2 2 3 2" xfId="9788" xr:uid="{00853529-BFD6-4E75-92A4-CFBE4EBFB9C0}"/>
    <cellStyle name="Normal 3 2 2 2 2 2 2 4" xfId="6978" xr:uid="{94BFD4D2-F35B-405F-80DE-149790C5A9FE}"/>
    <cellStyle name="Normal 3 2 2 2 2 2 3" xfId="2047" xr:uid="{001C2FF6-650A-49EC-B48C-ECAA3CA8CFD5}"/>
    <cellStyle name="Normal 3 2 2 2 2 2 3 2" xfId="4857" xr:uid="{895A95F3-DA31-417E-BE07-9A736488D875}"/>
    <cellStyle name="Normal 3 2 2 2 2 2 3 2 2" xfId="10493" xr:uid="{A6EE863A-C08A-4F8F-B045-CBF960AAF6FE}"/>
    <cellStyle name="Normal 3 2 2 2 2 2 3 3" xfId="7683" xr:uid="{3CA5152D-14B7-419B-BDBF-8ED624EEB99C}"/>
    <cellStyle name="Normal 3 2 2 2 2 2 4" xfId="3456" xr:uid="{D9B4EFC5-860A-4B4A-9A54-698F3957FC3F}"/>
    <cellStyle name="Normal 3 2 2 2 2 2 4 2" xfId="9092" xr:uid="{E47A489E-378D-4791-9FC8-407738ADE57F}"/>
    <cellStyle name="Normal 3 2 2 2 2 2 5" xfId="6282" xr:uid="{07C1AD47-2791-4244-88BE-1B94FFB82478}"/>
    <cellStyle name="Normal 3 2 2 2 2 3" xfId="998" xr:uid="{3E48504D-9BA4-4D93-B515-8CD304FD667C}"/>
    <cellStyle name="Normal 3 2 2 2 2 3 2" xfId="2399" xr:uid="{5F3B342E-0939-41C0-A0A5-E225766F0659}"/>
    <cellStyle name="Normal 3 2 2 2 2 3 2 2" xfId="5209" xr:uid="{92CE3D8F-DFDF-4DB6-A23E-71861B9890B9}"/>
    <cellStyle name="Normal 3 2 2 2 2 3 2 2 2" xfId="10845" xr:uid="{BC53D1F8-9174-4788-908E-105484BDF6D9}"/>
    <cellStyle name="Normal 3 2 2 2 2 3 2 3" xfId="8035" xr:uid="{68AB5713-DB07-4399-B717-B84C2A092283}"/>
    <cellStyle name="Normal 3 2 2 2 2 3 3" xfId="3808" xr:uid="{53E781D1-F00D-45F6-9569-FB3BDD98D5BC}"/>
    <cellStyle name="Normal 3 2 2 2 2 3 3 2" xfId="9444" xr:uid="{56D2A879-7E55-4AD0-AFDA-ACF784974A75}"/>
    <cellStyle name="Normal 3 2 2 2 2 3 4" xfId="6634" xr:uid="{9574828C-3EC4-4995-B398-02A56D9B07F0}"/>
    <cellStyle name="Normal 3 2 2 2 2 4" xfId="1703" xr:uid="{03F0CC49-0095-45A7-A79B-9800FD8D3743}"/>
    <cellStyle name="Normal 3 2 2 2 2 4 2" xfId="4513" xr:uid="{ED945A35-E90E-445D-AC9D-8F1BE3C110F1}"/>
    <cellStyle name="Normal 3 2 2 2 2 4 2 2" xfId="10149" xr:uid="{E7F3EEAB-D2BE-47C3-A2F7-5E2673A1BA6B}"/>
    <cellStyle name="Normal 3 2 2 2 2 4 3" xfId="7339" xr:uid="{1DAA8FBB-23A0-4AA5-84AF-884772A037D1}"/>
    <cellStyle name="Normal 3 2 2 2 2 5" xfId="3112" xr:uid="{5EADCECB-7114-4DD6-9786-04A2E53BD85E}"/>
    <cellStyle name="Normal 3 2 2 2 2 5 2" xfId="8748" xr:uid="{616DB4BC-4F00-42F5-98C5-301070BF3AF7}"/>
    <cellStyle name="Normal 3 2 2 2 2 6" xfId="5938" xr:uid="{3F6A4484-FEAC-4F16-8E93-D4B29B83BC11}"/>
    <cellStyle name="Normal 3 2 2 2 3" xfId="474" xr:uid="{4157BDF9-1E9E-4F90-91E2-96CC627022F0}"/>
    <cellStyle name="Normal 3 2 2 2 3 2" xfId="1170" xr:uid="{9585034B-A0FE-4684-9AD5-E82560DB65A0}"/>
    <cellStyle name="Normal 3 2 2 2 3 2 2" xfId="2571" xr:uid="{B92D760C-8B77-417A-A0F5-3DF9188E3D5A}"/>
    <cellStyle name="Normal 3 2 2 2 3 2 2 2" xfId="5381" xr:uid="{76AFECC0-8498-4853-BC5E-D9BC0380D040}"/>
    <cellStyle name="Normal 3 2 2 2 3 2 2 2 2" xfId="11017" xr:uid="{E5C988F5-2AAC-4E7B-AB75-E7F140BA43ED}"/>
    <cellStyle name="Normal 3 2 2 2 3 2 2 3" xfId="8207" xr:uid="{C0CB635F-48A4-450A-AC3C-8CC316C0E406}"/>
    <cellStyle name="Normal 3 2 2 2 3 2 3" xfId="3980" xr:uid="{6E8EA978-6DD6-4A4B-AC69-1D8C366597F7}"/>
    <cellStyle name="Normal 3 2 2 2 3 2 3 2" xfId="9616" xr:uid="{EAF3F035-DC1C-494D-B98A-B8A046BAC0AA}"/>
    <cellStyle name="Normal 3 2 2 2 3 2 4" xfId="6806" xr:uid="{44E5AA1B-D63F-49FA-8801-88C3A91145CB}"/>
    <cellStyle name="Normal 3 2 2 2 3 3" xfId="1875" xr:uid="{AAC2DC22-A1B9-4107-8618-9673DB652C78}"/>
    <cellStyle name="Normal 3 2 2 2 3 3 2" xfId="4685" xr:uid="{8C3AB88F-4590-4EE9-A3E9-4D3BD6BA52AD}"/>
    <cellStyle name="Normal 3 2 2 2 3 3 2 2" xfId="10321" xr:uid="{4B780428-1DC7-48B0-9364-D5C585620FAF}"/>
    <cellStyle name="Normal 3 2 2 2 3 3 3" xfId="7511" xr:uid="{0F034CEF-CBC1-402A-AA9D-33D135CA3C64}"/>
    <cellStyle name="Normal 3 2 2 2 3 4" xfId="3284" xr:uid="{7C9A7FCD-9F3C-42C0-8AF0-B17330BC3903}"/>
    <cellStyle name="Normal 3 2 2 2 3 4 2" xfId="8920" xr:uid="{51CEC4B1-B735-4B93-880F-44C6085D5FE5}"/>
    <cellStyle name="Normal 3 2 2 2 3 5" xfId="6110" xr:uid="{C13C16C7-0492-48B0-B835-7901B84DCE9C}"/>
    <cellStyle name="Normal 3 2 2 2 4" xfId="826" xr:uid="{2EC01E02-E3A4-4919-B7A1-9E8F04815936}"/>
    <cellStyle name="Normal 3 2 2 2 4 2" xfId="2227" xr:uid="{D6A44A70-C23A-415C-B6F1-4A66997162EA}"/>
    <cellStyle name="Normal 3 2 2 2 4 2 2" xfId="5037" xr:uid="{A21A337C-0CAD-4B9B-BB0B-789C4B2F71D3}"/>
    <cellStyle name="Normal 3 2 2 2 4 2 2 2" xfId="10673" xr:uid="{2A929D3A-0F79-4EE6-AE52-CCD2AC6BDF57}"/>
    <cellStyle name="Normal 3 2 2 2 4 2 3" xfId="7863" xr:uid="{51524883-E763-4519-AE91-D80C04C90B9C}"/>
    <cellStyle name="Normal 3 2 2 2 4 3" xfId="3636" xr:uid="{ACAEE878-4A77-4D05-8A5A-D258316A0186}"/>
    <cellStyle name="Normal 3 2 2 2 4 3 2" xfId="9272" xr:uid="{FEEC5BBE-B710-4BF6-AC10-34CE9D44C086}"/>
    <cellStyle name="Normal 3 2 2 2 4 4" xfId="6462" xr:uid="{949C3832-1218-4420-8E47-84B564538230}"/>
    <cellStyle name="Normal 3 2 2 2 5" xfId="1531" xr:uid="{FD198C2D-CE7A-4F69-8CA2-7EBCAAF206A9}"/>
    <cellStyle name="Normal 3 2 2 2 5 2" xfId="4341" xr:uid="{5976CE85-5F7E-4A7D-8C65-19F0EA226548}"/>
    <cellStyle name="Normal 3 2 2 2 5 2 2" xfId="9977" xr:uid="{4A9CB12A-D909-4DEB-A6DC-421C90AB2710}"/>
    <cellStyle name="Normal 3 2 2 2 5 3" xfId="7167" xr:uid="{5A2605D2-BD19-4FCE-AF77-E01DA7F8FA52}"/>
    <cellStyle name="Normal 3 2 2 2 6" xfId="2940" xr:uid="{9CF539BE-62E0-4B1A-BBD7-A2C1A5D61EDE}"/>
    <cellStyle name="Normal 3 2 2 2 6 2" xfId="8576" xr:uid="{6D2ABE72-6A7F-4B48-9899-67AB27817EE5}"/>
    <cellStyle name="Normal 3 2 2 2 7" xfId="5766" xr:uid="{A7695E35-0EBC-4B32-AF62-A6652954FBC1}"/>
    <cellStyle name="Normal 3 2 2 3" xfId="222" xr:uid="{04D757D3-F81D-44AB-B416-2F39FF8149F1}"/>
    <cellStyle name="Normal 3 2 2 3 2" xfId="566" xr:uid="{0512FF30-A8B1-4E69-903D-CB10AAB48CA0}"/>
    <cellStyle name="Normal 3 2 2 3 2 2" xfId="1262" xr:uid="{F08B8319-345C-4F22-A64C-BAA7B8925C67}"/>
    <cellStyle name="Normal 3 2 2 3 2 2 2" xfId="2663" xr:uid="{3BE6CF96-E135-4782-80D1-35272E9DCA39}"/>
    <cellStyle name="Normal 3 2 2 3 2 2 2 2" xfId="5473" xr:uid="{407FF711-B6A8-49B4-95E2-F5B456D7C29A}"/>
    <cellStyle name="Normal 3 2 2 3 2 2 2 2 2" xfId="11109" xr:uid="{E23D4354-FC80-41D5-9529-3035FF59FF1C}"/>
    <cellStyle name="Normal 3 2 2 3 2 2 2 3" xfId="8299" xr:uid="{E6C8355E-1498-46BE-BFDE-5ABF648C3A7F}"/>
    <cellStyle name="Normal 3 2 2 3 2 2 3" xfId="4072" xr:uid="{FC7E413F-B6D1-4297-8286-46FBC195DD26}"/>
    <cellStyle name="Normal 3 2 2 3 2 2 3 2" xfId="9708" xr:uid="{F6F031C7-6320-4FDF-94C4-97D16AF3F3A1}"/>
    <cellStyle name="Normal 3 2 2 3 2 2 4" xfId="6898" xr:uid="{0B3F013C-44FF-4DA0-A7DC-5A9A720918A6}"/>
    <cellStyle name="Normal 3 2 2 3 2 3" xfId="1967" xr:uid="{CF294C26-9018-4F6E-8B0B-DF39AF0D9C79}"/>
    <cellStyle name="Normal 3 2 2 3 2 3 2" xfId="4777" xr:uid="{8089609A-C476-40FF-9A10-87D418D27B73}"/>
    <cellStyle name="Normal 3 2 2 3 2 3 2 2" xfId="10413" xr:uid="{42216353-4CF3-4855-A8B3-217A1091FFA0}"/>
    <cellStyle name="Normal 3 2 2 3 2 3 3" xfId="7603" xr:uid="{C54214CC-05CA-4B8A-85E9-7D27990E5325}"/>
    <cellStyle name="Normal 3 2 2 3 2 4" xfId="3376" xr:uid="{7D0CA9ED-D63A-473A-81CF-9E2A30AF838B}"/>
    <cellStyle name="Normal 3 2 2 3 2 4 2" xfId="9012" xr:uid="{58A5E3C3-BB23-4E72-A519-BFA8BEB18100}"/>
    <cellStyle name="Normal 3 2 2 3 2 5" xfId="6202" xr:uid="{BE6469F6-A2B1-44AE-88F2-F8F230B6F99F}"/>
    <cellStyle name="Normal 3 2 2 3 3" xfId="918" xr:uid="{6E1E82D0-4B78-4B87-810A-EA4052D9F8AE}"/>
    <cellStyle name="Normal 3 2 2 3 3 2" xfId="2319" xr:uid="{4EF4D7F2-CC85-47E8-9D7A-83D8F5A02ECA}"/>
    <cellStyle name="Normal 3 2 2 3 3 2 2" xfId="5129" xr:uid="{E4F48D43-9BE8-4585-9A76-C3F28053196D}"/>
    <cellStyle name="Normal 3 2 2 3 3 2 2 2" xfId="10765" xr:uid="{E0B585DD-8F18-4B8C-AE87-C4B87A9A30AD}"/>
    <cellStyle name="Normal 3 2 2 3 3 2 3" xfId="7955" xr:uid="{04151FB1-3E5A-4288-9E51-0499354D7028}"/>
    <cellStyle name="Normal 3 2 2 3 3 3" xfId="3728" xr:uid="{280F623B-919F-451A-BA4B-6AA2D2B9D0F0}"/>
    <cellStyle name="Normal 3 2 2 3 3 3 2" xfId="9364" xr:uid="{702E7904-DB30-4879-B126-D3D42CF8DA33}"/>
    <cellStyle name="Normal 3 2 2 3 3 4" xfId="6554" xr:uid="{19B2A225-AE53-4D3B-B3C0-845546E373A7}"/>
    <cellStyle name="Normal 3 2 2 3 4" xfId="1623" xr:uid="{CF398DB2-718D-4249-B62A-4CDA6161A0ED}"/>
    <cellStyle name="Normal 3 2 2 3 4 2" xfId="4433" xr:uid="{35A96DBC-D36D-4E22-A05F-41EFD2372D45}"/>
    <cellStyle name="Normal 3 2 2 3 4 2 2" xfId="10069" xr:uid="{94F0989A-F090-4463-97FB-AAB74D7F5C7E}"/>
    <cellStyle name="Normal 3 2 2 3 4 3" xfId="7259" xr:uid="{F2597DCA-7BD2-4CFD-BB67-EE028D39A642}"/>
    <cellStyle name="Normal 3 2 2 3 5" xfId="3032" xr:uid="{4B8B2F75-A43D-41AA-8ABE-155596F3758A}"/>
    <cellStyle name="Normal 3 2 2 3 5 2" xfId="8668" xr:uid="{A258C0D4-FBFB-44A5-9799-FCEE8CD2EE7A}"/>
    <cellStyle name="Normal 3 2 2 3 6" xfId="5858" xr:uid="{8549EFEC-C004-4A14-B0CF-0054511CF8D8}"/>
    <cellStyle name="Normal 3 2 2 4" xfId="394" xr:uid="{2344CC20-6DCA-46A8-AE4D-1EFC82441831}"/>
    <cellStyle name="Normal 3 2 2 4 2" xfId="1090" xr:uid="{5B2665AC-FA47-4260-9BD6-73271A63C7E1}"/>
    <cellStyle name="Normal 3 2 2 4 2 2" xfId="2491" xr:uid="{4192DA13-C99F-48F2-8F62-2BF6FE807924}"/>
    <cellStyle name="Normal 3 2 2 4 2 2 2" xfId="5301" xr:uid="{6FE4FDB0-7ECE-48CB-B166-19AB9F9146A6}"/>
    <cellStyle name="Normal 3 2 2 4 2 2 2 2" xfId="10937" xr:uid="{5D7325A0-FD9F-44AA-89C4-7F9459161509}"/>
    <cellStyle name="Normal 3 2 2 4 2 2 3" xfId="8127" xr:uid="{BDB04272-B328-468E-BAF1-648D7291116A}"/>
    <cellStyle name="Normal 3 2 2 4 2 3" xfId="3900" xr:uid="{CABD49D4-84DE-48AC-A122-E8A8F917A444}"/>
    <cellStyle name="Normal 3 2 2 4 2 3 2" xfId="9536" xr:uid="{4369DFB3-60E9-45A8-BB2A-E71FCD3C2BB0}"/>
    <cellStyle name="Normal 3 2 2 4 2 4" xfId="6726" xr:uid="{FF88E61F-C8AD-470A-B332-446FB4BE79CE}"/>
    <cellStyle name="Normal 3 2 2 4 3" xfId="1795" xr:uid="{C24B48A0-A96C-4FBB-A2E1-B3BE95544922}"/>
    <cellStyle name="Normal 3 2 2 4 3 2" xfId="4605" xr:uid="{8595D062-72BF-458E-A064-71483C9443CA}"/>
    <cellStyle name="Normal 3 2 2 4 3 2 2" xfId="10241" xr:uid="{35630D0F-068B-4E94-B76D-2585397F5B13}"/>
    <cellStyle name="Normal 3 2 2 4 3 3" xfId="7431" xr:uid="{1898EC0A-8DBB-4703-9F4F-5E2ECDE0CB5E}"/>
    <cellStyle name="Normal 3 2 2 4 4" xfId="3204" xr:uid="{AC8D5283-1F18-4899-BAD3-6484CB51DC23}"/>
    <cellStyle name="Normal 3 2 2 4 4 2" xfId="8840" xr:uid="{74D1794F-33AA-4130-A6E7-7C9622451829}"/>
    <cellStyle name="Normal 3 2 2 4 5" xfId="6030" xr:uid="{E69AD29F-62A6-42A3-B674-0F91A0F02DD0}"/>
    <cellStyle name="Normal 3 2 2 5" xfId="746" xr:uid="{01B71580-D935-42D2-BAA9-4BA6212B56AB}"/>
    <cellStyle name="Normal 3 2 2 5 2" xfId="2147" xr:uid="{84A4F0D0-5BD8-42EA-9B54-FDFFFE57F405}"/>
    <cellStyle name="Normal 3 2 2 5 2 2" xfId="4957" xr:uid="{CDFC0E83-636C-4E57-B144-17F1DC7C84A2}"/>
    <cellStyle name="Normal 3 2 2 5 2 2 2" xfId="10593" xr:uid="{564782D5-BCD7-43DD-94D9-3318E99B7F99}"/>
    <cellStyle name="Normal 3 2 2 5 2 3" xfId="7783" xr:uid="{C5014D4B-AB76-4755-8191-52E2218F78D3}"/>
    <cellStyle name="Normal 3 2 2 5 3" xfId="3556" xr:uid="{D99B5847-2D73-446B-BB12-E0B4B909AE60}"/>
    <cellStyle name="Normal 3 2 2 5 3 2" xfId="9192" xr:uid="{30F1D54C-06FC-430E-94A5-F62E78BB52C1}"/>
    <cellStyle name="Normal 3 2 2 5 4" xfId="6382" xr:uid="{589A3BC5-F166-4335-97F9-FF1A8D2FACC9}"/>
    <cellStyle name="Normal 3 2 2 6" xfId="1451" xr:uid="{5DAFA96F-5C0D-415E-9A40-F5C4DA2D3513}"/>
    <cellStyle name="Normal 3 2 2 6 2" xfId="4261" xr:uid="{D2B8FF84-9EBD-49B9-8478-404089DAC5B3}"/>
    <cellStyle name="Normal 3 2 2 6 2 2" xfId="9897" xr:uid="{C0593C0E-3EE2-4418-BD50-C65E983CAAC1}"/>
    <cellStyle name="Normal 3 2 2 6 3" xfId="7087" xr:uid="{23805EBD-8E02-4A31-9277-D5537AB08826}"/>
    <cellStyle name="Normal 3 2 2 7" xfId="2860" xr:uid="{677CC01A-5976-41BB-884D-294A1061197E}"/>
    <cellStyle name="Normal 3 2 2 7 2" xfId="8496" xr:uid="{19D5BEB6-447C-45B9-9EA9-9C37E1EDDBB1}"/>
    <cellStyle name="Normal 3 2 2 8" xfId="5686" xr:uid="{56D22EF7-4424-4719-97EA-764FE8BCED4B}"/>
    <cellStyle name="Normal 3 2 3" xfId="98" xr:uid="{0C640962-69D1-4889-98BE-714FFBDFA867}"/>
    <cellStyle name="Normal 3 2 3 2" xfId="270" xr:uid="{596BDA3C-9251-4895-B0C6-53556F1E7596}"/>
    <cellStyle name="Normal 3 2 3 2 2" xfId="614" xr:uid="{867DCB97-C93E-4485-8463-C56CBF7098A2}"/>
    <cellStyle name="Normal 3 2 3 2 2 2" xfId="1310" xr:uid="{901B6E04-ABEF-4944-92E0-DBB424BB42AF}"/>
    <cellStyle name="Normal 3 2 3 2 2 2 2" xfId="2711" xr:uid="{8CCA73C3-9303-43CE-8F78-F6B4067BDF65}"/>
    <cellStyle name="Normal 3 2 3 2 2 2 2 2" xfId="5521" xr:uid="{521E00C1-3C18-4D16-9017-07954D7A2A5C}"/>
    <cellStyle name="Normal 3 2 3 2 2 2 2 2 2" xfId="11157" xr:uid="{8CD04076-CA4A-4E22-B02D-DFE8B0AE5722}"/>
    <cellStyle name="Normal 3 2 3 2 2 2 2 3" xfId="8347" xr:uid="{D5152A8C-C792-4D9A-8B32-47692D5D2DF9}"/>
    <cellStyle name="Normal 3 2 3 2 2 2 3" xfId="4120" xr:uid="{1A804869-454A-429B-A023-373C04AF378D}"/>
    <cellStyle name="Normal 3 2 3 2 2 2 3 2" xfId="9756" xr:uid="{2393256F-8FE3-4EF5-9DE6-66566A6201B0}"/>
    <cellStyle name="Normal 3 2 3 2 2 2 4" xfId="6946" xr:uid="{E311795A-F55F-495C-9015-5AE85633F4F5}"/>
    <cellStyle name="Normal 3 2 3 2 2 3" xfId="2015" xr:uid="{6547EEA2-D0B0-4A22-9790-3100F471F029}"/>
    <cellStyle name="Normal 3 2 3 2 2 3 2" xfId="4825" xr:uid="{518CAABA-079B-4D48-AEE5-0428096002AD}"/>
    <cellStyle name="Normal 3 2 3 2 2 3 2 2" xfId="10461" xr:uid="{1D9D5DD6-25AB-4AAA-AE9F-96609D37D00C}"/>
    <cellStyle name="Normal 3 2 3 2 2 3 3" xfId="7651" xr:uid="{E49FA338-3DC7-4DBE-A481-A15A12E3750B}"/>
    <cellStyle name="Normal 3 2 3 2 2 4" xfId="3424" xr:uid="{5AE5A69D-7A9E-4314-A71F-F92C14B55261}"/>
    <cellStyle name="Normal 3 2 3 2 2 4 2" xfId="9060" xr:uid="{574C9D54-4F60-4424-8E54-48D3DC0ECDE3}"/>
    <cellStyle name="Normal 3 2 3 2 2 5" xfId="6250" xr:uid="{19F94533-5F4F-486F-A637-FF45B1BDC4A5}"/>
    <cellStyle name="Normal 3 2 3 2 3" xfId="966" xr:uid="{C6AC1681-73AB-40D2-B52A-2B840BA8C755}"/>
    <cellStyle name="Normal 3 2 3 2 3 2" xfId="2367" xr:uid="{6239A7BA-7D18-450F-9082-41B9284CD786}"/>
    <cellStyle name="Normal 3 2 3 2 3 2 2" xfId="5177" xr:uid="{C056B804-93DA-4DFD-836A-A50EAE18E8A8}"/>
    <cellStyle name="Normal 3 2 3 2 3 2 2 2" xfId="10813" xr:uid="{D85436C5-09B7-4BBC-A0AD-B4689D1F4F80}"/>
    <cellStyle name="Normal 3 2 3 2 3 2 3" xfId="8003" xr:uid="{8FE2044D-4904-4D9F-AC58-1EFEC41ECE46}"/>
    <cellStyle name="Normal 3 2 3 2 3 3" xfId="3776" xr:uid="{4B2D4FF9-428B-4D0A-A8C3-5D88F4B4C43F}"/>
    <cellStyle name="Normal 3 2 3 2 3 3 2" xfId="9412" xr:uid="{321D4771-F596-4574-BA98-2D0556CA50C6}"/>
    <cellStyle name="Normal 3 2 3 2 3 4" xfId="6602" xr:uid="{04801C43-4CB4-4E7E-971C-5D402E2A1D87}"/>
    <cellStyle name="Normal 3 2 3 2 4" xfId="1671" xr:uid="{BDDFD2AC-FA1B-4B9A-9A90-E914038069D6}"/>
    <cellStyle name="Normal 3 2 3 2 4 2" xfId="4481" xr:uid="{B23EDB9D-732D-47F8-AF74-1DD8C9D3E8F8}"/>
    <cellStyle name="Normal 3 2 3 2 4 2 2" xfId="10117" xr:uid="{856905C6-F018-48F2-B792-8ACFE8E8F0CF}"/>
    <cellStyle name="Normal 3 2 3 2 4 3" xfId="7307" xr:uid="{B0FB9BF9-797A-4DE8-9F38-126E6D5D54CC}"/>
    <cellStyle name="Normal 3 2 3 2 5" xfId="3080" xr:uid="{047C7BD4-DD6A-405B-98C7-4EEB5A973E90}"/>
    <cellStyle name="Normal 3 2 3 2 5 2" xfId="8716" xr:uid="{063232DA-6D1B-4B20-9B58-69C6DC5A0EEC}"/>
    <cellStyle name="Normal 3 2 3 2 6" xfId="5906" xr:uid="{002851A5-A50C-441E-BF15-9D2BBEB07AD7}"/>
    <cellStyle name="Normal 3 2 3 3" xfId="442" xr:uid="{25E93C98-1E8A-43A9-BE94-8E40CD04EE79}"/>
    <cellStyle name="Normal 3 2 3 3 2" xfId="1138" xr:uid="{34125ACB-7D14-42AA-83C9-7ACCA9CD5202}"/>
    <cellStyle name="Normal 3 2 3 3 2 2" xfId="2539" xr:uid="{B38DF1C6-18BF-4D76-A82A-D391C2DDDE6D}"/>
    <cellStyle name="Normal 3 2 3 3 2 2 2" xfId="5349" xr:uid="{BEB3D977-696C-482E-9315-CD992D79B6E9}"/>
    <cellStyle name="Normal 3 2 3 3 2 2 2 2" xfId="10985" xr:uid="{1AE4E201-177A-46D1-83ED-7C056DC58581}"/>
    <cellStyle name="Normal 3 2 3 3 2 2 3" xfId="8175" xr:uid="{433ACE09-3B92-407E-AF78-63C879F9884C}"/>
    <cellStyle name="Normal 3 2 3 3 2 3" xfId="3948" xr:uid="{F3A04D09-8DF7-4C0D-8010-550A8158E932}"/>
    <cellStyle name="Normal 3 2 3 3 2 3 2" xfId="9584" xr:uid="{29CC2D51-1E77-4769-B487-4AA4CD515E21}"/>
    <cellStyle name="Normal 3 2 3 3 2 4" xfId="6774" xr:uid="{1F107154-8CD9-437F-9F4F-78ED842CC1F9}"/>
    <cellStyle name="Normal 3 2 3 3 3" xfId="1843" xr:uid="{48552F69-EA1F-49E5-BF22-2547C082F404}"/>
    <cellStyle name="Normal 3 2 3 3 3 2" xfId="4653" xr:uid="{AF52E2E1-B625-412B-9574-24E91C709138}"/>
    <cellStyle name="Normal 3 2 3 3 3 2 2" xfId="10289" xr:uid="{C43D7F33-4482-427D-AD65-EC2D2DECFE12}"/>
    <cellStyle name="Normal 3 2 3 3 3 3" xfId="7479" xr:uid="{9B12806E-A384-41CB-9F0C-A07C72CB9BB0}"/>
    <cellStyle name="Normal 3 2 3 3 4" xfId="3252" xr:uid="{F338AB76-D9A7-47E3-BB0F-1CDC6607C2CB}"/>
    <cellStyle name="Normal 3 2 3 3 4 2" xfId="8888" xr:uid="{C2D88679-DCAD-4B08-8850-D1F5D4E68EB6}"/>
    <cellStyle name="Normal 3 2 3 3 5" xfId="6078" xr:uid="{1BB03EE5-FDE0-47CE-A151-A7C8A8CC68A5}"/>
    <cellStyle name="Normal 3 2 3 4" xfId="794" xr:uid="{A5CDCEDB-911E-4E37-AB59-515B5E695183}"/>
    <cellStyle name="Normal 3 2 3 4 2" xfId="2195" xr:uid="{C24691B0-EB96-49D4-8C6C-53ED4F16E058}"/>
    <cellStyle name="Normal 3 2 3 4 2 2" xfId="5005" xr:uid="{9500392B-7F98-4430-92B0-EE4695EF376F}"/>
    <cellStyle name="Normal 3 2 3 4 2 2 2" xfId="10641" xr:uid="{F3004D3F-A87D-40D1-964B-97B0CC7531BC}"/>
    <cellStyle name="Normal 3 2 3 4 2 3" xfId="7831" xr:uid="{CB9383BE-8A81-4DF1-B367-E53EA0A1AE7D}"/>
    <cellStyle name="Normal 3 2 3 4 3" xfId="3604" xr:uid="{C9DC3302-76E1-4311-BF51-152964CE6416}"/>
    <cellStyle name="Normal 3 2 3 4 3 2" xfId="9240" xr:uid="{0D51FECD-AE05-4FB5-B1AA-6E27F74C0EBD}"/>
    <cellStyle name="Normal 3 2 3 4 4" xfId="6430" xr:uid="{253C00CE-E345-4DE0-9240-E4903F51A5CA}"/>
    <cellStyle name="Normal 3 2 3 5" xfId="1499" xr:uid="{D56FB739-6502-4CB7-99F6-0F8B769F51D0}"/>
    <cellStyle name="Normal 3 2 3 5 2" xfId="4309" xr:uid="{BA63590D-F137-4108-B19D-9A33020FE625}"/>
    <cellStyle name="Normal 3 2 3 5 2 2" xfId="9945" xr:uid="{48CA5306-9684-4935-A8B5-BB5674335110}"/>
    <cellStyle name="Normal 3 2 3 5 3" xfId="7135" xr:uid="{C47439E3-497E-4C61-BF2E-763491CD43D8}"/>
    <cellStyle name="Normal 3 2 3 6" xfId="2908" xr:uid="{6490EE27-3E6C-45E5-9999-20AFE06A9CFB}"/>
    <cellStyle name="Normal 3 2 3 6 2" xfId="8544" xr:uid="{5940D1FD-92A7-44B6-85C4-63D3804DDB4E}"/>
    <cellStyle name="Normal 3 2 3 7" xfId="5734" xr:uid="{36DD704B-3322-42EE-AC3F-45C4AD0C1CE9}"/>
    <cellStyle name="Normal 3 2 4" xfId="190" xr:uid="{1751B3FD-E062-43F1-BD64-99C45C228A91}"/>
    <cellStyle name="Normal 3 2 4 2" xfId="534" xr:uid="{253CF128-6CBF-4EF3-89D8-DE6E78ADA1C9}"/>
    <cellStyle name="Normal 3 2 4 2 2" xfId="1230" xr:uid="{5677F94C-FDE6-4C64-87DC-E56EC137462E}"/>
    <cellStyle name="Normal 3 2 4 2 2 2" xfId="2631" xr:uid="{09073E21-571E-4B6E-8F25-D4240A582309}"/>
    <cellStyle name="Normal 3 2 4 2 2 2 2" xfId="5441" xr:uid="{82AC458A-69E2-4D04-8218-B343D27BF7CD}"/>
    <cellStyle name="Normal 3 2 4 2 2 2 2 2" xfId="11077" xr:uid="{2882A78C-FE6D-443B-9C2D-0F6073255F51}"/>
    <cellStyle name="Normal 3 2 4 2 2 2 3" xfId="8267" xr:uid="{20A261CA-68CB-4B53-9666-8F44DCBC1B8E}"/>
    <cellStyle name="Normal 3 2 4 2 2 3" xfId="4040" xr:uid="{B6945D4D-F1A7-448B-A218-1BA537B32C20}"/>
    <cellStyle name="Normal 3 2 4 2 2 3 2" xfId="9676" xr:uid="{B6AFF403-84B9-4559-8126-96A6F6E78EF6}"/>
    <cellStyle name="Normal 3 2 4 2 2 4" xfId="6866" xr:uid="{C2DCFDD2-6B50-49ED-8355-08ECF4F9FD44}"/>
    <cellStyle name="Normal 3 2 4 2 3" xfId="1935" xr:uid="{1D5C693E-3E3A-476D-8913-2641CC931734}"/>
    <cellStyle name="Normal 3 2 4 2 3 2" xfId="4745" xr:uid="{EEFF57D3-0ED5-49C9-A6AB-6D627137309E}"/>
    <cellStyle name="Normal 3 2 4 2 3 2 2" xfId="10381" xr:uid="{16F5B2F2-1AA4-4965-9A7B-33EB83818CA4}"/>
    <cellStyle name="Normal 3 2 4 2 3 3" xfId="7571" xr:uid="{F73BB3F5-AD31-4E76-978E-9D62C241CF7F}"/>
    <cellStyle name="Normal 3 2 4 2 4" xfId="3344" xr:uid="{8381D48D-6377-4E46-9E82-4A6590E0FF33}"/>
    <cellStyle name="Normal 3 2 4 2 4 2" xfId="8980" xr:uid="{F8F66318-B2DE-46D6-89AB-FBC76B55C34F}"/>
    <cellStyle name="Normal 3 2 4 2 5" xfId="6170" xr:uid="{931A6980-FB06-4748-9BD2-F773C2BAA2EE}"/>
    <cellStyle name="Normal 3 2 4 3" xfId="886" xr:uid="{74A88409-E54D-4392-B22B-B4C00E71CE00}"/>
    <cellStyle name="Normal 3 2 4 3 2" xfId="2287" xr:uid="{45AA2A3C-2217-483B-A58D-8699AD635E61}"/>
    <cellStyle name="Normal 3 2 4 3 2 2" xfId="5097" xr:uid="{D3353368-537C-455E-8FDA-079A548D2708}"/>
    <cellStyle name="Normal 3 2 4 3 2 2 2" xfId="10733" xr:uid="{5E8F2A25-8C8F-42B6-B9E6-3A23C3CBCAAE}"/>
    <cellStyle name="Normal 3 2 4 3 2 3" xfId="7923" xr:uid="{32B66D2B-56D3-4C4A-AE43-211D5530458F}"/>
    <cellStyle name="Normal 3 2 4 3 3" xfId="3696" xr:uid="{FA306CDF-17DD-4AD5-9ADB-2F218DBD6E71}"/>
    <cellStyle name="Normal 3 2 4 3 3 2" xfId="9332" xr:uid="{91A514CA-FEB6-411B-8FE2-776F14EC85B6}"/>
    <cellStyle name="Normal 3 2 4 3 4" xfId="6522" xr:uid="{715CF68D-FD38-4F78-B0E2-560C5F4B3391}"/>
    <cellStyle name="Normal 3 2 4 4" xfId="1591" xr:uid="{6579F3A8-178B-41C1-9BF6-EB126F4DFF0B}"/>
    <cellStyle name="Normal 3 2 4 4 2" xfId="4401" xr:uid="{80699FA7-547C-4FC4-8CAF-66504D503542}"/>
    <cellStyle name="Normal 3 2 4 4 2 2" xfId="10037" xr:uid="{D3E4E32F-E70C-40F8-82DA-6A2BF9BA1C74}"/>
    <cellStyle name="Normal 3 2 4 4 3" xfId="7227" xr:uid="{D8FE2A02-975F-4F99-9608-8DA825BD1365}"/>
    <cellStyle name="Normal 3 2 4 5" xfId="3000" xr:uid="{D4A4ED64-42F5-41BA-959C-2D61C17C5541}"/>
    <cellStyle name="Normal 3 2 4 5 2" xfId="8636" xr:uid="{353566B7-2F4B-4D65-AA14-57DB9B50DA01}"/>
    <cellStyle name="Normal 3 2 4 6" xfId="5826" xr:uid="{18FC8936-2551-41D6-8E55-56F1910EFA1E}"/>
    <cellStyle name="Normal 3 2 5" xfId="362" xr:uid="{75D126E6-6FBC-40D4-9328-6BCBEEE1DAB5}"/>
    <cellStyle name="Normal 3 2 5 2" xfId="1058" xr:uid="{EF0E93E7-5D80-41CD-BFED-EC29DB72F7F4}"/>
    <cellStyle name="Normal 3 2 5 2 2" xfId="2459" xr:uid="{19B84EC9-1BA9-479D-9F1B-84190059F64C}"/>
    <cellStyle name="Normal 3 2 5 2 2 2" xfId="5269" xr:uid="{53BB206D-35D6-4417-8402-415C745D2ECD}"/>
    <cellStyle name="Normal 3 2 5 2 2 2 2" xfId="10905" xr:uid="{3E3F9DFF-C552-476A-AD93-CB6C64BD53FD}"/>
    <cellStyle name="Normal 3 2 5 2 2 3" xfId="8095" xr:uid="{A111862A-130B-4266-9F96-E5442A95F7D7}"/>
    <cellStyle name="Normal 3 2 5 2 3" xfId="3868" xr:uid="{9518F72E-749A-4C99-A87F-CB6E7D5C3E9E}"/>
    <cellStyle name="Normal 3 2 5 2 3 2" xfId="9504" xr:uid="{9FCCFF1D-C63C-4860-8C28-8DAB917AF693}"/>
    <cellStyle name="Normal 3 2 5 2 4" xfId="6694" xr:uid="{D2F93C3E-3628-4238-842D-B3D098074F21}"/>
    <cellStyle name="Normal 3 2 5 3" xfId="1763" xr:uid="{82538AB8-9037-4620-AF46-504CA1EE60A4}"/>
    <cellStyle name="Normal 3 2 5 3 2" xfId="4573" xr:uid="{F251D160-E9F5-4E58-B445-A50EE99C2575}"/>
    <cellStyle name="Normal 3 2 5 3 2 2" xfId="10209" xr:uid="{1C32FB16-BBE5-4681-BA6D-6A39651A2FB6}"/>
    <cellStyle name="Normal 3 2 5 3 3" xfId="7399" xr:uid="{20CEA0DA-81F5-4A54-9E01-540CC291CBE3}"/>
    <cellStyle name="Normal 3 2 5 4" xfId="3172" xr:uid="{875EA912-F3E2-4CD8-B2F2-700B8AC9A0A8}"/>
    <cellStyle name="Normal 3 2 5 4 2" xfId="8808" xr:uid="{A6AD892A-4D5A-4107-A189-933F8A125436}"/>
    <cellStyle name="Normal 3 2 5 5" xfId="5998" xr:uid="{4335075F-9169-4724-862A-57D86505316B}"/>
    <cellStyle name="Normal 3 2 6" xfId="714" xr:uid="{6972B33B-A9B5-4FEF-BB0F-25DD7B8D17A7}"/>
    <cellStyle name="Normal 3 2 6 2" xfId="2115" xr:uid="{24AA341E-913A-4BD5-A060-53DC58FD6601}"/>
    <cellStyle name="Normal 3 2 6 2 2" xfId="4925" xr:uid="{6755F829-00A4-4916-9540-3E6B36D24316}"/>
    <cellStyle name="Normal 3 2 6 2 2 2" xfId="10561" xr:uid="{0593E9E0-9F62-4D53-84E1-621A449CD5D6}"/>
    <cellStyle name="Normal 3 2 6 2 3" xfId="7751" xr:uid="{71B5A7E3-C6BF-45B4-809F-F4844292B065}"/>
    <cellStyle name="Normal 3 2 6 3" xfId="3524" xr:uid="{B62B681D-0710-45F7-A586-C6E2A1BC4BAA}"/>
    <cellStyle name="Normal 3 2 6 3 2" xfId="9160" xr:uid="{1FF5CA75-5D9C-464B-A776-6267C162FDCC}"/>
    <cellStyle name="Normal 3 2 6 4" xfId="6350" xr:uid="{95458024-D0E9-4AD7-8BB6-2834EC7FD7AF}"/>
    <cellStyle name="Normal 3 2 7" xfId="1419" xr:uid="{038CA73D-9C02-412A-96C1-5DBF91DF3124}"/>
    <cellStyle name="Normal 3 2 7 2" xfId="4229" xr:uid="{34838441-1F98-4F41-A6FE-F703EFC1BCE6}"/>
    <cellStyle name="Normal 3 2 7 2 2" xfId="9865" xr:uid="{75CFDCE7-A2A8-4050-B282-6D39599740F0}"/>
    <cellStyle name="Normal 3 2 7 3" xfId="7055" xr:uid="{23E9449E-06DC-4604-93E8-945D6097EA72}"/>
    <cellStyle name="Normal 3 2 8" xfId="2828" xr:uid="{0247E75A-F0B4-49E0-BD02-C5FA1A422BD7}"/>
    <cellStyle name="Normal 3 2 8 2" xfId="8464" xr:uid="{DD50A868-8CA9-44E0-BD48-F654320DA54C}"/>
    <cellStyle name="Normal 3 2 9" xfId="5654" xr:uid="{8FE026F6-A0C1-436F-8157-45DF519CCC8D}"/>
    <cellStyle name="Normal 3 3" xfId="38" xr:uid="{B36BC2B1-F156-472C-A392-C9B634F4220D}"/>
    <cellStyle name="Normal 3 3 2" xfId="118" xr:uid="{84C1AC1D-651A-49C8-9D64-E61CB952E743}"/>
    <cellStyle name="Normal 3 3 2 2" xfId="290" xr:uid="{0D76D290-B041-462F-8606-13DA628C0DCD}"/>
    <cellStyle name="Normal 3 3 2 2 2" xfId="634" xr:uid="{F071BD24-1F19-4D86-AC5A-302BC942ADCE}"/>
    <cellStyle name="Normal 3 3 2 2 2 2" xfId="1330" xr:uid="{87C1C8A6-A06F-4BB1-884D-C034156C2EF5}"/>
    <cellStyle name="Normal 3 3 2 2 2 2 2" xfId="2731" xr:uid="{E89612E4-BCFD-48BE-B644-DE559144D6FB}"/>
    <cellStyle name="Normal 3 3 2 2 2 2 2 2" xfId="5541" xr:uid="{DEA2662E-A351-4EBD-A815-ABF61088AFEB}"/>
    <cellStyle name="Normal 3 3 2 2 2 2 2 2 2" xfId="11177" xr:uid="{51E36EB7-D9AF-4A20-9441-DE171934B9D8}"/>
    <cellStyle name="Normal 3 3 2 2 2 2 2 3" xfId="8367" xr:uid="{2777C2E9-293E-4E90-B834-158489429F58}"/>
    <cellStyle name="Normal 3 3 2 2 2 2 3" xfId="4140" xr:uid="{B7E694D6-ABA1-49AD-B6C8-7F6FA72103E4}"/>
    <cellStyle name="Normal 3 3 2 2 2 2 3 2" xfId="9776" xr:uid="{7985634B-4355-4173-A774-430BFDB18259}"/>
    <cellStyle name="Normal 3 3 2 2 2 2 4" xfId="6966" xr:uid="{6E2768E5-5C9F-4DD9-BA39-52085AABCE3D}"/>
    <cellStyle name="Normal 3 3 2 2 2 3" xfId="2035" xr:uid="{DC035884-EDE6-44BB-BC44-7B98EC8538D8}"/>
    <cellStyle name="Normal 3 3 2 2 2 3 2" xfId="4845" xr:uid="{2A0002B8-51A9-4202-8C5C-8AC4C69E9D71}"/>
    <cellStyle name="Normal 3 3 2 2 2 3 2 2" xfId="10481" xr:uid="{2F7FC42C-267E-4CB1-9B4E-FADD3E294A9F}"/>
    <cellStyle name="Normal 3 3 2 2 2 3 3" xfId="7671" xr:uid="{19E99D44-630A-4B3A-B3FF-8A08B6F97A61}"/>
    <cellStyle name="Normal 3 3 2 2 2 4" xfId="3444" xr:uid="{8230B501-6C27-4807-8324-46512AC4DF3B}"/>
    <cellStyle name="Normal 3 3 2 2 2 4 2" xfId="9080" xr:uid="{B362EBE7-079B-4BE4-B0F1-38E1BFCD063D}"/>
    <cellStyle name="Normal 3 3 2 2 2 5" xfId="6270" xr:uid="{3B5F2378-670B-4411-B1CC-1BFEB55394F8}"/>
    <cellStyle name="Normal 3 3 2 2 3" xfId="986" xr:uid="{1311BA40-6643-4ABA-9E4B-CEB02512067E}"/>
    <cellStyle name="Normal 3 3 2 2 3 2" xfId="2387" xr:uid="{EA9B0C04-C49C-46ED-991F-7D2C2F07262F}"/>
    <cellStyle name="Normal 3 3 2 2 3 2 2" xfId="5197" xr:uid="{A20DB254-192D-49A8-8562-BB7F25DD3B9F}"/>
    <cellStyle name="Normal 3 3 2 2 3 2 2 2" xfId="10833" xr:uid="{0407E53F-636D-47AF-AD00-E75CE6C72A8A}"/>
    <cellStyle name="Normal 3 3 2 2 3 2 3" xfId="8023" xr:uid="{C269B406-89A5-41DB-A2E7-A9E778C18CBF}"/>
    <cellStyle name="Normal 3 3 2 2 3 3" xfId="3796" xr:uid="{CDDE0432-C18C-4599-8662-987EEFA6DF13}"/>
    <cellStyle name="Normal 3 3 2 2 3 3 2" xfId="9432" xr:uid="{45A21894-A973-40E9-B68E-0A2A05743A0E}"/>
    <cellStyle name="Normal 3 3 2 2 3 4" xfId="6622" xr:uid="{84D63421-EF55-44C5-A731-F8282CFCF760}"/>
    <cellStyle name="Normal 3 3 2 2 4" xfId="1691" xr:uid="{EB0C8FA2-1A7D-4341-B369-959EF17012E9}"/>
    <cellStyle name="Normal 3 3 2 2 4 2" xfId="4501" xr:uid="{AFFF7556-BCF4-4C19-B981-CEAE1E97DFDF}"/>
    <cellStyle name="Normal 3 3 2 2 4 2 2" xfId="10137" xr:uid="{769D094D-D689-4B9C-A9A1-4782E76408F0}"/>
    <cellStyle name="Normal 3 3 2 2 4 3" xfId="7327" xr:uid="{AED4B9ED-BF30-4A55-B32C-681774432225}"/>
    <cellStyle name="Normal 3 3 2 2 5" xfId="3100" xr:uid="{34C80880-A079-47FA-8C29-86F838F58DE7}"/>
    <cellStyle name="Normal 3 3 2 2 5 2" xfId="8736" xr:uid="{7CFA5411-3F9F-4704-935B-BAC4FE865DC1}"/>
    <cellStyle name="Normal 3 3 2 2 6" xfId="5926" xr:uid="{A467948A-CEB7-44B6-947A-AE5A1B1BC7BB}"/>
    <cellStyle name="Normal 3 3 2 3" xfId="462" xr:uid="{68CE2EBC-133D-4821-A375-60CB5BF6EEBE}"/>
    <cellStyle name="Normal 3 3 2 3 2" xfId="1158" xr:uid="{C9FEBEEB-94D7-4AC1-8C12-3CCF5B8751E9}"/>
    <cellStyle name="Normal 3 3 2 3 2 2" xfId="2559" xr:uid="{6CEC72C3-F856-4551-A348-A9906BE5F027}"/>
    <cellStyle name="Normal 3 3 2 3 2 2 2" xfId="5369" xr:uid="{517A77BF-D9FA-48DE-A269-5640871C03E3}"/>
    <cellStyle name="Normal 3 3 2 3 2 2 2 2" xfId="11005" xr:uid="{7AF7CD73-F33A-4E66-B55A-66BA395F596D}"/>
    <cellStyle name="Normal 3 3 2 3 2 2 3" xfId="8195" xr:uid="{8B920675-3F97-48D6-B9FB-B9D8661D94D8}"/>
    <cellStyle name="Normal 3 3 2 3 2 3" xfId="3968" xr:uid="{4BD03E64-5616-43B3-95B1-90302B13DE79}"/>
    <cellStyle name="Normal 3 3 2 3 2 3 2" xfId="9604" xr:uid="{5E660FB0-DF8E-4FA5-8DD5-8C2F2F03185C}"/>
    <cellStyle name="Normal 3 3 2 3 2 4" xfId="6794" xr:uid="{82DE2461-0C6C-4ED5-850E-EDE27440DA49}"/>
    <cellStyle name="Normal 3 3 2 3 3" xfId="1863" xr:uid="{6D76701D-1C37-4BDD-B9F7-43BB73F24EEA}"/>
    <cellStyle name="Normal 3 3 2 3 3 2" xfId="4673" xr:uid="{A98C3ADB-7132-4C29-BE5D-0CED3B65BEEF}"/>
    <cellStyle name="Normal 3 3 2 3 3 2 2" xfId="10309" xr:uid="{CD3BF959-F364-4F88-AC81-5DC5B8B87EEC}"/>
    <cellStyle name="Normal 3 3 2 3 3 3" xfId="7499" xr:uid="{D52075C9-F96E-44EB-86A5-0E7DDBBD9FBB}"/>
    <cellStyle name="Normal 3 3 2 3 4" xfId="3272" xr:uid="{5E50128A-C3E0-4402-AC79-526E483DA62B}"/>
    <cellStyle name="Normal 3 3 2 3 4 2" xfId="8908" xr:uid="{395FB8D8-EFFD-49DF-A221-7C91CAC66022}"/>
    <cellStyle name="Normal 3 3 2 3 5" xfId="6098" xr:uid="{A4A5F13D-7FF9-4204-A7D2-EE5DE1ED8C05}"/>
    <cellStyle name="Normal 3 3 2 4" xfId="814" xr:uid="{1A3AB0AD-DEC2-4C24-9D24-9FBD0CD822AF}"/>
    <cellStyle name="Normal 3 3 2 4 2" xfId="2215" xr:uid="{36A6C6AA-8E65-4520-A17C-E145CCA94982}"/>
    <cellStyle name="Normal 3 3 2 4 2 2" xfId="5025" xr:uid="{8DA2CE55-0EA1-4F4E-A20C-A765DF86B020}"/>
    <cellStyle name="Normal 3 3 2 4 2 2 2" xfId="10661" xr:uid="{CCDD3A61-37B9-4B03-8A7F-7EC6BFB491F4}"/>
    <cellStyle name="Normal 3 3 2 4 2 3" xfId="7851" xr:uid="{B4781A78-10AB-4122-A9A0-8E5997B8DCF4}"/>
    <cellStyle name="Normal 3 3 2 4 3" xfId="3624" xr:uid="{3AD83E31-88D7-4739-93F1-EEC4B9F11EE7}"/>
    <cellStyle name="Normal 3 3 2 4 3 2" xfId="9260" xr:uid="{FA7D5F90-5402-4DBB-81A8-37619F473572}"/>
    <cellStyle name="Normal 3 3 2 4 4" xfId="6450" xr:uid="{A837CBEE-9ADC-44A1-9D54-9EFF73D9F94F}"/>
    <cellStyle name="Normal 3 3 2 5" xfId="1519" xr:uid="{7444666E-BEC3-4CE0-9C4B-772F8F1B9C5B}"/>
    <cellStyle name="Normal 3 3 2 5 2" xfId="4329" xr:uid="{92B7B549-517E-4761-819F-BD6C7C29F1A5}"/>
    <cellStyle name="Normal 3 3 2 5 2 2" xfId="9965" xr:uid="{1C93E314-13AE-49E9-A29A-176676CD1F6F}"/>
    <cellStyle name="Normal 3 3 2 5 3" xfId="7155" xr:uid="{73BDA467-BB75-40A2-9E0C-EE06FE67A063}"/>
    <cellStyle name="Normal 3 3 2 6" xfId="2928" xr:uid="{D3C02D90-B5ED-4646-B6E3-B15A6FB16E9B}"/>
    <cellStyle name="Normal 3 3 2 6 2" xfId="8564" xr:uid="{E5CCCA88-CE3F-4D19-8517-75C60B33A3AA}"/>
    <cellStyle name="Normal 3 3 2 7" xfId="5754" xr:uid="{7D0761D1-AC0C-4406-8E71-892CABA64116}"/>
    <cellStyle name="Normal 3 3 3" xfId="210" xr:uid="{19634BAE-1E08-4E4B-AA6E-D734309B0B56}"/>
    <cellStyle name="Normal 3 3 3 2" xfId="554" xr:uid="{F72F53BC-E9A6-421D-B007-90F2E021D69A}"/>
    <cellStyle name="Normal 3 3 3 2 2" xfId="1250" xr:uid="{8F69C643-4965-4B2C-8309-A85B408F0DC5}"/>
    <cellStyle name="Normal 3 3 3 2 2 2" xfId="2651" xr:uid="{DBB00210-C80B-422E-946A-F6570A7E4FAF}"/>
    <cellStyle name="Normal 3 3 3 2 2 2 2" xfId="5461" xr:uid="{1811494B-EAAF-41E7-B84E-9330BA8E3C28}"/>
    <cellStyle name="Normal 3 3 3 2 2 2 2 2" xfId="11097" xr:uid="{CBE190C1-B191-480B-BFDE-3FE39C16E421}"/>
    <cellStyle name="Normal 3 3 3 2 2 2 3" xfId="8287" xr:uid="{E6FB74CE-8C48-47B4-BC17-E6D83B5B4A5E}"/>
    <cellStyle name="Normal 3 3 3 2 2 3" xfId="4060" xr:uid="{103FF817-F30E-409C-AB62-B78E8B169456}"/>
    <cellStyle name="Normal 3 3 3 2 2 3 2" xfId="9696" xr:uid="{8E9E9298-B9ED-49A1-8AFD-785946DA52BF}"/>
    <cellStyle name="Normal 3 3 3 2 2 4" xfId="6886" xr:uid="{31DB8B9B-4A11-47FF-8927-EDE0857EF68C}"/>
    <cellStyle name="Normal 3 3 3 2 3" xfId="1955" xr:uid="{D6EC2F8A-F60A-46DB-A153-648366AF4C51}"/>
    <cellStyle name="Normal 3 3 3 2 3 2" xfId="4765" xr:uid="{845F735B-4F5E-4121-B9DF-F5543473C0FB}"/>
    <cellStyle name="Normal 3 3 3 2 3 2 2" xfId="10401" xr:uid="{6A7DDCDB-5885-4AFA-BB89-FDB3E30A9F36}"/>
    <cellStyle name="Normal 3 3 3 2 3 3" xfId="7591" xr:uid="{49228753-D2AF-44CA-9D62-508649220F39}"/>
    <cellStyle name="Normal 3 3 3 2 4" xfId="3364" xr:uid="{80B99664-A0C5-47DE-9D00-37F486E0B989}"/>
    <cellStyle name="Normal 3 3 3 2 4 2" xfId="9000" xr:uid="{1415C00E-0201-453E-B96D-92D4CD2074E4}"/>
    <cellStyle name="Normal 3 3 3 2 5" xfId="6190" xr:uid="{1765217B-7607-4966-A9D0-ED44B50A8FF6}"/>
    <cellStyle name="Normal 3 3 3 3" xfId="906" xr:uid="{A33D237F-0203-46BB-B813-5242C5DAC671}"/>
    <cellStyle name="Normal 3 3 3 3 2" xfId="2307" xr:uid="{D661A20E-08FC-4301-A8FC-077341A1B327}"/>
    <cellStyle name="Normal 3 3 3 3 2 2" xfId="5117" xr:uid="{CF6E882B-3F8D-4D6D-B928-B917EEE73607}"/>
    <cellStyle name="Normal 3 3 3 3 2 2 2" xfId="10753" xr:uid="{B3F03240-C9FA-4760-84F9-796A991B1E5F}"/>
    <cellStyle name="Normal 3 3 3 3 2 3" xfId="7943" xr:uid="{582BE620-3478-4794-8928-03C6C521CF5B}"/>
    <cellStyle name="Normal 3 3 3 3 3" xfId="3716" xr:uid="{D172CFF1-863D-4F3E-BE87-3A69EB0D881D}"/>
    <cellStyle name="Normal 3 3 3 3 3 2" xfId="9352" xr:uid="{D089A2B1-66FD-4DE5-8061-C4BDD12A505E}"/>
    <cellStyle name="Normal 3 3 3 3 4" xfId="6542" xr:uid="{CCD08B39-D15B-4A20-A52C-0DC4A91AAF5A}"/>
    <cellStyle name="Normal 3 3 3 4" xfId="1611" xr:uid="{11D1D9AC-1C30-406C-9316-87C384E528C7}"/>
    <cellStyle name="Normal 3 3 3 4 2" xfId="4421" xr:uid="{6DC96696-1049-47C5-95C9-A8CCE1DEA928}"/>
    <cellStyle name="Normal 3 3 3 4 2 2" xfId="10057" xr:uid="{C6E3CABE-F67F-4F11-A883-45E6D0D8AE8F}"/>
    <cellStyle name="Normal 3 3 3 4 3" xfId="7247" xr:uid="{65F63C63-6E49-4BA7-9905-323B13043FC1}"/>
    <cellStyle name="Normal 3 3 3 5" xfId="3020" xr:uid="{C9F3C881-CF85-4CC2-8673-941741370C81}"/>
    <cellStyle name="Normal 3 3 3 5 2" xfId="8656" xr:uid="{2E095AB9-6B40-44B0-AD26-D3036B9A9114}"/>
    <cellStyle name="Normal 3 3 3 6" xfId="5846" xr:uid="{90A632E0-C0DE-49F1-AA68-32ADF90DA773}"/>
    <cellStyle name="Normal 3 3 4" xfId="382" xr:uid="{A707E6A2-8955-45B6-AB1F-4279386205FE}"/>
    <cellStyle name="Normal 3 3 4 2" xfId="1078" xr:uid="{8E075658-7FAC-4A10-9542-CF98B86ACAF6}"/>
    <cellStyle name="Normal 3 3 4 2 2" xfId="2479" xr:uid="{0C0C65DE-C006-437C-9642-B997C81D40A7}"/>
    <cellStyle name="Normal 3 3 4 2 2 2" xfId="5289" xr:uid="{DB2C8D04-6D97-4D2E-9DF9-3F2F20976ACD}"/>
    <cellStyle name="Normal 3 3 4 2 2 2 2" xfId="10925" xr:uid="{08DAFF33-EFA0-427B-A463-D2856022ADFB}"/>
    <cellStyle name="Normal 3 3 4 2 2 3" xfId="8115" xr:uid="{A1D967E7-69FE-4EEC-B3EC-E52D4BFD9885}"/>
    <cellStyle name="Normal 3 3 4 2 3" xfId="3888" xr:uid="{4E9664C5-0B64-4D49-AB4E-6AA2D6D3FA6E}"/>
    <cellStyle name="Normal 3 3 4 2 3 2" xfId="9524" xr:uid="{10CA0B61-9417-4A24-BB73-3C530DA18AAC}"/>
    <cellStyle name="Normal 3 3 4 2 4" xfId="6714" xr:uid="{B33FBC2F-D5FD-4327-89BC-0B43B526F92E}"/>
    <cellStyle name="Normal 3 3 4 3" xfId="1783" xr:uid="{5D856AC4-0054-4336-AF9C-779A9CBCB7B3}"/>
    <cellStyle name="Normal 3 3 4 3 2" xfId="4593" xr:uid="{19A158DD-BFD3-4794-A5D2-9020DBCCDFCF}"/>
    <cellStyle name="Normal 3 3 4 3 2 2" xfId="10229" xr:uid="{4E1015AD-6ABC-45BD-8366-8FBD19113A36}"/>
    <cellStyle name="Normal 3 3 4 3 3" xfId="7419" xr:uid="{FF1CF43F-B94C-43AC-8E5F-874838171644}"/>
    <cellStyle name="Normal 3 3 4 4" xfId="3192" xr:uid="{48AF22F2-BB88-43A1-8F91-C7DF617601F6}"/>
    <cellStyle name="Normal 3 3 4 4 2" xfId="8828" xr:uid="{D071A334-A89F-4644-A73A-1DC1C8233130}"/>
    <cellStyle name="Normal 3 3 4 5" xfId="6018" xr:uid="{71D7902F-FB6D-4F02-AC21-6468DEA5C8DA}"/>
    <cellStyle name="Normal 3 3 5" xfId="734" xr:uid="{D43E6CC0-97F9-4045-B963-E8465D8DC474}"/>
    <cellStyle name="Normal 3 3 5 2" xfId="2135" xr:uid="{115B8477-1F3F-442B-A42D-3664FD8BC021}"/>
    <cellStyle name="Normal 3 3 5 2 2" xfId="4945" xr:uid="{574BD57D-9E41-43CB-A7AF-768F4D3E472D}"/>
    <cellStyle name="Normal 3 3 5 2 2 2" xfId="10581" xr:uid="{F8E2F06E-3028-494C-9EE4-19DDF32E684B}"/>
    <cellStyle name="Normal 3 3 5 2 3" xfId="7771" xr:uid="{261F5446-6102-4B37-A123-979B986F927D}"/>
    <cellStyle name="Normal 3 3 5 3" xfId="3544" xr:uid="{97D4091A-5401-47DA-927A-2A0DA7EDE8B8}"/>
    <cellStyle name="Normal 3 3 5 3 2" xfId="9180" xr:uid="{D2F2D3AF-FC6B-40E8-9DCF-956AAC9429C6}"/>
    <cellStyle name="Normal 3 3 5 4" xfId="6370" xr:uid="{FED91E7C-8A99-4B60-AEFB-E596F4BC4230}"/>
    <cellStyle name="Normal 3 3 6" xfId="1439" xr:uid="{32416F59-8A0F-4E15-A7CD-CC7B861C6275}"/>
    <cellStyle name="Normal 3 3 6 2" xfId="4249" xr:uid="{DB8BF9C0-A45E-4370-821B-F0CE5D873F7B}"/>
    <cellStyle name="Normal 3 3 6 2 2" xfId="9885" xr:uid="{E39C5FF9-B46D-45E3-9A39-925B8CCF5BAA}"/>
    <cellStyle name="Normal 3 3 6 3" xfId="7075" xr:uid="{252750FE-1925-4B58-B522-03C9046CFE34}"/>
    <cellStyle name="Normal 3 3 7" xfId="2848" xr:uid="{B2FA0CD6-F4B3-4317-B774-8FFCC423EFB5}"/>
    <cellStyle name="Normal 3 3 7 2" xfId="8484" xr:uid="{39777C29-B36C-401C-9DBB-DA81F131B89A}"/>
    <cellStyle name="Normal 3 3 8" xfId="5674" xr:uid="{32DBC3E9-D981-4538-9798-40F3CD2F87FD}"/>
    <cellStyle name="Normal 3 4" xfId="86" xr:uid="{A5B4F457-1229-4F81-82F6-2A2CD1AFF2DA}"/>
    <cellStyle name="Normal 3 4 2" xfId="258" xr:uid="{06CDE6EE-27B3-4C4E-8782-9953F84ABCC9}"/>
    <cellStyle name="Normal 3 4 2 2" xfId="602" xr:uid="{0B90908F-DBC6-4976-B4D3-68B347ABC5E6}"/>
    <cellStyle name="Normal 3 4 2 2 2" xfId="1298" xr:uid="{7C0CE5B1-F4C6-4244-A1C4-C41EEA2ECE0E}"/>
    <cellStyle name="Normal 3 4 2 2 2 2" xfId="2699" xr:uid="{10377652-BE5F-4EF6-B7EF-035110A0F7D9}"/>
    <cellStyle name="Normal 3 4 2 2 2 2 2" xfId="5509" xr:uid="{AEF1D5F6-847D-440C-BFCD-4B600D0936B5}"/>
    <cellStyle name="Normal 3 4 2 2 2 2 2 2" xfId="11145" xr:uid="{E5BF280C-768B-4045-9137-BF207DCDA360}"/>
    <cellStyle name="Normal 3 4 2 2 2 2 3" xfId="8335" xr:uid="{83D4E0D1-3CB7-416A-BB00-0C3BB1B07811}"/>
    <cellStyle name="Normal 3 4 2 2 2 3" xfId="4108" xr:uid="{C7520909-DC23-49E6-9A53-C58FE6CDACBD}"/>
    <cellStyle name="Normal 3 4 2 2 2 3 2" xfId="9744" xr:uid="{9D8E6C31-909D-436D-BEA9-871A4A782661}"/>
    <cellStyle name="Normal 3 4 2 2 2 4" xfId="6934" xr:uid="{9C704F60-66FA-4596-AD56-8FFAF7F1AE6D}"/>
    <cellStyle name="Normal 3 4 2 2 3" xfId="2003" xr:uid="{AE02DE67-532B-4C5D-9436-A2029CA6630E}"/>
    <cellStyle name="Normal 3 4 2 2 3 2" xfId="4813" xr:uid="{4F34AAFE-7429-47ED-87DF-C222D3E8B3AB}"/>
    <cellStyle name="Normal 3 4 2 2 3 2 2" xfId="10449" xr:uid="{A40C4D4A-2371-4F34-AD17-EFD453C7B767}"/>
    <cellStyle name="Normal 3 4 2 2 3 3" xfId="7639" xr:uid="{2DFD9048-59A9-41DF-A6FE-EF619F4499CE}"/>
    <cellStyle name="Normal 3 4 2 2 4" xfId="3412" xr:uid="{C4D7CF98-1AB8-4005-AEEC-488490F83735}"/>
    <cellStyle name="Normal 3 4 2 2 4 2" xfId="9048" xr:uid="{25DAE3A4-C71D-419F-8B88-7CB2722B8EEF}"/>
    <cellStyle name="Normal 3 4 2 2 5" xfId="6238" xr:uid="{73B4DF9D-3602-41E9-862C-90DDA85385FF}"/>
    <cellStyle name="Normal 3 4 2 3" xfId="954" xr:uid="{609BCA55-7ACE-471F-AE7F-515607BD302B}"/>
    <cellStyle name="Normal 3 4 2 3 2" xfId="2355" xr:uid="{C432E459-B38E-4793-A9D2-C438BA82D737}"/>
    <cellStyle name="Normal 3 4 2 3 2 2" xfId="5165" xr:uid="{EFC09FFF-D508-4B4F-BFE7-EDA8917AB09D}"/>
    <cellStyle name="Normal 3 4 2 3 2 2 2" xfId="10801" xr:uid="{1C3E04F2-3C96-4AFF-8628-C7256250CE69}"/>
    <cellStyle name="Normal 3 4 2 3 2 3" xfId="7991" xr:uid="{C7408B15-53FB-4A27-9D0B-35E4A25F61D6}"/>
    <cellStyle name="Normal 3 4 2 3 3" xfId="3764" xr:uid="{F7353939-02B6-4485-BCE2-B1FC21CC2D7B}"/>
    <cellStyle name="Normal 3 4 2 3 3 2" xfId="9400" xr:uid="{4550569F-490E-441D-85FE-466A64DEB2E9}"/>
    <cellStyle name="Normal 3 4 2 3 4" xfId="6590" xr:uid="{130AE95C-F3B0-41F7-B724-49B555203C7C}"/>
    <cellStyle name="Normal 3 4 2 4" xfId="1659" xr:uid="{A39A490D-8E97-4721-A2FB-1BF3C9905229}"/>
    <cellStyle name="Normal 3 4 2 4 2" xfId="4469" xr:uid="{D297E2D7-ABCE-47D8-B87B-6E353FE785F8}"/>
    <cellStyle name="Normal 3 4 2 4 2 2" xfId="10105" xr:uid="{BFB4AA3C-405D-4B9A-BC44-438B350925F2}"/>
    <cellStyle name="Normal 3 4 2 4 3" xfId="7295" xr:uid="{2468B771-25F8-4134-B825-B63BB60FF8A0}"/>
    <cellStyle name="Normal 3 4 2 5" xfId="3068" xr:uid="{77CE6ADE-C72C-4171-80E6-69EAAF9CB11A}"/>
    <cellStyle name="Normal 3 4 2 5 2" xfId="8704" xr:uid="{574CFBE4-AB89-4DBA-ABF5-25487289C98C}"/>
    <cellStyle name="Normal 3 4 2 6" xfId="5894" xr:uid="{883F3EC7-C9D3-472E-859D-5E3993F3A9FC}"/>
    <cellStyle name="Normal 3 4 3" xfId="430" xr:uid="{CF7518CA-7EC5-47A7-9346-0E1FA817ED32}"/>
    <cellStyle name="Normal 3 4 3 2" xfId="1126" xr:uid="{3A50FE4D-E1D2-4351-9DD8-EEE14D01DE55}"/>
    <cellStyle name="Normal 3 4 3 2 2" xfId="2527" xr:uid="{7F5F72D1-9998-4740-B64D-43F8243C2DEE}"/>
    <cellStyle name="Normal 3 4 3 2 2 2" xfId="5337" xr:uid="{FB4736C7-10EE-4167-920E-B1F51F8A3ECA}"/>
    <cellStyle name="Normal 3 4 3 2 2 2 2" xfId="10973" xr:uid="{0331FC79-B25C-43A7-95BE-DA2AE189BD19}"/>
    <cellStyle name="Normal 3 4 3 2 2 3" xfId="8163" xr:uid="{753289ED-0D4E-4953-AB2B-19E75BE5F302}"/>
    <cellStyle name="Normal 3 4 3 2 3" xfId="3936" xr:uid="{E8404EA4-32CC-49F9-87BD-178D48681B3F}"/>
    <cellStyle name="Normal 3 4 3 2 3 2" xfId="9572" xr:uid="{61A215EE-7C72-4A28-8E9A-835D4A40E0E1}"/>
    <cellStyle name="Normal 3 4 3 2 4" xfId="6762" xr:uid="{BC7C60C2-2B69-47DB-8085-AFC9FB1F9775}"/>
    <cellStyle name="Normal 3 4 3 3" xfId="1831" xr:uid="{B7AFC3BA-5B25-4F6D-A6BF-AD3ED080D5B1}"/>
    <cellStyle name="Normal 3 4 3 3 2" xfId="4641" xr:uid="{0819DB1E-A3A4-47D5-8CB1-D8F59EFABBC0}"/>
    <cellStyle name="Normal 3 4 3 3 2 2" xfId="10277" xr:uid="{2B75DF28-B907-401B-9E74-7B694214CAD5}"/>
    <cellStyle name="Normal 3 4 3 3 3" xfId="7467" xr:uid="{EC2FADCE-FE12-4039-9F90-54AD1E25684F}"/>
    <cellStyle name="Normal 3 4 3 4" xfId="3240" xr:uid="{644F7ECA-6299-48D0-8D8B-6C5C1FF730EA}"/>
    <cellStyle name="Normal 3 4 3 4 2" xfId="8876" xr:uid="{CC999B5B-18D6-4058-B37B-0B6FF95C6A49}"/>
    <cellStyle name="Normal 3 4 3 5" xfId="6066" xr:uid="{9EBE2741-6D8B-4CBA-B889-25FE3D9CC395}"/>
    <cellStyle name="Normal 3 4 4" xfId="782" xr:uid="{B69AC7D5-C7D5-467B-8733-B957EDA1F640}"/>
    <cellStyle name="Normal 3 4 4 2" xfId="2183" xr:uid="{8FB01C33-C0DD-4B80-B614-5943E7E47F3A}"/>
    <cellStyle name="Normal 3 4 4 2 2" xfId="4993" xr:uid="{5BFF1A61-422C-4DB8-A447-909768C1DA28}"/>
    <cellStyle name="Normal 3 4 4 2 2 2" xfId="10629" xr:uid="{C47908AE-6D5D-4DA6-B9BF-8C99F5F6ADAD}"/>
    <cellStyle name="Normal 3 4 4 2 3" xfId="7819" xr:uid="{B6386CE6-9762-4977-8C78-E36A2FB50350}"/>
    <cellStyle name="Normal 3 4 4 3" xfId="3592" xr:uid="{555EE5FD-09AD-4147-9E12-5EE7F2251DCC}"/>
    <cellStyle name="Normal 3 4 4 3 2" xfId="9228" xr:uid="{DBF2B161-789E-4CC5-BDAE-13078FD0EF27}"/>
    <cellStyle name="Normal 3 4 4 4" xfId="6418" xr:uid="{5BBFDAC1-70F5-43DE-8592-36F5294D6877}"/>
    <cellStyle name="Normal 3 4 5" xfId="1487" xr:uid="{C17614D0-27A6-4421-BA94-B3F47787EBCB}"/>
    <cellStyle name="Normal 3 4 5 2" xfId="4297" xr:uid="{28752DEA-CC4F-48FE-9C5D-A497639C0809}"/>
    <cellStyle name="Normal 3 4 5 2 2" xfId="9933" xr:uid="{2AFC5233-47B6-43AD-B8C6-1148C2ECD97A}"/>
    <cellStyle name="Normal 3 4 5 3" xfId="7123" xr:uid="{99240EF3-4C92-401B-9CC4-8A565C89E316}"/>
    <cellStyle name="Normal 3 4 6" xfId="2896" xr:uid="{995A442B-0709-48EF-AF85-6EB538A6033D}"/>
    <cellStyle name="Normal 3 4 6 2" xfId="8532" xr:uid="{876B7E57-5EB7-473A-935A-A36EB55F3F5C}"/>
    <cellStyle name="Normal 3 4 7" xfId="5722" xr:uid="{5D0DBD70-017F-4BCC-9210-C27A3352B5E4}"/>
    <cellStyle name="Normal 3 5" xfId="178" xr:uid="{28A35567-2851-484C-8FF5-04EA3AF5E89C}"/>
    <cellStyle name="Normal 3 5 2" xfId="522" xr:uid="{166822F8-683A-4CFB-A9CC-7E380F40D2BA}"/>
    <cellStyle name="Normal 3 5 2 2" xfId="1218" xr:uid="{78E236EB-B4BA-4FEB-9B3E-553549303727}"/>
    <cellStyle name="Normal 3 5 2 2 2" xfId="2619" xr:uid="{8BF3C43C-1D99-40B1-84A1-4276099256EC}"/>
    <cellStyle name="Normal 3 5 2 2 2 2" xfId="5429" xr:uid="{CF2F5AE5-E17B-48F9-9B13-EAE6D20746B6}"/>
    <cellStyle name="Normal 3 5 2 2 2 2 2" xfId="11065" xr:uid="{BBA33723-A45E-4961-9276-21D5998DB1EA}"/>
    <cellStyle name="Normal 3 5 2 2 2 3" xfId="8255" xr:uid="{E9C997A5-D176-44E1-8883-D24C7D4DB09F}"/>
    <cellStyle name="Normal 3 5 2 2 3" xfId="4028" xr:uid="{BE3E5F22-2297-4236-82E5-BADD503064CA}"/>
    <cellStyle name="Normal 3 5 2 2 3 2" xfId="9664" xr:uid="{8C49A9FA-7F1B-4D8A-8D01-6A0BC65E3989}"/>
    <cellStyle name="Normal 3 5 2 2 4" xfId="6854" xr:uid="{721774FA-D9A5-41AA-BC54-78C8F520EE0D}"/>
    <cellStyle name="Normal 3 5 2 3" xfId="1923" xr:uid="{415E227A-3CFF-4D4F-8C2B-A4BD075E4F4B}"/>
    <cellStyle name="Normal 3 5 2 3 2" xfId="4733" xr:uid="{1A0CCD1A-428A-4703-AC43-56652D98204F}"/>
    <cellStyle name="Normal 3 5 2 3 2 2" xfId="10369" xr:uid="{D5F2D4F3-18EA-4C0C-B952-479BDBB87B1C}"/>
    <cellStyle name="Normal 3 5 2 3 3" xfId="7559" xr:uid="{3B3EB1BD-A4C8-4068-BD31-6D5ED70058BA}"/>
    <cellStyle name="Normal 3 5 2 4" xfId="3332" xr:uid="{4ECEFC04-54AA-4672-B28C-A1384FBB89FA}"/>
    <cellStyle name="Normal 3 5 2 4 2" xfId="8968" xr:uid="{A2077B35-52A6-4826-B508-A69BDF509B92}"/>
    <cellStyle name="Normal 3 5 2 5" xfId="6158" xr:uid="{B444871B-2046-4171-B5C0-7E8C822B5B63}"/>
    <cellStyle name="Normal 3 5 3" xfId="874" xr:uid="{1900084A-1D92-41E2-B5A0-5ABC5A948F54}"/>
    <cellStyle name="Normal 3 5 3 2" xfId="2275" xr:uid="{46C8DAF4-36F7-4893-A418-A13BEC47E22D}"/>
    <cellStyle name="Normal 3 5 3 2 2" xfId="5085" xr:uid="{E0124AA0-2989-4ABB-B3CC-836157D1E6B6}"/>
    <cellStyle name="Normal 3 5 3 2 2 2" xfId="10721" xr:uid="{61620437-0B3E-41C7-A6F1-6468A06223B7}"/>
    <cellStyle name="Normal 3 5 3 2 3" xfId="7911" xr:uid="{54D0A314-9415-40B9-BDF8-102C6AF60635}"/>
    <cellStyle name="Normal 3 5 3 3" xfId="3684" xr:uid="{00EA09B8-6027-4CE8-893E-17570EE7549E}"/>
    <cellStyle name="Normal 3 5 3 3 2" xfId="9320" xr:uid="{9E4A6C54-C6BC-4406-A01B-3EA1093FE701}"/>
    <cellStyle name="Normal 3 5 3 4" xfId="6510" xr:uid="{01C98054-935E-4AFB-BA09-87741060FC50}"/>
    <cellStyle name="Normal 3 5 4" xfId="1579" xr:uid="{3DD611B1-9C1F-4A78-8F0E-063F1FE28BD6}"/>
    <cellStyle name="Normal 3 5 4 2" xfId="4389" xr:uid="{90946820-3186-4750-8772-BC54626DAD5A}"/>
    <cellStyle name="Normal 3 5 4 2 2" xfId="10025" xr:uid="{22911A91-D766-421F-910A-82A47CEAAE97}"/>
    <cellStyle name="Normal 3 5 4 3" xfId="7215" xr:uid="{D4934800-F086-4D92-99DE-3A70843E48A9}"/>
    <cellStyle name="Normal 3 5 5" xfId="2988" xr:uid="{9F7F8EB7-E6FA-48ED-A775-CE80A9932AC4}"/>
    <cellStyle name="Normal 3 5 5 2" xfId="8624" xr:uid="{ACA558B2-E9C3-4C2A-9D1E-507979684652}"/>
    <cellStyle name="Normal 3 5 6" xfId="5814" xr:uid="{C1F78F8E-6A58-4791-9101-3C44BFB42A62}"/>
    <cellStyle name="Normal 3 6" xfId="350" xr:uid="{13A884F9-5E8D-41E2-9F20-3788F91827C8}"/>
    <cellStyle name="Normal 3 6 2" xfId="1046" xr:uid="{8145734C-8B98-4435-B84D-32EF4E37BA19}"/>
    <cellStyle name="Normal 3 6 2 2" xfId="2447" xr:uid="{0B0F1E5C-5CE2-4ADE-837F-8487E3BCC6F9}"/>
    <cellStyle name="Normal 3 6 2 2 2" xfId="5257" xr:uid="{392CBE80-C617-424D-81C1-055656270B42}"/>
    <cellStyle name="Normal 3 6 2 2 2 2" xfId="10893" xr:uid="{57D553DC-C529-426B-ACE2-B653ECE185B1}"/>
    <cellStyle name="Normal 3 6 2 2 3" xfId="8083" xr:uid="{CB85F80B-E9D2-4A15-B986-7270A70A4782}"/>
    <cellStyle name="Normal 3 6 2 3" xfId="3856" xr:uid="{344DA130-AB2D-4491-8F1D-BBC0ACFD135C}"/>
    <cellStyle name="Normal 3 6 2 3 2" xfId="9492" xr:uid="{661CD36D-A9A4-44B5-80BD-EF6E8B76E4BD}"/>
    <cellStyle name="Normal 3 6 2 4" xfId="6682" xr:uid="{46DD2DEF-5769-4C8A-A6C5-EE6035DE6346}"/>
    <cellStyle name="Normal 3 6 3" xfId="1751" xr:uid="{2129C379-3CC3-4798-BA17-8B9C61B59DF2}"/>
    <cellStyle name="Normal 3 6 3 2" xfId="4561" xr:uid="{50F68F1C-2A8E-405D-92D0-4911FCF791EA}"/>
    <cellStyle name="Normal 3 6 3 2 2" xfId="10197" xr:uid="{8AAE8EC6-08FA-4C59-B2D1-4E92B055FC85}"/>
    <cellStyle name="Normal 3 6 3 3" xfId="7387" xr:uid="{D74D12E4-AE6F-4BB1-B712-BDF3289F6171}"/>
    <cellStyle name="Normal 3 6 4" xfId="3160" xr:uid="{8FA52FEB-E9FD-4990-BADC-3C84101A711F}"/>
    <cellStyle name="Normal 3 6 4 2" xfId="8796" xr:uid="{C969B564-3D45-42F6-B83A-30DC9541EE97}"/>
    <cellStyle name="Normal 3 6 5" xfId="5986" xr:uid="{423B672A-8144-48DA-A775-FDDD6988F143}"/>
    <cellStyle name="Normal 3 7" xfId="702" xr:uid="{C7653336-0C89-4215-AECD-DC8E18F490D7}"/>
    <cellStyle name="Normal 3 7 2" xfId="2103" xr:uid="{24799CA7-414D-4CED-A58C-A9667C95BC4F}"/>
    <cellStyle name="Normal 3 7 2 2" xfId="4913" xr:uid="{82A9226D-CCF3-4CEA-B87F-13C81E04D0D3}"/>
    <cellStyle name="Normal 3 7 2 2 2" xfId="10549" xr:uid="{0FE4EDB2-071B-4640-A8A5-AD65AFB5AA41}"/>
    <cellStyle name="Normal 3 7 2 3" xfId="7739" xr:uid="{425F24ED-3563-48B7-8117-CBAA8E2D4860}"/>
    <cellStyle name="Normal 3 7 3" xfId="3512" xr:uid="{4528916D-7B43-4326-8B6B-D495CBD2D2B8}"/>
    <cellStyle name="Normal 3 7 3 2" xfId="9148" xr:uid="{9628FFD0-409C-4F2D-93DE-4616A29B6775}"/>
    <cellStyle name="Normal 3 7 4" xfId="6338" xr:uid="{337F8694-6323-48E3-B46A-7906354C6B35}"/>
    <cellStyle name="Normal 3 8" xfId="1407" xr:uid="{8FD94888-3CEF-4E41-AF63-884DC18CA40D}"/>
    <cellStyle name="Normal 3 8 2" xfId="4217" xr:uid="{9FD62D1E-367A-4D8A-BF33-46E47E273299}"/>
    <cellStyle name="Normal 3 8 2 2" xfId="9853" xr:uid="{75BB885F-ABE9-4696-82EA-19AC63D4F45F}"/>
    <cellStyle name="Normal 3 8 3" xfId="7043" xr:uid="{74D216F6-7375-44C5-AC4A-5B16E9DC7358}"/>
    <cellStyle name="Normal 3 9" xfId="2816" xr:uid="{CCBDDD9F-B5B9-4031-861F-4879699712F1}"/>
    <cellStyle name="Normal 3 9 2" xfId="8452" xr:uid="{A4402393-44A3-4C5F-94CB-423FBC450F8E}"/>
    <cellStyle name="Normal 30" xfId="692" xr:uid="{3AE53F5C-9424-431A-9143-781480357248}"/>
    <cellStyle name="Normal 30 2" xfId="1388" xr:uid="{9E5EC192-BC1E-488D-A707-3434342D576C}"/>
    <cellStyle name="Normal 30 2 2" xfId="2789" xr:uid="{993A2598-E304-4DD1-9967-6F5AADB0672E}"/>
    <cellStyle name="Normal 30 2 2 2" xfId="5599" xr:uid="{414D9F5F-72DF-4CD6-B805-39746BFDCA86}"/>
    <cellStyle name="Normal 30 2 2 2 2" xfId="11235" xr:uid="{3D8C03DA-D12C-41D3-8DE1-605869EC1DA4}"/>
    <cellStyle name="Normal 30 2 2 3" xfId="8425" xr:uid="{3C4A0B96-C2A2-4674-8D9B-C4274D7A668B}"/>
    <cellStyle name="Normal 30 2 3" xfId="4198" xr:uid="{42BE0DAE-845A-4D95-8364-A6FD7C22A4A9}"/>
    <cellStyle name="Normal 30 2 3 2" xfId="9834" xr:uid="{B1C56E92-1A3A-412C-86CE-4C719A8CCCEF}"/>
    <cellStyle name="Normal 30 2 4" xfId="7024" xr:uid="{3F788167-CA24-46F6-9F46-63529CF22EE4}"/>
    <cellStyle name="Normal 30 3" xfId="2093" xr:uid="{1D1B1217-734D-478E-9A6D-04E38DD9FCFE}"/>
    <cellStyle name="Normal 30 3 2" xfId="4903" xr:uid="{7955A6ED-2917-4464-A09A-F2EEB61693B6}"/>
    <cellStyle name="Normal 30 3 2 2" xfId="10539" xr:uid="{B3930F2F-82ED-4F8F-BDFC-48339331F8C7}"/>
    <cellStyle name="Normal 30 3 3" xfId="7729" xr:uid="{779FD016-FAF7-4411-91AD-59C48305796E}"/>
    <cellStyle name="Normal 30 4" xfId="3502" xr:uid="{DB4F102B-9D3A-47B6-B12D-2F7FB56C222F}"/>
    <cellStyle name="Normal 30 4 2" xfId="9138" xr:uid="{8A0C2B7F-D908-4862-8858-66B07D279301}"/>
    <cellStyle name="Normal 30 5" xfId="6328" xr:uid="{5C89FE71-C5C2-447D-A9F2-70BF8808E902}"/>
    <cellStyle name="Normal 31" xfId="694" xr:uid="{9D7138CA-D271-4FC1-83E0-1C2A215BF28E}"/>
    <cellStyle name="Normal 31 2" xfId="1390" xr:uid="{83CD364B-CDD5-414B-9722-4E508E12B913}"/>
    <cellStyle name="Normal 31 2 2" xfId="2791" xr:uid="{E10906A0-128A-449B-8B8E-5F88BC3B12EE}"/>
    <cellStyle name="Normal 31 2 2 2" xfId="5601" xr:uid="{B20042C3-3A84-425F-9EB2-EBB0A783AE95}"/>
    <cellStyle name="Normal 31 2 2 2 2" xfId="11237" xr:uid="{980E09F2-E08F-410D-B70E-AE5C180EDC11}"/>
    <cellStyle name="Normal 31 2 2 3" xfId="8427" xr:uid="{E044D46C-590B-447C-8AFD-3DA778852198}"/>
    <cellStyle name="Normal 31 2 3" xfId="4200" xr:uid="{62AA87EA-4705-4CE8-B6C5-BB1ACB74B7E3}"/>
    <cellStyle name="Normal 31 2 3 2" xfId="9836" xr:uid="{62F1874C-5EDC-4CE6-9C8D-4A6E54B2A3BC}"/>
    <cellStyle name="Normal 31 2 4" xfId="7026" xr:uid="{7310D665-A20C-46A9-93E3-5B5679435210}"/>
    <cellStyle name="Normal 31 3" xfId="2095" xr:uid="{EB5A5FBF-6426-4594-9DE2-4DC623BAC130}"/>
    <cellStyle name="Normal 31 3 2" xfId="4905" xr:uid="{292B9748-A927-4558-B7D2-DF30961FE380}"/>
    <cellStyle name="Normal 31 3 2 2" xfId="10541" xr:uid="{11F6F26E-4628-4C6E-8BB9-D8576138F184}"/>
    <cellStyle name="Normal 31 3 3" xfId="7731" xr:uid="{82760F35-713B-46B4-8597-29A998A3F7B9}"/>
    <cellStyle name="Normal 31 4" xfId="3504" xr:uid="{FFC35508-C043-469C-93D1-B0565D377B2B}"/>
    <cellStyle name="Normal 31 4 2" xfId="9140" xr:uid="{DEDE0214-277A-4AC7-BE33-752DE9E00F34}"/>
    <cellStyle name="Normal 31 5" xfId="6330" xr:uid="{FFAEB365-A90F-42A9-A9D5-A3EF2CEA7C16}"/>
    <cellStyle name="Normal 32" xfId="696" xr:uid="{B34CC371-D992-4D6F-9615-19565A112837}"/>
    <cellStyle name="Normal 32 2" xfId="2097" xr:uid="{E01C00D6-8FA5-4ED9-AE75-CB232B89CF29}"/>
    <cellStyle name="Normal 32 2 2" xfId="4907" xr:uid="{EBD9B92B-D06A-449A-A4DE-3F633AA4AABE}"/>
    <cellStyle name="Normal 32 2 2 2" xfId="10543" xr:uid="{69A56FDF-3CBA-4B6E-B35D-EC41F246103F}"/>
    <cellStyle name="Normal 32 2 3" xfId="7733" xr:uid="{E71D7BDF-7545-4E98-BA80-C4BC7F2C915E}"/>
    <cellStyle name="Normal 32 3" xfId="3506" xr:uid="{B28561F3-B952-4923-9A19-3E3888D24253}"/>
    <cellStyle name="Normal 32 3 2" xfId="9142" xr:uid="{D9DEAF80-6468-47AA-817C-722970ACAF59}"/>
    <cellStyle name="Normal 32 4" xfId="6332" xr:uid="{02EE7164-F814-45AC-8780-B08BEFC43E4A}"/>
    <cellStyle name="Normal 33" xfId="1395" xr:uid="{9AE21C69-F677-41A4-9E70-2D257B66F400}"/>
    <cellStyle name="Normal 33 2" xfId="2796" xr:uid="{10B5C5D0-AC7B-46C8-BAF4-A92DBD80DCF2}"/>
    <cellStyle name="Normal 33 2 2" xfId="5606" xr:uid="{7C2DD884-B9A9-46B0-AAFA-0DD9A5234F09}"/>
    <cellStyle name="Normal 33 2 2 2" xfId="11242" xr:uid="{60FCA30A-5028-46AA-AC5E-3B456B64B49A}"/>
    <cellStyle name="Normal 33 2 3" xfId="8432" xr:uid="{5117C487-27CD-4DA1-B5E9-2DBE7883BBE3}"/>
    <cellStyle name="Normal 33 3" xfId="4205" xr:uid="{3462D8BD-6073-40BC-AB5F-6C30D52DC049}"/>
    <cellStyle name="Normal 33 3 2" xfId="9841" xr:uid="{C8E02B60-F813-48AD-B126-E165E85FDD44}"/>
    <cellStyle name="Normal 33 4" xfId="7031" xr:uid="{331B858F-9730-4E06-B1CB-EE32C2000843}"/>
    <cellStyle name="Normal 34" xfId="1397" xr:uid="{B99C3977-F375-40F6-ACB5-E26689406719}"/>
    <cellStyle name="Normal 34 2" xfId="2798" xr:uid="{8283D7E8-D50A-40BA-A956-D4F2A3491BEF}"/>
    <cellStyle name="Normal 34 2 2" xfId="5608" xr:uid="{E38AC7E4-05E7-4CF0-9E10-AF079ED3259C}"/>
    <cellStyle name="Normal 34 2 2 2" xfId="11244" xr:uid="{83E4F9A3-8A23-4979-997D-DD96CFE6DCDF}"/>
    <cellStyle name="Normal 34 2 3" xfId="8434" xr:uid="{19E2B275-58BB-4C01-8708-133C94C50F83}"/>
    <cellStyle name="Normal 34 3" xfId="4207" xr:uid="{3DF3324B-54D7-4D27-806D-8E9E8ABF2FC6}"/>
    <cellStyle name="Normal 34 3 2" xfId="9843" xr:uid="{761192DF-4B5C-41C8-9419-6AAE919A2D36}"/>
    <cellStyle name="Normal 34 4" xfId="7033" xr:uid="{690439C7-1601-47C1-920A-5F9329423B39}"/>
    <cellStyle name="Normal 35" xfId="1399" xr:uid="{4B9D88AB-1481-42B0-ABA9-3D8A87636CB7}"/>
    <cellStyle name="Normal 35 2" xfId="2800" xr:uid="{5F7B4FF3-95B8-4D2C-9B37-FA37FCE24A05}"/>
    <cellStyle name="Normal 35 2 2" xfId="5610" xr:uid="{851DF051-3D2A-4055-B56D-BC37BFBC28BE}"/>
    <cellStyle name="Normal 35 2 2 2" xfId="11246" xr:uid="{ED4C313A-E007-45D8-9AFE-C9B3C19AB9CA}"/>
    <cellStyle name="Normal 35 2 3" xfId="8436" xr:uid="{92B79B04-AC53-4CB7-9128-6E1E47DFD002}"/>
    <cellStyle name="Normal 35 3" xfId="4209" xr:uid="{4684E24E-D374-434F-9D84-2B728C70C3A8}"/>
    <cellStyle name="Normal 35 3 2" xfId="9845" xr:uid="{14BDCA39-80B6-4133-938B-66F26DDD583A}"/>
    <cellStyle name="Normal 35 4" xfId="7035" xr:uid="{74C2233F-157B-44B4-AE14-79915C9A0DF6}"/>
    <cellStyle name="Normal 36" xfId="1401" xr:uid="{A4A1FCFD-C42B-4033-89C3-CB8CC928667E}"/>
    <cellStyle name="Normal 36 2" xfId="4211" xr:uid="{C70496DA-C6A3-4E3C-B778-720A02988EDC}"/>
    <cellStyle name="Normal 36 2 2" xfId="9847" xr:uid="{3F50FAB8-9E2A-41B6-A572-4BA68BD18D39}"/>
    <cellStyle name="Normal 36 3" xfId="7037" xr:uid="{8A4254E9-04C0-4C3C-969A-675889EBD26F}"/>
    <cellStyle name="Normal 37" xfId="2805" xr:uid="{26D98A20-C745-4DD5-955F-5D4327564807}"/>
    <cellStyle name="Normal 37 2" xfId="5615" xr:uid="{B30BFDBB-F70B-4445-8344-E576BA32E7C4}"/>
    <cellStyle name="Normal 37 2 2" xfId="11251" xr:uid="{18772574-92AD-475F-85B6-F3101AC958C7}"/>
    <cellStyle name="Normal 37 3" xfId="8441" xr:uid="{CDD4E0AE-586D-4503-AF6B-DB575395CCEA}"/>
    <cellStyle name="Normal 38" xfId="2807" xr:uid="{653BB885-CA0C-4285-ADAC-4D496F1BD7B3}"/>
    <cellStyle name="Normal 38 2" xfId="5617" xr:uid="{8EDB6F41-643B-453E-A59B-0F6A6044BFFF}"/>
    <cellStyle name="Normal 38 2 2" xfId="11253" xr:uid="{07542824-F66F-4513-8A2E-8BA753280321}"/>
    <cellStyle name="Normal 38 3" xfId="8443" xr:uid="{333640F4-3F32-40ED-BAC7-D592D470B143}"/>
    <cellStyle name="Normal 39" xfId="2809" xr:uid="{5CFCF9D4-8DEC-41F2-A2BD-869A7D8D42A5}"/>
    <cellStyle name="Normal 39 2" xfId="5619" xr:uid="{A8C756C7-8DFC-4E4B-8766-1EDCB143B21A}"/>
    <cellStyle name="Normal 39 2 2" xfId="11255" xr:uid="{B8038570-71C6-4ADA-BE79-7766AD5117D1}"/>
    <cellStyle name="Normal 39 3" xfId="8445" xr:uid="{DC441C08-BD51-4310-BE6A-CE65DB945106}"/>
    <cellStyle name="Normal 4" xfId="8" xr:uid="{3AC1B40E-D9A5-420A-94AF-787973FA2996}"/>
    <cellStyle name="Normal 4 10" xfId="5644" xr:uid="{8D67E7FA-4192-42AB-A26F-92B55524E596}"/>
    <cellStyle name="Normal 4 2" xfId="20" xr:uid="{1911F327-04D4-4225-9EFF-798D30FE73C5}"/>
    <cellStyle name="Normal 4 2 2" xfId="52" xr:uid="{E3554075-1DFF-407A-B734-35FF258BB0BE}"/>
    <cellStyle name="Normal 4 2 2 2" xfId="132" xr:uid="{409AB1DD-20D7-4D62-A7A0-E12AB5499A52}"/>
    <cellStyle name="Normal 4 2 2 2 2" xfId="304" xr:uid="{B04D8045-CE63-4D7A-89A9-AF868845ACC1}"/>
    <cellStyle name="Normal 4 2 2 2 2 2" xfId="648" xr:uid="{AEF34868-3277-47CC-83D3-6257A00CD04B}"/>
    <cellStyle name="Normal 4 2 2 2 2 2 2" xfId="1344" xr:uid="{83C34932-9A3A-4CAF-918A-F072330DA5D5}"/>
    <cellStyle name="Normal 4 2 2 2 2 2 2 2" xfId="2745" xr:uid="{57AA010F-2E34-4673-A611-4162EFB09CCD}"/>
    <cellStyle name="Normal 4 2 2 2 2 2 2 2 2" xfId="5555" xr:uid="{B729E168-AAA6-42AB-98EB-3A0E883462A2}"/>
    <cellStyle name="Normal 4 2 2 2 2 2 2 2 2 2" xfId="11191" xr:uid="{58E9636A-14E7-4782-9B36-B84B945CF3A1}"/>
    <cellStyle name="Normal 4 2 2 2 2 2 2 2 3" xfId="8381" xr:uid="{4E58137B-B44F-48A4-BA6D-3A050DC547F8}"/>
    <cellStyle name="Normal 4 2 2 2 2 2 2 3" xfId="4154" xr:uid="{17DCA80B-4CA1-42EA-AAC9-4DE4CD67BD19}"/>
    <cellStyle name="Normal 4 2 2 2 2 2 2 3 2" xfId="9790" xr:uid="{CBF286B4-E187-4991-8EC9-C4DB70718F49}"/>
    <cellStyle name="Normal 4 2 2 2 2 2 2 4" xfId="6980" xr:uid="{5CB4AD67-2A27-466D-862D-F3F6ED30EEC2}"/>
    <cellStyle name="Normal 4 2 2 2 2 2 3" xfId="2049" xr:uid="{9A9EBF57-5864-4B33-94C5-417DF7769D61}"/>
    <cellStyle name="Normal 4 2 2 2 2 2 3 2" xfId="4859" xr:uid="{A71A80FB-04F8-467C-A257-3E56C40D1264}"/>
    <cellStyle name="Normal 4 2 2 2 2 2 3 2 2" xfId="10495" xr:uid="{F3286BC1-3289-4EBA-818E-E8E14DC64E93}"/>
    <cellStyle name="Normal 4 2 2 2 2 2 3 3" xfId="7685" xr:uid="{FC65390B-77A6-403A-B3E7-97657C892452}"/>
    <cellStyle name="Normal 4 2 2 2 2 2 4" xfId="3458" xr:uid="{F242D188-B349-46FE-9460-63E19BD147DF}"/>
    <cellStyle name="Normal 4 2 2 2 2 2 4 2" xfId="9094" xr:uid="{3D5F48EF-5018-483B-8AE3-D300F9CDD23C}"/>
    <cellStyle name="Normal 4 2 2 2 2 2 5" xfId="6284" xr:uid="{1087CA8D-737E-4737-A2C9-3DAC433D0F90}"/>
    <cellStyle name="Normal 4 2 2 2 2 3" xfId="1000" xr:uid="{1FF2F4B2-E64F-461A-B459-C756557A3C9D}"/>
    <cellStyle name="Normal 4 2 2 2 2 3 2" xfId="2401" xr:uid="{0C52A7A5-BEC9-45B4-877B-5CADA385B265}"/>
    <cellStyle name="Normal 4 2 2 2 2 3 2 2" xfId="5211" xr:uid="{B7C0E34E-0A87-4270-86E9-E8085F13D189}"/>
    <cellStyle name="Normal 4 2 2 2 2 3 2 2 2" xfId="10847" xr:uid="{5DB91054-C577-417C-8CD7-290BF923BBC6}"/>
    <cellStyle name="Normal 4 2 2 2 2 3 2 3" xfId="8037" xr:uid="{F4C46060-8735-4402-9370-D2B9FA1BAFFE}"/>
    <cellStyle name="Normal 4 2 2 2 2 3 3" xfId="3810" xr:uid="{F66CFCFA-99BC-49DD-A8E5-1965F92C57E2}"/>
    <cellStyle name="Normal 4 2 2 2 2 3 3 2" xfId="9446" xr:uid="{58F89238-C679-42C9-8398-85E7C3FADB71}"/>
    <cellStyle name="Normal 4 2 2 2 2 3 4" xfId="6636" xr:uid="{30632895-02CA-4CF3-9240-5F1154DF89F9}"/>
    <cellStyle name="Normal 4 2 2 2 2 4" xfId="1705" xr:uid="{BCC4ECE9-E38E-4BF6-B078-A77676ACD23A}"/>
    <cellStyle name="Normal 4 2 2 2 2 4 2" xfId="4515" xr:uid="{3B953DBF-2D84-4243-9505-7E180529B670}"/>
    <cellStyle name="Normal 4 2 2 2 2 4 2 2" xfId="10151" xr:uid="{59B9FABA-4AB2-4395-8A40-97ED3E4035D6}"/>
    <cellStyle name="Normal 4 2 2 2 2 4 3" xfId="7341" xr:uid="{CAD471B9-D393-43AE-8C59-63B04400ED60}"/>
    <cellStyle name="Normal 4 2 2 2 2 5" xfId="3114" xr:uid="{B18C4376-5835-4DE7-A059-352015EFFA6B}"/>
    <cellStyle name="Normal 4 2 2 2 2 5 2" xfId="8750" xr:uid="{1C0C6F50-F832-447D-BF37-113C589A7566}"/>
    <cellStyle name="Normal 4 2 2 2 2 6" xfId="5940" xr:uid="{4FD53E8A-BE9E-4E52-AF56-0CC509076EE8}"/>
    <cellStyle name="Normal 4 2 2 2 3" xfId="476" xr:uid="{46387097-3581-49D0-8CC9-7F8E6051586B}"/>
    <cellStyle name="Normal 4 2 2 2 3 2" xfId="1172" xr:uid="{A5AB433D-CCA1-40CD-94A5-5061CBE867D4}"/>
    <cellStyle name="Normal 4 2 2 2 3 2 2" xfId="2573" xr:uid="{464538E7-90C1-4BA1-BC66-BB5EF1E3DF9E}"/>
    <cellStyle name="Normal 4 2 2 2 3 2 2 2" xfId="5383" xr:uid="{19043BD5-D37B-469C-B7FF-CE27A7FCE395}"/>
    <cellStyle name="Normal 4 2 2 2 3 2 2 2 2" xfId="11019" xr:uid="{E82EC627-54B3-45E4-9096-62B1722F3514}"/>
    <cellStyle name="Normal 4 2 2 2 3 2 2 3" xfId="8209" xr:uid="{0B4993F1-649F-4056-A4E5-C7C863C576ED}"/>
    <cellStyle name="Normal 4 2 2 2 3 2 3" xfId="3982" xr:uid="{DFCB1D40-64CF-4C53-BB49-CBFFBD47B936}"/>
    <cellStyle name="Normal 4 2 2 2 3 2 3 2" xfId="9618" xr:uid="{3B36C9CB-F56F-40F2-B582-B254998B4CE0}"/>
    <cellStyle name="Normal 4 2 2 2 3 2 4" xfId="6808" xr:uid="{51797640-9A2A-43A8-87FF-14C4A362DBDE}"/>
    <cellStyle name="Normal 4 2 2 2 3 3" xfId="1877" xr:uid="{03AD8F80-F06E-40F2-A834-83361ACCF7BF}"/>
    <cellStyle name="Normal 4 2 2 2 3 3 2" xfId="4687" xr:uid="{EA02D95A-4B82-40DD-AF5F-933BE39CB50A}"/>
    <cellStyle name="Normal 4 2 2 2 3 3 2 2" xfId="10323" xr:uid="{BD348CE6-6725-4AE4-8DA0-EC4CA6A48CB4}"/>
    <cellStyle name="Normal 4 2 2 2 3 3 3" xfId="7513" xr:uid="{3F4CE83E-3259-42F5-A859-E143B1B3BC23}"/>
    <cellStyle name="Normal 4 2 2 2 3 4" xfId="3286" xr:uid="{D9405BF7-5ADC-4DFF-8DD7-C0E8D27802C5}"/>
    <cellStyle name="Normal 4 2 2 2 3 4 2" xfId="8922" xr:uid="{CFA8E1F7-5729-4E03-834B-6A78F95FC8F7}"/>
    <cellStyle name="Normal 4 2 2 2 3 5" xfId="6112" xr:uid="{4E023D79-6C01-42CB-8E24-A4DDBD129DDD}"/>
    <cellStyle name="Normal 4 2 2 2 4" xfId="828" xr:uid="{B1880F18-EBD3-44A4-9CFF-595AF0C7EAA7}"/>
    <cellStyle name="Normal 4 2 2 2 4 2" xfId="2229" xr:uid="{6C48A17E-762C-44B8-A7E3-50FA1597F59D}"/>
    <cellStyle name="Normal 4 2 2 2 4 2 2" xfId="5039" xr:uid="{B3E3600C-DC72-45D9-A604-A76E731466B7}"/>
    <cellStyle name="Normal 4 2 2 2 4 2 2 2" xfId="10675" xr:uid="{1C86E89D-B975-44EC-A34F-BEC98D45E1FE}"/>
    <cellStyle name="Normal 4 2 2 2 4 2 3" xfId="7865" xr:uid="{7A5056E3-511E-49EB-A5CD-7E6369FE781A}"/>
    <cellStyle name="Normal 4 2 2 2 4 3" xfId="3638" xr:uid="{8490D533-93ED-4E13-A768-899C4C46820D}"/>
    <cellStyle name="Normal 4 2 2 2 4 3 2" xfId="9274" xr:uid="{6AB12622-0685-4183-8B3F-565E9CD7DBF1}"/>
    <cellStyle name="Normal 4 2 2 2 4 4" xfId="6464" xr:uid="{D7E69AE3-C388-4236-ADB4-27F6AB982599}"/>
    <cellStyle name="Normal 4 2 2 2 5" xfId="1533" xr:uid="{4D8A6D11-44F5-46E2-8BB6-C7DA4C823BF6}"/>
    <cellStyle name="Normal 4 2 2 2 5 2" xfId="4343" xr:uid="{57DC58B2-F650-4382-9145-D61CB8F63318}"/>
    <cellStyle name="Normal 4 2 2 2 5 2 2" xfId="9979" xr:uid="{D8176E50-AB27-4C4A-992E-0AC2A60A628F}"/>
    <cellStyle name="Normal 4 2 2 2 5 3" xfId="7169" xr:uid="{9B7B902B-B807-4C8E-B8B0-5FA6D2F49768}"/>
    <cellStyle name="Normal 4 2 2 2 6" xfId="2942" xr:uid="{329D76C3-DD21-447C-B257-7DAD1A63406F}"/>
    <cellStyle name="Normal 4 2 2 2 6 2" xfId="8578" xr:uid="{14C04A98-B925-468D-8D88-95152EF258DB}"/>
    <cellStyle name="Normal 4 2 2 2 7" xfId="5768" xr:uid="{70BF55CD-8330-4895-924B-22274A0D442A}"/>
    <cellStyle name="Normal 4 2 2 3" xfId="224" xr:uid="{3581940B-CC12-4944-A8AB-C16E5F62B546}"/>
    <cellStyle name="Normal 4 2 2 3 2" xfId="568" xr:uid="{79C48CE3-0057-448E-8603-D658D683E530}"/>
    <cellStyle name="Normal 4 2 2 3 2 2" xfId="1264" xr:uid="{70396AEF-47A7-472E-8A48-7259539078CA}"/>
    <cellStyle name="Normal 4 2 2 3 2 2 2" xfId="2665" xr:uid="{9C1517D8-AE6F-4ED6-80F8-29B132CB4116}"/>
    <cellStyle name="Normal 4 2 2 3 2 2 2 2" xfId="5475" xr:uid="{BA72B43F-73BA-4A88-A659-9BD6F2D92793}"/>
    <cellStyle name="Normal 4 2 2 3 2 2 2 2 2" xfId="11111" xr:uid="{2A6DBE2D-D41D-4307-888E-1AC2CD59004F}"/>
    <cellStyle name="Normal 4 2 2 3 2 2 2 3" xfId="8301" xr:uid="{58729570-D162-45CE-BDD0-92B27E5FD8A5}"/>
    <cellStyle name="Normal 4 2 2 3 2 2 3" xfId="4074" xr:uid="{C2EF2ADC-FD73-4B66-9B68-7D0CFFBEA587}"/>
    <cellStyle name="Normal 4 2 2 3 2 2 3 2" xfId="9710" xr:uid="{29100D62-8C94-4BBA-9D51-4A2EB20EC94E}"/>
    <cellStyle name="Normal 4 2 2 3 2 2 4" xfId="6900" xr:uid="{57C52E86-D95A-4A23-B358-79B425538B3B}"/>
    <cellStyle name="Normal 4 2 2 3 2 3" xfId="1969" xr:uid="{09350651-D7C8-43A9-BF6A-2448ECF41701}"/>
    <cellStyle name="Normal 4 2 2 3 2 3 2" xfId="4779" xr:uid="{8B7CD013-796F-4D79-933D-45036CD63B22}"/>
    <cellStyle name="Normal 4 2 2 3 2 3 2 2" xfId="10415" xr:uid="{CAEBD393-8824-4AF7-B692-165FF2FF1022}"/>
    <cellStyle name="Normal 4 2 2 3 2 3 3" xfId="7605" xr:uid="{D0254536-E689-4A02-99BB-B71E0863184F}"/>
    <cellStyle name="Normal 4 2 2 3 2 4" xfId="3378" xr:uid="{E97C469D-F601-402B-9EC7-EB149E6B5893}"/>
    <cellStyle name="Normal 4 2 2 3 2 4 2" xfId="9014" xr:uid="{B61919F0-E6FB-4B96-B236-7DA2ECB4563C}"/>
    <cellStyle name="Normal 4 2 2 3 2 5" xfId="6204" xr:uid="{6FDEB14B-B440-4341-9537-51049924C6FA}"/>
    <cellStyle name="Normal 4 2 2 3 3" xfId="920" xr:uid="{325B99F0-65EE-4C7F-BC5A-003C8CCE4896}"/>
    <cellStyle name="Normal 4 2 2 3 3 2" xfId="2321" xr:uid="{9F0ECC5C-C295-4435-894A-07756AC20455}"/>
    <cellStyle name="Normal 4 2 2 3 3 2 2" xfId="5131" xr:uid="{23567EFA-A8F0-4B52-8A7A-FA887C616B3C}"/>
    <cellStyle name="Normal 4 2 2 3 3 2 2 2" xfId="10767" xr:uid="{0A2F89C3-E8D2-4129-94E7-0CE65428D7DF}"/>
    <cellStyle name="Normal 4 2 2 3 3 2 3" xfId="7957" xr:uid="{304322CB-2E77-45B0-B223-855478593500}"/>
    <cellStyle name="Normal 4 2 2 3 3 3" xfId="3730" xr:uid="{8A0B06B7-5C87-41BC-8C50-5E417AD592B6}"/>
    <cellStyle name="Normal 4 2 2 3 3 3 2" xfId="9366" xr:uid="{D43D221C-E46F-4A84-AD7D-8982AE031D90}"/>
    <cellStyle name="Normal 4 2 2 3 3 4" xfId="6556" xr:uid="{472CE8C8-D6E4-4C0E-A9E5-027EABA2C12F}"/>
    <cellStyle name="Normal 4 2 2 3 4" xfId="1625" xr:uid="{B5A32480-237B-42B9-9932-35B9493FF8F3}"/>
    <cellStyle name="Normal 4 2 2 3 4 2" xfId="4435" xr:uid="{A15F0453-5537-4D0A-A6AC-54DECF6FCE77}"/>
    <cellStyle name="Normal 4 2 2 3 4 2 2" xfId="10071" xr:uid="{1132DDD5-CBCF-4F18-8FD4-F31B37294FA8}"/>
    <cellStyle name="Normal 4 2 2 3 4 3" xfId="7261" xr:uid="{862B786C-BA52-4894-870C-C50B51A780BE}"/>
    <cellStyle name="Normal 4 2 2 3 5" xfId="3034" xr:uid="{314AA4F8-0C1B-476E-B598-F8C4E12C6762}"/>
    <cellStyle name="Normal 4 2 2 3 5 2" xfId="8670" xr:uid="{160C94E6-15EC-4530-8EDB-57F9DDFA7FC9}"/>
    <cellStyle name="Normal 4 2 2 3 6" xfId="5860" xr:uid="{9614CA37-660D-4BA1-AB66-293691992DEF}"/>
    <cellStyle name="Normal 4 2 2 4" xfId="396" xr:uid="{6FC540DA-2144-495F-8A98-39A0BE46CC6D}"/>
    <cellStyle name="Normal 4 2 2 4 2" xfId="1092" xr:uid="{56CB4A4A-1543-4285-8F37-9828D6FAE2A3}"/>
    <cellStyle name="Normal 4 2 2 4 2 2" xfId="2493" xr:uid="{F3D41685-240E-431C-AF67-E4922197FCAF}"/>
    <cellStyle name="Normal 4 2 2 4 2 2 2" xfId="5303" xr:uid="{0022B5EB-BA32-40AB-98B8-834EEB17638A}"/>
    <cellStyle name="Normal 4 2 2 4 2 2 2 2" xfId="10939" xr:uid="{5B0C14AF-620C-49AD-B3CB-4102456AFD3F}"/>
    <cellStyle name="Normal 4 2 2 4 2 2 3" xfId="8129" xr:uid="{52B231C3-1668-479B-9759-00D4005AFD9F}"/>
    <cellStyle name="Normal 4 2 2 4 2 3" xfId="3902" xr:uid="{1A4CE34C-F71B-4691-9579-626779DFD587}"/>
    <cellStyle name="Normal 4 2 2 4 2 3 2" xfId="9538" xr:uid="{DA4C1A9A-E691-456B-BBF9-6A17E2208CD0}"/>
    <cellStyle name="Normal 4 2 2 4 2 4" xfId="6728" xr:uid="{19B19253-0B05-4E00-AF29-2480384BF61C}"/>
    <cellStyle name="Normal 4 2 2 4 3" xfId="1797" xr:uid="{B5244623-5A39-4B15-91BC-51CD9E4A6449}"/>
    <cellStyle name="Normal 4 2 2 4 3 2" xfId="4607" xr:uid="{569A1835-11E1-4C8B-8986-35A19E66FF4D}"/>
    <cellStyle name="Normal 4 2 2 4 3 2 2" xfId="10243" xr:uid="{C017E8AF-7788-457F-98B0-C59345E6D727}"/>
    <cellStyle name="Normal 4 2 2 4 3 3" xfId="7433" xr:uid="{D6D9BED9-8CCD-4C34-8B37-28D53E15221A}"/>
    <cellStyle name="Normal 4 2 2 4 4" xfId="3206" xr:uid="{8E1BFF40-1179-4D57-8A44-735255B343B3}"/>
    <cellStyle name="Normal 4 2 2 4 4 2" xfId="8842" xr:uid="{21D25C05-FD80-4702-838C-93EDB90C96A8}"/>
    <cellStyle name="Normal 4 2 2 4 5" xfId="6032" xr:uid="{FE411327-83AA-4A65-80F9-DC1E0B884EE9}"/>
    <cellStyle name="Normal 4 2 2 5" xfId="748" xr:uid="{1657FBF0-0089-41ED-A0F7-B124C336F109}"/>
    <cellStyle name="Normal 4 2 2 5 2" xfId="2149" xr:uid="{782E3871-A847-4501-909E-11938AD21793}"/>
    <cellStyle name="Normal 4 2 2 5 2 2" xfId="4959" xr:uid="{28D2C540-1E54-4B72-8EC6-CC3721320240}"/>
    <cellStyle name="Normal 4 2 2 5 2 2 2" xfId="10595" xr:uid="{70C1B9BE-58D5-492F-AF7D-954988395D38}"/>
    <cellStyle name="Normal 4 2 2 5 2 3" xfId="7785" xr:uid="{2F1B1DDF-3896-4BA9-ADBA-23D18162D62B}"/>
    <cellStyle name="Normal 4 2 2 5 3" xfId="3558" xr:uid="{9C3197FF-091A-4FC6-B24E-9039A2D669CC}"/>
    <cellStyle name="Normal 4 2 2 5 3 2" xfId="9194" xr:uid="{4B750D94-1953-4113-B836-977D2279CB1F}"/>
    <cellStyle name="Normal 4 2 2 5 4" xfId="6384" xr:uid="{7722EE73-BA2E-4E7A-8D89-327E1ACD00D7}"/>
    <cellStyle name="Normal 4 2 2 6" xfId="1453" xr:uid="{C2663B15-132A-4FC4-A783-7671E7DA08F5}"/>
    <cellStyle name="Normal 4 2 2 6 2" xfId="4263" xr:uid="{8B6C6F53-8F6D-4DBE-9E88-F8F822F01465}"/>
    <cellStyle name="Normal 4 2 2 6 2 2" xfId="9899" xr:uid="{9E3C338F-88D8-4C0F-8FC8-CA0DEB94EFDB}"/>
    <cellStyle name="Normal 4 2 2 6 3" xfId="7089" xr:uid="{6751644C-31D8-4CBA-A11B-FE4A9C98FE06}"/>
    <cellStyle name="Normal 4 2 2 7" xfId="2862" xr:uid="{D4902AF6-0483-4F7E-A56C-EEFB7EDABD5D}"/>
    <cellStyle name="Normal 4 2 2 7 2" xfId="8498" xr:uid="{78B39484-8066-40D4-A869-0EC14C02F1A5}"/>
    <cellStyle name="Normal 4 2 2 8" xfId="5688" xr:uid="{C0DBFD20-3628-40B9-8ADD-B6E6C593A3CD}"/>
    <cellStyle name="Normal 4 2 3" xfId="100" xr:uid="{AAFB32AE-BFEF-4B70-823E-C53D25768CE9}"/>
    <cellStyle name="Normal 4 2 3 2" xfId="272" xr:uid="{6F79CF8B-6344-4D1A-BC5C-E6D1C78CF938}"/>
    <cellStyle name="Normal 4 2 3 2 2" xfId="616" xr:uid="{805F2D9B-3B57-44E2-B6FB-CC0136EE85CE}"/>
    <cellStyle name="Normal 4 2 3 2 2 2" xfId="1312" xr:uid="{42F6DE7E-CC2E-4490-82C0-4F745CD335EF}"/>
    <cellStyle name="Normal 4 2 3 2 2 2 2" xfId="2713" xr:uid="{A8299917-F1D8-471E-85D9-B0FDDA104964}"/>
    <cellStyle name="Normal 4 2 3 2 2 2 2 2" xfId="5523" xr:uid="{E253538E-C8B8-47C4-ACB8-F22D4E0FBAB0}"/>
    <cellStyle name="Normal 4 2 3 2 2 2 2 2 2" xfId="11159" xr:uid="{D01F50EC-4F49-4943-8EC1-5186473710E1}"/>
    <cellStyle name="Normal 4 2 3 2 2 2 2 3" xfId="8349" xr:uid="{7125A6D5-0828-449D-AC6E-4F512ABDD963}"/>
    <cellStyle name="Normal 4 2 3 2 2 2 3" xfId="4122" xr:uid="{3EBDF44D-947E-4EE5-8420-C4F572D5C391}"/>
    <cellStyle name="Normal 4 2 3 2 2 2 3 2" xfId="9758" xr:uid="{A2C23C11-91D1-4D78-9DF5-641862AF2E6A}"/>
    <cellStyle name="Normal 4 2 3 2 2 2 4" xfId="6948" xr:uid="{4C52A71C-1B61-402B-A3F1-2C88B53CDF73}"/>
    <cellStyle name="Normal 4 2 3 2 2 3" xfId="2017" xr:uid="{6FEC7DE5-A74B-4811-AAA3-45B8EF6D52CE}"/>
    <cellStyle name="Normal 4 2 3 2 2 3 2" xfId="4827" xr:uid="{DB768A00-4C2B-4D14-8FD4-9E07D17FC812}"/>
    <cellStyle name="Normal 4 2 3 2 2 3 2 2" xfId="10463" xr:uid="{3969C81B-87FE-4342-9EB7-793A66369883}"/>
    <cellStyle name="Normal 4 2 3 2 2 3 3" xfId="7653" xr:uid="{3C4BDC49-3383-41A9-BCAF-505DD36BF778}"/>
    <cellStyle name="Normal 4 2 3 2 2 4" xfId="3426" xr:uid="{0039B759-4690-4CDB-9573-1B90E025A930}"/>
    <cellStyle name="Normal 4 2 3 2 2 4 2" xfId="9062" xr:uid="{3F114D89-BB54-48E0-8717-A5B216FDE06F}"/>
    <cellStyle name="Normal 4 2 3 2 2 5" xfId="6252" xr:uid="{F75DE8B9-9114-41C1-A6E4-CCD37F64035A}"/>
    <cellStyle name="Normal 4 2 3 2 3" xfId="968" xr:uid="{CF1C30B7-57B5-4A2A-9271-74CD88C40781}"/>
    <cellStyle name="Normal 4 2 3 2 3 2" xfId="2369" xr:uid="{28AE0FC3-DCBD-480F-A9BC-0A0D67CEF2E7}"/>
    <cellStyle name="Normal 4 2 3 2 3 2 2" xfId="5179" xr:uid="{82F3F12C-0B9D-4EBD-A92A-12600881FD77}"/>
    <cellStyle name="Normal 4 2 3 2 3 2 2 2" xfId="10815" xr:uid="{2F825F44-CA54-4935-8EF3-1E98B26DDA61}"/>
    <cellStyle name="Normal 4 2 3 2 3 2 3" xfId="8005" xr:uid="{3F7A010D-CEB3-416B-BBDD-0C484348E351}"/>
    <cellStyle name="Normal 4 2 3 2 3 3" xfId="3778" xr:uid="{9F82B623-C3BD-4CA4-805E-A9BBA927178F}"/>
    <cellStyle name="Normal 4 2 3 2 3 3 2" xfId="9414" xr:uid="{9BA795F4-E918-4255-8565-D2E27AA45233}"/>
    <cellStyle name="Normal 4 2 3 2 3 4" xfId="6604" xr:uid="{CCC26446-486E-4528-9BF5-4DF6F22EE46D}"/>
    <cellStyle name="Normal 4 2 3 2 4" xfId="1673" xr:uid="{1CCD1F7A-2149-408F-A3FC-026E6F6A1B11}"/>
    <cellStyle name="Normal 4 2 3 2 4 2" xfId="4483" xr:uid="{B340C76B-B1C9-42E2-8254-D45A9EA2396F}"/>
    <cellStyle name="Normal 4 2 3 2 4 2 2" xfId="10119" xr:uid="{467AF5E3-294A-4C08-BC6F-4C13FD865740}"/>
    <cellStyle name="Normal 4 2 3 2 4 3" xfId="7309" xr:uid="{92B221B9-B753-45E1-BA34-8011A8E4FE07}"/>
    <cellStyle name="Normal 4 2 3 2 5" xfId="3082" xr:uid="{D1F307B6-08B2-4960-8682-554AE037A23D}"/>
    <cellStyle name="Normal 4 2 3 2 5 2" xfId="8718" xr:uid="{C7BCD46F-192A-4163-A8A7-623DB4A015EF}"/>
    <cellStyle name="Normal 4 2 3 2 6" xfId="5908" xr:uid="{C78324C2-CAC1-4A8E-BDB7-7AB153A8BAF6}"/>
    <cellStyle name="Normal 4 2 3 3" xfId="444" xr:uid="{03475F3B-AF2B-4677-BB71-811D5288548C}"/>
    <cellStyle name="Normal 4 2 3 3 2" xfId="1140" xr:uid="{807754CE-43CC-4E1C-A1C8-40CFC3B35C2D}"/>
    <cellStyle name="Normal 4 2 3 3 2 2" xfId="2541" xr:uid="{53F7C0BB-4E31-44CE-AED7-FABACCB17067}"/>
    <cellStyle name="Normal 4 2 3 3 2 2 2" xfId="5351" xr:uid="{E01EDC76-D99A-4407-84B7-830FC9412221}"/>
    <cellStyle name="Normal 4 2 3 3 2 2 2 2" xfId="10987" xr:uid="{162D460D-E979-4537-BC8A-273D8B855B75}"/>
    <cellStyle name="Normal 4 2 3 3 2 2 3" xfId="8177" xr:uid="{8FB229BE-C8A1-46C3-89C9-CF0B1EFFB743}"/>
    <cellStyle name="Normal 4 2 3 3 2 3" xfId="3950" xr:uid="{1B5C9AC6-5C5A-4D6D-975F-71811779DDB6}"/>
    <cellStyle name="Normal 4 2 3 3 2 3 2" xfId="9586" xr:uid="{CA2E4A7A-D2D5-4DFF-9256-1E34E321D72A}"/>
    <cellStyle name="Normal 4 2 3 3 2 4" xfId="6776" xr:uid="{2739E2B7-3F2D-439E-8457-ED3BEF5B1D24}"/>
    <cellStyle name="Normal 4 2 3 3 3" xfId="1845" xr:uid="{356BECF0-18FF-4DA8-89E1-98A8018C4B42}"/>
    <cellStyle name="Normal 4 2 3 3 3 2" xfId="4655" xr:uid="{D7A95CA6-3EA9-4CD5-9C38-BA7CED301592}"/>
    <cellStyle name="Normal 4 2 3 3 3 2 2" xfId="10291" xr:uid="{94D191BF-0654-4E5B-9AF1-05AE4B8F9F15}"/>
    <cellStyle name="Normal 4 2 3 3 3 3" xfId="7481" xr:uid="{358C8D46-2D53-459C-9B35-2055937331CC}"/>
    <cellStyle name="Normal 4 2 3 3 4" xfId="3254" xr:uid="{74363D16-44B9-4315-90AF-2B7905F142B4}"/>
    <cellStyle name="Normal 4 2 3 3 4 2" xfId="8890" xr:uid="{704E58CD-EF34-4280-AE71-F410D1AC1098}"/>
    <cellStyle name="Normal 4 2 3 3 5" xfId="6080" xr:uid="{7A1E18E6-5405-405D-88B4-9AC79467515E}"/>
    <cellStyle name="Normal 4 2 3 4" xfId="796" xr:uid="{B7A9BC9D-54E7-42AA-911C-239518D55755}"/>
    <cellStyle name="Normal 4 2 3 4 2" xfId="2197" xr:uid="{403D5892-C893-42E1-93CE-3948A75C924D}"/>
    <cellStyle name="Normal 4 2 3 4 2 2" xfId="5007" xr:uid="{97C0EACD-0EAA-42EE-A61B-F1DD07AA5761}"/>
    <cellStyle name="Normal 4 2 3 4 2 2 2" xfId="10643" xr:uid="{722CF293-9ED5-4D9E-8764-4210EDB3D780}"/>
    <cellStyle name="Normal 4 2 3 4 2 3" xfId="7833" xr:uid="{B46671B6-EDEC-451B-B9EC-6D7D131016C0}"/>
    <cellStyle name="Normal 4 2 3 4 3" xfId="3606" xr:uid="{9A8FA4E1-5576-446E-AEF3-AAE1A82BDB28}"/>
    <cellStyle name="Normal 4 2 3 4 3 2" xfId="9242" xr:uid="{F4CCA7EE-D8B1-4636-86B9-A35F8F5401B1}"/>
    <cellStyle name="Normal 4 2 3 4 4" xfId="6432" xr:uid="{B8751936-387C-4CBE-9E2F-F20BD9DF52FB}"/>
    <cellStyle name="Normal 4 2 3 5" xfId="1501" xr:uid="{5897C9D3-E007-4FFE-AB62-84979E97FFB3}"/>
    <cellStyle name="Normal 4 2 3 5 2" xfId="4311" xr:uid="{DCF1F739-38F8-4766-A12A-12780E70238B}"/>
    <cellStyle name="Normal 4 2 3 5 2 2" xfId="9947" xr:uid="{97E2DDB0-5E0F-4E6C-9923-8E7B84762139}"/>
    <cellStyle name="Normal 4 2 3 5 3" xfId="7137" xr:uid="{A0B5A1FC-F6F8-4220-B8B4-E11CD2BEC073}"/>
    <cellStyle name="Normal 4 2 3 6" xfId="2910" xr:uid="{02DF7307-9A73-46FB-96F5-D068503EC949}"/>
    <cellStyle name="Normal 4 2 3 6 2" xfId="8546" xr:uid="{81D1B705-73D1-438F-8FA3-522A34233EDC}"/>
    <cellStyle name="Normal 4 2 3 7" xfId="5736" xr:uid="{EF49F7B9-B34D-47B0-9F2D-26680B8F727C}"/>
    <cellStyle name="Normal 4 2 4" xfId="192" xr:uid="{8B6A4360-09FA-4EE8-83E4-4715A0317C6B}"/>
    <cellStyle name="Normal 4 2 4 2" xfId="536" xr:uid="{FE506687-9B53-472A-B869-1DB89314D50B}"/>
    <cellStyle name="Normal 4 2 4 2 2" xfId="1232" xr:uid="{49B9005E-F741-4E93-8D91-896A8BCF7821}"/>
    <cellStyle name="Normal 4 2 4 2 2 2" xfId="2633" xr:uid="{A37D54E5-4796-4239-9E00-27AA898DD414}"/>
    <cellStyle name="Normal 4 2 4 2 2 2 2" xfId="5443" xr:uid="{B197FE39-4D55-4183-A526-E808BB70067F}"/>
    <cellStyle name="Normal 4 2 4 2 2 2 2 2" xfId="11079" xr:uid="{D4E09C78-F632-48F3-8028-E334B1BCA130}"/>
    <cellStyle name="Normal 4 2 4 2 2 2 3" xfId="8269" xr:uid="{E14214D1-E7DE-4DAC-9EC0-3808A5B0F320}"/>
    <cellStyle name="Normal 4 2 4 2 2 3" xfId="4042" xr:uid="{B3F57A8D-4FC4-4A9A-BA19-B1EC13703391}"/>
    <cellStyle name="Normal 4 2 4 2 2 3 2" xfId="9678" xr:uid="{0D6FD103-2E99-4C3C-A734-A41BEDC6CED0}"/>
    <cellStyle name="Normal 4 2 4 2 2 4" xfId="6868" xr:uid="{B6F78049-77B3-4042-B81A-EF81C794DF11}"/>
    <cellStyle name="Normal 4 2 4 2 3" xfId="1937" xr:uid="{CEAE85FC-2A21-4D7D-A675-3FCA2294932F}"/>
    <cellStyle name="Normal 4 2 4 2 3 2" xfId="4747" xr:uid="{45204B51-4616-41AF-8123-2CE0E9A8C592}"/>
    <cellStyle name="Normal 4 2 4 2 3 2 2" xfId="10383" xr:uid="{3314A870-4D2E-4223-A799-F86001634399}"/>
    <cellStyle name="Normal 4 2 4 2 3 3" xfId="7573" xr:uid="{7264F285-4868-4D52-BE61-440F29F32F02}"/>
    <cellStyle name="Normal 4 2 4 2 4" xfId="3346" xr:uid="{1B14DE35-8D14-42A2-ACF7-F8112751BAEC}"/>
    <cellStyle name="Normal 4 2 4 2 4 2" xfId="8982" xr:uid="{5AD819AA-7356-4E54-8DA0-CBB9460B000D}"/>
    <cellStyle name="Normal 4 2 4 2 5" xfId="6172" xr:uid="{1ACF2B6D-0B92-4A3C-896C-951BAC3B644F}"/>
    <cellStyle name="Normal 4 2 4 3" xfId="888" xr:uid="{DB34D55D-759A-455A-BAF6-BFE8A620144D}"/>
    <cellStyle name="Normal 4 2 4 3 2" xfId="2289" xr:uid="{8D67D30E-C877-46FA-80C0-D5FAFF3CDBE8}"/>
    <cellStyle name="Normal 4 2 4 3 2 2" xfId="5099" xr:uid="{5CA1F542-558E-4448-86A3-A2B90B9D8F75}"/>
    <cellStyle name="Normal 4 2 4 3 2 2 2" xfId="10735" xr:uid="{C3FA325E-7E67-40B1-813D-FD2FCD59AC53}"/>
    <cellStyle name="Normal 4 2 4 3 2 3" xfId="7925" xr:uid="{F8BEDA4B-62FA-4A68-8B01-2185B51633D2}"/>
    <cellStyle name="Normal 4 2 4 3 3" xfId="3698" xr:uid="{85B1E40A-B4F6-40C4-AF30-76A7DDC05833}"/>
    <cellStyle name="Normal 4 2 4 3 3 2" xfId="9334" xr:uid="{CAA185AB-0F65-4035-AFBE-4A776A78CC1C}"/>
    <cellStyle name="Normal 4 2 4 3 4" xfId="6524" xr:uid="{9573DBEA-8F08-4117-A276-B7535F72398E}"/>
    <cellStyle name="Normal 4 2 4 4" xfId="1593" xr:uid="{B8CE5C76-4593-4938-9BB1-A09B0421C312}"/>
    <cellStyle name="Normal 4 2 4 4 2" xfId="4403" xr:uid="{685BF005-5A72-43E0-8F2F-871790D76052}"/>
    <cellStyle name="Normal 4 2 4 4 2 2" xfId="10039" xr:uid="{FBC58F9E-2556-4BCD-B246-23568A68598A}"/>
    <cellStyle name="Normal 4 2 4 4 3" xfId="7229" xr:uid="{75159B7C-455C-4047-A412-21EE8B1DA078}"/>
    <cellStyle name="Normal 4 2 4 5" xfId="3002" xr:uid="{65A795E0-0E87-407E-BC14-C4C8773AA765}"/>
    <cellStyle name="Normal 4 2 4 5 2" xfId="8638" xr:uid="{82446DC7-56F9-4603-9495-431FED072C10}"/>
    <cellStyle name="Normal 4 2 4 6" xfId="5828" xr:uid="{F11756AA-8C34-4BCF-9D9D-DA8066522180}"/>
    <cellStyle name="Normal 4 2 5" xfId="364" xr:uid="{19FFE09F-A9B0-4A09-AF87-C7206D1DCE75}"/>
    <cellStyle name="Normal 4 2 5 2" xfId="1060" xr:uid="{36D7E295-4617-49AC-9A78-FD261C1BBB94}"/>
    <cellStyle name="Normal 4 2 5 2 2" xfId="2461" xr:uid="{1469F61E-0726-46A8-9938-37D0580D5D31}"/>
    <cellStyle name="Normal 4 2 5 2 2 2" xfId="5271" xr:uid="{2F3C346F-D57E-440E-8952-41B298F518FD}"/>
    <cellStyle name="Normal 4 2 5 2 2 2 2" xfId="10907" xr:uid="{F56C59DE-41C2-4C0A-806E-023A4C645455}"/>
    <cellStyle name="Normal 4 2 5 2 2 3" xfId="8097" xr:uid="{A5C8C7AD-AAD1-4B0C-9BFB-1A99A5A2ABE9}"/>
    <cellStyle name="Normal 4 2 5 2 3" xfId="3870" xr:uid="{F3F3BBC4-62CA-4423-9641-7573C18C294D}"/>
    <cellStyle name="Normal 4 2 5 2 3 2" xfId="9506" xr:uid="{BE94ACC5-9E88-48CA-A11F-679A53A8214F}"/>
    <cellStyle name="Normal 4 2 5 2 4" xfId="6696" xr:uid="{23FB6468-CD84-4A02-B830-B4C09BDAC3EC}"/>
    <cellStyle name="Normal 4 2 5 3" xfId="1765" xr:uid="{EAEF6B10-AB9E-4279-AE74-4DDFD2EF5DEE}"/>
    <cellStyle name="Normal 4 2 5 3 2" xfId="4575" xr:uid="{49D24405-06B6-40C9-B870-91560D39E18A}"/>
    <cellStyle name="Normal 4 2 5 3 2 2" xfId="10211" xr:uid="{A62A223B-2893-4359-A4B9-FED3807131A3}"/>
    <cellStyle name="Normal 4 2 5 3 3" xfId="7401" xr:uid="{A89D7605-05A9-45D2-8CB3-0B311404BC16}"/>
    <cellStyle name="Normal 4 2 5 4" xfId="3174" xr:uid="{E9B70736-6A98-4F5F-8B5A-BED618E503F3}"/>
    <cellStyle name="Normal 4 2 5 4 2" xfId="8810" xr:uid="{813158B2-FE94-4116-915B-99D226B29484}"/>
    <cellStyle name="Normal 4 2 5 5" xfId="6000" xr:uid="{9D8B982D-25AA-4B3E-A9C2-4FAABB0FF140}"/>
    <cellStyle name="Normal 4 2 6" xfId="716" xr:uid="{8BCE2CF7-ACAD-4AD3-BB51-AA9CD934DAE0}"/>
    <cellStyle name="Normal 4 2 6 2" xfId="2117" xr:uid="{AD8E7AA0-0F02-41F3-A58E-C6FEAA12845E}"/>
    <cellStyle name="Normal 4 2 6 2 2" xfId="4927" xr:uid="{E5215946-76CE-4467-86F8-9056C528A5DC}"/>
    <cellStyle name="Normal 4 2 6 2 2 2" xfId="10563" xr:uid="{FE3F0D54-65B8-47BD-9A4A-14772A9876E4}"/>
    <cellStyle name="Normal 4 2 6 2 3" xfId="7753" xr:uid="{021B48E2-7366-4E2B-A7A6-087AB98B8AC6}"/>
    <cellStyle name="Normal 4 2 6 3" xfId="3526" xr:uid="{123EA031-4B3E-4D40-A772-F0D0C5D48BA9}"/>
    <cellStyle name="Normal 4 2 6 3 2" xfId="9162" xr:uid="{16FE808F-6CA3-444E-93D4-4CC5D925A58F}"/>
    <cellStyle name="Normal 4 2 6 4" xfId="6352" xr:uid="{ACC89349-7F16-41C6-A630-413C00A04A49}"/>
    <cellStyle name="Normal 4 2 7" xfId="1421" xr:uid="{C442CB1E-161D-4A09-B43B-B9E2FCE617CC}"/>
    <cellStyle name="Normal 4 2 7 2" xfId="4231" xr:uid="{D4025CAB-9942-411B-87F1-8A9ACF3DCC5B}"/>
    <cellStyle name="Normal 4 2 7 2 2" xfId="9867" xr:uid="{EBDD960C-65E7-4327-A2AF-388454817E8E}"/>
    <cellStyle name="Normal 4 2 7 3" xfId="7057" xr:uid="{671F7CBD-6ACE-42FE-82DE-584DACFFF3B4}"/>
    <cellStyle name="Normal 4 2 8" xfId="2830" xr:uid="{05F161E2-EDBC-4F84-969C-996A85D69F8C}"/>
    <cellStyle name="Normal 4 2 8 2" xfId="8466" xr:uid="{A3384C0B-65B0-49B2-936B-ECDA10C83123}"/>
    <cellStyle name="Normal 4 2 9" xfId="5656" xr:uid="{BA26F5FD-99CB-469D-BF56-13156F7E61E9}"/>
    <cellStyle name="Normal 4 3" xfId="40" xr:uid="{37484024-F8D4-4716-98B1-4588368DB254}"/>
    <cellStyle name="Normal 4 3 2" xfId="120" xr:uid="{5FE1FCE0-5827-4FB1-B1D9-98DAFE213D14}"/>
    <cellStyle name="Normal 4 3 2 2" xfId="292" xr:uid="{08885F91-7857-494E-B3E9-64183157504B}"/>
    <cellStyle name="Normal 4 3 2 2 2" xfId="636" xr:uid="{C2FA7E69-7625-4650-BEAD-00FC1740C38B}"/>
    <cellStyle name="Normal 4 3 2 2 2 2" xfId="1332" xr:uid="{F0A7E838-7ACF-42B0-9981-34A56BDC3239}"/>
    <cellStyle name="Normal 4 3 2 2 2 2 2" xfId="2733" xr:uid="{94DD622B-C5B8-4014-AA0B-59614831A594}"/>
    <cellStyle name="Normal 4 3 2 2 2 2 2 2" xfId="5543" xr:uid="{C4D710AE-3771-45B6-B758-EF04DC283F7F}"/>
    <cellStyle name="Normal 4 3 2 2 2 2 2 2 2" xfId="11179" xr:uid="{CACCD4B0-5E2C-45AF-87B4-0AE4A7BCC482}"/>
    <cellStyle name="Normal 4 3 2 2 2 2 2 3" xfId="8369" xr:uid="{015868EB-C406-49FC-AA1C-86836C6B3375}"/>
    <cellStyle name="Normal 4 3 2 2 2 2 3" xfId="4142" xr:uid="{21DCF92D-74A5-4680-96E6-6EB85CA1602F}"/>
    <cellStyle name="Normal 4 3 2 2 2 2 3 2" xfId="9778" xr:uid="{50E0D40A-0E9D-4C74-9D6A-6D789B80CEB6}"/>
    <cellStyle name="Normal 4 3 2 2 2 2 4" xfId="6968" xr:uid="{CF62B79E-AF58-46DD-824B-0B04928CC975}"/>
    <cellStyle name="Normal 4 3 2 2 2 3" xfId="2037" xr:uid="{F71DEC31-F657-4F21-BDF7-F33D18E62113}"/>
    <cellStyle name="Normal 4 3 2 2 2 3 2" xfId="4847" xr:uid="{43FB73D3-CADE-4C58-915E-3E02B05BDA3A}"/>
    <cellStyle name="Normal 4 3 2 2 2 3 2 2" xfId="10483" xr:uid="{D3A8F246-3457-40F9-9143-8648B4572DBF}"/>
    <cellStyle name="Normal 4 3 2 2 2 3 3" xfId="7673" xr:uid="{6216B503-D2AA-4624-BB30-303AE8C34F02}"/>
    <cellStyle name="Normal 4 3 2 2 2 4" xfId="3446" xr:uid="{573390BD-CF4C-4C3D-8B96-6831FA5CAC1E}"/>
    <cellStyle name="Normal 4 3 2 2 2 4 2" xfId="9082" xr:uid="{82CBE5D7-50D5-4C64-8DDA-09ADCFAFB29A}"/>
    <cellStyle name="Normal 4 3 2 2 2 5" xfId="6272" xr:uid="{3021B5CA-809C-4AE3-910B-643A1301030D}"/>
    <cellStyle name="Normal 4 3 2 2 3" xfId="988" xr:uid="{929669CB-781C-4616-826B-EF2D8287B9E0}"/>
    <cellStyle name="Normal 4 3 2 2 3 2" xfId="2389" xr:uid="{DC68B050-C223-4DBE-BA77-D86927A16DE6}"/>
    <cellStyle name="Normal 4 3 2 2 3 2 2" xfId="5199" xr:uid="{BEEF7891-BC50-482F-AAFA-07BBFC0D571E}"/>
    <cellStyle name="Normal 4 3 2 2 3 2 2 2" xfId="10835" xr:uid="{3605F454-EFEF-4F27-BBCB-B9A5810B6EF6}"/>
    <cellStyle name="Normal 4 3 2 2 3 2 3" xfId="8025" xr:uid="{160B4EC4-AB7F-46A4-8176-DB6164753D8C}"/>
    <cellStyle name="Normal 4 3 2 2 3 3" xfId="3798" xr:uid="{F9C1CDE7-DDF7-4800-9666-BB303D73A2A7}"/>
    <cellStyle name="Normal 4 3 2 2 3 3 2" xfId="9434" xr:uid="{29E09583-9A86-4670-A639-ACA06AF2DAB4}"/>
    <cellStyle name="Normal 4 3 2 2 3 4" xfId="6624" xr:uid="{313FDD6D-71C8-4F1E-A653-28DB3C70BD9F}"/>
    <cellStyle name="Normal 4 3 2 2 4" xfId="1693" xr:uid="{434A7816-831F-41DB-A53B-E5C86E9EB3B8}"/>
    <cellStyle name="Normal 4 3 2 2 4 2" xfId="4503" xr:uid="{BCAD8572-DB4D-45A6-9D30-CA33152550CB}"/>
    <cellStyle name="Normal 4 3 2 2 4 2 2" xfId="10139" xr:uid="{37DDD69E-A469-4D59-9E01-76DEB4508011}"/>
    <cellStyle name="Normal 4 3 2 2 4 3" xfId="7329" xr:uid="{4E096EF8-01E2-49FE-A5FD-C07A6F7CDB7A}"/>
    <cellStyle name="Normal 4 3 2 2 5" xfId="3102" xr:uid="{2EFC5E9C-0777-4655-A145-1F745BBAFA02}"/>
    <cellStyle name="Normal 4 3 2 2 5 2" xfId="8738" xr:uid="{4B5183F6-3E0A-4E0D-8FA8-EFC1777F2328}"/>
    <cellStyle name="Normal 4 3 2 2 6" xfId="5928" xr:uid="{96F6246C-2B33-459F-8FBA-C7B9CFC433D1}"/>
    <cellStyle name="Normal 4 3 2 3" xfId="464" xr:uid="{67CCB765-F0A8-497A-9501-80E1A33F5206}"/>
    <cellStyle name="Normal 4 3 2 3 2" xfId="1160" xr:uid="{4CBDF57F-CBB6-4675-AA4A-18A20C0EACA5}"/>
    <cellStyle name="Normal 4 3 2 3 2 2" xfId="2561" xr:uid="{99C12F94-CB9A-4F01-B4D4-BD13C8EB94FF}"/>
    <cellStyle name="Normal 4 3 2 3 2 2 2" xfId="5371" xr:uid="{67A17FE9-C24F-4B5B-86D9-E185D8269DE8}"/>
    <cellStyle name="Normal 4 3 2 3 2 2 2 2" xfId="11007" xr:uid="{30D0DD8F-1A4A-4EEE-994D-A8425701491D}"/>
    <cellStyle name="Normal 4 3 2 3 2 2 3" xfId="8197" xr:uid="{6E716BF0-6977-4B68-9323-1F5AE86540D1}"/>
    <cellStyle name="Normal 4 3 2 3 2 3" xfId="3970" xr:uid="{B6EAFD8B-208F-4BC3-923E-3CBBAC05C725}"/>
    <cellStyle name="Normal 4 3 2 3 2 3 2" xfId="9606" xr:uid="{B46CEFF8-7AEC-4B83-8902-B8BADA1EEC2D}"/>
    <cellStyle name="Normal 4 3 2 3 2 4" xfId="6796" xr:uid="{5F575379-FC63-4DBF-9890-5DCF8F2F4321}"/>
    <cellStyle name="Normal 4 3 2 3 3" xfId="1865" xr:uid="{8366CDAE-A6B1-44CC-826F-57F61CEE8872}"/>
    <cellStyle name="Normal 4 3 2 3 3 2" xfId="4675" xr:uid="{49AE582B-5E6A-463E-BE79-ED03363E340B}"/>
    <cellStyle name="Normal 4 3 2 3 3 2 2" xfId="10311" xr:uid="{A0DD40B5-9BEA-44F2-AFC9-A8702557D4E8}"/>
    <cellStyle name="Normal 4 3 2 3 3 3" xfId="7501" xr:uid="{E3F037C9-2E4F-4E60-8BBE-3909FBC20A9E}"/>
    <cellStyle name="Normal 4 3 2 3 4" xfId="3274" xr:uid="{EF122EAC-88CF-42D0-A473-AC9447FB7E7F}"/>
    <cellStyle name="Normal 4 3 2 3 4 2" xfId="8910" xr:uid="{06727976-BFC1-4CA9-BECC-28CAE988E0D3}"/>
    <cellStyle name="Normal 4 3 2 3 5" xfId="6100" xr:uid="{7219AE54-45FE-427B-A1B3-5C593493DEDB}"/>
    <cellStyle name="Normal 4 3 2 4" xfId="816" xr:uid="{692862A7-2AA1-4570-9661-249892506B95}"/>
    <cellStyle name="Normal 4 3 2 4 2" xfId="2217" xr:uid="{BEF19013-86E3-4331-B9C4-CE1CA729819A}"/>
    <cellStyle name="Normal 4 3 2 4 2 2" xfId="5027" xr:uid="{D8EB79FE-A5D3-4DE2-88A2-1972DBEB8D79}"/>
    <cellStyle name="Normal 4 3 2 4 2 2 2" xfId="10663" xr:uid="{97973E33-85A4-4CBF-B188-B844106ED64E}"/>
    <cellStyle name="Normal 4 3 2 4 2 3" xfId="7853" xr:uid="{431623BD-EE43-4928-BF2F-6CD13D5A29B9}"/>
    <cellStyle name="Normal 4 3 2 4 3" xfId="3626" xr:uid="{6281FBE8-BCDB-491C-A00A-34CE3001B67E}"/>
    <cellStyle name="Normal 4 3 2 4 3 2" xfId="9262" xr:uid="{8B58E2E5-6E66-4F4E-A720-56F3AEB8BCE7}"/>
    <cellStyle name="Normal 4 3 2 4 4" xfId="6452" xr:uid="{59DDABAD-B6B5-477E-B8CE-B26890E5F0F2}"/>
    <cellStyle name="Normal 4 3 2 5" xfId="1521" xr:uid="{09B4C149-6511-40C8-A102-494D7C74C3E7}"/>
    <cellStyle name="Normal 4 3 2 5 2" xfId="4331" xr:uid="{29BFC307-FDF3-46CF-B130-531D4AC8D48E}"/>
    <cellStyle name="Normal 4 3 2 5 2 2" xfId="9967" xr:uid="{BFF1DB6E-18C0-40A5-B585-D18698CE48BF}"/>
    <cellStyle name="Normal 4 3 2 5 3" xfId="7157" xr:uid="{BA70BE66-AA59-4BA0-AB93-62F78AD0AB81}"/>
    <cellStyle name="Normal 4 3 2 6" xfId="2930" xr:uid="{DF1B2E72-FA19-4729-8A37-FA0C8E64D7DF}"/>
    <cellStyle name="Normal 4 3 2 6 2" xfId="8566" xr:uid="{621C96FB-352E-4240-8928-A09AA41EDDF6}"/>
    <cellStyle name="Normal 4 3 2 7" xfId="5756" xr:uid="{EE8CE094-E072-4779-B39A-41AFB25ACD22}"/>
    <cellStyle name="Normal 4 3 3" xfId="212" xr:uid="{5011A6B1-CF15-4259-A475-99B6BBF6D4F6}"/>
    <cellStyle name="Normal 4 3 3 2" xfId="556" xr:uid="{DD6B1416-87DC-42A4-9918-ECF5B5C0072B}"/>
    <cellStyle name="Normal 4 3 3 2 2" xfId="1252" xr:uid="{5AF350FE-14BE-4F01-851A-AC44FEA2F8E3}"/>
    <cellStyle name="Normal 4 3 3 2 2 2" xfId="2653" xr:uid="{98CF3D6B-50FF-4CD5-820F-A6C0BD8DEA16}"/>
    <cellStyle name="Normal 4 3 3 2 2 2 2" xfId="5463" xr:uid="{77A98022-F670-40AA-BE68-8411770E5B0A}"/>
    <cellStyle name="Normal 4 3 3 2 2 2 2 2" xfId="11099" xr:uid="{DD1B36EF-7DB7-46CC-AD3E-1CB510F3CF12}"/>
    <cellStyle name="Normal 4 3 3 2 2 2 3" xfId="8289" xr:uid="{9420F738-95AF-45AC-8319-FBFDA3278341}"/>
    <cellStyle name="Normal 4 3 3 2 2 3" xfId="4062" xr:uid="{425AB9B2-DB72-4C6C-BD67-CAE7E79B6195}"/>
    <cellStyle name="Normal 4 3 3 2 2 3 2" xfId="9698" xr:uid="{F2152093-B17C-42BE-82EE-210EEDBBADD5}"/>
    <cellStyle name="Normal 4 3 3 2 2 4" xfId="6888" xr:uid="{CD5DCF04-D4FF-4611-8C5B-2B4B5891B77D}"/>
    <cellStyle name="Normal 4 3 3 2 3" xfId="1957" xr:uid="{1E8F200D-FBF7-4B56-B548-4C246798B840}"/>
    <cellStyle name="Normal 4 3 3 2 3 2" xfId="4767" xr:uid="{E1C87945-1F05-4C67-89DA-1E21E5AD9E45}"/>
    <cellStyle name="Normal 4 3 3 2 3 2 2" xfId="10403" xr:uid="{F232F697-0F45-4E8E-8AE4-B7CD98D674FF}"/>
    <cellStyle name="Normal 4 3 3 2 3 3" xfId="7593" xr:uid="{036EC823-5E40-4207-A9A2-B9F67C597D1A}"/>
    <cellStyle name="Normal 4 3 3 2 4" xfId="3366" xr:uid="{D4A2D79C-6E4F-4E04-ADC1-9E9D0D9FEF79}"/>
    <cellStyle name="Normal 4 3 3 2 4 2" xfId="9002" xr:uid="{0329AEEA-A51D-43EE-A713-5F1D7F4609FC}"/>
    <cellStyle name="Normal 4 3 3 2 5" xfId="6192" xr:uid="{E1C357E5-F102-4B37-B7D9-1C7DFCCE8BCA}"/>
    <cellStyle name="Normal 4 3 3 3" xfId="908" xr:uid="{04A1B264-6AA2-426B-9BAD-22354E195B16}"/>
    <cellStyle name="Normal 4 3 3 3 2" xfId="2309" xr:uid="{00603C7A-9CA2-43DD-8C0F-5A100D7670B3}"/>
    <cellStyle name="Normal 4 3 3 3 2 2" xfId="5119" xr:uid="{A12C7F31-5753-42E1-8CDF-A3F5A1083135}"/>
    <cellStyle name="Normal 4 3 3 3 2 2 2" xfId="10755" xr:uid="{8891866E-9213-4B4F-93C2-8D52E796A806}"/>
    <cellStyle name="Normal 4 3 3 3 2 3" xfId="7945" xr:uid="{9F37D681-012D-4AD6-B0A7-E99E7B131ED5}"/>
    <cellStyle name="Normal 4 3 3 3 3" xfId="3718" xr:uid="{0B33995D-3F20-4174-92D9-917EC6D7A3E4}"/>
    <cellStyle name="Normal 4 3 3 3 3 2" xfId="9354" xr:uid="{7CB4D298-E437-4341-BDB5-A49A40A7E759}"/>
    <cellStyle name="Normal 4 3 3 3 4" xfId="6544" xr:uid="{E750C852-1165-46F0-866C-2C69002279DC}"/>
    <cellStyle name="Normal 4 3 3 4" xfId="1613" xr:uid="{48DA811F-65C0-4767-A4F5-A4969757BD94}"/>
    <cellStyle name="Normal 4 3 3 4 2" xfId="4423" xr:uid="{B3350AA8-1872-4765-8CE4-49F3E039B832}"/>
    <cellStyle name="Normal 4 3 3 4 2 2" xfId="10059" xr:uid="{19387F1B-B0B6-4811-87B1-DCBE7579AD28}"/>
    <cellStyle name="Normal 4 3 3 4 3" xfId="7249" xr:uid="{7F49EA17-1D80-473D-8CE0-0CFE56065160}"/>
    <cellStyle name="Normal 4 3 3 5" xfId="3022" xr:uid="{A659251C-B139-45CB-9B0D-A18F506F49B7}"/>
    <cellStyle name="Normal 4 3 3 5 2" xfId="8658" xr:uid="{DD1960C1-DBAC-4DF7-A95F-C0C1C3159AB5}"/>
    <cellStyle name="Normal 4 3 3 6" xfId="5848" xr:uid="{1B096785-9413-4FCB-AC01-A3E9E9D9E6E2}"/>
    <cellStyle name="Normal 4 3 4" xfId="384" xr:uid="{5CC370ED-D28B-4C99-A2B9-0AFA63C8D5D0}"/>
    <cellStyle name="Normal 4 3 4 2" xfId="1080" xr:uid="{37D135CA-EF6A-4E32-865D-C824069F499F}"/>
    <cellStyle name="Normal 4 3 4 2 2" xfId="2481" xr:uid="{E5A4FB36-7DD9-49E3-9A02-CF0FECAA6915}"/>
    <cellStyle name="Normal 4 3 4 2 2 2" xfId="5291" xr:uid="{474F7E6E-A76E-4FB1-8778-5D1A0F50ADA4}"/>
    <cellStyle name="Normal 4 3 4 2 2 2 2" xfId="10927" xr:uid="{5AE45C93-3DF3-4F35-BE2D-E54BA74A46BC}"/>
    <cellStyle name="Normal 4 3 4 2 2 3" xfId="8117" xr:uid="{ADD3DBD5-F7BD-4C82-A9EE-5EF626F62520}"/>
    <cellStyle name="Normal 4 3 4 2 3" xfId="3890" xr:uid="{3FA6B1DF-A307-42B5-A2E4-E55F9A4CCA25}"/>
    <cellStyle name="Normal 4 3 4 2 3 2" xfId="9526" xr:uid="{A1696BE9-C714-4D78-B9F5-444FCCD42083}"/>
    <cellStyle name="Normal 4 3 4 2 4" xfId="6716" xr:uid="{8263DBFE-8F40-4928-A1BA-0858AE4D678C}"/>
    <cellStyle name="Normal 4 3 4 3" xfId="1785" xr:uid="{546B0C04-0537-44AE-8487-8CB7EA76B220}"/>
    <cellStyle name="Normal 4 3 4 3 2" xfId="4595" xr:uid="{1787F91A-0D4B-46ED-B352-DBC0F761BDEA}"/>
    <cellStyle name="Normal 4 3 4 3 2 2" xfId="10231" xr:uid="{400DEFF0-61AF-40C2-B03B-525BD9E1936A}"/>
    <cellStyle name="Normal 4 3 4 3 3" xfId="7421" xr:uid="{67B1BAFA-4D6F-4A82-B88F-46C5044C5F87}"/>
    <cellStyle name="Normal 4 3 4 4" xfId="3194" xr:uid="{E88111D4-0615-4CF1-8B3F-C17FC8E14FF6}"/>
    <cellStyle name="Normal 4 3 4 4 2" xfId="8830" xr:uid="{76ABFDE8-DBFD-4667-B86E-14DC79705B95}"/>
    <cellStyle name="Normal 4 3 4 5" xfId="6020" xr:uid="{7F141560-1B2D-4C0E-AA14-7A0CAE476DE3}"/>
    <cellStyle name="Normal 4 3 5" xfId="736" xr:uid="{204957F8-7C9D-46C0-B5B5-64150E0ADFC9}"/>
    <cellStyle name="Normal 4 3 5 2" xfId="2137" xr:uid="{822E02F8-E895-4219-A6A8-2B353FDE0019}"/>
    <cellStyle name="Normal 4 3 5 2 2" xfId="4947" xr:uid="{A4F3E90E-A554-4DA3-A17B-A751DF744BB8}"/>
    <cellStyle name="Normal 4 3 5 2 2 2" xfId="10583" xr:uid="{5928A840-82FA-469C-8B81-5E89FD680D5A}"/>
    <cellStyle name="Normal 4 3 5 2 3" xfId="7773" xr:uid="{D0757AD1-3949-443A-B07F-9E9ECA7085DD}"/>
    <cellStyle name="Normal 4 3 5 3" xfId="3546" xr:uid="{2B6ABC99-EADB-4B4E-A0E8-1D171B28B45C}"/>
    <cellStyle name="Normal 4 3 5 3 2" xfId="9182" xr:uid="{81E36EAC-B2EA-4C5B-9B4F-DAD7532FB650}"/>
    <cellStyle name="Normal 4 3 5 4" xfId="6372" xr:uid="{684C5B08-F52C-4D0D-B9F2-90295AD7330D}"/>
    <cellStyle name="Normal 4 3 6" xfId="1441" xr:uid="{AD5E3BE2-24AA-4B47-84C0-D136D04A03ED}"/>
    <cellStyle name="Normal 4 3 6 2" xfId="4251" xr:uid="{E6860ABF-4BFC-4755-A065-BD71915C8765}"/>
    <cellStyle name="Normal 4 3 6 2 2" xfId="9887" xr:uid="{0DD2E08A-AC68-4CD7-A4CA-8D1C5FA35F52}"/>
    <cellStyle name="Normal 4 3 6 3" xfId="7077" xr:uid="{EB61AB53-2CCF-4DAE-9CC3-D5AEC5C6AFEE}"/>
    <cellStyle name="Normal 4 3 7" xfId="2850" xr:uid="{7BE2566A-46B3-4F85-89CB-B136A9E7ACB0}"/>
    <cellStyle name="Normal 4 3 7 2" xfId="8486" xr:uid="{071B8935-0610-434D-80AF-ED463A3F3981}"/>
    <cellStyle name="Normal 4 3 8" xfId="5676" xr:uid="{66881A0B-DDB3-4A99-87E6-6C7DCF23BD36}"/>
    <cellStyle name="Normal 4 4" xfId="88" xr:uid="{706F24A5-6138-44E5-B9BD-0579F324262C}"/>
    <cellStyle name="Normal 4 4 2" xfId="260" xr:uid="{370E9943-83A3-48CA-BECF-4763123AFC52}"/>
    <cellStyle name="Normal 4 4 2 2" xfId="604" xr:uid="{7A99EEFB-9675-4111-BA94-F4E87AAD1F71}"/>
    <cellStyle name="Normal 4 4 2 2 2" xfId="1300" xr:uid="{4B8ADCC3-5F6F-49AC-9927-A2F1909DD89A}"/>
    <cellStyle name="Normal 4 4 2 2 2 2" xfId="2701" xr:uid="{98D4235D-8779-417B-9FA0-CA03D0290AB0}"/>
    <cellStyle name="Normal 4 4 2 2 2 2 2" xfId="5511" xr:uid="{0BCC0302-5DBF-4EFC-BA99-700DE3B86AFF}"/>
    <cellStyle name="Normal 4 4 2 2 2 2 2 2" xfId="11147" xr:uid="{0CE190C8-497C-4827-A275-E769BE93BF4A}"/>
    <cellStyle name="Normal 4 4 2 2 2 2 3" xfId="8337" xr:uid="{E0BAF3A2-6D6E-4A49-AE90-55EECE3C0EEA}"/>
    <cellStyle name="Normal 4 4 2 2 2 3" xfId="4110" xr:uid="{507EECC4-D4C9-4CBA-9125-D9C784C700F2}"/>
    <cellStyle name="Normal 4 4 2 2 2 3 2" xfId="9746" xr:uid="{965ADD2B-5A13-4CCE-A020-C7E53A5C8988}"/>
    <cellStyle name="Normal 4 4 2 2 2 4" xfId="6936" xr:uid="{BA02EEDD-5FFE-4D82-817F-76CFC1F0C083}"/>
    <cellStyle name="Normal 4 4 2 2 3" xfId="2005" xr:uid="{CBA43A2E-C209-4E2A-81AC-5A6109E87D6A}"/>
    <cellStyle name="Normal 4 4 2 2 3 2" xfId="4815" xr:uid="{5FD2928F-D430-4A91-ABF6-9D7C157356F3}"/>
    <cellStyle name="Normal 4 4 2 2 3 2 2" xfId="10451" xr:uid="{1A10DD54-7F4B-40EE-A02A-ABC12B2D242D}"/>
    <cellStyle name="Normal 4 4 2 2 3 3" xfId="7641" xr:uid="{3B4299AC-AFB6-40C5-B58D-6EBB0928A36F}"/>
    <cellStyle name="Normal 4 4 2 2 4" xfId="3414" xr:uid="{663A9C6F-366B-4028-AE91-0D2CAB670AF8}"/>
    <cellStyle name="Normal 4 4 2 2 4 2" xfId="9050" xr:uid="{5333584C-D06A-455E-8954-2A19CE6ABC9B}"/>
    <cellStyle name="Normal 4 4 2 2 5" xfId="6240" xr:uid="{24B8FFC1-2E99-4E21-8153-24016A2E3877}"/>
    <cellStyle name="Normal 4 4 2 3" xfId="956" xr:uid="{56AA48BD-2415-4D65-A050-23597361EB1F}"/>
    <cellStyle name="Normal 4 4 2 3 2" xfId="2357" xr:uid="{F498DBF1-2663-4D88-BD35-3133500DD8B2}"/>
    <cellStyle name="Normal 4 4 2 3 2 2" xfId="5167" xr:uid="{619143D4-DA68-4117-92AB-4A564EA36525}"/>
    <cellStyle name="Normal 4 4 2 3 2 2 2" xfId="10803" xr:uid="{583CE172-CE35-4622-9892-0CFD6A4028B9}"/>
    <cellStyle name="Normal 4 4 2 3 2 3" xfId="7993" xr:uid="{E8864B90-3740-4D31-856D-FFE09F159733}"/>
    <cellStyle name="Normal 4 4 2 3 3" xfId="3766" xr:uid="{F38D65E2-9CEE-4013-B216-2E118A99D072}"/>
    <cellStyle name="Normal 4 4 2 3 3 2" xfId="9402" xr:uid="{096C95B8-009D-461A-A979-8238D3CFAB72}"/>
    <cellStyle name="Normal 4 4 2 3 4" xfId="6592" xr:uid="{00CBDA4A-C06F-4B8A-81C3-09814290CB92}"/>
    <cellStyle name="Normal 4 4 2 4" xfId="1661" xr:uid="{61579C7B-2F09-4110-8817-663F1BBC25CC}"/>
    <cellStyle name="Normal 4 4 2 4 2" xfId="4471" xr:uid="{EC79C8E4-411C-4281-B533-0D0D8775648F}"/>
    <cellStyle name="Normal 4 4 2 4 2 2" xfId="10107" xr:uid="{D7E1D2FE-CE3A-43DB-8873-8F56E72283E4}"/>
    <cellStyle name="Normal 4 4 2 4 3" xfId="7297" xr:uid="{E738D818-5A52-45D6-878D-D3A5B414D3ED}"/>
    <cellStyle name="Normal 4 4 2 5" xfId="3070" xr:uid="{53B61E43-6F2B-490D-AEF1-0649AD1C662E}"/>
    <cellStyle name="Normal 4 4 2 5 2" xfId="8706" xr:uid="{ACBB7E27-D176-4A04-B598-5FD2156A51DC}"/>
    <cellStyle name="Normal 4 4 2 6" xfId="5896" xr:uid="{9D161FDC-2331-4424-8485-E4F6F03194C0}"/>
    <cellStyle name="Normal 4 4 3" xfId="432" xr:uid="{8C47127A-BBBE-48D5-A335-B77004144FE8}"/>
    <cellStyle name="Normal 4 4 3 2" xfId="1128" xr:uid="{BBF4308C-4380-4624-87F9-BDB8E602D8F3}"/>
    <cellStyle name="Normal 4 4 3 2 2" xfId="2529" xr:uid="{C8D0C364-5B34-4AEE-B822-5CDE8B123F02}"/>
    <cellStyle name="Normal 4 4 3 2 2 2" xfId="5339" xr:uid="{5D9B9F13-D13F-43C1-A9A5-CC64D3E0D174}"/>
    <cellStyle name="Normal 4 4 3 2 2 2 2" xfId="10975" xr:uid="{2C620BAC-4A3F-40C7-8880-D55859915236}"/>
    <cellStyle name="Normal 4 4 3 2 2 3" xfId="8165" xr:uid="{C75A134D-B617-403E-A230-A7738DE1EEBC}"/>
    <cellStyle name="Normal 4 4 3 2 3" xfId="3938" xr:uid="{40E9AB90-524A-4C0C-B097-2EDF8FD7781C}"/>
    <cellStyle name="Normal 4 4 3 2 3 2" xfId="9574" xr:uid="{27EC9C10-434B-4622-98D1-58E9777F625A}"/>
    <cellStyle name="Normal 4 4 3 2 4" xfId="6764" xr:uid="{46A00331-958A-4ED0-9177-EBB405A01A3F}"/>
    <cellStyle name="Normal 4 4 3 3" xfId="1833" xr:uid="{0107EF99-729D-4000-937D-EF8E2183A27E}"/>
    <cellStyle name="Normal 4 4 3 3 2" xfId="4643" xr:uid="{E40D0551-2D9F-4294-8C06-576B4D5C2EB3}"/>
    <cellStyle name="Normal 4 4 3 3 2 2" xfId="10279" xr:uid="{BB218280-1789-4DAA-839C-9BD51C46E328}"/>
    <cellStyle name="Normal 4 4 3 3 3" xfId="7469" xr:uid="{ED75ABEC-2390-4625-8FF9-3E376BE5AA1F}"/>
    <cellStyle name="Normal 4 4 3 4" xfId="3242" xr:uid="{6413120E-C5BE-4430-8CEA-25CC499CB0CE}"/>
    <cellStyle name="Normal 4 4 3 4 2" xfId="8878" xr:uid="{7B5704F6-DC99-4848-8156-6E5CF1A48EA6}"/>
    <cellStyle name="Normal 4 4 3 5" xfId="6068" xr:uid="{7C7A9831-69EA-426E-AE4C-D82CE10CDD8A}"/>
    <cellStyle name="Normal 4 4 4" xfId="784" xr:uid="{6892B2EC-45AC-41A9-A8CB-041F55FF9B57}"/>
    <cellStyle name="Normal 4 4 4 2" xfId="2185" xr:uid="{E7AFF902-A8B1-421D-A26F-676E3F5A6198}"/>
    <cellStyle name="Normal 4 4 4 2 2" xfId="4995" xr:uid="{E0F6CD09-66F0-45A6-9E23-0E1C831F93B8}"/>
    <cellStyle name="Normal 4 4 4 2 2 2" xfId="10631" xr:uid="{072252BF-5707-41F6-85FB-E402C868684E}"/>
    <cellStyle name="Normal 4 4 4 2 3" xfId="7821" xr:uid="{74BA2244-C433-4BDE-9ABE-FDEA977AEAE6}"/>
    <cellStyle name="Normal 4 4 4 3" xfId="3594" xr:uid="{E7935435-93FE-4C78-A69E-24B0057CB253}"/>
    <cellStyle name="Normal 4 4 4 3 2" xfId="9230" xr:uid="{F196327C-1304-4915-A72D-81DBCBAF0DCC}"/>
    <cellStyle name="Normal 4 4 4 4" xfId="6420" xr:uid="{0034A183-48A5-4328-9B12-5479B2FF3E0D}"/>
    <cellStyle name="Normal 4 4 5" xfId="1489" xr:uid="{F00AF65D-E62A-4256-9218-56AD824F87BA}"/>
    <cellStyle name="Normal 4 4 5 2" xfId="4299" xr:uid="{889FB9A9-1014-4542-8DDA-032FC6D67682}"/>
    <cellStyle name="Normal 4 4 5 2 2" xfId="9935" xr:uid="{1493B809-2A5C-49E1-9873-DBD746B51E4D}"/>
    <cellStyle name="Normal 4 4 5 3" xfId="7125" xr:uid="{044CE2F0-1277-4986-BB11-2316389F9F7A}"/>
    <cellStyle name="Normal 4 4 6" xfId="2898" xr:uid="{0A902670-44BD-4F7D-8966-2C1BA59D59CF}"/>
    <cellStyle name="Normal 4 4 6 2" xfId="8534" xr:uid="{89220DBB-5144-45B4-8FBB-2DF6BC2E9357}"/>
    <cellStyle name="Normal 4 4 7" xfId="5724" xr:uid="{BF65A53B-5231-40AB-9181-7F23E115CDC5}"/>
    <cellStyle name="Normal 4 5" xfId="180" xr:uid="{16F4E024-AB57-40D4-9CE2-B52027BAA3DB}"/>
    <cellStyle name="Normal 4 5 2" xfId="524" xr:uid="{6123DCFA-51D2-4E8B-9BB9-57A08F60C920}"/>
    <cellStyle name="Normal 4 5 2 2" xfId="1220" xr:uid="{303F5AFC-1546-4DA7-BDFB-7BCB3F4334CC}"/>
    <cellStyle name="Normal 4 5 2 2 2" xfId="2621" xr:uid="{F078BBDE-6546-40D1-AAF1-217CB366FF25}"/>
    <cellStyle name="Normal 4 5 2 2 2 2" xfId="5431" xr:uid="{3F1953DC-FFBD-4447-A766-6CA04CEFF895}"/>
    <cellStyle name="Normal 4 5 2 2 2 2 2" xfId="11067" xr:uid="{4E37E5CF-13D9-448C-9C9E-869000C99351}"/>
    <cellStyle name="Normal 4 5 2 2 2 3" xfId="8257" xr:uid="{5B748CBA-BBA8-4681-9A9A-916162F83B88}"/>
    <cellStyle name="Normal 4 5 2 2 3" xfId="4030" xr:uid="{196C34E2-586C-42D8-949B-78FC96BCBB70}"/>
    <cellStyle name="Normal 4 5 2 2 3 2" xfId="9666" xr:uid="{E658C801-C489-458B-B6C8-F9596DDB8B5B}"/>
    <cellStyle name="Normal 4 5 2 2 4" xfId="6856" xr:uid="{E0DF9C06-D242-47F3-981F-0BB156EB1AFD}"/>
    <cellStyle name="Normal 4 5 2 3" xfId="1925" xr:uid="{857AF170-458F-499E-B08D-AE4E1759382A}"/>
    <cellStyle name="Normal 4 5 2 3 2" xfId="4735" xr:uid="{CE9A8BCD-0213-41C8-8DE7-EC258B8655B9}"/>
    <cellStyle name="Normal 4 5 2 3 2 2" xfId="10371" xr:uid="{2EC0FFC2-6DD0-4337-97F4-C78B727C8395}"/>
    <cellStyle name="Normal 4 5 2 3 3" xfId="7561" xr:uid="{90AFE4A4-BC58-4C7D-8847-7698C661430A}"/>
    <cellStyle name="Normal 4 5 2 4" xfId="3334" xr:uid="{B73ADBDE-13FD-4F1E-82B3-7AA91349F158}"/>
    <cellStyle name="Normal 4 5 2 4 2" xfId="8970" xr:uid="{5312B85E-1A30-4008-A270-9E866BBF550E}"/>
    <cellStyle name="Normal 4 5 2 5" xfId="6160" xr:uid="{2EFB2620-CDD8-423A-88B2-48387DBF54BD}"/>
    <cellStyle name="Normal 4 5 3" xfId="876" xr:uid="{CDF61441-31D1-4ABA-8A51-58DF698DEEE3}"/>
    <cellStyle name="Normal 4 5 3 2" xfId="2277" xr:uid="{FA784964-4E60-4BAA-8F6F-11070768ACFF}"/>
    <cellStyle name="Normal 4 5 3 2 2" xfId="5087" xr:uid="{0A6F52B2-8D8D-44EE-963C-C9D427D1FB40}"/>
    <cellStyle name="Normal 4 5 3 2 2 2" xfId="10723" xr:uid="{3897334E-97E4-4E08-9288-59D5D2966DF3}"/>
    <cellStyle name="Normal 4 5 3 2 3" xfId="7913" xr:uid="{C458EC2A-BB8B-48D8-91B5-BC15A2E4A236}"/>
    <cellStyle name="Normal 4 5 3 3" xfId="3686" xr:uid="{9A413773-EF02-465D-B8A5-2017CB0DF1F3}"/>
    <cellStyle name="Normal 4 5 3 3 2" xfId="9322" xr:uid="{208DC75A-0421-4F91-A4DC-7CC2016ACA9A}"/>
    <cellStyle name="Normal 4 5 3 4" xfId="6512" xr:uid="{21715659-6C26-44A3-A911-CBD9FEC3E9B8}"/>
    <cellStyle name="Normal 4 5 4" xfId="1581" xr:uid="{6E6A9B16-66D0-4F19-AE93-769D910F4B03}"/>
    <cellStyle name="Normal 4 5 4 2" xfId="4391" xr:uid="{2B5FE675-031E-48F6-B44C-7DE9EA51EA01}"/>
    <cellStyle name="Normal 4 5 4 2 2" xfId="10027" xr:uid="{5E60D59C-F1FB-4609-8DEA-460E7B09C47A}"/>
    <cellStyle name="Normal 4 5 4 3" xfId="7217" xr:uid="{07D8AF71-9C98-42B2-BA53-ECEEACDFA3EC}"/>
    <cellStyle name="Normal 4 5 5" xfId="2990" xr:uid="{3E883E05-DBDF-44F6-B960-B5C3A45B1992}"/>
    <cellStyle name="Normal 4 5 5 2" xfId="8626" xr:uid="{A01AFA76-8BC7-4298-A0DA-263129081F0E}"/>
    <cellStyle name="Normal 4 5 6" xfId="5816" xr:uid="{9BD43D73-CD82-473F-A144-65C26AB25403}"/>
    <cellStyle name="Normal 4 6" xfId="352" xr:uid="{268B47C0-038A-4DEA-BA2B-9A329F9758C8}"/>
    <cellStyle name="Normal 4 6 2" xfId="1048" xr:uid="{A1EB59EB-5544-419E-A01F-7B23A2E8CA7C}"/>
    <cellStyle name="Normal 4 6 2 2" xfId="2449" xr:uid="{8F989751-AD11-4C66-8D6E-339A47FCC0E4}"/>
    <cellStyle name="Normal 4 6 2 2 2" xfId="5259" xr:uid="{22CCE2A1-7AB7-419E-8071-A282C9178731}"/>
    <cellStyle name="Normal 4 6 2 2 2 2" xfId="10895" xr:uid="{B4F71BBF-A8F5-48DD-AB28-81C7A6B58BD7}"/>
    <cellStyle name="Normal 4 6 2 2 3" xfId="8085" xr:uid="{E99BBBC0-1CAD-467A-ABD3-3DF25A99D039}"/>
    <cellStyle name="Normal 4 6 2 3" xfId="3858" xr:uid="{67217747-E59E-428C-9BE8-4B9083E09D5C}"/>
    <cellStyle name="Normal 4 6 2 3 2" xfId="9494" xr:uid="{958452D0-413F-479B-975A-98E74585FAB2}"/>
    <cellStyle name="Normal 4 6 2 4" xfId="6684" xr:uid="{7CB4CEC9-631D-4CFF-9535-F05D961FB542}"/>
    <cellStyle name="Normal 4 6 3" xfId="1753" xr:uid="{D8C48B66-44C1-463A-8EED-F224C8A4EDA5}"/>
    <cellStyle name="Normal 4 6 3 2" xfId="4563" xr:uid="{28291F04-B596-48F8-9DB3-23D1BFBC8DE0}"/>
    <cellStyle name="Normal 4 6 3 2 2" xfId="10199" xr:uid="{29700A4B-E708-426F-BD41-C449622F3E32}"/>
    <cellStyle name="Normal 4 6 3 3" xfId="7389" xr:uid="{38B22A44-4FBC-4E75-AA48-BE674394516B}"/>
    <cellStyle name="Normal 4 6 4" xfId="3162" xr:uid="{5DD39F51-9513-4E50-A4BE-D7125D664EBA}"/>
    <cellStyle name="Normal 4 6 4 2" xfId="8798" xr:uid="{0ABF0EAD-0D05-472F-ABBE-D558430C1FAF}"/>
    <cellStyle name="Normal 4 6 5" xfId="5988" xr:uid="{22B49398-CD1E-4579-9A02-BC8AF11CE332}"/>
    <cellStyle name="Normal 4 7" xfId="704" xr:uid="{0EDB2F2B-035E-415B-A1D2-4CE2492D9C7D}"/>
    <cellStyle name="Normal 4 7 2" xfId="2105" xr:uid="{4561078F-7682-42CD-BCB6-DC0A1419E1C0}"/>
    <cellStyle name="Normal 4 7 2 2" xfId="4915" xr:uid="{1BC0D5E3-C9E8-4AA3-9DF6-61D248168F2C}"/>
    <cellStyle name="Normal 4 7 2 2 2" xfId="10551" xr:uid="{B17BDA2F-E42B-49FD-AC76-91242F702A42}"/>
    <cellStyle name="Normal 4 7 2 3" xfId="7741" xr:uid="{8427D6A0-E2D1-4383-BADD-F998AA43805C}"/>
    <cellStyle name="Normal 4 7 3" xfId="3514" xr:uid="{EC1C5112-3653-48F1-9A77-EF988D6D7B79}"/>
    <cellStyle name="Normal 4 7 3 2" xfId="9150" xr:uid="{8CC54A33-15D9-450B-B58F-6F6E18ABB5C7}"/>
    <cellStyle name="Normal 4 7 4" xfId="6340" xr:uid="{16B85897-5139-4D29-A046-8CA247A420BB}"/>
    <cellStyle name="Normal 4 8" xfId="1409" xr:uid="{68F4A200-358C-4ACD-ACFD-F5AAAA1E38C8}"/>
    <cellStyle name="Normal 4 8 2" xfId="4219" xr:uid="{3FCA4527-860C-4527-B2C9-6984F9321105}"/>
    <cellStyle name="Normal 4 8 2 2" xfId="9855" xr:uid="{FA621BB5-DAB5-4C1B-8861-F11E6A77952D}"/>
    <cellStyle name="Normal 4 8 3" xfId="7045" xr:uid="{C192E6DF-6885-4E83-A492-CD73A525D46C}"/>
    <cellStyle name="Normal 4 9" xfId="2818" xr:uid="{B1482A4A-28B9-4A76-94FC-2D3571232FD2}"/>
    <cellStyle name="Normal 4 9 2" xfId="8454" xr:uid="{599DA128-F1F4-4F96-9D3B-B5F2684D3ABE}"/>
    <cellStyle name="Normal 40" xfId="2811" xr:uid="{802875B6-2471-4F57-9E46-84A56A841AD7}"/>
    <cellStyle name="Normal 40 2" xfId="8447" xr:uid="{566CC9B5-43EA-48EB-A101-CCB002F92A38}"/>
    <cellStyle name="Normal 41" xfId="5622" xr:uid="{0F5DF462-4E82-4439-B4E7-229952B9208B}"/>
    <cellStyle name="Normal 41 2" xfId="11258" xr:uid="{A56DBA30-02CE-404E-9E93-E75946F7B167}"/>
    <cellStyle name="Normal 42" xfId="5624" xr:uid="{322201F1-367D-4657-88F9-2403B9926C73}"/>
    <cellStyle name="Normal 42 2" xfId="11260" xr:uid="{239C0E05-B9A2-4105-9F93-6A72F3C89E77}"/>
    <cellStyle name="Normal 43" xfId="5626" xr:uid="{13FB3782-D92A-46E3-98B8-1B8061CABE52}"/>
    <cellStyle name="Normal 43 2" xfId="11262" xr:uid="{9D98AFB2-3382-475F-9ED7-D46C4EBBB53F}"/>
    <cellStyle name="Normal 44" xfId="5630" xr:uid="{06196E55-BC3D-4B7D-9E96-C0C6EEE2A73D}"/>
    <cellStyle name="Normal 44 2" xfId="11266" xr:uid="{EAF93DF0-6C5B-431B-8A9E-F58B1C1DADC7}"/>
    <cellStyle name="Normal 45" xfId="5632" xr:uid="{6622165D-0C9B-4B7E-8B8A-610FB71B3CCD}"/>
    <cellStyle name="Normal 45 2" xfId="11268" xr:uid="{5E8DBE50-F99B-44C6-92AB-38C1D316CFF2}"/>
    <cellStyle name="Normal 46" xfId="5633" xr:uid="{F8141CE2-D395-4D71-864B-C180D69EB7C8}"/>
    <cellStyle name="Normal 46 2" xfId="11269" xr:uid="{3EBAF5AD-EADB-4032-9DCB-75D1C5C29897}"/>
    <cellStyle name="Normal 47" xfId="5634" xr:uid="{AC8DD59D-257A-48D1-AA07-F42709264C47}"/>
    <cellStyle name="Normal 47 2" xfId="11270" xr:uid="{3D5DA38D-EE3C-47A0-9130-7CA5CA755791}"/>
    <cellStyle name="Normal 48" xfId="5635" xr:uid="{89865B83-CE42-42E3-AECA-91068925489F}"/>
    <cellStyle name="Normal 48 2" xfId="11271" xr:uid="{7DD26527-7B18-4121-8077-100F985A1586}"/>
    <cellStyle name="Normal 49" xfId="5636" xr:uid="{EDF5832F-F9EC-4C4D-BB4E-668C0E5E37B5}"/>
    <cellStyle name="Normal 5" xfId="10" xr:uid="{064C6435-A584-4E64-A57E-123BBFB101F9}"/>
    <cellStyle name="Normal 5 10" xfId="5646" xr:uid="{830F56D1-BD02-4688-A407-E6CDCC4449B9}"/>
    <cellStyle name="Normal 5 2" xfId="22" xr:uid="{E43408A7-22E7-4517-B3B6-F81386035B9E}"/>
    <cellStyle name="Normal 5 2 2" xfId="54" xr:uid="{05E6C603-1781-445D-8B03-7C49B416651D}"/>
    <cellStyle name="Normal 5 2 2 2" xfId="134" xr:uid="{ABD07A8B-0E0E-4CC3-BE1C-58DA081CA588}"/>
    <cellStyle name="Normal 5 2 2 2 2" xfId="306" xr:uid="{FBBD53A9-739B-45CA-A0B7-D95C9EF86C89}"/>
    <cellStyle name="Normal 5 2 2 2 2 2" xfId="650" xr:uid="{633D4A9B-C5CD-47AC-8CD0-60DA8C48887A}"/>
    <cellStyle name="Normal 5 2 2 2 2 2 2" xfId="1346" xr:uid="{65E9A207-2D0C-4EE0-8FCE-083FCD5E6E98}"/>
    <cellStyle name="Normal 5 2 2 2 2 2 2 2" xfId="2747" xr:uid="{D0066DC3-6863-4F0A-8B2A-1B8C612CA48C}"/>
    <cellStyle name="Normal 5 2 2 2 2 2 2 2 2" xfId="5557" xr:uid="{00B29CD1-1395-4FA4-ABBD-2C145B7CE4E0}"/>
    <cellStyle name="Normal 5 2 2 2 2 2 2 2 2 2" xfId="11193" xr:uid="{1717A601-41B5-4143-A88C-DFCEAE1E6990}"/>
    <cellStyle name="Normal 5 2 2 2 2 2 2 2 3" xfId="8383" xr:uid="{83CA470D-D69F-4DCF-8573-66B7F8DA62BB}"/>
    <cellStyle name="Normal 5 2 2 2 2 2 2 3" xfId="4156" xr:uid="{8445E64F-BEFE-441F-BAD6-110902C79BD0}"/>
    <cellStyle name="Normal 5 2 2 2 2 2 2 3 2" xfId="9792" xr:uid="{EB4D8766-BDB8-46D6-B6D2-07F770D9C657}"/>
    <cellStyle name="Normal 5 2 2 2 2 2 2 4" xfId="6982" xr:uid="{11C9CAE8-464D-489E-A70A-7B0EA2F16F62}"/>
    <cellStyle name="Normal 5 2 2 2 2 2 3" xfId="2051" xr:uid="{C3FE3CC3-BF5C-40C5-AB82-11AEE85D1FB8}"/>
    <cellStyle name="Normal 5 2 2 2 2 2 3 2" xfId="4861" xr:uid="{25DFEBA3-1C91-46DC-AC8E-5C2F38D51DBB}"/>
    <cellStyle name="Normal 5 2 2 2 2 2 3 2 2" xfId="10497" xr:uid="{ADF2A6CB-EC06-40D6-A23B-A5D118933FEE}"/>
    <cellStyle name="Normal 5 2 2 2 2 2 3 3" xfId="7687" xr:uid="{68B91FCF-E330-4B63-B4FA-5AE7EA3B625F}"/>
    <cellStyle name="Normal 5 2 2 2 2 2 4" xfId="3460" xr:uid="{2DFEB19F-624D-4681-9D0F-5AD569027597}"/>
    <cellStyle name="Normal 5 2 2 2 2 2 4 2" xfId="9096" xr:uid="{F6420C29-BDE4-4594-B016-CDCE89360C90}"/>
    <cellStyle name="Normal 5 2 2 2 2 2 5" xfId="6286" xr:uid="{494DD799-F1E0-499F-9ECA-C147B713DAD0}"/>
    <cellStyle name="Normal 5 2 2 2 2 3" xfId="1002" xr:uid="{67497FE4-B008-405C-912C-72A4CD1D18F1}"/>
    <cellStyle name="Normal 5 2 2 2 2 3 2" xfId="2403" xr:uid="{D6840B2E-8ACC-40EB-9533-850FB0F54ADE}"/>
    <cellStyle name="Normal 5 2 2 2 2 3 2 2" xfId="5213" xr:uid="{5EAEB59D-F635-4719-9C8A-4FD30D5DB3C9}"/>
    <cellStyle name="Normal 5 2 2 2 2 3 2 2 2" xfId="10849" xr:uid="{5D8AC9DF-7F4C-4672-A944-A45B7BABCFBD}"/>
    <cellStyle name="Normal 5 2 2 2 2 3 2 3" xfId="8039" xr:uid="{D90CD6CB-83DC-4DE4-B55B-25026748EF4E}"/>
    <cellStyle name="Normal 5 2 2 2 2 3 3" xfId="3812" xr:uid="{DE7E51F2-C353-4599-978F-73FED25D084A}"/>
    <cellStyle name="Normal 5 2 2 2 2 3 3 2" xfId="9448" xr:uid="{BB8B0C2A-F642-4349-89CC-FC90C91D4379}"/>
    <cellStyle name="Normal 5 2 2 2 2 3 4" xfId="6638" xr:uid="{70716C13-C074-4F91-8087-1EB4CB0B3BC6}"/>
    <cellStyle name="Normal 5 2 2 2 2 4" xfId="1707" xr:uid="{B59A450C-29A2-4508-8B1B-710C454273B3}"/>
    <cellStyle name="Normal 5 2 2 2 2 4 2" xfId="4517" xr:uid="{33D95AFC-2B61-4392-B2C6-FA18995A4008}"/>
    <cellStyle name="Normal 5 2 2 2 2 4 2 2" xfId="10153" xr:uid="{EB00B885-61D6-416D-A54C-EA4FB5D1683C}"/>
    <cellStyle name="Normal 5 2 2 2 2 4 3" xfId="7343" xr:uid="{FFF952E3-B789-46BD-BBB5-A4B13E8AFF43}"/>
    <cellStyle name="Normal 5 2 2 2 2 5" xfId="3116" xr:uid="{531179DF-B191-41EB-8046-D3C66AC0939D}"/>
    <cellStyle name="Normal 5 2 2 2 2 5 2" xfId="8752" xr:uid="{C3474FE1-3424-412F-89DD-A452374AA3A4}"/>
    <cellStyle name="Normal 5 2 2 2 2 6" xfId="5942" xr:uid="{186A8A13-563E-4EB2-A517-BE2F59693502}"/>
    <cellStyle name="Normal 5 2 2 2 3" xfId="478" xr:uid="{0283875C-4183-45A7-8682-981C735B4AC9}"/>
    <cellStyle name="Normal 5 2 2 2 3 2" xfId="1174" xr:uid="{C72F94B6-617A-479F-85C3-46797C87284C}"/>
    <cellStyle name="Normal 5 2 2 2 3 2 2" xfId="2575" xr:uid="{6A55D226-68EB-4B46-9CA1-2FF3BAAC32C3}"/>
    <cellStyle name="Normal 5 2 2 2 3 2 2 2" xfId="5385" xr:uid="{399DBC09-A77D-4088-B6E0-F102B4489105}"/>
    <cellStyle name="Normal 5 2 2 2 3 2 2 2 2" xfId="11021" xr:uid="{D4DFF0D3-629E-43A0-A581-11C64FB443F4}"/>
    <cellStyle name="Normal 5 2 2 2 3 2 2 3" xfId="8211" xr:uid="{7A253B5B-D04F-4916-8C0A-929B33343329}"/>
    <cellStyle name="Normal 5 2 2 2 3 2 3" xfId="3984" xr:uid="{9C2B36C3-AF10-4D2D-A08A-1C664366920A}"/>
    <cellStyle name="Normal 5 2 2 2 3 2 3 2" xfId="9620" xr:uid="{117B1B17-56C0-4CFC-849B-9304F0568917}"/>
    <cellStyle name="Normal 5 2 2 2 3 2 4" xfId="6810" xr:uid="{406F8B8F-E5F1-494F-ACBA-2E6FE17A2BCB}"/>
    <cellStyle name="Normal 5 2 2 2 3 3" xfId="1879" xr:uid="{9711E9A7-753A-4BF3-9C69-D9A122D51818}"/>
    <cellStyle name="Normal 5 2 2 2 3 3 2" xfId="4689" xr:uid="{B645FAE2-4771-4792-B75C-FC436A815670}"/>
    <cellStyle name="Normal 5 2 2 2 3 3 2 2" xfId="10325" xr:uid="{9EBEAFB0-0F40-42C7-968B-8CEB264FBA9F}"/>
    <cellStyle name="Normal 5 2 2 2 3 3 3" xfId="7515" xr:uid="{E7709930-EFC3-4E33-9595-231613802A6C}"/>
    <cellStyle name="Normal 5 2 2 2 3 4" xfId="3288" xr:uid="{37CD1FD8-ADF5-4640-A2C3-3B506C535F71}"/>
    <cellStyle name="Normal 5 2 2 2 3 4 2" xfId="8924" xr:uid="{CB773506-C64D-4F41-BD3C-215621835011}"/>
    <cellStyle name="Normal 5 2 2 2 3 5" xfId="6114" xr:uid="{779CC1B6-2B7B-4058-8635-0388F62C4746}"/>
    <cellStyle name="Normal 5 2 2 2 4" xfId="830" xr:uid="{3E34E355-0C0C-46C4-AD2D-B15A634FF1B9}"/>
    <cellStyle name="Normal 5 2 2 2 4 2" xfId="2231" xr:uid="{64628329-E3AF-4D4F-9EC1-D88AE9858BF0}"/>
    <cellStyle name="Normal 5 2 2 2 4 2 2" xfId="5041" xr:uid="{F39B912A-EDC4-4925-BE3D-12741214AFA3}"/>
    <cellStyle name="Normal 5 2 2 2 4 2 2 2" xfId="10677" xr:uid="{D438133E-77F4-4C22-AB92-2167B5367211}"/>
    <cellStyle name="Normal 5 2 2 2 4 2 3" xfId="7867" xr:uid="{80C27DD8-F998-4D8A-8DF6-6C92933ACE1F}"/>
    <cellStyle name="Normal 5 2 2 2 4 3" xfId="3640" xr:uid="{CE0C58AA-0B14-42D8-82D4-C1B722F515B8}"/>
    <cellStyle name="Normal 5 2 2 2 4 3 2" xfId="9276" xr:uid="{EBDCB01C-F8FE-4956-8E5C-A9AEAE766523}"/>
    <cellStyle name="Normal 5 2 2 2 4 4" xfId="6466" xr:uid="{9E1CCDB4-830F-4EC1-896E-120F760D03F8}"/>
    <cellStyle name="Normal 5 2 2 2 5" xfId="1535" xr:uid="{526701DC-5DD9-46FD-90E7-893436E4A203}"/>
    <cellStyle name="Normal 5 2 2 2 5 2" xfId="4345" xr:uid="{D388334C-9D09-4932-B7BA-863A222BC47F}"/>
    <cellStyle name="Normal 5 2 2 2 5 2 2" xfId="9981" xr:uid="{541A419E-A44D-457D-9D02-3479D974C23F}"/>
    <cellStyle name="Normal 5 2 2 2 5 3" xfId="7171" xr:uid="{0C12C97F-BA9D-46BC-B537-113A4006559F}"/>
    <cellStyle name="Normal 5 2 2 2 6" xfId="2944" xr:uid="{58F6B901-3D09-4685-AB36-613A4127447B}"/>
    <cellStyle name="Normal 5 2 2 2 6 2" xfId="8580" xr:uid="{5191BF10-BC85-4844-990D-D6D06235E35D}"/>
    <cellStyle name="Normal 5 2 2 2 7" xfId="5770" xr:uid="{DF4DF645-72DF-47E0-B269-B62A37979463}"/>
    <cellStyle name="Normal 5 2 2 3" xfId="226" xr:uid="{41F2B231-C545-4546-95AE-D25FBEAF40F6}"/>
    <cellStyle name="Normal 5 2 2 3 2" xfId="570" xr:uid="{959965F3-ADB2-4F1F-8B9B-0D206DA22D07}"/>
    <cellStyle name="Normal 5 2 2 3 2 2" xfId="1266" xr:uid="{5D1AABE9-7494-4F4B-8384-ADE8A984F53A}"/>
    <cellStyle name="Normal 5 2 2 3 2 2 2" xfId="2667" xr:uid="{6F4DEA84-038F-4001-813B-A069F7DD02C2}"/>
    <cellStyle name="Normal 5 2 2 3 2 2 2 2" xfId="5477" xr:uid="{81DE1AB3-8B58-463C-AC24-EF7298647DBA}"/>
    <cellStyle name="Normal 5 2 2 3 2 2 2 2 2" xfId="11113" xr:uid="{2D222252-7C5F-4F81-849A-2780440F1666}"/>
    <cellStyle name="Normal 5 2 2 3 2 2 2 3" xfId="8303" xr:uid="{56AC9658-C908-4528-88D5-B0F04A61DC84}"/>
    <cellStyle name="Normal 5 2 2 3 2 2 3" xfId="4076" xr:uid="{AF638B81-34FE-4EE8-808C-C17536E95659}"/>
    <cellStyle name="Normal 5 2 2 3 2 2 3 2" xfId="9712" xr:uid="{8E667AFA-3DFF-4B4C-87DE-42D905B482D6}"/>
    <cellStyle name="Normal 5 2 2 3 2 2 4" xfId="6902" xr:uid="{3A397D6F-2BB7-4248-B43A-E8EA8877061A}"/>
    <cellStyle name="Normal 5 2 2 3 2 3" xfId="1971" xr:uid="{A158B322-6142-49DA-9A65-AD53C0661A56}"/>
    <cellStyle name="Normal 5 2 2 3 2 3 2" xfId="4781" xr:uid="{5D7E1242-446D-49E8-AFD9-49B19EBEA850}"/>
    <cellStyle name="Normal 5 2 2 3 2 3 2 2" xfId="10417" xr:uid="{00CE69CA-737D-49EE-AAD8-6E55324E3C2C}"/>
    <cellStyle name="Normal 5 2 2 3 2 3 3" xfId="7607" xr:uid="{8965C2E3-E15C-4648-A6BB-D6E1E0907523}"/>
    <cellStyle name="Normal 5 2 2 3 2 4" xfId="3380" xr:uid="{5B27BC52-627D-4652-881C-A5B084CCCE3F}"/>
    <cellStyle name="Normal 5 2 2 3 2 4 2" xfId="9016" xr:uid="{B99F090C-0007-42D3-ACCF-C5B13EA99A24}"/>
    <cellStyle name="Normal 5 2 2 3 2 5" xfId="6206" xr:uid="{9639FC6A-3757-43CC-A853-6A8394B81A1B}"/>
    <cellStyle name="Normal 5 2 2 3 3" xfId="922" xr:uid="{6A4484BD-0826-4AFD-BD7B-6ACF61303768}"/>
    <cellStyle name="Normal 5 2 2 3 3 2" xfId="2323" xr:uid="{CFDB9682-E957-42ED-B4A8-A7B63915A851}"/>
    <cellStyle name="Normal 5 2 2 3 3 2 2" xfId="5133" xr:uid="{5B09290B-3AC7-479E-8AA9-1797A013F916}"/>
    <cellStyle name="Normal 5 2 2 3 3 2 2 2" xfId="10769" xr:uid="{CDBE359D-94B0-45C7-AF80-72712F3B86E7}"/>
    <cellStyle name="Normal 5 2 2 3 3 2 3" xfId="7959" xr:uid="{78339B77-1051-4C06-9D70-FFA190FB753C}"/>
    <cellStyle name="Normal 5 2 2 3 3 3" xfId="3732" xr:uid="{BFFD7301-2A94-4700-A9C8-C8760ABF7F24}"/>
    <cellStyle name="Normal 5 2 2 3 3 3 2" xfId="9368" xr:uid="{51D8DCF8-2A93-4349-8F85-93E19B444DA9}"/>
    <cellStyle name="Normal 5 2 2 3 3 4" xfId="6558" xr:uid="{F26F952C-B50D-40B2-8408-2409786D9DEC}"/>
    <cellStyle name="Normal 5 2 2 3 4" xfId="1627" xr:uid="{19389420-B20E-4E7F-B832-83B65CD9F53E}"/>
    <cellStyle name="Normal 5 2 2 3 4 2" xfId="4437" xr:uid="{E9127812-0BB6-4A6D-85E2-09B17C913D5F}"/>
    <cellStyle name="Normal 5 2 2 3 4 2 2" xfId="10073" xr:uid="{6BC44A08-961C-4183-A3CA-A4D06F52B034}"/>
    <cellStyle name="Normal 5 2 2 3 4 3" xfId="7263" xr:uid="{8E48AAF9-5FBB-4768-9758-183B4E8DFF08}"/>
    <cellStyle name="Normal 5 2 2 3 5" xfId="3036" xr:uid="{75DFB38C-B4C9-442B-936C-7FD17F2498B8}"/>
    <cellStyle name="Normal 5 2 2 3 5 2" xfId="8672" xr:uid="{BEBCDF2D-784F-46D9-A426-65E0C67B26DE}"/>
    <cellStyle name="Normal 5 2 2 3 6" xfId="5862" xr:uid="{67BAF3E7-A5BC-465A-AD68-5FFC1E4D1B47}"/>
    <cellStyle name="Normal 5 2 2 4" xfId="398" xr:uid="{CB6B25A1-47A6-4F9E-B391-5C51792F0A4D}"/>
    <cellStyle name="Normal 5 2 2 4 2" xfId="1094" xr:uid="{5862D61C-F318-455B-984D-2D4865D74E33}"/>
    <cellStyle name="Normal 5 2 2 4 2 2" xfId="2495" xr:uid="{0B8D5A8F-9BC1-4BE4-BDB9-BB58430EE7D4}"/>
    <cellStyle name="Normal 5 2 2 4 2 2 2" xfId="5305" xr:uid="{1744A9F5-7B36-4123-8166-EB79F6F912A5}"/>
    <cellStyle name="Normal 5 2 2 4 2 2 2 2" xfId="10941" xr:uid="{77D88EDE-8E1B-4EFC-BFAB-572D50BFE1EE}"/>
    <cellStyle name="Normal 5 2 2 4 2 2 3" xfId="8131" xr:uid="{27892B3D-5BE4-4564-9CF8-80E44C418100}"/>
    <cellStyle name="Normal 5 2 2 4 2 3" xfId="3904" xr:uid="{E70F0713-CB37-4467-AC47-F8C54630C654}"/>
    <cellStyle name="Normal 5 2 2 4 2 3 2" xfId="9540" xr:uid="{D6E67C08-34B1-4E56-9C3D-F6C25D5C76F8}"/>
    <cellStyle name="Normal 5 2 2 4 2 4" xfId="6730" xr:uid="{3BD936CA-5C47-4B5F-B4D4-A275F7D6F316}"/>
    <cellStyle name="Normal 5 2 2 4 3" xfId="1799" xr:uid="{17E9D648-D170-43EB-9F28-0C644FEAAC1A}"/>
    <cellStyle name="Normal 5 2 2 4 3 2" xfId="4609" xr:uid="{FFB92FCB-3C08-49FE-8631-FAA5A37C5FD0}"/>
    <cellStyle name="Normal 5 2 2 4 3 2 2" xfId="10245" xr:uid="{8F3D9EE2-1660-488E-9655-27963C17E4CF}"/>
    <cellStyle name="Normal 5 2 2 4 3 3" xfId="7435" xr:uid="{2B2BCFD4-777B-46F2-8408-8258AE84D927}"/>
    <cellStyle name="Normal 5 2 2 4 4" xfId="3208" xr:uid="{11CC9C0E-0758-41AA-BF72-E35BFFCF769E}"/>
    <cellStyle name="Normal 5 2 2 4 4 2" xfId="8844" xr:uid="{E47CBB4C-9E44-47C2-9DE7-78DA39BA2C6D}"/>
    <cellStyle name="Normal 5 2 2 4 5" xfId="6034" xr:uid="{89266A38-F7C8-4219-99DD-25D950962A85}"/>
    <cellStyle name="Normal 5 2 2 5" xfId="750" xr:uid="{83D18057-FD16-4B0A-89DC-B72C944EAB26}"/>
    <cellStyle name="Normal 5 2 2 5 2" xfId="2151" xr:uid="{FAA957E1-894F-43A5-92A6-EF24FC5BEC37}"/>
    <cellStyle name="Normal 5 2 2 5 2 2" xfId="4961" xr:uid="{D3933C4F-E1F7-4BB9-95C0-A0E21FA29482}"/>
    <cellStyle name="Normal 5 2 2 5 2 2 2" xfId="10597" xr:uid="{0AD1223F-EB7F-40DE-90CC-00709E1BCC0E}"/>
    <cellStyle name="Normal 5 2 2 5 2 3" xfId="7787" xr:uid="{9D38E249-BB9F-47C4-A7D9-E880F7ED267A}"/>
    <cellStyle name="Normal 5 2 2 5 3" xfId="3560" xr:uid="{8F9AEB0E-3EBB-4641-8115-EBA6099EAE18}"/>
    <cellStyle name="Normal 5 2 2 5 3 2" xfId="9196" xr:uid="{8A4D7773-F095-42C1-BA02-30384C92C40E}"/>
    <cellStyle name="Normal 5 2 2 5 4" xfId="6386" xr:uid="{FBA5DAF0-829D-43BE-855C-7B20328C1ECB}"/>
    <cellStyle name="Normal 5 2 2 6" xfId="1455" xr:uid="{27E74FF7-2D95-4319-820C-0CA4CA7CC0AB}"/>
    <cellStyle name="Normal 5 2 2 6 2" xfId="4265" xr:uid="{0EB2DE97-C8C2-43E5-9ADB-978058BA67A7}"/>
    <cellStyle name="Normal 5 2 2 6 2 2" xfId="9901" xr:uid="{66740957-E8CB-473D-8552-37BBFAE94D7F}"/>
    <cellStyle name="Normal 5 2 2 6 3" xfId="7091" xr:uid="{15F661CB-C6FB-40F3-83BE-D1C2543904FF}"/>
    <cellStyle name="Normal 5 2 2 7" xfId="2864" xr:uid="{899C1805-6C3E-4D6F-8E16-A19398A1D2F6}"/>
    <cellStyle name="Normal 5 2 2 7 2" xfId="8500" xr:uid="{344DA9A2-49EE-4C93-AA60-5BC885E9E141}"/>
    <cellStyle name="Normal 5 2 2 8" xfId="5690" xr:uid="{F3C9FD39-035B-4CB0-8E4A-82D5A16A6A0E}"/>
    <cellStyle name="Normal 5 2 3" xfId="102" xr:uid="{18036236-12D7-4210-8D64-8AF739FB6F4C}"/>
    <cellStyle name="Normal 5 2 3 2" xfId="274" xr:uid="{6328CADB-71CB-466A-BFDC-E77A599A54DE}"/>
    <cellStyle name="Normal 5 2 3 2 2" xfId="618" xr:uid="{26AAFF87-E5C1-4668-A1AC-248E43079C55}"/>
    <cellStyle name="Normal 5 2 3 2 2 2" xfId="1314" xr:uid="{21DF4C11-F5DE-48A8-B3F4-81AF8E34A935}"/>
    <cellStyle name="Normal 5 2 3 2 2 2 2" xfId="2715" xr:uid="{CFB34009-53A6-445F-AA64-5573095C60A8}"/>
    <cellStyle name="Normal 5 2 3 2 2 2 2 2" xfId="5525" xr:uid="{CBD49179-0333-4ABE-95DF-2239414E4C6E}"/>
    <cellStyle name="Normal 5 2 3 2 2 2 2 2 2" xfId="11161" xr:uid="{294986B7-8911-4B15-B527-B9DB5A3FE251}"/>
    <cellStyle name="Normal 5 2 3 2 2 2 2 3" xfId="8351" xr:uid="{5D3C571B-B70E-4707-AF57-B5C1EE181A36}"/>
    <cellStyle name="Normal 5 2 3 2 2 2 3" xfId="4124" xr:uid="{DD48CC9A-6B14-460A-842A-DB25497B771F}"/>
    <cellStyle name="Normal 5 2 3 2 2 2 3 2" xfId="9760" xr:uid="{939B2B8A-3226-42C4-AF6C-659942F625B5}"/>
    <cellStyle name="Normal 5 2 3 2 2 2 4" xfId="6950" xr:uid="{DE9137A6-CDD5-41AB-9E80-5CBE52C19C5B}"/>
    <cellStyle name="Normal 5 2 3 2 2 3" xfId="2019" xr:uid="{0A52613B-74DA-4A88-8818-70F8738BD6C2}"/>
    <cellStyle name="Normal 5 2 3 2 2 3 2" xfId="4829" xr:uid="{DBA97283-3387-4AB7-8CC8-3234063DDA7D}"/>
    <cellStyle name="Normal 5 2 3 2 2 3 2 2" xfId="10465" xr:uid="{7ED0A0DE-DE2F-4A3E-854C-6F894E00658E}"/>
    <cellStyle name="Normal 5 2 3 2 2 3 3" xfId="7655" xr:uid="{9ACDE2C5-F71D-483E-B1A2-56C07F5F45D6}"/>
    <cellStyle name="Normal 5 2 3 2 2 4" xfId="3428" xr:uid="{6491AA04-CE63-45A7-B2C9-55E2F9241FEA}"/>
    <cellStyle name="Normal 5 2 3 2 2 4 2" xfId="9064" xr:uid="{ACEDB339-5073-44EA-9708-D7CFD375261B}"/>
    <cellStyle name="Normal 5 2 3 2 2 5" xfId="6254" xr:uid="{045D8B0A-7F94-44B3-99D2-44EA738DCABE}"/>
    <cellStyle name="Normal 5 2 3 2 3" xfId="970" xr:uid="{784551B0-9512-4B89-A119-FD2A689FF3D1}"/>
    <cellStyle name="Normal 5 2 3 2 3 2" xfId="2371" xr:uid="{E2F15E71-49FC-4359-A479-666920208B46}"/>
    <cellStyle name="Normal 5 2 3 2 3 2 2" xfId="5181" xr:uid="{0C2A76B1-0B22-4AB5-954E-1A81C015D83E}"/>
    <cellStyle name="Normal 5 2 3 2 3 2 2 2" xfId="10817" xr:uid="{04A48FEC-604B-426A-808E-55C34032829C}"/>
    <cellStyle name="Normal 5 2 3 2 3 2 3" xfId="8007" xr:uid="{06276A19-35A3-4475-B998-4783DE78743B}"/>
    <cellStyle name="Normal 5 2 3 2 3 3" xfId="3780" xr:uid="{624E65B2-C7BC-4327-9335-070AEF40ECE5}"/>
    <cellStyle name="Normal 5 2 3 2 3 3 2" xfId="9416" xr:uid="{9296B306-3B21-44CC-B5AB-ED264A1ECE99}"/>
    <cellStyle name="Normal 5 2 3 2 3 4" xfId="6606" xr:uid="{6280CA30-29F6-499E-9676-C427AC23766E}"/>
    <cellStyle name="Normal 5 2 3 2 4" xfId="1675" xr:uid="{582B3649-3F68-4BCF-8380-FD0F92A18ECA}"/>
    <cellStyle name="Normal 5 2 3 2 4 2" xfId="4485" xr:uid="{B7B6D99C-C349-48E5-8B58-8C8927A16407}"/>
    <cellStyle name="Normal 5 2 3 2 4 2 2" xfId="10121" xr:uid="{4962843B-3569-4D36-9F1F-0EA8167CE20B}"/>
    <cellStyle name="Normal 5 2 3 2 4 3" xfId="7311" xr:uid="{141B50A1-339F-4D3D-9A12-CB016D92847B}"/>
    <cellStyle name="Normal 5 2 3 2 5" xfId="3084" xr:uid="{72EF0B92-0C62-4E99-A99D-AEB9BF856EEC}"/>
    <cellStyle name="Normal 5 2 3 2 5 2" xfId="8720" xr:uid="{6D3D27D4-9AE9-4D78-9AB8-60E3C0D1ED56}"/>
    <cellStyle name="Normal 5 2 3 2 6" xfId="5910" xr:uid="{76E1E3B8-2F1F-471E-A64B-D0C0149D1AEF}"/>
    <cellStyle name="Normal 5 2 3 3" xfId="446" xr:uid="{0C4BA86B-F218-4F43-9C96-D6937057F8BB}"/>
    <cellStyle name="Normal 5 2 3 3 2" xfId="1142" xr:uid="{07F8DEFA-2B1B-4C71-8EB7-0AA1857A9298}"/>
    <cellStyle name="Normal 5 2 3 3 2 2" xfId="2543" xr:uid="{995943C1-EC3C-4DDB-8086-9CB9A57B9283}"/>
    <cellStyle name="Normal 5 2 3 3 2 2 2" xfId="5353" xr:uid="{8AF0DFE1-8C77-44DA-B4C7-50E6EBCA29D5}"/>
    <cellStyle name="Normal 5 2 3 3 2 2 2 2" xfId="10989" xr:uid="{CED373A9-C61E-4A00-94AF-346CCBB3629B}"/>
    <cellStyle name="Normal 5 2 3 3 2 2 3" xfId="8179" xr:uid="{1E74ADA8-9149-40C9-958F-3D6DA6A43A2D}"/>
    <cellStyle name="Normal 5 2 3 3 2 3" xfId="3952" xr:uid="{6E24C1A8-55F0-491D-9F1A-54D2F3354ACE}"/>
    <cellStyle name="Normal 5 2 3 3 2 3 2" xfId="9588" xr:uid="{3BD96517-6D06-4E8B-9A91-4495E4B8232E}"/>
    <cellStyle name="Normal 5 2 3 3 2 4" xfId="6778" xr:uid="{64544D35-E435-4FA6-B295-BD780687A1F2}"/>
    <cellStyle name="Normal 5 2 3 3 3" xfId="1847" xr:uid="{D4F00769-6303-4C26-8A60-F888613EA438}"/>
    <cellStyle name="Normal 5 2 3 3 3 2" xfId="4657" xr:uid="{F7589A9A-85D8-4D57-8C50-EA59C4F17F61}"/>
    <cellStyle name="Normal 5 2 3 3 3 2 2" xfId="10293" xr:uid="{E4D56435-EA43-4C6D-AD1E-58AF1B0BD68F}"/>
    <cellStyle name="Normal 5 2 3 3 3 3" xfId="7483" xr:uid="{FE9C6E3A-E009-4D7F-A51D-478E53E94557}"/>
    <cellStyle name="Normal 5 2 3 3 4" xfId="3256" xr:uid="{8BB59399-1847-4AC0-80D6-9815206C82D9}"/>
    <cellStyle name="Normal 5 2 3 3 4 2" xfId="8892" xr:uid="{76A7DF3D-9219-4738-B24C-FE7284D92BA9}"/>
    <cellStyle name="Normal 5 2 3 3 5" xfId="6082" xr:uid="{C50A5B75-F861-4F6C-A832-235A8D916B02}"/>
    <cellStyle name="Normal 5 2 3 4" xfId="798" xr:uid="{B8575087-B669-46B3-A1B9-C56E09CD2B98}"/>
    <cellStyle name="Normal 5 2 3 4 2" xfId="2199" xr:uid="{7D223FEB-A69F-4F99-A9A7-A01BA0F74173}"/>
    <cellStyle name="Normal 5 2 3 4 2 2" xfId="5009" xr:uid="{B82BB67C-BF90-4EA1-8743-9E929AC6805B}"/>
    <cellStyle name="Normal 5 2 3 4 2 2 2" xfId="10645" xr:uid="{3DDD5614-ECCC-458E-A5B2-F8C504A6116D}"/>
    <cellStyle name="Normal 5 2 3 4 2 3" xfId="7835" xr:uid="{630CCD74-6B80-4261-93E1-E49BB6CE748D}"/>
    <cellStyle name="Normal 5 2 3 4 3" xfId="3608" xr:uid="{06FCBCA1-4928-4066-9DCD-8AE6A7C509D2}"/>
    <cellStyle name="Normal 5 2 3 4 3 2" xfId="9244" xr:uid="{C6AEF6FA-438A-4715-AF4D-B9953A19070A}"/>
    <cellStyle name="Normal 5 2 3 4 4" xfId="6434" xr:uid="{16AD2735-E841-42C7-81AC-40F88214C0C7}"/>
    <cellStyle name="Normal 5 2 3 5" xfId="1503" xr:uid="{B8FDC71F-E09A-410B-BCCF-C055852F952E}"/>
    <cellStyle name="Normal 5 2 3 5 2" xfId="4313" xr:uid="{FF2A4DAE-A4BF-403B-A320-729D07829A5E}"/>
    <cellStyle name="Normal 5 2 3 5 2 2" xfId="9949" xr:uid="{D53A3AE1-A601-49E5-93B7-E6410B8BDA0C}"/>
    <cellStyle name="Normal 5 2 3 5 3" xfId="7139" xr:uid="{D8C38623-B337-4F1C-9362-BBE08A4A130D}"/>
    <cellStyle name="Normal 5 2 3 6" xfId="2912" xr:uid="{D40BC808-7DC1-47D9-AA21-D39FF9EDAF79}"/>
    <cellStyle name="Normal 5 2 3 6 2" xfId="8548" xr:uid="{C5B3B189-D757-4A5E-8555-51B8663585E8}"/>
    <cellStyle name="Normal 5 2 3 7" xfId="5738" xr:uid="{A3236D97-4CAA-49D2-8126-B01EF3B71B0C}"/>
    <cellStyle name="Normal 5 2 4" xfId="194" xr:uid="{7097EBBE-116D-42D6-8A2C-DCC213490FE5}"/>
    <cellStyle name="Normal 5 2 4 2" xfId="538" xr:uid="{540C7435-A7AD-4ED6-A5C5-842703D7A860}"/>
    <cellStyle name="Normal 5 2 4 2 2" xfId="1234" xr:uid="{D441B37A-8901-4065-A46C-7A919D269F0B}"/>
    <cellStyle name="Normal 5 2 4 2 2 2" xfId="2635" xr:uid="{E9930E0F-1C6D-4B6B-9ECE-7A1C2DA42529}"/>
    <cellStyle name="Normal 5 2 4 2 2 2 2" xfId="5445" xr:uid="{ED983C16-9728-49F9-A050-092C21FE0B94}"/>
    <cellStyle name="Normal 5 2 4 2 2 2 2 2" xfId="11081" xr:uid="{80D8874A-A1FF-423D-9E8B-6DF0E36D2213}"/>
    <cellStyle name="Normal 5 2 4 2 2 2 3" xfId="8271" xr:uid="{B7EC08E2-57E4-4AFC-BE52-7B1AC63D02B1}"/>
    <cellStyle name="Normal 5 2 4 2 2 3" xfId="4044" xr:uid="{F58DC599-D4DE-4C09-B243-BA1A278E8A04}"/>
    <cellStyle name="Normal 5 2 4 2 2 3 2" xfId="9680" xr:uid="{9087F8DF-FC53-4692-B20C-4F7FE6BF6FA3}"/>
    <cellStyle name="Normal 5 2 4 2 2 4" xfId="6870" xr:uid="{56283824-FA27-48D5-A8B8-494D4CB9916A}"/>
    <cellStyle name="Normal 5 2 4 2 3" xfId="1939" xr:uid="{8942E390-E1D3-49B4-B57C-B19AE468E6E4}"/>
    <cellStyle name="Normal 5 2 4 2 3 2" xfId="4749" xr:uid="{64CD7194-27D9-4B07-B8F6-7E49D20F5B78}"/>
    <cellStyle name="Normal 5 2 4 2 3 2 2" xfId="10385" xr:uid="{647538C1-0F00-4CCC-8C1C-A2843B0C35FD}"/>
    <cellStyle name="Normal 5 2 4 2 3 3" xfId="7575" xr:uid="{58F52FD6-901D-4145-8956-B98F2BF6F5EB}"/>
    <cellStyle name="Normal 5 2 4 2 4" xfId="3348" xr:uid="{494814FB-8A74-40C4-A9FA-92D32C539F42}"/>
    <cellStyle name="Normal 5 2 4 2 4 2" xfId="8984" xr:uid="{15F07C59-ED64-460D-9F90-5791CC0AB434}"/>
    <cellStyle name="Normal 5 2 4 2 5" xfId="6174" xr:uid="{885D4A0B-688B-46C2-98F2-D9AFCA52B41B}"/>
    <cellStyle name="Normal 5 2 4 3" xfId="890" xr:uid="{D8CC4065-C7E6-4412-947B-DEFF25DED0CA}"/>
    <cellStyle name="Normal 5 2 4 3 2" xfId="2291" xr:uid="{02407E75-ECFD-4455-A8DA-2BC793E99978}"/>
    <cellStyle name="Normal 5 2 4 3 2 2" xfId="5101" xr:uid="{1391A2CB-C5ED-4D10-8253-16500E4ADFD5}"/>
    <cellStyle name="Normal 5 2 4 3 2 2 2" xfId="10737" xr:uid="{5ADB826F-89E3-49E8-BE9F-1B9A5B2A9A65}"/>
    <cellStyle name="Normal 5 2 4 3 2 3" xfId="7927" xr:uid="{AD2BD8B0-68D8-43BA-9E1B-2C6C8B5F66E2}"/>
    <cellStyle name="Normal 5 2 4 3 3" xfId="3700" xr:uid="{189DBAA4-ADFC-417A-997D-86D94AA2E981}"/>
    <cellStyle name="Normal 5 2 4 3 3 2" xfId="9336" xr:uid="{569281FF-6C9F-4ED2-B4BD-D003CAA8F55E}"/>
    <cellStyle name="Normal 5 2 4 3 4" xfId="6526" xr:uid="{EA9BE723-65E4-4962-B0B6-4389D8A052CF}"/>
    <cellStyle name="Normal 5 2 4 4" xfId="1595" xr:uid="{1976C7B6-1560-4B4D-9ED7-3083FD70F935}"/>
    <cellStyle name="Normal 5 2 4 4 2" xfId="4405" xr:uid="{A3058748-2828-4247-857A-FE81D97A02B7}"/>
    <cellStyle name="Normal 5 2 4 4 2 2" xfId="10041" xr:uid="{76C764ED-1244-4ECF-9E51-39DC84971A9A}"/>
    <cellStyle name="Normal 5 2 4 4 3" xfId="7231" xr:uid="{6708BD57-4DD5-4303-98B3-48A47F4931C0}"/>
    <cellStyle name="Normal 5 2 4 5" xfId="3004" xr:uid="{74B465D7-603E-477C-870D-62DCF69EC224}"/>
    <cellStyle name="Normal 5 2 4 5 2" xfId="8640" xr:uid="{BA58ED34-BF19-4717-AE0D-A70664908D01}"/>
    <cellStyle name="Normal 5 2 4 6" xfId="5830" xr:uid="{72FF1BFD-EBF7-498F-8F13-4727D0D2C382}"/>
    <cellStyle name="Normal 5 2 5" xfId="366" xr:uid="{86019EAC-E75A-4D6E-B760-18A99DAFDED5}"/>
    <cellStyle name="Normal 5 2 5 2" xfId="1062" xr:uid="{1B7DB7A5-94CA-4057-A44B-9DE445A04621}"/>
    <cellStyle name="Normal 5 2 5 2 2" xfId="2463" xr:uid="{2E3C57F5-5B9F-42D0-94F6-EE9D17B7EA26}"/>
    <cellStyle name="Normal 5 2 5 2 2 2" xfId="5273" xr:uid="{94A553A3-12B4-4BA1-8AC8-A538E98F1384}"/>
    <cellStyle name="Normal 5 2 5 2 2 2 2" xfId="10909" xr:uid="{0BDAECDD-9ED9-4144-A638-1AB23654E608}"/>
    <cellStyle name="Normal 5 2 5 2 2 3" xfId="8099" xr:uid="{D3DC0A6D-E650-4A2B-B647-970B21EE0A55}"/>
    <cellStyle name="Normal 5 2 5 2 3" xfId="3872" xr:uid="{79364834-6E0E-47CC-A906-F361A712143F}"/>
    <cellStyle name="Normal 5 2 5 2 3 2" xfId="9508" xr:uid="{4C28D9D6-6C6C-43EF-A46E-6FD2B6DDC36A}"/>
    <cellStyle name="Normal 5 2 5 2 4" xfId="6698" xr:uid="{01C3D6E1-63BD-45EF-9724-E3CFC874AA7D}"/>
    <cellStyle name="Normal 5 2 5 3" xfId="1767" xr:uid="{B1172197-C52B-4E1B-A65E-1507FB5030C2}"/>
    <cellStyle name="Normal 5 2 5 3 2" xfId="4577" xr:uid="{E4061C55-6771-4091-9C4A-51227A72E33D}"/>
    <cellStyle name="Normal 5 2 5 3 2 2" xfId="10213" xr:uid="{33F4479E-9769-4D3C-8299-834FA25BC34E}"/>
    <cellStyle name="Normal 5 2 5 3 3" xfId="7403" xr:uid="{F36E1981-2DFE-41F5-A405-70BBC2014304}"/>
    <cellStyle name="Normal 5 2 5 4" xfId="3176" xr:uid="{CDCB9383-327E-41C8-BEB3-9B762A770965}"/>
    <cellStyle name="Normal 5 2 5 4 2" xfId="8812" xr:uid="{20822BB3-38C6-4FBB-9A5A-4D6A7A967899}"/>
    <cellStyle name="Normal 5 2 5 5" xfId="6002" xr:uid="{754550EC-CE6C-4F0F-BCDB-3BC0A9334B37}"/>
    <cellStyle name="Normal 5 2 6" xfId="718" xr:uid="{10B7F00B-0425-4184-A786-D669CCCADE48}"/>
    <cellStyle name="Normal 5 2 6 2" xfId="2119" xr:uid="{938E96CF-E402-41C6-9507-FEDA41C085EE}"/>
    <cellStyle name="Normal 5 2 6 2 2" xfId="4929" xr:uid="{69272440-4485-4C4D-AD0B-D678090C6A94}"/>
    <cellStyle name="Normal 5 2 6 2 2 2" xfId="10565" xr:uid="{E754F840-75B0-43CB-8906-FC61EFBE69B3}"/>
    <cellStyle name="Normal 5 2 6 2 3" xfId="7755" xr:uid="{5B2E91C2-7CDA-4288-9B74-6F95D29A6B34}"/>
    <cellStyle name="Normal 5 2 6 3" xfId="3528" xr:uid="{9906961D-D64E-45F0-AA4F-83FBA3A565D1}"/>
    <cellStyle name="Normal 5 2 6 3 2" xfId="9164" xr:uid="{A60D4018-DC2F-49D0-9C3D-D83B5EAA2535}"/>
    <cellStyle name="Normal 5 2 6 4" xfId="6354" xr:uid="{9027816D-ACAF-4883-ACD0-6CC4227EB2FE}"/>
    <cellStyle name="Normal 5 2 7" xfId="1423" xr:uid="{668EEBC8-804A-4416-929D-C471BFF9044E}"/>
    <cellStyle name="Normal 5 2 7 2" xfId="4233" xr:uid="{C574E358-4453-4453-AACC-9C1BEC0F7151}"/>
    <cellStyle name="Normal 5 2 7 2 2" xfId="9869" xr:uid="{DB38F78B-6344-4181-ACB0-DA1E5275C78F}"/>
    <cellStyle name="Normal 5 2 7 3" xfId="7059" xr:uid="{38F570BF-B9B0-4657-B46A-7543B6D5F29B}"/>
    <cellStyle name="Normal 5 2 8" xfId="2832" xr:uid="{CED2ABD5-94A1-433A-BC8B-32DB870CDBBF}"/>
    <cellStyle name="Normal 5 2 8 2" xfId="8468" xr:uid="{7A0DD93D-4E45-41A8-A466-43D3B689BDC2}"/>
    <cellStyle name="Normal 5 2 9" xfId="5658" xr:uid="{4D08E66A-9340-4ADE-96DF-38CDCCA4AD1B}"/>
    <cellStyle name="Normal 5 3" xfId="42" xr:uid="{5357F7DF-07C6-438F-A482-8F620A186C9A}"/>
    <cellStyle name="Normal 5 3 2" xfId="122" xr:uid="{FCCCBD81-6D2C-4D4F-95DE-C09282E00C1A}"/>
    <cellStyle name="Normal 5 3 2 2" xfId="294" xr:uid="{6FD7F949-6362-4663-AF57-99482CC2449C}"/>
    <cellStyle name="Normal 5 3 2 2 2" xfId="638" xr:uid="{522FD250-55D2-49DB-81D3-BFDE257494D7}"/>
    <cellStyle name="Normal 5 3 2 2 2 2" xfId="1334" xr:uid="{ECCA698E-6984-4F80-8F53-85F84DD43196}"/>
    <cellStyle name="Normal 5 3 2 2 2 2 2" xfId="2735" xr:uid="{5828BC19-CADA-4F8E-B5D2-EDABB27A9FB3}"/>
    <cellStyle name="Normal 5 3 2 2 2 2 2 2" xfId="5545" xr:uid="{01A0F716-FF8D-42AF-B344-D5277B629066}"/>
    <cellStyle name="Normal 5 3 2 2 2 2 2 2 2" xfId="11181" xr:uid="{F2D6431C-7910-4CA4-BEE6-E9C79DDB8339}"/>
    <cellStyle name="Normal 5 3 2 2 2 2 2 3" xfId="8371" xr:uid="{EFC366DC-4EC2-46D3-929C-F40D412C107E}"/>
    <cellStyle name="Normal 5 3 2 2 2 2 3" xfId="4144" xr:uid="{44143DE9-53C0-4359-A12C-CF9D9029B0F5}"/>
    <cellStyle name="Normal 5 3 2 2 2 2 3 2" xfId="9780" xr:uid="{1E23ECC1-4955-4A08-9EED-F62B0ECC8AFA}"/>
    <cellStyle name="Normal 5 3 2 2 2 2 4" xfId="6970" xr:uid="{2DD61AC4-A8D7-4051-B0CE-07FEBF7656A8}"/>
    <cellStyle name="Normal 5 3 2 2 2 3" xfId="2039" xr:uid="{9E999276-33CF-4D11-9553-40EF1E9056E6}"/>
    <cellStyle name="Normal 5 3 2 2 2 3 2" xfId="4849" xr:uid="{804B70A8-EA09-4BBE-B5D3-18E08AF0638C}"/>
    <cellStyle name="Normal 5 3 2 2 2 3 2 2" xfId="10485" xr:uid="{C61EEAA2-9555-45BE-894B-E2B37CD304A1}"/>
    <cellStyle name="Normal 5 3 2 2 2 3 3" xfId="7675" xr:uid="{1F857080-7F88-48CC-924C-3C5E78970C7F}"/>
    <cellStyle name="Normal 5 3 2 2 2 4" xfId="3448" xr:uid="{C61CDD4A-CD05-4FC1-B265-BA0B3E46D6A7}"/>
    <cellStyle name="Normal 5 3 2 2 2 4 2" xfId="9084" xr:uid="{D2D801A1-9A15-4369-9F83-A77AFE9A2A88}"/>
    <cellStyle name="Normal 5 3 2 2 2 5" xfId="6274" xr:uid="{2A59C041-10D5-4423-8048-3948B8DC0D25}"/>
    <cellStyle name="Normal 5 3 2 2 3" xfId="990" xr:uid="{05767F57-7DEB-430A-8681-66D7D8CD6CF7}"/>
    <cellStyle name="Normal 5 3 2 2 3 2" xfId="2391" xr:uid="{ED6B3E28-C023-4E61-B1AC-F0CE6803F68C}"/>
    <cellStyle name="Normal 5 3 2 2 3 2 2" xfId="5201" xr:uid="{6F9BAEE6-EDA6-4599-8EC0-DB589A2BBBA6}"/>
    <cellStyle name="Normal 5 3 2 2 3 2 2 2" xfId="10837" xr:uid="{2DE4D069-F734-4CFA-9654-9C519684038C}"/>
    <cellStyle name="Normal 5 3 2 2 3 2 3" xfId="8027" xr:uid="{812A14A3-141A-4FB9-9EEE-3CE927E66304}"/>
    <cellStyle name="Normal 5 3 2 2 3 3" xfId="3800" xr:uid="{2CAA9EE5-0D02-4993-BB63-6308D0688761}"/>
    <cellStyle name="Normal 5 3 2 2 3 3 2" xfId="9436" xr:uid="{7242F02F-2858-43F5-97FD-E9A5AB49FD0A}"/>
    <cellStyle name="Normal 5 3 2 2 3 4" xfId="6626" xr:uid="{B1AF9FA9-D468-4779-8031-F68788371294}"/>
    <cellStyle name="Normal 5 3 2 2 4" xfId="1695" xr:uid="{1F0AEA73-C543-486C-8A3F-633E0C4172F7}"/>
    <cellStyle name="Normal 5 3 2 2 4 2" xfId="4505" xr:uid="{B53F3790-920B-490D-9607-FA43129E284D}"/>
    <cellStyle name="Normal 5 3 2 2 4 2 2" xfId="10141" xr:uid="{51E59D2B-9D49-4C7F-AB5D-2BA1070E88F8}"/>
    <cellStyle name="Normal 5 3 2 2 4 3" xfId="7331" xr:uid="{D3713C45-16BE-473B-A1DD-FE46986EA105}"/>
    <cellStyle name="Normal 5 3 2 2 5" xfId="3104" xr:uid="{EFE2737C-541C-4CCD-96FB-CEF2339EA948}"/>
    <cellStyle name="Normal 5 3 2 2 5 2" xfId="8740" xr:uid="{42AF3A67-B82E-477A-832C-157A1280639A}"/>
    <cellStyle name="Normal 5 3 2 2 6" xfId="5930" xr:uid="{4BEBF958-E932-44D5-9752-EFE79D57721E}"/>
    <cellStyle name="Normal 5 3 2 3" xfId="466" xr:uid="{650CB6C9-EB65-4B60-B2D6-DA1A6193329A}"/>
    <cellStyle name="Normal 5 3 2 3 2" xfId="1162" xr:uid="{1DF7C297-7020-4FDD-9099-1426CC77BC08}"/>
    <cellStyle name="Normal 5 3 2 3 2 2" xfId="2563" xr:uid="{2CA52A15-EF89-45A2-B980-24DC64195C28}"/>
    <cellStyle name="Normal 5 3 2 3 2 2 2" xfId="5373" xr:uid="{9C104E36-0EBE-49D2-8CFB-E45FB983BDFD}"/>
    <cellStyle name="Normal 5 3 2 3 2 2 2 2" xfId="11009" xr:uid="{1DBD7D37-C81D-4AA0-952D-716C529FC91F}"/>
    <cellStyle name="Normal 5 3 2 3 2 2 3" xfId="8199" xr:uid="{A089334B-7E35-4C21-B1BF-F0AD0B9437E0}"/>
    <cellStyle name="Normal 5 3 2 3 2 3" xfId="3972" xr:uid="{39DB43DB-6393-4E1C-8074-0F2C155EEBF6}"/>
    <cellStyle name="Normal 5 3 2 3 2 3 2" xfId="9608" xr:uid="{2590E7E1-49C6-4FA4-907C-182B441C9F7F}"/>
    <cellStyle name="Normal 5 3 2 3 2 4" xfId="6798" xr:uid="{AADBFAE2-B777-4658-BCBE-8962967F14CE}"/>
    <cellStyle name="Normal 5 3 2 3 3" xfId="1867" xr:uid="{FC8BF944-4777-416D-B601-FFD65765AA96}"/>
    <cellStyle name="Normal 5 3 2 3 3 2" xfId="4677" xr:uid="{E0DF4938-B656-4205-842B-131C2DB32496}"/>
    <cellStyle name="Normal 5 3 2 3 3 2 2" xfId="10313" xr:uid="{153AEC31-D301-4598-ACC7-005032EC90BC}"/>
    <cellStyle name="Normal 5 3 2 3 3 3" xfId="7503" xr:uid="{2F03BBD4-F179-47D7-93DE-8979DFBB139F}"/>
    <cellStyle name="Normal 5 3 2 3 4" xfId="3276" xr:uid="{89946FE0-0605-4143-9523-42503F7C8D16}"/>
    <cellStyle name="Normal 5 3 2 3 4 2" xfId="8912" xr:uid="{D7E70724-9762-4ECB-AF5D-17AAD8D067F3}"/>
    <cellStyle name="Normal 5 3 2 3 5" xfId="6102" xr:uid="{566F5845-16A9-4B75-AC7D-B0102372D37A}"/>
    <cellStyle name="Normal 5 3 2 4" xfId="818" xr:uid="{B6868300-029E-47A3-9C86-71C8EF5D987A}"/>
    <cellStyle name="Normal 5 3 2 4 2" xfId="2219" xr:uid="{4A9F0E1A-D47F-44C4-ADCA-08DCA079E04F}"/>
    <cellStyle name="Normal 5 3 2 4 2 2" xfId="5029" xr:uid="{0E9FC9E8-8382-4A13-AEE0-B9C3CD760925}"/>
    <cellStyle name="Normal 5 3 2 4 2 2 2" xfId="10665" xr:uid="{1BBC7164-F47F-4080-95C9-6EA91C5DA969}"/>
    <cellStyle name="Normal 5 3 2 4 2 3" xfId="7855" xr:uid="{C49922EB-6DB3-41C3-89F7-5494D5BD1501}"/>
    <cellStyle name="Normal 5 3 2 4 3" xfId="3628" xr:uid="{0F938DE7-E16D-4E4E-8E04-B2064AA62B05}"/>
    <cellStyle name="Normal 5 3 2 4 3 2" xfId="9264" xr:uid="{EF611410-BDB6-40E2-8682-5BEE8F5A250D}"/>
    <cellStyle name="Normal 5 3 2 4 4" xfId="6454" xr:uid="{DC4D3787-D51A-44DF-BEFA-4B27A39D9B84}"/>
    <cellStyle name="Normal 5 3 2 5" xfId="1523" xr:uid="{F839EE48-E896-4858-A796-77DDFA3AF6F8}"/>
    <cellStyle name="Normal 5 3 2 5 2" xfId="4333" xr:uid="{97148AB9-BA56-4194-85D5-5366250FBECC}"/>
    <cellStyle name="Normal 5 3 2 5 2 2" xfId="9969" xr:uid="{36D137F1-752F-407A-BBD0-247775B7D15C}"/>
    <cellStyle name="Normal 5 3 2 5 3" xfId="7159" xr:uid="{879B6164-47C8-4CF5-9C55-8393848E9D2E}"/>
    <cellStyle name="Normal 5 3 2 6" xfId="2932" xr:uid="{C7D647EE-64EB-4F65-8384-DF242DBC053A}"/>
    <cellStyle name="Normal 5 3 2 6 2" xfId="8568" xr:uid="{7899C4A4-12C4-4114-95B6-0002AB5CE89E}"/>
    <cellStyle name="Normal 5 3 2 7" xfId="5758" xr:uid="{48498423-1641-4F4E-8CB5-204885E46951}"/>
    <cellStyle name="Normal 5 3 3" xfId="214" xr:uid="{19332440-5D7C-4B3E-B4DE-BE5AA6D60D36}"/>
    <cellStyle name="Normal 5 3 3 2" xfId="558" xr:uid="{C41837A6-30BE-4CC0-B025-83523D3AB883}"/>
    <cellStyle name="Normal 5 3 3 2 2" xfId="1254" xr:uid="{2922B14D-A98B-4A7A-8F53-3EF4168DF51C}"/>
    <cellStyle name="Normal 5 3 3 2 2 2" xfId="2655" xr:uid="{0D3AB5CD-1EBB-4D66-BC01-D018A111D374}"/>
    <cellStyle name="Normal 5 3 3 2 2 2 2" xfId="5465" xr:uid="{FFE92CB9-0F82-4CD3-A7F2-6EBFC64F6AD9}"/>
    <cellStyle name="Normal 5 3 3 2 2 2 2 2" xfId="11101" xr:uid="{A908FB5F-8E41-4DE0-84A4-B60281B8E2EB}"/>
    <cellStyle name="Normal 5 3 3 2 2 2 3" xfId="8291" xr:uid="{8A7046FB-C91A-4566-A2B9-9749231E11C2}"/>
    <cellStyle name="Normal 5 3 3 2 2 3" xfId="4064" xr:uid="{91060936-2112-4434-B260-93999DFD6AB2}"/>
    <cellStyle name="Normal 5 3 3 2 2 3 2" xfId="9700" xr:uid="{B5DD9812-AF38-4571-AA14-BED8182DD460}"/>
    <cellStyle name="Normal 5 3 3 2 2 4" xfId="6890" xr:uid="{3BE8ECC4-2A5A-4B51-AF82-D55E7BEEC057}"/>
    <cellStyle name="Normal 5 3 3 2 3" xfId="1959" xr:uid="{D6597F12-DA6E-4F36-A063-013C0A393EAD}"/>
    <cellStyle name="Normal 5 3 3 2 3 2" xfId="4769" xr:uid="{D1B9703B-DA87-4E56-8F75-B48753ADD85B}"/>
    <cellStyle name="Normal 5 3 3 2 3 2 2" xfId="10405" xr:uid="{B483D614-4D90-44B9-AB46-C7878CF4F256}"/>
    <cellStyle name="Normal 5 3 3 2 3 3" xfId="7595" xr:uid="{356A7AE3-F78E-42C6-A806-C58C37FF0842}"/>
    <cellStyle name="Normal 5 3 3 2 4" xfId="3368" xr:uid="{CD8E655A-F65E-4119-91F4-DA15491B4AF0}"/>
    <cellStyle name="Normal 5 3 3 2 4 2" xfId="9004" xr:uid="{71A5DFAB-4AC7-4923-BB27-F4B5B74F9196}"/>
    <cellStyle name="Normal 5 3 3 2 5" xfId="6194" xr:uid="{10CC52A0-1B9F-45D3-9D7F-D1127C359CE6}"/>
    <cellStyle name="Normal 5 3 3 3" xfId="910" xr:uid="{58764140-5466-4657-B8AB-4A9439FEC73D}"/>
    <cellStyle name="Normal 5 3 3 3 2" xfId="2311" xr:uid="{22C0F841-B82A-42E6-807A-8E2FD337B8B8}"/>
    <cellStyle name="Normal 5 3 3 3 2 2" xfId="5121" xr:uid="{4366B750-5F20-4175-B4B0-D265E334938C}"/>
    <cellStyle name="Normal 5 3 3 3 2 2 2" xfId="10757" xr:uid="{3446A8BE-FC96-4B9F-908E-C35B0F53DA1D}"/>
    <cellStyle name="Normal 5 3 3 3 2 3" xfId="7947" xr:uid="{29F76380-1211-4E9E-A647-839F97E08945}"/>
    <cellStyle name="Normal 5 3 3 3 3" xfId="3720" xr:uid="{8BAE96D0-8A8C-4AA3-9092-2A99C2449917}"/>
    <cellStyle name="Normal 5 3 3 3 3 2" xfId="9356" xr:uid="{DE8F035F-7B5C-4AC4-BD54-DFB011828084}"/>
    <cellStyle name="Normal 5 3 3 3 4" xfId="6546" xr:uid="{6C65811C-04D5-4416-A6A1-BE703CB7724B}"/>
    <cellStyle name="Normal 5 3 3 4" xfId="1615" xr:uid="{AD2FA6C8-6E3A-468E-9670-A0642D6055E4}"/>
    <cellStyle name="Normal 5 3 3 4 2" xfId="4425" xr:uid="{858B7B0A-2196-4A4C-AD95-971013DAC641}"/>
    <cellStyle name="Normal 5 3 3 4 2 2" xfId="10061" xr:uid="{FA609FA0-6E96-402A-8F73-534FEE1C3235}"/>
    <cellStyle name="Normal 5 3 3 4 3" xfId="7251" xr:uid="{B56972EE-1620-4104-9C82-F77E90AE1560}"/>
    <cellStyle name="Normal 5 3 3 5" xfId="3024" xr:uid="{F92D5E8A-AFFF-456D-BA45-A4179DB0884C}"/>
    <cellStyle name="Normal 5 3 3 5 2" xfId="8660" xr:uid="{1E17B32A-2E68-4F4E-94B2-F15B88217F05}"/>
    <cellStyle name="Normal 5 3 3 6" xfId="5850" xr:uid="{90887954-BA0D-4081-9FEA-C219EE6834A7}"/>
    <cellStyle name="Normal 5 3 4" xfId="386" xr:uid="{27F0DD8D-7341-455F-9F11-5B0E25A8CB7B}"/>
    <cellStyle name="Normal 5 3 4 2" xfId="1082" xr:uid="{2B7FC8EF-9065-43CB-8D73-9DC224ABC6FC}"/>
    <cellStyle name="Normal 5 3 4 2 2" xfId="2483" xr:uid="{D5342A31-6A4E-4342-BBAA-39AB2918BC95}"/>
    <cellStyle name="Normal 5 3 4 2 2 2" xfId="5293" xr:uid="{F486CD3A-BD99-463B-B565-491B4D0266B0}"/>
    <cellStyle name="Normal 5 3 4 2 2 2 2" xfId="10929" xr:uid="{1FDE594B-EB8E-42B5-AA64-624BBCB0BE4B}"/>
    <cellStyle name="Normal 5 3 4 2 2 3" xfId="8119" xr:uid="{0C294BCD-7C70-4BE9-8373-7E02638825D1}"/>
    <cellStyle name="Normal 5 3 4 2 3" xfId="3892" xr:uid="{05EF3AD3-D997-4499-B325-23DCBAC7F06C}"/>
    <cellStyle name="Normal 5 3 4 2 3 2" xfId="9528" xr:uid="{B582ECA1-3CB1-4DCB-AE31-A3409079A2EF}"/>
    <cellStyle name="Normal 5 3 4 2 4" xfId="6718" xr:uid="{4F3A47E5-7FFE-494B-A867-DAED7AF0A837}"/>
    <cellStyle name="Normal 5 3 4 3" xfId="1787" xr:uid="{51ED3DCB-A2CF-41C9-9482-A02AFE4ABB5E}"/>
    <cellStyle name="Normal 5 3 4 3 2" xfId="4597" xr:uid="{6A9FA4D0-BAFE-4E46-AB66-F4C64AC29C38}"/>
    <cellStyle name="Normal 5 3 4 3 2 2" xfId="10233" xr:uid="{B630B92B-CE30-457C-B4ED-F1B27C81EEAC}"/>
    <cellStyle name="Normal 5 3 4 3 3" xfId="7423" xr:uid="{3AAAB9D4-C21C-4EC3-BB0E-E0D6D6573BD7}"/>
    <cellStyle name="Normal 5 3 4 4" xfId="3196" xr:uid="{7E1CD3F2-4BDF-4386-89F2-3FA83E7B9113}"/>
    <cellStyle name="Normal 5 3 4 4 2" xfId="8832" xr:uid="{91F154E2-A9E0-4B8D-904C-B5891F6A5827}"/>
    <cellStyle name="Normal 5 3 4 5" xfId="6022" xr:uid="{518E366A-31F6-4669-95FD-83C3271EAAA1}"/>
    <cellStyle name="Normal 5 3 5" xfId="738" xr:uid="{28D0321B-D19F-4F52-B385-31C7022CE211}"/>
    <cellStyle name="Normal 5 3 5 2" xfId="2139" xr:uid="{D4404F49-4FCA-4389-95E5-754F9E01C2F1}"/>
    <cellStyle name="Normal 5 3 5 2 2" xfId="4949" xr:uid="{5D054EA1-7648-4369-BDCC-7C2E153E197A}"/>
    <cellStyle name="Normal 5 3 5 2 2 2" xfId="10585" xr:uid="{05474C86-0012-4D00-9040-CB5A22463CCC}"/>
    <cellStyle name="Normal 5 3 5 2 3" xfId="7775" xr:uid="{765B438A-FCC0-4C69-8714-50C16666B8E4}"/>
    <cellStyle name="Normal 5 3 5 3" xfId="3548" xr:uid="{5BACF1D4-88C9-4F63-831F-C9986294C9CB}"/>
    <cellStyle name="Normal 5 3 5 3 2" xfId="9184" xr:uid="{5EEA1270-0E7E-432E-AA1F-6D4AFF711BD4}"/>
    <cellStyle name="Normal 5 3 5 4" xfId="6374" xr:uid="{1CD9596D-5BDE-414A-B04E-059CD38AB95D}"/>
    <cellStyle name="Normal 5 3 6" xfId="1443" xr:uid="{38B8C54E-6B03-430D-9E06-ED27D6566366}"/>
    <cellStyle name="Normal 5 3 6 2" xfId="4253" xr:uid="{A7F7995D-F7EE-4DD7-A999-FFDB7CF3698E}"/>
    <cellStyle name="Normal 5 3 6 2 2" xfId="9889" xr:uid="{B7F3C11B-006A-44BC-9571-7CF1E1172C97}"/>
    <cellStyle name="Normal 5 3 6 3" xfId="7079" xr:uid="{62A849B7-A4F3-49EE-92DA-54381EAD4D3D}"/>
    <cellStyle name="Normal 5 3 7" xfId="2852" xr:uid="{CD8EC8D2-0234-4E3A-91B3-24DA37C4CA4D}"/>
    <cellStyle name="Normal 5 3 7 2" xfId="8488" xr:uid="{E198925F-EF89-4B19-90AA-65A73AF0673B}"/>
    <cellStyle name="Normal 5 3 8" xfId="5678" xr:uid="{ECB201AD-B79D-443B-B0F7-79282D004182}"/>
    <cellStyle name="Normal 5 4" xfId="90" xr:uid="{0DA58D97-28FC-4AD4-A7BE-2203953FF770}"/>
    <cellStyle name="Normal 5 4 2" xfId="262" xr:uid="{B4828413-9050-4C2A-AB8C-36DB971FE587}"/>
    <cellStyle name="Normal 5 4 2 2" xfId="606" xr:uid="{46C9851F-1812-47BC-B885-4CB3FA60FF00}"/>
    <cellStyle name="Normal 5 4 2 2 2" xfId="1302" xr:uid="{CA7D2E00-D474-4E97-ADCA-D73AFA978AA4}"/>
    <cellStyle name="Normal 5 4 2 2 2 2" xfId="2703" xr:uid="{7810C04D-FEF3-41A0-B88D-20EA46D8F285}"/>
    <cellStyle name="Normal 5 4 2 2 2 2 2" xfId="5513" xr:uid="{0F48D855-C812-48F3-BF7C-7463E6CF35F7}"/>
    <cellStyle name="Normal 5 4 2 2 2 2 2 2" xfId="11149" xr:uid="{7050C4EB-ABC7-4122-9416-E23C2B821C5E}"/>
    <cellStyle name="Normal 5 4 2 2 2 2 3" xfId="8339" xr:uid="{82E9C989-347D-44B6-B35D-CA2F4C0DDAB2}"/>
    <cellStyle name="Normal 5 4 2 2 2 3" xfId="4112" xr:uid="{A8967F51-46CB-48A1-BB80-B771072BB991}"/>
    <cellStyle name="Normal 5 4 2 2 2 3 2" xfId="9748" xr:uid="{9375F019-6681-4037-BF40-E44940D9393E}"/>
    <cellStyle name="Normal 5 4 2 2 2 4" xfId="6938" xr:uid="{6D530085-8014-4F50-8577-B90D49FE3179}"/>
    <cellStyle name="Normal 5 4 2 2 3" xfId="2007" xr:uid="{4C968517-2226-4735-8585-9619766CC06C}"/>
    <cellStyle name="Normal 5 4 2 2 3 2" xfId="4817" xr:uid="{9F469105-85A3-475E-B229-8F02017B957D}"/>
    <cellStyle name="Normal 5 4 2 2 3 2 2" xfId="10453" xr:uid="{AB7A7F77-67FE-4FB9-AB39-676BFF51BDC2}"/>
    <cellStyle name="Normal 5 4 2 2 3 3" xfId="7643" xr:uid="{2B6E664A-F0F8-49B5-AE19-13896874B305}"/>
    <cellStyle name="Normal 5 4 2 2 4" xfId="3416" xr:uid="{143A5354-E5E6-4E90-B350-7209F8E11FCF}"/>
    <cellStyle name="Normal 5 4 2 2 4 2" xfId="9052" xr:uid="{CC4924BE-3442-4194-82A5-1B93FAFCA144}"/>
    <cellStyle name="Normal 5 4 2 2 5" xfId="6242" xr:uid="{BE471AFA-1E57-4D4F-9BD4-C6B924F349A7}"/>
    <cellStyle name="Normal 5 4 2 3" xfId="958" xr:uid="{F9C086C7-C7D7-4AEB-AE26-D77C3497CBFE}"/>
    <cellStyle name="Normal 5 4 2 3 2" xfId="2359" xr:uid="{6D90294A-3197-4054-858C-C86CABC84802}"/>
    <cellStyle name="Normal 5 4 2 3 2 2" xfId="5169" xr:uid="{3A93557D-17F8-482B-861F-DD4844EF8082}"/>
    <cellStyle name="Normal 5 4 2 3 2 2 2" xfId="10805" xr:uid="{8350558C-5AE0-43E4-BD3A-35E7D547318D}"/>
    <cellStyle name="Normal 5 4 2 3 2 3" xfId="7995" xr:uid="{4BA9E4FE-4A8F-4E23-9665-A419C61A9821}"/>
    <cellStyle name="Normal 5 4 2 3 3" xfId="3768" xr:uid="{C9FC2346-FB4B-4420-9FFE-7D5C62944CBB}"/>
    <cellStyle name="Normal 5 4 2 3 3 2" xfId="9404" xr:uid="{E324D88B-C060-46AC-9BF2-BB6D3BEA032A}"/>
    <cellStyle name="Normal 5 4 2 3 4" xfId="6594" xr:uid="{B4E52BF2-9FCA-4582-8399-AE07BA33291E}"/>
    <cellStyle name="Normal 5 4 2 4" xfId="1663" xr:uid="{C0616A3E-EF56-4DB1-A39F-893620311C09}"/>
    <cellStyle name="Normal 5 4 2 4 2" xfId="4473" xr:uid="{7BC0BD57-A7AA-406B-9F32-F2A3480EF005}"/>
    <cellStyle name="Normal 5 4 2 4 2 2" xfId="10109" xr:uid="{5625CDCD-F126-4ED7-8280-B542CE70CCD5}"/>
    <cellStyle name="Normal 5 4 2 4 3" xfId="7299" xr:uid="{FE4CEFF3-8E31-4BD8-8435-A496DE88DAF7}"/>
    <cellStyle name="Normal 5 4 2 5" xfId="3072" xr:uid="{3609FC4D-F4A0-4FE6-8EE6-00E4058227C5}"/>
    <cellStyle name="Normal 5 4 2 5 2" xfId="8708" xr:uid="{441FE895-FCE0-4326-83B3-618D4F2418E1}"/>
    <cellStyle name="Normal 5 4 2 6" xfId="5898" xr:uid="{8EB7C225-9F04-4B09-8BD9-E30B61DAAE3E}"/>
    <cellStyle name="Normal 5 4 3" xfId="434" xr:uid="{992B49E2-FAE4-4A4B-BAFA-380B4D027378}"/>
    <cellStyle name="Normal 5 4 3 2" xfId="1130" xr:uid="{F885FE80-894C-4CEB-82C7-B65AC865D0DD}"/>
    <cellStyle name="Normal 5 4 3 2 2" xfId="2531" xr:uid="{C3479C70-F8F7-4991-BCB0-0A92C65E33F5}"/>
    <cellStyle name="Normal 5 4 3 2 2 2" xfId="5341" xr:uid="{D0308234-FDA5-4DDA-9D3A-33526FE93060}"/>
    <cellStyle name="Normal 5 4 3 2 2 2 2" xfId="10977" xr:uid="{4730CCEB-C3F9-4EEF-BBFD-60F6D51C9CBC}"/>
    <cellStyle name="Normal 5 4 3 2 2 3" xfId="8167" xr:uid="{09900274-293A-4053-ACDA-A377F6147A11}"/>
    <cellStyle name="Normal 5 4 3 2 3" xfId="3940" xr:uid="{1667F6DA-774C-431B-A2D3-550EDF8FADC3}"/>
    <cellStyle name="Normal 5 4 3 2 3 2" xfId="9576" xr:uid="{5C3F8C03-55FE-4712-B5FD-E9CBE90BF84D}"/>
    <cellStyle name="Normal 5 4 3 2 4" xfId="6766" xr:uid="{A6BADBC6-AD30-4E91-8340-FE004E120584}"/>
    <cellStyle name="Normal 5 4 3 3" xfId="1835" xr:uid="{7B5596D1-C799-4F84-B299-6E23AA1D2B49}"/>
    <cellStyle name="Normal 5 4 3 3 2" xfId="4645" xr:uid="{50A33F9B-845B-4AB6-A8CC-AC97D3E8022F}"/>
    <cellStyle name="Normal 5 4 3 3 2 2" xfId="10281" xr:uid="{80ED6A0E-C0F4-466B-BBFE-FD8DDFD38ECE}"/>
    <cellStyle name="Normal 5 4 3 3 3" xfId="7471" xr:uid="{0386E11B-6367-493F-9B71-FE576D0D292A}"/>
    <cellStyle name="Normal 5 4 3 4" xfId="3244" xr:uid="{478696BB-AAED-4105-BA26-BECBF2733160}"/>
    <cellStyle name="Normal 5 4 3 4 2" xfId="8880" xr:uid="{4CC9EF95-5FB6-4C39-B07B-7453AFC82FBF}"/>
    <cellStyle name="Normal 5 4 3 5" xfId="6070" xr:uid="{30F77D36-8F76-43CB-9434-5596338FE3C9}"/>
    <cellStyle name="Normal 5 4 4" xfId="786" xr:uid="{5DA705CE-4AED-420A-8B9E-08046F993651}"/>
    <cellStyle name="Normal 5 4 4 2" xfId="2187" xr:uid="{D26EE691-66C5-4F50-9319-DC92AD56734F}"/>
    <cellStyle name="Normal 5 4 4 2 2" xfId="4997" xr:uid="{BAED08AA-DF73-4DB1-80A0-D5B5C227539A}"/>
    <cellStyle name="Normal 5 4 4 2 2 2" xfId="10633" xr:uid="{CE60F634-9FE2-4BFC-B267-04B5398A3255}"/>
    <cellStyle name="Normal 5 4 4 2 3" xfId="7823" xr:uid="{F2FB16DC-BE49-4E17-AAA1-2D86B7D4292D}"/>
    <cellStyle name="Normal 5 4 4 3" xfId="3596" xr:uid="{87B29959-935B-4F75-8059-E5F53C8453D2}"/>
    <cellStyle name="Normal 5 4 4 3 2" xfId="9232" xr:uid="{E3F721FA-53A5-4723-95D9-AF127402EB3E}"/>
    <cellStyle name="Normal 5 4 4 4" xfId="6422" xr:uid="{F011E74E-D98F-4694-99F0-21107501D81C}"/>
    <cellStyle name="Normal 5 4 5" xfId="1491" xr:uid="{E798565B-5FEA-4558-96DC-6D636474C562}"/>
    <cellStyle name="Normal 5 4 5 2" xfId="4301" xr:uid="{793BB794-E62E-4C94-B98E-D00F5E05D040}"/>
    <cellStyle name="Normal 5 4 5 2 2" xfId="9937" xr:uid="{AEA8C801-3DB5-402A-BE10-FBB3F470ED88}"/>
    <cellStyle name="Normal 5 4 5 3" xfId="7127" xr:uid="{A9B0B5D1-7E0A-4804-9A25-EDF7A495361A}"/>
    <cellStyle name="Normal 5 4 6" xfId="2900" xr:uid="{BFB77C37-A4D0-4CD4-B599-1AACE3E652DE}"/>
    <cellStyle name="Normal 5 4 6 2" xfId="8536" xr:uid="{A5F758C2-F243-49D1-88D4-070B785F84DA}"/>
    <cellStyle name="Normal 5 4 7" xfId="5726" xr:uid="{584D6CB8-0A0D-4679-9807-F4146E1A08DA}"/>
    <cellStyle name="Normal 5 5" xfId="182" xr:uid="{C9AC2ED1-9D8F-4461-831D-4383FBB0A97F}"/>
    <cellStyle name="Normal 5 5 2" xfId="526" xr:uid="{6FF93CB5-17AD-418A-B7FF-3029F11FE554}"/>
    <cellStyle name="Normal 5 5 2 2" xfId="1222" xr:uid="{11BB9F12-A417-4E54-A20F-06824270CF9C}"/>
    <cellStyle name="Normal 5 5 2 2 2" xfId="2623" xr:uid="{336F3980-5EDB-4A94-8C04-82DF35751FF2}"/>
    <cellStyle name="Normal 5 5 2 2 2 2" xfId="5433" xr:uid="{D7DF0C12-8D65-41FC-A6E8-A5539466C161}"/>
    <cellStyle name="Normal 5 5 2 2 2 2 2" xfId="11069" xr:uid="{52063975-839C-4541-8F2C-44A1B033A130}"/>
    <cellStyle name="Normal 5 5 2 2 2 3" xfId="8259" xr:uid="{F67194A3-69D1-4689-8C50-E211514D1516}"/>
    <cellStyle name="Normal 5 5 2 2 3" xfId="4032" xr:uid="{3C922F9F-BA7A-4A31-99F2-064804FA0640}"/>
    <cellStyle name="Normal 5 5 2 2 3 2" xfId="9668" xr:uid="{96EB9CF1-E4B4-4BAC-A6CA-1C8AE074F9D7}"/>
    <cellStyle name="Normal 5 5 2 2 4" xfId="6858" xr:uid="{8349177C-96C1-4225-B923-FA102F1F4F54}"/>
    <cellStyle name="Normal 5 5 2 3" xfId="1927" xr:uid="{F725808D-24B6-4356-9748-13D4B63BA1C7}"/>
    <cellStyle name="Normal 5 5 2 3 2" xfId="4737" xr:uid="{60C5CB55-D958-4DFF-9053-2240ECB373D7}"/>
    <cellStyle name="Normal 5 5 2 3 2 2" xfId="10373" xr:uid="{70312403-D369-468D-AC71-6557EE49C27B}"/>
    <cellStyle name="Normal 5 5 2 3 3" xfId="7563" xr:uid="{7E57E053-D08B-4EAC-A224-22F741A6DDE0}"/>
    <cellStyle name="Normal 5 5 2 4" xfId="3336" xr:uid="{608E3DE5-E257-417B-A5E6-3C2BC808646E}"/>
    <cellStyle name="Normal 5 5 2 4 2" xfId="8972" xr:uid="{6D4BC30D-5622-45EA-8A34-BF4EF5AFA05F}"/>
    <cellStyle name="Normal 5 5 2 5" xfId="6162" xr:uid="{8B8FC6C5-43B3-4D09-AA18-B1A05E5610A5}"/>
    <cellStyle name="Normal 5 5 3" xfId="878" xr:uid="{E2D6081F-D77D-4A62-BAB2-6C7E101852B2}"/>
    <cellStyle name="Normal 5 5 3 2" xfId="2279" xr:uid="{EFA20C21-37B6-4177-AC9F-5B5BF5FD0CB6}"/>
    <cellStyle name="Normal 5 5 3 2 2" xfId="5089" xr:uid="{B209C0F4-7390-4037-B320-CA0433674245}"/>
    <cellStyle name="Normal 5 5 3 2 2 2" xfId="10725" xr:uid="{5752C354-512A-4695-9E6F-602307485151}"/>
    <cellStyle name="Normal 5 5 3 2 3" xfId="7915" xr:uid="{19149631-EB6A-4EDE-B5D2-10C7143690A3}"/>
    <cellStyle name="Normal 5 5 3 3" xfId="3688" xr:uid="{AF2DBD09-B182-42BF-8319-36F39EBC5D8C}"/>
    <cellStyle name="Normal 5 5 3 3 2" xfId="9324" xr:uid="{87DB24D6-A62E-48C8-8EF6-4AF2F24756F6}"/>
    <cellStyle name="Normal 5 5 3 4" xfId="6514" xr:uid="{2482A193-DAA5-4AD7-9D5E-10DF570E6C0A}"/>
    <cellStyle name="Normal 5 5 4" xfId="1583" xr:uid="{2A65D27A-D336-4368-B37B-102BE85A1E52}"/>
    <cellStyle name="Normal 5 5 4 2" xfId="4393" xr:uid="{D76970B1-028D-4A29-B83C-BC69321F2A8F}"/>
    <cellStyle name="Normal 5 5 4 2 2" xfId="10029" xr:uid="{A24EDB9B-5DE0-4B81-A6D8-5D0EE68B6F49}"/>
    <cellStyle name="Normal 5 5 4 3" xfId="7219" xr:uid="{C93B4A6A-87C4-4B42-874A-FEF045A2138C}"/>
    <cellStyle name="Normal 5 5 5" xfId="2992" xr:uid="{E704697A-1C6E-41CB-A2D7-EF1EFA4445EA}"/>
    <cellStyle name="Normal 5 5 5 2" xfId="8628" xr:uid="{A5E7C293-8A0E-423D-8C34-18772C14567C}"/>
    <cellStyle name="Normal 5 5 6" xfId="5818" xr:uid="{496E1FB5-F3C0-4733-9517-71B06F801DD8}"/>
    <cellStyle name="Normal 5 6" xfId="354" xr:uid="{40FE72B1-ADE4-438A-8008-B9DE0B9FC51D}"/>
    <cellStyle name="Normal 5 6 2" xfId="1050" xr:uid="{D86A0E3B-DAE8-4559-9377-CB0991EE5CC1}"/>
    <cellStyle name="Normal 5 6 2 2" xfId="2451" xr:uid="{B3B059E2-E49B-4B03-88FD-1E76E178851D}"/>
    <cellStyle name="Normal 5 6 2 2 2" xfId="5261" xr:uid="{7DE3B85B-D60F-464F-9CB6-172DAE1774A9}"/>
    <cellStyle name="Normal 5 6 2 2 2 2" xfId="10897" xr:uid="{2813BFAB-0135-40EE-8249-753BD9B87FE6}"/>
    <cellStyle name="Normal 5 6 2 2 3" xfId="8087" xr:uid="{A375B7B4-5303-46AC-B8E4-695671F08C6B}"/>
    <cellStyle name="Normal 5 6 2 3" xfId="3860" xr:uid="{C637F972-5708-4761-8E11-B8DFE4A2DA80}"/>
    <cellStyle name="Normal 5 6 2 3 2" xfId="9496" xr:uid="{180FEEEC-020C-491A-A929-BA8BE0581774}"/>
    <cellStyle name="Normal 5 6 2 4" xfId="6686" xr:uid="{A410B3E4-4471-4C24-B22C-440A8B7C668E}"/>
    <cellStyle name="Normal 5 6 3" xfId="1755" xr:uid="{78480E99-3DE2-4708-BECF-70E3CAF0C776}"/>
    <cellStyle name="Normal 5 6 3 2" xfId="4565" xr:uid="{FB9D59AC-7825-46B5-99DC-93752A1DCC87}"/>
    <cellStyle name="Normal 5 6 3 2 2" xfId="10201" xr:uid="{592D32D0-ECDD-4C57-A44D-111FC3A3D123}"/>
    <cellStyle name="Normal 5 6 3 3" xfId="7391" xr:uid="{87A8AB2F-CEA4-4480-B4D3-46B0860284DA}"/>
    <cellStyle name="Normal 5 6 4" xfId="3164" xr:uid="{F0C2673B-80EF-4AA1-BB1B-F470F7DA4F83}"/>
    <cellStyle name="Normal 5 6 4 2" xfId="8800" xr:uid="{6F126D54-C994-441F-8FBB-CECB4CDF0939}"/>
    <cellStyle name="Normal 5 6 5" xfId="5990" xr:uid="{F8D8C9DA-552B-4CB4-B3CD-161BFC474C73}"/>
    <cellStyle name="Normal 5 7" xfId="706" xr:uid="{CFEEF1A4-762F-435E-A5B9-10976E966C82}"/>
    <cellStyle name="Normal 5 7 2" xfId="2107" xr:uid="{97C15E0D-3E18-4608-A2C6-DF1C55CCB163}"/>
    <cellStyle name="Normal 5 7 2 2" xfId="4917" xr:uid="{1EB7F713-BFB5-4FBF-8CBA-171FC6DA065D}"/>
    <cellStyle name="Normal 5 7 2 2 2" xfId="10553" xr:uid="{710BBECB-F46D-4F1C-9E43-4271E24A2685}"/>
    <cellStyle name="Normal 5 7 2 3" xfId="7743" xr:uid="{85D8F683-BDA4-4826-8C6A-48D3D164D00A}"/>
    <cellStyle name="Normal 5 7 3" xfId="3516" xr:uid="{E4415E13-F226-4E9F-B189-9980E1C798E7}"/>
    <cellStyle name="Normal 5 7 3 2" xfId="9152" xr:uid="{5CDB984C-D165-46B9-A252-F0180838C010}"/>
    <cellStyle name="Normal 5 7 4" xfId="6342" xr:uid="{5A5F1421-4164-48FD-838E-C6F800BDCB0A}"/>
    <cellStyle name="Normal 5 8" xfId="1411" xr:uid="{B65F0194-1D3C-4D86-8656-0CFA8AE91DB1}"/>
    <cellStyle name="Normal 5 8 2" xfId="4221" xr:uid="{ABE9EB1D-52EA-4021-AAD5-457D28CF7D21}"/>
    <cellStyle name="Normal 5 8 2 2" xfId="9857" xr:uid="{E7900129-B9DE-4B90-989D-BE61771EECB0}"/>
    <cellStyle name="Normal 5 8 3" xfId="7047" xr:uid="{78CB595F-DDF5-4A7E-B0E8-5C903B79F9B1}"/>
    <cellStyle name="Normal 5 9" xfId="2820" xr:uid="{5572EDC4-884F-4224-A8F3-A27B18D44880}"/>
    <cellStyle name="Normal 5 9 2" xfId="8456" xr:uid="{6D1C1A90-CA89-4BB0-9CD6-7B7D0CFB76A9}"/>
    <cellStyle name="Normal 50" xfId="11273" xr:uid="{818C9398-B464-49E4-B026-E878B17C18E2}"/>
    <cellStyle name="Normal 51" xfId="11274" xr:uid="{91EF92AF-AD2D-4DCC-B553-B0F2E9056000}"/>
    <cellStyle name="Normal 52" xfId="11275" xr:uid="{083B6E1D-19AF-4C93-B0F3-52AFB5425BCB}"/>
    <cellStyle name="Normal 53" xfId="11276" xr:uid="{2D9947A2-6915-4F4F-B4B7-07249216C009}"/>
    <cellStyle name="Normal 54" xfId="11277" xr:uid="{E73EBBD0-550E-477C-A8D6-CC6EA8C275F2}"/>
    <cellStyle name="Normal 55" xfId="11278" xr:uid="{58609ED8-FC56-40E4-99CC-4D17D14FB2AD}"/>
    <cellStyle name="Normal 56" xfId="11279" xr:uid="{692FBB82-0B19-4033-A8B2-E14DAA7B6AFA}"/>
    <cellStyle name="Normal 57" xfId="11281" xr:uid="{B27C647B-80CA-4C21-966B-E0029F0B27A1}"/>
    <cellStyle name="Normal 58" xfId="11282" xr:uid="{392DEDF3-605B-4CA6-8A83-6EEA85587C42}"/>
    <cellStyle name="Normal 59" xfId="11283" xr:uid="{FB51410A-C491-4CD8-B3F3-C99409109B98}"/>
    <cellStyle name="Normal 6" xfId="11" xr:uid="{68B0C794-9762-4F6D-A0EB-6E1538E60983}"/>
    <cellStyle name="Normal 6 10" xfId="5647" xr:uid="{71880CAB-5685-4A49-B6F2-D8E75F69BC46}"/>
    <cellStyle name="Normal 6 2" xfId="23" xr:uid="{3AB9D7A8-E364-47A1-8BC8-54207B49FADD}"/>
    <cellStyle name="Normal 6 2 2" xfId="55" xr:uid="{3547903A-5AB9-45E3-B2FD-FA0A01B499DD}"/>
    <cellStyle name="Normal 6 2 2 2" xfId="135" xr:uid="{E44D0E01-FB24-4935-BEFE-EA4FD5D59807}"/>
    <cellStyle name="Normal 6 2 2 2 2" xfId="307" xr:uid="{33E638EE-BC5F-4041-8D96-FD6CE48EA9E2}"/>
    <cellStyle name="Normal 6 2 2 2 2 2" xfId="651" xr:uid="{CE079D6F-D774-4B6A-A541-AB419D379707}"/>
    <cellStyle name="Normal 6 2 2 2 2 2 2" xfId="1347" xr:uid="{127FB265-6E9A-4CCB-AFC9-FF8DBD2F02D1}"/>
    <cellStyle name="Normal 6 2 2 2 2 2 2 2" xfId="2748" xr:uid="{F2D952E1-A383-457C-972F-79959CF7F681}"/>
    <cellStyle name="Normal 6 2 2 2 2 2 2 2 2" xfId="5558" xr:uid="{13A6133D-E6B0-4C52-95F2-CF5F684897EF}"/>
    <cellStyle name="Normal 6 2 2 2 2 2 2 2 2 2" xfId="11194" xr:uid="{9A1AB307-BB6B-4E8F-92D4-CA39EB007177}"/>
    <cellStyle name="Normal 6 2 2 2 2 2 2 2 3" xfId="8384" xr:uid="{E4EAEA1F-7FBF-4269-A3ED-0AA626B63B67}"/>
    <cellStyle name="Normal 6 2 2 2 2 2 2 3" xfId="4157" xr:uid="{511D8F11-A5AC-4ADD-A449-EC8CAEDDBFF0}"/>
    <cellStyle name="Normal 6 2 2 2 2 2 2 3 2" xfId="9793" xr:uid="{ECF738FE-D037-482E-B084-96C2A906A436}"/>
    <cellStyle name="Normal 6 2 2 2 2 2 2 4" xfId="6983" xr:uid="{3ECE7D2D-D042-4D74-9425-BC6EB6EB8D8E}"/>
    <cellStyle name="Normal 6 2 2 2 2 2 3" xfId="2052" xr:uid="{78765AF7-6769-4988-8378-EA48D9D0EA5D}"/>
    <cellStyle name="Normal 6 2 2 2 2 2 3 2" xfId="4862" xr:uid="{8B3F5C66-429A-4C77-B3FC-71E6A2EB68CD}"/>
    <cellStyle name="Normal 6 2 2 2 2 2 3 2 2" xfId="10498" xr:uid="{28728F99-347C-4ED4-A05B-820A5BB31FFF}"/>
    <cellStyle name="Normal 6 2 2 2 2 2 3 3" xfId="7688" xr:uid="{1D5CC733-6578-4857-8A38-DABD973F3532}"/>
    <cellStyle name="Normal 6 2 2 2 2 2 4" xfId="3461" xr:uid="{80D26314-EC4C-4B64-98C1-7E34A7A901FF}"/>
    <cellStyle name="Normal 6 2 2 2 2 2 4 2" xfId="9097" xr:uid="{29745345-C9A9-4BC9-A922-43D7ACD428CB}"/>
    <cellStyle name="Normal 6 2 2 2 2 2 5" xfId="6287" xr:uid="{56DDFFC6-0583-4277-A7BF-4348BF854B3B}"/>
    <cellStyle name="Normal 6 2 2 2 2 3" xfId="1003" xr:uid="{09B260E6-1809-4B4A-9947-B0869DCBD73E}"/>
    <cellStyle name="Normal 6 2 2 2 2 3 2" xfId="2404" xr:uid="{A40333F8-5596-4842-84C2-ACFCFD649496}"/>
    <cellStyle name="Normal 6 2 2 2 2 3 2 2" xfId="5214" xr:uid="{A95EA284-D6DE-4B26-8F9E-14EDDBFD40EE}"/>
    <cellStyle name="Normal 6 2 2 2 2 3 2 2 2" xfId="10850" xr:uid="{4CE1C23C-9CB9-4AD8-B178-F6B13267BF4D}"/>
    <cellStyle name="Normal 6 2 2 2 2 3 2 3" xfId="8040" xr:uid="{6D9286B1-5CC9-4984-BFFD-3CA2236DA859}"/>
    <cellStyle name="Normal 6 2 2 2 2 3 3" xfId="3813" xr:uid="{92013A64-0C89-4BBB-B1C8-DA03285FF135}"/>
    <cellStyle name="Normal 6 2 2 2 2 3 3 2" xfId="9449" xr:uid="{335D1D82-28EF-4A5F-BC01-C365FFEFF817}"/>
    <cellStyle name="Normal 6 2 2 2 2 3 4" xfId="6639" xr:uid="{94FAF531-DB41-4FC4-AD43-368CA695A62C}"/>
    <cellStyle name="Normal 6 2 2 2 2 4" xfId="1708" xr:uid="{EA0884DF-ED69-45E9-9677-F1BEA3E264EA}"/>
    <cellStyle name="Normal 6 2 2 2 2 4 2" xfId="4518" xr:uid="{AA0213E7-E566-49C0-B458-D7F6108C0FE9}"/>
    <cellStyle name="Normal 6 2 2 2 2 4 2 2" xfId="10154" xr:uid="{6BC1945B-64FA-48BB-9F42-7C126FE68C88}"/>
    <cellStyle name="Normal 6 2 2 2 2 4 3" xfId="7344" xr:uid="{22BE1BC5-ED0A-4206-AD66-26CFF6BB3184}"/>
    <cellStyle name="Normal 6 2 2 2 2 5" xfId="3117" xr:uid="{08A20E46-69C6-44ED-955F-47F78064362A}"/>
    <cellStyle name="Normal 6 2 2 2 2 5 2" xfId="8753" xr:uid="{BE444F86-4A09-4340-A566-AD53C28AEB56}"/>
    <cellStyle name="Normal 6 2 2 2 2 6" xfId="5943" xr:uid="{EED58443-9B67-40DB-9B73-004269F5413C}"/>
    <cellStyle name="Normal 6 2 2 2 3" xfId="479" xr:uid="{321041D1-56F4-42D3-A0CF-24DC112E1B11}"/>
    <cellStyle name="Normal 6 2 2 2 3 2" xfId="1175" xr:uid="{EF5BCD72-DC9F-48B8-BE48-463588A832FB}"/>
    <cellStyle name="Normal 6 2 2 2 3 2 2" xfId="2576" xr:uid="{9AF8A62D-76D5-41D7-AD1A-079CD4E1736D}"/>
    <cellStyle name="Normal 6 2 2 2 3 2 2 2" xfId="5386" xr:uid="{241C06CB-3307-4C04-823F-F98EA7CA95D2}"/>
    <cellStyle name="Normal 6 2 2 2 3 2 2 2 2" xfId="11022" xr:uid="{6DF72D5D-C237-4BA8-9EB7-CB395C9827FC}"/>
    <cellStyle name="Normal 6 2 2 2 3 2 2 3" xfId="8212" xr:uid="{FCDDB91B-DE49-4FE2-A44F-4217F5A7F3D5}"/>
    <cellStyle name="Normal 6 2 2 2 3 2 3" xfId="3985" xr:uid="{F88704F0-C170-4523-BAE9-4BD973FC0100}"/>
    <cellStyle name="Normal 6 2 2 2 3 2 3 2" xfId="9621" xr:uid="{B1E0B388-AE67-4D12-9710-9BC37742377A}"/>
    <cellStyle name="Normal 6 2 2 2 3 2 4" xfId="6811" xr:uid="{8127B5BD-38B9-4E2F-A289-4FEC2A053893}"/>
    <cellStyle name="Normal 6 2 2 2 3 3" xfId="1880" xr:uid="{694ED40E-1EDD-45E4-815E-896927962810}"/>
    <cellStyle name="Normal 6 2 2 2 3 3 2" xfId="4690" xr:uid="{3B41BBDA-239D-43C3-9630-5909CD416DD9}"/>
    <cellStyle name="Normal 6 2 2 2 3 3 2 2" xfId="10326" xr:uid="{2248019B-A618-4D20-9BC0-54F795A767EE}"/>
    <cellStyle name="Normal 6 2 2 2 3 3 3" xfId="7516" xr:uid="{39CEE0AD-63BA-4108-B35E-F5AFC844C757}"/>
    <cellStyle name="Normal 6 2 2 2 3 4" xfId="3289" xr:uid="{27033B83-B939-4F30-8013-253EB55989D6}"/>
    <cellStyle name="Normal 6 2 2 2 3 4 2" xfId="8925" xr:uid="{600259FC-356E-4280-A8C9-7FECA2D325F3}"/>
    <cellStyle name="Normal 6 2 2 2 3 5" xfId="6115" xr:uid="{3F79DD84-9780-4ABD-AC1E-F1959F04D0FC}"/>
    <cellStyle name="Normal 6 2 2 2 4" xfId="831" xr:uid="{B0E45136-F9D7-4040-B71E-B4AE49DBEF0F}"/>
    <cellStyle name="Normal 6 2 2 2 4 2" xfId="2232" xr:uid="{3AEF8148-E014-497A-A47A-69EBD372B597}"/>
    <cellStyle name="Normal 6 2 2 2 4 2 2" xfId="5042" xr:uid="{F2F85B4E-CDB4-412F-8130-127A7A768BCC}"/>
    <cellStyle name="Normal 6 2 2 2 4 2 2 2" xfId="10678" xr:uid="{2816EC12-B42E-42B4-ADC5-E8D31158463F}"/>
    <cellStyle name="Normal 6 2 2 2 4 2 3" xfId="7868" xr:uid="{38F507D6-D457-437C-A02A-9C3B45A9ACC7}"/>
    <cellStyle name="Normal 6 2 2 2 4 3" xfId="3641" xr:uid="{D15DB615-20BC-40E2-B053-B2F9C298FD4D}"/>
    <cellStyle name="Normal 6 2 2 2 4 3 2" xfId="9277" xr:uid="{ACBC2191-4F27-4255-B2E0-29E37E477FE7}"/>
    <cellStyle name="Normal 6 2 2 2 4 4" xfId="6467" xr:uid="{99E17517-EE95-46D9-AB23-CCC97610A934}"/>
    <cellStyle name="Normal 6 2 2 2 5" xfId="1536" xr:uid="{7660C1DE-61CB-450C-9D89-3007915ECCBA}"/>
    <cellStyle name="Normal 6 2 2 2 5 2" xfId="4346" xr:uid="{6385910A-C501-4A9C-8067-6927B3E66F01}"/>
    <cellStyle name="Normal 6 2 2 2 5 2 2" xfId="9982" xr:uid="{6AD9A22C-0F16-4027-9615-4813C0F2AF2E}"/>
    <cellStyle name="Normal 6 2 2 2 5 3" xfId="7172" xr:uid="{A583D0D9-6DA5-4290-8263-D560814355A0}"/>
    <cellStyle name="Normal 6 2 2 2 6" xfId="2945" xr:uid="{DC777F4E-9C2F-4C25-B9D2-9CF918674BE7}"/>
    <cellStyle name="Normal 6 2 2 2 6 2" xfId="8581" xr:uid="{93DE9497-3A98-463D-8EE8-A5DD0AFD08FC}"/>
    <cellStyle name="Normal 6 2 2 2 7" xfId="5771" xr:uid="{69A34435-B3A4-4268-9CA7-5C8927FCCDBE}"/>
    <cellStyle name="Normal 6 2 2 3" xfId="227" xr:uid="{252FCA46-1CE8-4645-BA82-76D3E2C6DDA9}"/>
    <cellStyle name="Normal 6 2 2 3 2" xfId="571" xr:uid="{5F49E1A8-B98F-4328-A9B3-9EFF71A9734D}"/>
    <cellStyle name="Normal 6 2 2 3 2 2" xfId="1267" xr:uid="{6DAC1850-7D39-4FAD-BEB8-CC3A2C5CE77B}"/>
    <cellStyle name="Normal 6 2 2 3 2 2 2" xfId="2668" xr:uid="{9F395063-C826-4C05-9651-70E7E410198A}"/>
    <cellStyle name="Normal 6 2 2 3 2 2 2 2" xfId="5478" xr:uid="{49FCF4B9-6BC8-4500-9EF1-052A3B3545E1}"/>
    <cellStyle name="Normal 6 2 2 3 2 2 2 2 2" xfId="11114" xr:uid="{8F93ED57-63E7-4D29-B4BF-79A51FD3A79B}"/>
    <cellStyle name="Normal 6 2 2 3 2 2 2 3" xfId="8304" xr:uid="{F48DCAAA-BE8A-4F5F-B784-69C529B7A4BB}"/>
    <cellStyle name="Normal 6 2 2 3 2 2 3" xfId="4077" xr:uid="{AA276D08-2FC5-4AC8-A27E-A4DF8E67D6C5}"/>
    <cellStyle name="Normal 6 2 2 3 2 2 3 2" xfId="9713" xr:uid="{C83AB9F1-73AB-4479-8AAA-9E95F0A834D9}"/>
    <cellStyle name="Normal 6 2 2 3 2 2 4" xfId="6903" xr:uid="{22E3097E-B43F-4C58-852C-20F0C670FFA0}"/>
    <cellStyle name="Normal 6 2 2 3 2 3" xfId="1972" xr:uid="{382F90EC-99D0-483A-A0B9-38A111DECF2A}"/>
    <cellStyle name="Normal 6 2 2 3 2 3 2" xfId="4782" xr:uid="{0F86C446-6FFD-4CD3-B5E9-D43ADAFE56B2}"/>
    <cellStyle name="Normal 6 2 2 3 2 3 2 2" xfId="10418" xr:uid="{FA527002-4690-4073-AB7F-E65C80A2EA6F}"/>
    <cellStyle name="Normal 6 2 2 3 2 3 3" xfId="7608" xr:uid="{CE9525CC-9F49-4B04-A4F5-ECE862F761FA}"/>
    <cellStyle name="Normal 6 2 2 3 2 4" xfId="3381" xr:uid="{DF44A2A5-5F6F-4082-96AE-613796D1D44A}"/>
    <cellStyle name="Normal 6 2 2 3 2 4 2" xfId="9017" xr:uid="{66ADD3DF-4163-4F3A-973A-DD78E30A1A39}"/>
    <cellStyle name="Normal 6 2 2 3 2 5" xfId="6207" xr:uid="{B1590B9D-4E77-4327-BD86-4348E2937C3A}"/>
    <cellStyle name="Normal 6 2 2 3 3" xfId="923" xr:uid="{00E74CAF-8775-4F02-9353-A25F9337639A}"/>
    <cellStyle name="Normal 6 2 2 3 3 2" xfId="2324" xr:uid="{E86D3A33-9B34-4A23-BF3D-0AB3F28D6F98}"/>
    <cellStyle name="Normal 6 2 2 3 3 2 2" xfId="5134" xr:uid="{FD599718-6BFB-4160-8544-7578EE0438EE}"/>
    <cellStyle name="Normal 6 2 2 3 3 2 2 2" xfId="10770" xr:uid="{0787A7FD-E527-4D81-B684-2639CDA25D17}"/>
    <cellStyle name="Normal 6 2 2 3 3 2 3" xfId="7960" xr:uid="{087B0BFA-90AD-40FC-B32F-9DA76E7AEF32}"/>
    <cellStyle name="Normal 6 2 2 3 3 3" xfId="3733" xr:uid="{F7B091E4-A7DF-41B4-9EE4-01E39E30B555}"/>
    <cellStyle name="Normal 6 2 2 3 3 3 2" xfId="9369" xr:uid="{02FBD281-2D25-4EE5-92E1-304D529A643C}"/>
    <cellStyle name="Normal 6 2 2 3 3 4" xfId="6559" xr:uid="{4A71F109-BCEA-45BB-BF70-BE7C785DF4B7}"/>
    <cellStyle name="Normal 6 2 2 3 4" xfId="1628" xr:uid="{EC13E110-BE9E-43DD-802E-68CA0D3F6EE3}"/>
    <cellStyle name="Normal 6 2 2 3 4 2" xfId="4438" xr:uid="{D92548FB-07E9-4C3B-9075-AE2B3E8449C8}"/>
    <cellStyle name="Normal 6 2 2 3 4 2 2" xfId="10074" xr:uid="{CDC092A5-8346-4D73-8C4D-6C19CC559A8F}"/>
    <cellStyle name="Normal 6 2 2 3 4 3" xfId="7264" xr:uid="{29202A1A-8F65-426C-BBC2-7D58E06FEA7D}"/>
    <cellStyle name="Normal 6 2 2 3 5" xfId="3037" xr:uid="{A08ACCCD-9708-4BC9-913A-4D0F6CC63AA4}"/>
    <cellStyle name="Normal 6 2 2 3 5 2" xfId="8673" xr:uid="{94249A37-BC9A-496A-98B2-F50D9BC3C9DB}"/>
    <cellStyle name="Normal 6 2 2 3 6" xfId="5863" xr:uid="{D4434A8F-8A51-46A4-8EB3-741C7B58C84C}"/>
    <cellStyle name="Normal 6 2 2 4" xfId="399" xr:uid="{40AE760D-8AFE-4F69-832C-BF3A04C27213}"/>
    <cellStyle name="Normal 6 2 2 4 2" xfId="1095" xr:uid="{99012407-5BE7-4C3E-A61B-122702EA6D66}"/>
    <cellStyle name="Normal 6 2 2 4 2 2" xfId="2496" xr:uid="{611E3770-A484-495B-8929-52333EFD902B}"/>
    <cellStyle name="Normal 6 2 2 4 2 2 2" xfId="5306" xr:uid="{3C57B8BB-A20E-4051-B78B-080A22595ECF}"/>
    <cellStyle name="Normal 6 2 2 4 2 2 2 2" xfId="10942" xr:uid="{FB49DAC3-A9B8-4938-AFEB-039FF3844DAB}"/>
    <cellStyle name="Normal 6 2 2 4 2 2 3" xfId="8132" xr:uid="{084376BB-E44C-47B7-9DAC-E933AD21968C}"/>
    <cellStyle name="Normal 6 2 2 4 2 3" xfId="3905" xr:uid="{D91671DE-0E69-48F4-A827-9177CE32F0E4}"/>
    <cellStyle name="Normal 6 2 2 4 2 3 2" xfId="9541" xr:uid="{95234471-4823-4891-BA00-F1A465AB77C5}"/>
    <cellStyle name="Normal 6 2 2 4 2 4" xfId="6731" xr:uid="{33F13114-B712-4609-91B8-C8B3FCF61169}"/>
    <cellStyle name="Normal 6 2 2 4 3" xfId="1800" xr:uid="{D1571F03-6677-40B8-9BC4-FC0F2924B555}"/>
    <cellStyle name="Normal 6 2 2 4 3 2" xfId="4610" xr:uid="{D28B9BC0-228E-4E4F-97A2-FABDB7E5ED9B}"/>
    <cellStyle name="Normal 6 2 2 4 3 2 2" xfId="10246" xr:uid="{4822DCBA-B18D-4B34-931A-333D66B59F74}"/>
    <cellStyle name="Normal 6 2 2 4 3 3" xfId="7436" xr:uid="{0431F443-DC89-439D-94C4-85DC118391AF}"/>
    <cellStyle name="Normal 6 2 2 4 4" xfId="3209" xr:uid="{A6924248-ECB3-4F07-AF7B-58240C712EE5}"/>
    <cellStyle name="Normal 6 2 2 4 4 2" xfId="8845" xr:uid="{71E082EC-21B5-44EF-97B7-8A0457529229}"/>
    <cellStyle name="Normal 6 2 2 4 5" xfId="6035" xr:uid="{E4ECB000-4C2E-4395-9D86-8F8AD9E65655}"/>
    <cellStyle name="Normal 6 2 2 5" xfId="751" xr:uid="{18DB5AD7-5254-4EC6-B835-189826747390}"/>
    <cellStyle name="Normal 6 2 2 5 2" xfId="2152" xr:uid="{E5415214-E7B3-44FB-8A30-25006687D6B5}"/>
    <cellStyle name="Normal 6 2 2 5 2 2" xfId="4962" xr:uid="{5E8C304D-818F-4F70-8B8B-313BA720A515}"/>
    <cellStyle name="Normal 6 2 2 5 2 2 2" xfId="10598" xr:uid="{4A057D7D-2398-4737-B0E5-7D6B3AF64CA2}"/>
    <cellStyle name="Normal 6 2 2 5 2 3" xfId="7788" xr:uid="{9BDE6828-D221-40AA-8DE1-3E0F36B3064E}"/>
    <cellStyle name="Normal 6 2 2 5 3" xfId="3561" xr:uid="{1219547D-718F-4931-B26F-6E2653878D9C}"/>
    <cellStyle name="Normal 6 2 2 5 3 2" xfId="9197" xr:uid="{83CB219E-D12D-4778-9FB8-222A9F0184C7}"/>
    <cellStyle name="Normal 6 2 2 5 4" xfId="6387" xr:uid="{AA199094-4030-4174-8707-2CC2E112EA0B}"/>
    <cellStyle name="Normal 6 2 2 6" xfId="1456" xr:uid="{9FA39A0B-30DF-4055-B001-A8FA9FEC97CB}"/>
    <cellStyle name="Normal 6 2 2 6 2" xfId="4266" xr:uid="{C09C7412-7021-4B4E-BA07-45D7AB9E5AF4}"/>
    <cellStyle name="Normal 6 2 2 6 2 2" xfId="9902" xr:uid="{B8E518F6-6374-4082-A128-1B4212E60AF7}"/>
    <cellStyle name="Normal 6 2 2 6 3" xfId="7092" xr:uid="{BE8D01F4-7DBE-42E3-92D8-EAC2613C9C9E}"/>
    <cellStyle name="Normal 6 2 2 7" xfId="2865" xr:uid="{16DFA70F-6C53-4BFD-A484-C2868C94D662}"/>
    <cellStyle name="Normal 6 2 2 7 2" xfId="8501" xr:uid="{3BC4C39F-E521-4C4B-B1C2-84F5E9C3EFA7}"/>
    <cellStyle name="Normal 6 2 2 8" xfId="5691" xr:uid="{C924EF50-3EA8-4A1F-BF1B-C84405C2F0EF}"/>
    <cellStyle name="Normal 6 2 3" xfId="103" xr:uid="{B5B0A5C4-DB6C-4B3D-861F-A96A138A5FE5}"/>
    <cellStyle name="Normal 6 2 3 2" xfId="275" xr:uid="{6B79E62D-C8DA-4077-843E-AE2A83F5F7CB}"/>
    <cellStyle name="Normal 6 2 3 2 2" xfId="619" xr:uid="{74706BFA-A5E0-4809-A125-7E42249E3A45}"/>
    <cellStyle name="Normal 6 2 3 2 2 2" xfId="1315" xr:uid="{88F874D1-2428-4BCC-9487-A9BC5F3D77F1}"/>
    <cellStyle name="Normal 6 2 3 2 2 2 2" xfId="2716" xr:uid="{C0D95C2C-6414-48E8-A3F4-3BEF0841FD08}"/>
    <cellStyle name="Normal 6 2 3 2 2 2 2 2" xfId="5526" xr:uid="{3D8D9237-3BCF-477E-804F-3412E1FB6BBD}"/>
    <cellStyle name="Normal 6 2 3 2 2 2 2 2 2" xfId="11162" xr:uid="{7C44142E-A7FC-405D-98EA-E25D2C8D62F8}"/>
    <cellStyle name="Normal 6 2 3 2 2 2 2 3" xfId="8352" xr:uid="{B505BFEA-B3FD-43A2-A83D-8E36E98D0CC2}"/>
    <cellStyle name="Normal 6 2 3 2 2 2 3" xfId="4125" xr:uid="{4C0F3D97-AF6D-4E77-BCD6-66794A57E756}"/>
    <cellStyle name="Normal 6 2 3 2 2 2 3 2" xfId="9761" xr:uid="{636A15C1-BBEF-436A-AF8F-BA7D1F7CCF51}"/>
    <cellStyle name="Normal 6 2 3 2 2 2 4" xfId="6951" xr:uid="{EB8EA2E4-AB94-4617-98B3-1B9826EC4B0C}"/>
    <cellStyle name="Normal 6 2 3 2 2 3" xfId="2020" xr:uid="{95B69815-764F-461D-BDC8-4D93F83F9537}"/>
    <cellStyle name="Normal 6 2 3 2 2 3 2" xfId="4830" xr:uid="{854E6280-75B5-4699-87ED-304B2B66A7FA}"/>
    <cellStyle name="Normal 6 2 3 2 2 3 2 2" xfId="10466" xr:uid="{068D362C-C78F-4085-9FB3-33F7E545607F}"/>
    <cellStyle name="Normal 6 2 3 2 2 3 3" xfId="7656" xr:uid="{D944B57D-0628-4F08-94AE-66664873EC8A}"/>
    <cellStyle name="Normal 6 2 3 2 2 4" xfId="3429" xr:uid="{1B4D5146-F4D2-4E05-908E-1BC5833E96B1}"/>
    <cellStyle name="Normal 6 2 3 2 2 4 2" xfId="9065" xr:uid="{604A335E-50F1-46CF-9358-CC00F05775B1}"/>
    <cellStyle name="Normal 6 2 3 2 2 5" xfId="6255" xr:uid="{88D411D1-8E24-4BB7-AEFD-E423E5E7500D}"/>
    <cellStyle name="Normal 6 2 3 2 3" xfId="971" xr:uid="{27218F77-7464-4BC8-B484-4CD25CB95087}"/>
    <cellStyle name="Normal 6 2 3 2 3 2" xfId="2372" xr:uid="{87807AA7-451F-4BFB-8BA5-E68D2E05077B}"/>
    <cellStyle name="Normal 6 2 3 2 3 2 2" xfId="5182" xr:uid="{FA330D9F-3814-4D3A-A902-15B47F298506}"/>
    <cellStyle name="Normal 6 2 3 2 3 2 2 2" xfId="10818" xr:uid="{7A7442D2-5C6A-4C5E-853F-AC10361EA634}"/>
    <cellStyle name="Normal 6 2 3 2 3 2 3" xfId="8008" xr:uid="{98074878-3AF4-43D3-8CE2-0F9879ADA31E}"/>
    <cellStyle name="Normal 6 2 3 2 3 3" xfId="3781" xr:uid="{E0092615-D7FA-4E12-9281-38C8D4B3979B}"/>
    <cellStyle name="Normal 6 2 3 2 3 3 2" xfId="9417" xr:uid="{7142BC48-FFF9-42ED-9D71-08C055F99800}"/>
    <cellStyle name="Normal 6 2 3 2 3 4" xfId="6607" xr:uid="{A648486D-FCF8-455F-B1CA-B626AC9D873F}"/>
    <cellStyle name="Normal 6 2 3 2 4" xfId="1676" xr:uid="{C5D49381-DFD6-4313-9C28-DEFCEA271FFD}"/>
    <cellStyle name="Normal 6 2 3 2 4 2" xfId="4486" xr:uid="{AFB9BBF1-6183-40E2-97B8-2B707E4DC45A}"/>
    <cellStyle name="Normal 6 2 3 2 4 2 2" xfId="10122" xr:uid="{03AFDF40-81CE-4CAA-B8EE-0F9F8AC68EB1}"/>
    <cellStyle name="Normal 6 2 3 2 4 3" xfId="7312" xr:uid="{337555EC-ECA3-4ECD-884A-9B3238A3FE87}"/>
    <cellStyle name="Normal 6 2 3 2 5" xfId="3085" xr:uid="{9C74053E-11A0-4912-A32D-3D30EF42DA3F}"/>
    <cellStyle name="Normal 6 2 3 2 5 2" xfId="8721" xr:uid="{E0AB339B-7EBE-453C-BC8C-8049502FC953}"/>
    <cellStyle name="Normal 6 2 3 2 6" xfId="5911" xr:uid="{03B0B1AD-2DA7-499B-BEF1-7F104D0C7F48}"/>
    <cellStyle name="Normal 6 2 3 3" xfId="447" xr:uid="{02F91BCE-873E-456C-9BD7-67892CE6ABBB}"/>
    <cellStyle name="Normal 6 2 3 3 2" xfId="1143" xr:uid="{82276D7C-C39F-4A92-8A75-08810C76DBBF}"/>
    <cellStyle name="Normal 6 2 3 3 2 2" xfId="2544" xr:uid="{7F8A1B86-9861-475F-9420-0922D0CED9D3}"/>
    <cellStyle name="Normal 6 2 3 3 2 2 2" xfId="5354" xr:uid="{4935A381-3C83-4981-9B93-3D1A022F8D0F}"/>
    <cellStyle name="Normal 6 2 3 3 2 2 2 2" xfId="10990" xr:uid="{34789712-FF72-4CCC-A822-268221B2F2F7}"/>
    <cellStyle name="Normal 6 2 3 3 2 2 3" xfId="8180" xr:uid="{331CBC4D-2610-4427-9CEF-A2B24CEFA303}"/>
    <cellStyle name="Normal 6 2 3 3 2 3" xfId="3953" xr:uid="{5E07F29B-40EB-4762-8DDB-85DC26544A4A}"/>
    <cellStyle name="Normal 6 2 3 3 2 3 2" xfId="9589" xr:uid="{D6DD0307-29CA-48E3-B6C7-C1AFE9A07E44}"/>
    <cellStyle name="Normal 6 2 3 3 2 4" xfId="6779" xr:uid="{54A6A98A-81A0-4E5F-9383-4DF981C464D2}"/>
    <cellStyle name="Normal 6 2 3 3 3" xfId="1848" xr:uid="{A46210D4-F313-463F-9148-5CA5214AA938}"/>
    <cellStyle name="Normal 6 2 3 3 3 2" xfId="4658" xr:uid="{D5682274-FDB1-4487-8B40-1DAAEC801A66}"/>
    <cellStyle name="Normal 6 2 3 3 3 2 2" xfId="10294" xr:uid="{82F5F1A2-B85E-4302-BBF4-8A5C5D1906BA}"/>
    <cellStyle name="Normal 6 2 3 3 3 3" xfId="7484" xr:uid="{4CCCB880-13DF-4980-BEDD-EEDF82C7084B}"/>
    <cellStyle name="Normal 6 2 3 3 4" xfId="3257" xr:uid="{579E5EC1-30E3-4F45-9A82-BADDA952C66F}"/>
    <cellStyle name="Normal 6 2 3 3 4 2" xfId="8893" xr:uid="{63FE18A0-9E4B-4215-8C00-363F25774E93}"/>
    <cellStyle name="Normal 6 2 3 3 5" xfId="6083" xr:uid="{CF58FF0B-7E08-4C59-B7C2-3EBD732C1307}"/>
    <cellStyle name="Normal 6 2 3 4" xfId="799" xr:uid="{52257390-EF5A-4375-9B5B-E3E31ECEC675}"/>
    <cellStyle name="Normal 6 2 3 4 2" xfId="2200" xr:uid="{335A4B2E-C8B7-4993-970D-AEA27ECF1112}"/>
    <cellStyle name="Normal 6 2 3 4 2 2" xfId="5010" xr:uid="{2C0C3090-2959-459F-BDF2-472848BE8FAA}"/>
    <cellStyle name="Normal 6 2 3 4 2 2 2" xfId="10646" xr:uid="{621CC9E5-F177-4AF7-9582-B340A14AB9A5}"/>
    <cellStyle name="Normal 6 2 3 4 2 3" xfId="7836" xr:uid="{4BD48EE0-93F6-4EB8-AFDC-5DED1CA1F0E1}"/>
    <cellStyle name="Normal 6 2 3 4 3" xfId="3609" xr:uid="{13D670BF-F598-49D4-8F77-098AD810E0A3}"/>
    <cellStyle name="Normal 6 2 3 4 3 2" xfId="9245" xr:uid="{EA4EF4B8-07EA-44B8-BD11-CAE8618E643F}"/>
    <cellStyle name="Normal 6 2 3 4 4" xfId="6435" xr:uid="{7ABB71E2-740D-4E26-AD0F-1E959CC1D588}"/>
    <cellStyle name="Normal 6 2 3 5" xfId="1504" xr:uid="{CBC394CA-C6AB-44C8-A3B8-615AE60E9B0A}"/>
    <cellStyle name="Normal 6 2 3 5 2" xfId="4314" xr:uid="{CA313EB4-8D54-4967-8E71-A43D071C95C5}"/>
    <cellStyle name="Normal 6 2 3 5 2 2" xfId="9950" xr:uid="{36B429FB-EE84-4C94-AF5F-51DEA7D910BE}"/>
    <cellStyle name="Normal 6 2 3 5 3" xfId="7140" xr:uid="{FAB8F2CB-AFE7-412B-89EC-07E48CBA680D}"/>
    <cellStyle name="Normal 6 2 3 6" xfId="2913" xr:uid="{CE4B29AA-6C54-48E4-A2BC-17B9F602FB2C}"/>
    <cellStyle name="Normal 6 2 3 6 2" xfId="8549" xr:uid="{327FB6FF-C587-4539-9DE0-BA01D9DFB68E}"/>
    <cellStyle name="Normal 6 2 3 7" xfId="5739" xr:uid="{B6A8953B-45C2-42F8-ADCF-32951B9B4168}"/>
    <cellStyle name="Normal 6 2 4" xfId="195" xr:uid="{6B87A0BA-2697-47D5-A15C-5CBBA0083A1B}"/>
    <cellStyle name="Normal 6 2 4 2" xfId="539" xr:uid="{69081762-0201-4D37-948F-80D961C231A5}"/>
    <cellStyle name="Normal 6 2 4 2 2" xfId="1235" xr:uid="{98FE9DB5-CC7F-46FE-9912-8E5ECAE55087}"/>
    <cellStyle name="Normal 6 2 4 2 2 2" xfId="2636" xr:uid="{2B606EE3-24BD-4F2F-A813-99C3EF378D65}"/>
    <cellStyle name="Normal 6 2 4 2 2 2 2" xfId="5446" xr:uid="{17D8CDF6-4A6F-4FB7-A609-A6AA62FB3CB8}"/>
    <cellStyle name="Normal 6 2 4 2 2 2 2 2" xfId="11082" xr:uid="{244259DD-2BAC-48B4-9E4A-C46DF00B7236}"/>
    <cellStyle name="Normal 6 2 4 2 2 2 3" xfId="8272" xr:uid="{06BEB7AA-4D39-4027-B986-DE7D5F586971}"/>
    <cellStyle name="Normal 6 2 4 2 2 3" xfId="4045" xr:uid="{9D8BD8D7-D1B1-4068-8868-921D76C7BB7F}"/>
    <cellStyle name="Normal 6 2 4 2 2 3 2" xfId="9681" xr:uid="{C50EF2DC-CB59-479B-8F3C-4E3E32ADFA68}"/>
    <cellStyle name="Normal 6 2 4 2 2 4" xfId="6871" xr:uid="{C2649E38-F28D-4631-B7C6-95181E88744A}"/>
    <cellStyle name="Normal 6 2 4 2 3" xfId="1940" xr:uid="{18DD4081-A1D5-4A02-BA1E-6C6C8309A8D2}"/>
    <cellStyle name="Normal 6 2 4 2 3 2" xfId="4750" xr:uid="{AF8710FD-3EB2-48A3-9D3D-CBDFE8D26009}"/>
    <cellStyle name="Normal 6 2 4 2 3 2 2" xfId="10386" xr:uid="{205E6E2E-13CD-4AF6-8672-6ED593B7D327}"/>
    <cellStyle name="Normal 6 2 4 2 3 3" xfId="7576" xr:uid="{3107F84B-149F-4FBD-A155-7122F4015053}"/>
    <cellStyle name="Normal 6 2 4 2 4" xfId="3349" xr:uid="{23DFA653-782E-4C98-B1E6-A81BB2245753}"/>
    <cellStyle name="Normal 6 2 4 2 4 2" xfId="8985" xr:uid="{D3B9E93D-D4AC-4535-8BDB-0CDA51C0FB00}"/>
    <cellStyle name="Normal 6 2 4 2 5" xfId="6175" xr:uid="{A651C2D1-6CAE-4764-95E7-0BABC9EF284C}"/>
    <cellStyle name="Normal 6 2 4 3" xfId="891" xr:uid="{8AF55777-9C28-45CF-B20A-6FA5B85A4291}"/>
    <cellStyle name="Normal 6 2 4 3 2" xfId="2292" xr:uid="{BCC72A09-8DF8-43EF-B5F6-4C91E62F6E81}"/>
    <cellStyle name="Normal 6 2 4 3 2 2" xfId="5102" xr:uid="{86DDB797-8360-44BC-A3D6-4BD32004CCAC}"/>
    <cellStyle name="Normal 6 2 4 3 2 2 2" xfId="10738" xr:uid="{79E7C4EE-8AEE-4E33-938E-5337A7A5D70C}"/>
    <cellStyle name="Normal 6 2 4 3 2 3" xfId="7928" xr:uid="{757393D5-CDC9-4CBC-8267-F5B61B6A5A6F}"/>
    <cellStyle name="Normal 6 2 4 3 3" xfId="3701" xr:uid="{F1DDE48B-D217-43B2-BD27-DDDE66242F0A}"/>
    <cellStyle name="Normal 6 2 4 3 3 2" xfId="9337" xr:uid="{AFB6F4B9-91B4-461D-A0BB-73C01C76D601}"/>
    <cellStyle name="Normal 6 2 4 3 4" xfId="6527" xr:uid="{4E7DDC48-157C-4259-B07D-632A9525E984}"/>
    <cellStyle name="Normal 6 2 4 4" xfId="1596" xr:uid="{66550515-D385-4F91-B089-8A4F6DB500DD}"/>
    <cellStyle name="Normal 6 2 4 4 2" xfId="4406" xr:uid="{8A4720CA-1F95-4D06-BC6C-BF1B1B31D08D}"/>
    <cellStyle name="Normal 6 2 4 4 2 2" xfId="10042" xr:uid="{DE47A634-76D2-453B-A000-4856FC0A0D95}"/>
    <cellStyle name="Normal 6 2 4 4 3" xfId="7232" xr:uid="{0001A182-1EFF-406D-A42B-DE5025829653}"/>
    <cellStyle name="Normal 6 2 4 5" xfId="3005" xr:uid="{44844CF3-B4ED-46FA-9AB0-3F140718E426}"/>
    <cellStyle name="Normal 6 2 4 5 2" xfId="8641" xr:uid="{C331586F-4861-496D-A004-CA6E2E47E24E}"/>
    <cellStyle name="Normal 6 2 4 6" xfId="5831" xr:uid="{227CC8B5-B6F5-4619-AE87-739354817F2E}"/>
    <cellStyle name="Normal 6 2 5" xfId="367" xr:uid="{419E528D-3FC8-4641-A1C0-2A30D0226C72}"/>
    <cellStyle name="Normal 6 2 5 2" xfId="1063" xr:uid="{C80AD0B0-E190-48AC-AFFE-8BF1B9651C4C}"/>
    <cellStyle name="Normal 6 2 5 2 2" xfId="2464" xr:uid="{359E7F80-CC62-4E1C-8220-FB68F2865E4D}"/>
    <cellStyle name="Normal 6 2 5 2 2 2" xfId="5274" xr:uid="{BC6EA48B-C137-4171-9BAB-B7B1BECC4825}"/>
    <cellStyle name="Normal 6 2 5 2 2 2 2" xfId="10910" xr:uid="{8D3A3FB4-189D-446F-A11A-2E0B997A53F4}"/>
    <cellStyle name="Normal 6 2 5 2 2 3" xfId="8100" xr:uid="{972ADFC4-879D-4C3B-B028-D4C458DF155E}"/>
    <cellStyle name="Normal 6 2 5 2 3" xfId="3873" xr:uid="{61B02015-1963-4D92-9F2C-BEA86AD351BD}"/>
    <cellStyle name="Normal 6 2 5 2 3 2" xfId="9509" xr:uid="{CAAA08E1-74D9-4567-9B30-5A6C9DF3AC0D}"/>
    <cellStyle name="Normal 6 2 5 2 4" xfId="6699" xr:uid="{EBE9D5BE-9919-45F3-A48F-64BBD29F561C}"/>
    <cellStyle name="Normal 6 2 5 3" xfId="1768" xr:uid="{31D9D24A-902A-4E80-84BF-61F889BBA040}"/>
    <cellStyle name="Normal 6 2 5 3 2" xfId="4578" xr:uid="{65B3440C-174D-4902-AFBF-9C2DC9214863}"/>
    <cellStyle name="Normal 6 2 5 3 2 2" xfId="10214" xr:uid="{6AAD44AF-B9DA-4C89-B1E1-7D4C1E0D31CB}"/>
    <cellStyle name="Normal 6 2 5 3 3" xfId="7404" xr:uid="{CE8D7F1D-8789-4EFF-ABAB-64BBDA48C457}"/>
    <cellStyle name="Normal 6 2 5 4" xfId="3177" xr:uid="{90B581A6-7C70-4FF7-8085-74DF2CEFE125}"/>
    <cellStyle name="Normal 6 2 5 4 2" xfId="8813" xr:uid="{CF4FFD56-E7B1-4C20-855B-2237C07D73A5}"/>
    <cellStyle name="Normal 6 2 5 5" xfId="6003" xr:uid="{43AFB5F0-0C2A-4AD9-B92D-060F4EFD933F}"/>
    <cellStyle name="Normal 6 2 6" xfId="719" xr:uid="{4DD8362A-1DDC-4A8E-A9AB-BD75C9A022F6}"/>
    <cellStyle name="Normal 6 2 6 2" xfId="2120" xr:uid="{51EB4BF3-0F68-4FE7-BE9A-4CC2B67856F9}"/>
    <cellStyle name="Normal 6 2 6 2 2" xfId="4930" xr:uid="{B427B00E-AD6E-4F09-9EC0-C35543962E13}"/>
    <cellStyle name="Normal 6 2 6 2 2 2" xfId="10566" xr:uid="{A4BDBB46-0CE0-41D5-BB95-314EBCE2DF4A}"/>
    <cellStyle name="Normal 6 2 6 2 3" xfId="7756" xr:uid="{412FD741-A462-4A6F-9AEB-D90138EAF637}"/>
    <cellStyle name="Normal 6 2 6 3" xfId="3529" xr:uid="{87F4AC2C-B1CA-4832-9116-BE85B2F9BEFC}"/>
    <cellStyle name="Normal 6 2 6 3 2" xfId="9165" xr:uid="{0D7ABD61-F842-4BA8-909D-8D75B4AC6B5D}"/>
    <cellStyle name="Normal 6 2 6 4" xfId="6355" xr:uid="{71B26CD6-8463-444E-A5DF-E6E4D3CDABB2}"/>
    <cellStyle name="Normal 6 2 7" xfId="1424" xr:uid="{19AC6F50-F1B0-4E9E-8EE8-F2A39DC47A31}"/>
    <cellStyle name="Normal 6 2 7 2" xfId="4234" xr:uid="{8692DBCD-091C-4D35-A1CB-2F79E4F19251}"/>
    <cellStyle name="Normal 6 2 7 2 2" xfId="9870" xr:uid="{2AC719E9-7016-4119-83E9-C8A3CCB7A452}"/>
    <cellStyle name="Normal 6 2 7 3" xfId="7060" xr:uid="{5651F6C1-0CAA-4168-A8AF-F6969BF75AA8}"/>
    <cellStyle name="Normal 6 2 8" xfId="2833" xr:uid="{6BA58DC1-F8B5-4E4F-97E2-402E74DBCF1D}"/>
    <cellStyle name="Normal 6 2 8 2" xfId="8469" xr:uid="{8048CFEC-49DE-4D73-BB78-08206532B827}"/>
    <cellStyle name="Normal 6 2 9" xfId="5659" xr:uid="{D09F12DA-7D66-4B4F-A7DD-CA7A5899C1EF}"/>
    <cellStyle name="Normal 6 3" xfId="43" xr:uid="{2E505374-D033-4AAA-9D72-9102BB0ED411}"/>
    <cellStyle name="Normal 6 3 2" xfId="123" xr:uid="{0B60DB2F-611F-4E4C-9B0C-5ADDE49E1630}"/>
    <cellStyle name="Normal 6 3 2 2" xfId="295" xr:uid="{EE49A471-A9D3-45C6-931F-1FAE1ECBCE2E}"/>
    <cellStyle name="Normal 6 3 2 2 2" xfId="639" xr:uid="{CA1217C3-1AE8-4182-8F1D-82115F0F0008}"/>
    <cellStyle name="Normal 6 3 2 2 2 2" xfId="1335" xr:uid="{F4E2CE8C-2E6B-4942-94D5-437972A1256A}"/>
    <cellStyle name="Normal 6 3 2 2 2 2 2" xfId="2736" xr:uid="{56250200-7F42-46C0-BF07-69AFA1EBB0FB}"/>
    <cellStyle name="Normal 6 3 2 2 2 2 2 2" xfId="5546" xr:uid="{5F93F34B-9C81-497C-9014-93108094DBE0}"/>
    <cellStyle name="Normal 6 3 2 2 2 2 2 2 2" xfId="11182" xr:uid="{6261D99C-A0ED-4B01-9052-8C7CCBADBDFE}"/>
    <cellStyle name="Normal 6 3 2 2 2 2 2 3" xfId="8372" xr:uid="{567DC6EA-E4A2-4DEB-BCDB-05D252F95317}"/>
    <cellStyle name="Normal 6 3 2 2 2 2 3" xfId="4145" xr:uid="{4EB2BA71-EBF2-41A4-A197-089A2D5CF604}"/>
    <cellStyle name="Normal 6 3 2 2 2 2 3 2" xfId="9781" xr:uid="{E6B887DB-9CD3-46E1-A1DD-9E30EE3F11BB}"/>
    <cellStyle name="Normal 6 3 2 2 2 2 4" xfId="6971" xr:uid="{5E97E8C3-3C98-41EF-A064-D04BB2C8B6C3}"/>
    <cellStyle name="Normal 6 3 2 2 2 3" xfId="2040" xr:uid="{AAD3B65C-3156-4AEF-916A-25289EF0D6D1}"/>
    <cellStyle name="Normal 6 3 2 2 2 3 2" xfId="4850" xr:uid="{ED472E68-E05B-424C-8BA2-8C4320B1C95D}"/>
    <cellStyle name="Normal 6 3 2 2 2 3 2 2" xfId="10486" xr:uid="{B074D83E-1F13-470D-A7CB-6DF1D539285F}"/>
    <cellStyle name="Normal 6 3 2 2 2 3 3" xfId="7676" xr:uid="{58C9122F-C026-49C9-8597-C025394CA387}"/>
    <cellStyle name="Normal 6 3 2 2 2 4" xfId="3449" xr:uid="{BE2D3C17-711A-41AF-8F1F-E7C7CBF27247}"/>
    <cellStyle name="Normal 6 3 2 2 2 4 2" xfId="9085" xr:uid="{2D1989BE-8E0C-4367-A445-CECBA8BC9765}"/>
    <cellStyle name="Normal 6 3 2 2 2 5" xfId="6275" xr:uid="{A627D238-C9F6-4A71-875A-5E798E87E201}"/>
    <cellStyle name="Normal 6 3 2 2 3" xfId="991" xr:uid="{8ABBF92D-8AE5-4F89-AD09-0500BF55E31D}"/>
    <cellStyle name="Normal 6 3 2 2 3 2" xfId="2392" xr:uid="{75CFB46B-5E7C-4C1E-A539-1F7F81C29337}"/>
    <cellStyle name="Normal 6 3 2 2 3 2 2" xfId="5202" xr:uid="{105CEF1D-457E-43FC-8175-CCD2D6624453}"/>
    <cellStyle name="Normal 6 3 2 2 3 2 2 2" xfId="10838" xr:uid="{02F36C3D-A0F7-4862-AD4E-9FD8397087E6}"/>
    <cellStyle name="Normal 6 3 2 2 3 2 3" xfId="8028" xr:uid="{3D5E57AF-CA29-4796-A91D-C56E86C8BD77}"/>
    <cellStyle name="Normal 6 3 2 2 3 3" xfId="3801" xr:uid="{E40C46E6-2F83-491D-B40B-47CBA03021FF}"/>
    <cellStyle name="Normal 6 3 2 2 3 3 2" xfId="9437" xr:uid="{F3F8EFA5-6A74-42FE-BCF0-7084FA02DE47}"/>
    <cellStyle name="Normal 6 3 2 2 3 4" xfId="6627" xr:uid="{481DF4C7-9600-447F-B429-4F076A62BEC6}"/>
    <cellStyle name="Normal 6 3 2 2 4" xfId="1696" xr:uid="{28271B08-7EEE-4293-9C87-0DAF60A7272F}"/>
    <cellStyle name="Normal 6 3 2 2 4 2" xfId="4506" xr:uid="{077EA480-F7C7-414E-88E4-1F4B7C3D56A3}"/>
    <cellStyle name="Normal 6 3 2 2 4 2 2" xfId="10142" xr:uid="{9B645892-F2D0-494A-9A63-CCC642396192}"/>
    <cellStyle name="Normal 6 3 2 2 4 3" xfId="7332" xr:uid="{2FAEDD69-8CE0-401A-85D8-4A749654B8FD}"/>
    <cellStyle name="Normal 6 3 2 2 5" xfId="3105" xr:uid="{9EAC88D4-F14C-4241-B7CA-1F85B4BD2F71}"/>
    <cellStyle name="Normal 6 3 2 2 5 2" xfId="8741" xr:uid="{809DD497-81BE-413E-8D38-F55598F433FB}"/>
    <cellStyle name="Normal 6 3 2 2 6" xfId="5931" xr:uid="{C214C1D8-FDA6-45D6-B03B-E824BDDE9A3C}"/>
    <cellStyle name="Normal 6 3 2 3" xfId="467" xr:uid="{5CFD3E7D-1930-4F63-9670-8DDA0D412AA6}"/>
    <cellStyle name="Normal 6 3 2 3 2" xfId="1163" xr:uid="{19577F25-150E-43EB-894F-819B9D7AC107}"/>
    <cellStyle name="Normal 6 3 2 3 2 2" xfId="2564" xr:uid="{EA67142E-7052-4BF5-9BE8-CF29064F8F45}"/>
    <cellStyle name="Normal 6 3 2 3 2 2 2" xfId="5374" xr:uid="{9C2616AF-5A51-49C0-9AB6-6F4134501280}"/>
    <cellStyle name="Normal 6 3 2 3 2 2 2 2" xfId="11010" xr:uid="{031E65C4-06AE-4FE3-931F-9DB159857F50}"/>
    <cellStyle name="Normal 6 3 2 3 2 2 3" xfId="8200" xr:uid="{DFDBD2DA-E48C-4F30-84A8-2AA9D50EAA1F}"/>
    <cellStyle name="Normal 6 3 2 3 2 3" xfId="3973" xr:uid="{C467E742-7C86-4703-ADD6-0E3182DFE12E}"/>
    <cellStyle name="Normal 6 3 2 3 2 3 2" xfId="9609" xr:uid="{63BA5DFA-95A3-494A-B51B-45A48524DFE2}"/>
    <cellStyle name="Normal 6 3 2 3 2 4" xfId="6799" xr:uid="{8F6D9779-F33E-4B96-B9FF-148B5AECDB2D}"/>
    <cellStyle name="Normal 6 3 2 3 3" xfId="1868" xr:uid="{46DAF057-668A-4A7B-A2B2-DC6EDA1FEB3A}"/>
    <cellStyle name="Normal 6 3 2 3 3 2" xfId="4678" xr:uid="{08D28152-B938-44BE-9A8D-588C05220082}"/>
    <cellStyle name="Normal 6 3 2 3 3 2 2" xfId="10314" xr:uid="{F584E8A5-9EB3-458F-B713-C165F1E9FFCB}"/>
    <cellStyle name="Normal 6 3 2 3 3 3" xfId="7504" xr:uid="{18057AD3-F97F-4226-8EFB-822F894FF31C}"/>
    <cellStyle name="Normal 6 3 2 3 4" xfId="3277" xr:uid="{BEC69271-11E3-4475-876B-227FC371543D}"/>
    <cellStyle name="Normal 6 3 2 3 4 2" xfId="8913" xr:uid="{CFF0DC20-D3B7-46CA-8791-24D665425E16}"/>
    <cellStyle name="Normal 6 3 2 3 5" xfId="6103" xr:uid="{DAD9E5BE-825F-4446-85C4-5680037AE9EE}"/>
    <cellStyle name="Normal 6 3 2 4" xfId="819" xr:uid="{7B0B54BD-26D3-4C45-80FD-3D9859C5EFBA}"/>
    <cellStyle name="Normal 6 3 2 4 2" xfId="2220" xr:uid="{77104CC3-3F28-415E-AB3E-7F3C632829E8}"/>
    <cellStyle name="Normal 6 3 2 4 2 2" xfId="5030" xr:uid="{7D48E2F1-7BA3-4417-974B-6993546BDCB4}"/>
    <cellStyle name="Normal 6 3 2 4 2 2 2" xfId="10666" xr:uid="{DC8D63AD-7F45-44FC-900D-2968108ADEB5}"/>
    <cellStyle name="Normal 6 3 2 4 2 3" xfId="7856" xr:uid="{887FC741-D6B5-4AB9-A90A-9B3A37E17E69}"/>
    <cellStyle name="Normal 6 3 2 4 3" xfId="3629" xr:uid="{E1C492BB-C170-4777-BED6-166ADB0B511C}"/>
    <cellStyle name="Normal 6 3 2 4 3 2" xfId="9265" xr:uid="{9C7CD907-8379-4993-AC12-E69AC70205CF}"/>
    <cellStyle name="Normal 6 3 2 4 4" xfId="6455" xr:uid="{55F14854-779A-44E1-BABB-0F57D173370A}"/>
    <cellStyle name="Normal 6 3 2 5" xfId="1524" xr:uid="{163E48B4-2A57-41A5-8A87-10722581F65D}"/>
    <cellStyle name="Normal 6 3 2 5 2" xfId="4334" xr:uid="{9F31E511-DBC3-449E-BE19-AEF2350D1380}"/>
    <cellStyle name="Normal 6 3 2 5 2 2" xfId="9970" xr:uid="{18BB4C95-6B6D-44D7-8924-622AC1629A9C}"/>
    <cellStyle name="Normal 6 3 2 5 3" xfId="7160" xr:uid="{928DF6B1-B01B-4D75-974D-2C529ADB11F3}"/>
    <cellStyle name="Normal 6 3 2 6" xfId="2933" xr:uid="{5A53333E-5B7C-469F-ACD2-A169C070D7BB}"/>
    <cellStyle name="Normal 6 3 2 6 2" xfId="8569" xr:uid="{9CC254EC-EC29-422D-ABD6-0C2DFF999531}"/>
    <cellStyle name="Normal 6 3 2 7" xfId="5759" xr:uid="{A39F443E-BA4A-427F-B9F5-FD7369D62CE9}"/>
    <cellStyle name="Normal 6 3 3" xfId="215" xr:uid="{0EBB0F75-95A6-4E21-9C31-0B3A6012D75D}"/>
    <cellStyle name="Normal 6 3 3 2" xfId="559" xr:uid="{4E74ECB6-776A-4D12-80CE-F1B7FFC05A4E}"/>
    <cellStyle name="Normal 6 3 3 2 2" xfId="1255" xr:uid="{F1AF02E0-FD79-4A58-87FD-184798BAFA9B}"/>
    <cellStyle name="Normal 6 3 3 2 2 2" xfId="2656" xr:uid="{6105422F-C522-4035-9AB7-D2E1BB2D7C95}"/>
    <cellStyle name="Normal 6 3 3 2 2 2 2" xfId="5466" xr:uid="{809AD7D8-EB7F-4FF6-83B2-C9F497A4F5F3}"/>
    <cellStyle name="Normal 6 3 3 2 2 2 2 2" xfId="11102" xr:uid="{7E174280-8289-4744-BA70-A09001AB9A8A}"/>
    <cellStyle name="Normal 6 3 3 2 2 2 3" xfId="8292" xr:uid="{23EABBAC-E39A-4822-8A16-8F8DDFC5D409}"/>
    <cellStyle name="Normal 6 3 3 2 2 3" xfId="4065" xr:uid="{B8CAF434-0E5F-46DB-B22A-6C6622A67FAF}"/>
    <cellStyle name="Normal 6 3 3 2 2 3 2" xfId="9701" xr:uid="{FD5C687E-8335-416B-803E-6EC24A77DF9C}"/>
    <cellStyle name="Normal 6 3 3 2 2 4" xfId="6891" xr:uid="{418A793C-6C0A-4061-9250-146B18E03251}"/>
    <cellStyle name="Normal 6 3 3 2 3" xfId="1960" xr:uid="{9CF5D46E-BCEE-44DC-8FCF-9A285790D6B2}"/>
    <cellStyle name="Normal 6 3 3 2 3 2" xfId="4770" xr:uid="{6E69BF97-5F8A-477D-8D65-652D1537D230}"/>
    <cellStyle name="Normal 6 3 3 2 3 2 2" xfId="10406" xr:uid="{D6926877-ACC4-41F9-9078-659EFE7DF78E}"/>
    <cellStyle name="Normal 6 3 3 2 3 3" xfId="7596" xr:uid="{601FFB47-0977-46BD-9705-F34FB9E82046}"/>
    <cellStyle name="Normal 6 3 3 2 4" xfId="3369" xr:uid="{B7DD2986-DB6F-4969-BA02-B979CBB0C292}"/>
    <cellStyle name="Normal 6 3 3 2 4 2" xfId="9005" xr:uid="{3219800A-03D6-49CE-8873-64E0216A3D09}"/>
    <cellStyle name="Normal 6 3 3 2 5" xfId="6195" xr:uid="{89E4E432-4FFA-4093-ADCC-7D5EA1E46ABD}"/>
    <cellStyle name="Normal 6 3 3 3" xfId="911" xr:uid="{F606FA98-1695-4379-AC8F-B5867ADE619D}"/>
    <cellStyle name="Normal 6 3 3 3 2" xfId="2312" xr:uid="{DF6EB30D-80B4-4646-9347-C11B619EE0C1}"/>
    <cellStyle name="Normal 6 3 3 3 2 2" xfId="5122" xr:uid="{D754406F-4098-4A6C-871D-D77E24C046EC}"/>
    <cellStyle name="Normal 6 3 3 3 2 2 2" xfId="10758" xr:uid="{2093D6A0-3E7D-4ADB-893B-F1CE12058F12}"/>
    <cellStyle name="Normal 6 3 3 3 2 3" xfId="7948" xr:uid="{511D0CF3-2599-44FB-A5D4-355A470B48F0}"/>
    <cellStyle name="Normal 6 3 3 3 3" xfId="3721" xr:uid="{43378E92-95FF-4DBC-B886-0EBEF23AA226}"/>
    <cellStyle name="Normal 6 3 3 3 3 2" xfId="9357" xr:uid="{3F508629-94C9-42F4-8BFD-90C01E3F83C6}"/>
    <cellStyle name="Normal 6 3 3 3 4" xfId="6547" xr:uid="{FEB3C6E3-E16A-4E32-B0F3-7FD5A47B0267}"/>
    <cellStyle name="Normal 6 3 3 4" xfId="1616" xr:uid="{94A10AEF-574A-4E1A-ACD2-FCBE5456A70E}"/>
    <cellStyle name="Normal 6 3 3 4 2" xfId="4426" xr:uid="{32A10CDB-2D9A-4E41-867A-AABFA70B69AF}"/>
    <cellStyle name="Normal 6 3 3 4 2 2" xfId="10062" xr:uid="{068C48A1-FEEE-48C5-9058-9E8BD3A0CD9B}"/>
    <cellStyle name="Normal 6 3 3 4 3" xfId="7252" xr:uid="{B3D723A3-4258-4A86-AD0F-0980BD497E0A}"/>
    <cellStyle name="Normal 6 3 3 5" xfId="3025" xr:uid="{890CA783-6CF3-4C77-A9AC-5F19C3B164B1}"/>
    <cellStyle name="Normal 6 3 3 5 2" xfId="8661" xr:uid="{472F64D2-915B-4726-9611-06EEF03BD013}"/>
    <cellStyle name="Normal 6 3 3 6" xfId="5851" xr:uid="{B122EEA2-A4C4-47F2-B525-4B86F76D5023}"/>
    <cellStyle name="Normal 6 3 4" xfId="387" xr:uid="{AD7D3642-1A58-4301-9F2C-5A9434581A61}"/>
    <cellStyle name="Normal 6 3 4 2" xfId="1083" xr:uid="{9E1BF0ED-8274-4027-B39A-5FE31557DA7A}"/>
    <cellStyle name="Normal 6 3 4 2 2" xfId="2484" xr:uid="{2CF01D21-2490-43B5-8A34-91A2E33BF8A9}"/>
    <cellStyle name="Normal 6 3 4 2 2 2" xfId="5294" xr:uid="{6DEDF5CD-93BC-4A2F-98FB-B530BA5C227C}"/>
    <cellStyle name="Normal 6 3 4 2 2 2 2" xfId="10930" xr:uid="{0E112B7A-1B41-46FF-AAEA-6B008D0D42C3}"/>
    <cellStyle name="Normal 6 3 4 2 2 3" xfId="8120" xr:uid="{A6D98317-2F2E-4E85-9169-F0E089D980EC}"/>
    <cellStyle name="Normal 6 3 4 2 3" xfId="3893" xr:uid="{08D56114-720F-44C3-99AE-F3BE2393C992}"/>
    <cellStyle name="Normal 6 3 4 2 3 2" xfId="9529" xr:uid="{D1D676F0-7621-44FC-8BE3-229C8DE6054C}"/>
    <cellStyle name="Normal 6 3 4 2 4" xfId="6719" xr:uid="{AA1AABEA-DCE0-4C9E-9AA6-61D93FD38A2E}"/>
    <cellStyle name="Normal 6 3 4 3" xfId="1788" xr:uid="{14E60494-FAB0-4948-8751-A8B3497130FA}"/>
    <cellStyle name="Normal 6 3 4 3 2" xfId="4598" xr:uid="{46808965-AED6-4B7A-B19F-6B80BE534960}"/>
    <cellStyle name="Normal 6 3 4 3 2 2" xfId="10234" xr:uid="{8B7BAE53-17F3-4682-9963-0E64D2865B5D}"/>
    <cellStyle name="Normal 6 3 4 3 3" xfId="7424" xr:uid="{F60FCE36-E2C0-42CA-B56F-D76AEFC7AAA7}"/>
    <cellStyle name="Normal 6 3 4 4" xfId="3197" xr:uid="{C5D5DC5D-A655-42A7-8FE0-E31A6630124D}"/>
    <cellStyle name="Normal 6 3 4 4 2" xfId="8833" xr:uid="{E6B3B80C-6880-411C-A9F1-D396E3AF617D}"/>
    <cellStyle name="Normal 6 3 4 5" xfId="6023" xr:uid="{F32D0AC3-CC7D-46ED-B005-E896D99CB825}"/>
    <cellStyle name="Normal 6 3 5" xfId="739" xr:uid="{7A34664D-5DE2-485A-9D4C-4B1C4EE670E1}"/>
    <cellStyle name="Normal 6 3 5 2" xfId="2140" xr:uid="{DDFA9860-2B9C-429D-9D23-34DEB9299F10}"/>
    <cellStyle name="Normal 6 3 5 2 2" xfId="4950" xr:uid="{95A84C38-52C8-40DA-9AF8-4DA5916553CD}"/>
    <cellStyle name="Normal 6 3 5 2 2 2" xfId="10586" xr:uid="{0959D374-77F8-4C46-AF1B-C2E82F1C493F}"/>
    <cellStyle name="Normal 6 3 5 2 3" xfId="7776" xr:uid="{1BF2611A-4773-4EEA-ACB3-685EC0E2E074}"/>
    <cellStyle name="Normal 6 3 5 3" xfId="3549" xr:uid="{984024B9-15A9-4366-9832-8939C0C44881}"/>
    <cellStyle name="Normal 6 3 5 3 2" xfId="9185" xr:uid="{2858BC5E-B87D-4050-A1D0-0819FF5A32EC}"/>
    <cellStyle name="Normal 6 3 5 4" xfId="6375" xr:uid="{45294188-26DA-40FB-AA71-FD11FD519754}"/>
    <cellStyle name="Normal 6 3 6" xfId="1444" xr:uid="{3BC5EBE3-3CC6-458D-AF79-29F674B45A14}"/>
    <cellStyle name="Normal 6 3 6 2" xfId="4254" xr:uid="{EDAEB0EF-ADDE-4DFA-ADA7-67E906300A07}"/>
    <cellStyle name="Normal 6 3 6 2 2" xfId="9890" xr:uid="{315B6A25-E231-4039-989C-0F8053F4C2E5}"/>
    <cellStyle name="Normal 6 3 6 3" xfId="7080" xr:uid="{01F23394-10FD-453E-B849-F3B1A8A4A6A6}"/>
    <cellStyle name="Normal 6 3 7" xfId="2853" xr:uid="{4456C60D-EE76-4D48-8291-8398C2A66837}"/>
    <cellStyle name="Normal 6 3 7 2" xfId="8489" xr:uid="{102A8998-6FC5-49AA-870F-1B0D878E5B15}"/>
    <cellStyle name="Normal 6 3 8" xfId="5679" xr:uid="{92965C63-09EB-46E0-869B-00D1BAEF4067}"/>
    <cellStyle name="Normal 6 4" xfId="91" xr:uid="{6484A3E8-BF1B-456A-A1AA-70D8B54027A3}"/>
    <cellStyle name="Normal 6 4 2" xfId="263" xr:uid="{48FEE98C-8490-438D-9FE0-85C44F224067}"/>
    <cellStyle name="Normal 6 4 2 2" xfId="607" xr:uid="{AAF95D0C-715E-4C7B-9FE1-5A54807EFE54}"/>
    <cellStyle name="Normal 6 4 2 2 2" xfId="1303" xr:uid="{2F196290-DE49-414A-BE6A-85AC19C2D706}"/>
    <cellStyle name="Normal 6 4 2 2 2 2" xfId="2704" xr:uid="{95F16FC6-9176-42CD-8AB9-75567CD84D9D}"/>
    <cellStyle name="Normal 6 4 2 2 2 2 2" xfId="5514" xr:uid="{53A50AE9-13EF-4149-ABD9-7385DB4F5CE0}"/>
    <cellStyle name="Normal 6 4 2 2 2 2 2 2" xfId="11150" xr:uid="{D2EDE6E9-C4E6-42BA-BA29-075EA44D89D4}"/>
    <cellStyle name="Normal 6 4 2 2 2 2 3" xfId="8340" xr:uid="{C0BFFC76-BE61-45D6-8398-BC107037B67F}"/>
    <cellStyle name="Normal 6 4 2 2 2 3" xfId="4113" xr:uid="{29E6041C-24FF-4019-9EB0-B7C11792506F}"/>
    <cellStyle name="Normal 6 4 2 2 2 3 2" xfId="9749" xr:uid="{D98CC89D-AAB7-45AD-8786-2A419E1EFDB8}"/>
    <cellStyle name="Normal 6 4 2 2 2 4" xfId="6939" xr:uid="{BF6912F7-A39A-4EFF-9AEB-2FEA53AED9EF}"/>
    <cellStyle name="Normal 6 4 2 2 3" xfId="2008" xr:uid="{D61F31AB-7AEC-4804-B61A-314CF1A7F0E9}"/>
    <cellStyle name="Normal 6 4 2 2 3 2" xfId="4818" xr:uid="{0AC0CEB9-6BED-448A-965F-64D46312710D}"/>
    <cellStyle name="Normal 6 4 2 2 3 2 2" xfId="10454" xr:uid="{CC5605DF-42BD-4B96-997C-ED34828C5912}"/>
    <cellStyle name="Normal 6 4 2 2 3 3" xfId="7644" xr:uid="{F2BC8562-BFBE-498F-87D4-725FCE4F9D61}"/>
    <cellStyle name="Normal 6 4 2 2 4" xfId="3417" xr:uid="{D6B77E86-94C6-42BC-80BE-E378764F2928}"/>
    <cellStyle name="Normal 6 4 2 2 4 2" xfId="9053" xr:uid="{A9A267FA-5AFE-4C9D-A9A8-0A2319D40EF9}"/>
    <cellStyle name="Normal 6 4 2 2 5" xfId="6243" xr:uid="{CE8666A9-9FD4-48ED-ACF2-E72935C01B10}"/>
    <cellStyle name="Normal 6 4 2 3" xfId="959" xr:uid="{FFBE8754-CE28-405A-81CF-C127CDFF09CD}"/>
    <cellStyle name="Normal 6 4 2 3 2" xfId="2360" xr:uid="{AAF8AFCC-E9FA-43A7-B872-3DBB84764453}"/>
    <cellStyle name="Normal 6 4 2 3 2 2" xfId="5170" xr:uid="{8758BB3B-D915-462A-849D-972CD56E1BD3}"/>
    <cellStyle name="Normal 6 4 2 3 2 2 2" xfId="10806" xr:uid="{225DA65B-373C-4E0B-B9A9-5999A1928013}"/>
    <cellStyle name="Normal 6 4 2 3 2 3" xfId="7996" xr:uid="{EDB8DB7E-53A5-431C-92B6-7C2002004C79}"/>
    <cellStyle name="Normal 6 4 2 3 3" xfId="3769" xr:uid="{3D905A82-953C-46A4-A151-BB0E9CE025C2}"/>
    <cellStyle name="Normal 6 4 2 3 3 2" xfId="9405" xr:uid="{435DF469-D6BA-4860-AD3F-3CE2F3830407}"/>
    <cellStyle name="Normal 6 4 2 3 4" xfId="6595" xr:uid="{834AF011-B664-457D-B1E8-652A7C70817F}"/>
    <cellStyle name="Normal 6 4 2 4" xfId="1664" xr:uid="{5B66F4A3-AFA7-4975-8AA9-2F5D54F65E80}"/>
    <cellStyle name="Normal 6 4 2 4 2" xfId="4474" xr:uid="{09282389-F26D-4ADC-9483-807AC6832613}"/>
    <cellStyle name="Normal 6 4 2 4 2 2" xfId="10110" xr:uid="{B12D4F1E-65D3-4982-B392-84FBF02E6F5E}"/>
    <cellStyle name="Normal 6 4 2 4 3" xfId="7300" xr:uid="{3BC10328-ACB0-4F69-BAA4-A25A71406E34}"/>
    <cellStyle name="Normal 6 4 2 5" xfId="3073" xr:uid="{B0604C89-9FA4-40B5-BA19-57CBB09F083A}"/>
    <cellStyle name="Normal 6 4 2 5 2" xfId="8709" xr:uid="{3CB196DA-4C1C-4A32-AAFC-6DD2C79A9409}"/>
    <cellStyle name="Normal 6 4 2 6" xfId="5899" xr:uid="{DF42E2F6-E91D-4E3E-A092-4AB651E0F72B}"/>
    <cellStyle name="Normal 6 4 3" xfId="435" xr:uid="{80C22F79-F66F-4C19-A949-D11B5700C489}"/>
    <cellStyle name="Normal 6 4 3 2" xfId="1131" xr:uid="{3A386524-064F-4D7F-B813-D8493072FB00}"/>
    <cellStyle name="Normal 6 4 3 2 2" xfId="2532" xr:uid="{50BC9901-3BC9-4543-ACCA-1504D48E835F}"/>
    <cellStyle name="Normal 6 4 3 2 2 2" xfId="5342" xr:uid="{F826FD3C-0BC5-449E-9B4C-180C74E32A7E}"/>
    <cellStyle name="Normal 6 4 3 2 2 2 2" xfId="10978" xr:uid="{F4359813-81EB-49A7-85D8-DBBEF544950F}"/>
    <cellStyle name="Normal 6 4 3 2 2 3" xfId="8168" xr:uid="{1CBF60EA-A606-4B4D-B6D8-471D8D562F7B}"/>
    <cellStyle name="Normal 6 4 3 2 3" xfId="3941" xr:uid="{0398E25E-F553-4B44-BA0C-A12A7AFA022F}"/>
    <cellStyle name="Normal 6 4 3 2 3 2" xfId="9577" xr:uid="{F94CAC9A-A551-4FA6-BC57-218D8970EB01}"/>
    <cellStyle name="Normal 6 4 3 2 4" xfId="6767" xr:uid="{C9B66C97-DE5D-4F8A-9B14-062403F3A32B}"/>
    <cellStyle name="Normal 6 4 3 3" xfId="1836" xr:uid="{34977827-7C6F-449A-9CD8-C2A281A7F115}"/>
    <cellStyle name="Normal 6 4 3 3 2" xfId="4646" xr:uid="{BA27CA7D-B43A-4AAB-89BC-0C4F36D88B3C}"/>
    <cellStyle name="Normal 6 4 3 3 2 2" xfId="10282" xr:uid="{79305A71-5031-462C-A223-533F8296D60D}"/>
    <cellStyle name="Normal 6 4 3 3 3" xfId="7472" xr:uid="{72FB8B3B-FEFE-4AFC-8905-460B7CF568C9}"/>
    <cellStyle name="Normal 6 4 3 4" xfId="3245" xr:uid="{DF1BF70A-2E3C-4395-A8E0-C65D0D9AE782}"/>
    <cellStyle name="Normal 6 4 3 4 2" xfId="8881" xr:uid="{7E73508C-2D78-490B-B733-DEB6A967FA74}"/>
    <cellStyle name="Normal 6 4 3 5" xfId="6071" xr:uid="{3435106A-EAC9-467C-8463-8EFB6FF6FCD5}"/>
    <cellStyle name="Normal 6 4 4" xfId="787" xr:uid="{6C225FA3-8A9D-4499-8F7E-A523839F5A58}"/>
    <cellStyle name="Normal 6 4 4 2" xfId="2188" xr:uid="{4494D1BA-27FE-4A18-BF50-562F437EA925}"/>
    <cellStyle name="Normal 6 4 4 2 2" xfId="4998" xr:uid="{40118D9A-71D9-4D78-AEE3-56EC4E5247ED}"/>
    <cellStyle name="Normal 6 4 4 2 2 2" xfId="10634" xr:uid="{8543A9DC-0737-4BB5-BEAF-C2A70D32AC85}"/>
    <cellStyle name="Normal 6 4 4 2 3" xfId="7824" xr:uid="{348E38E7-CB84-4C6F-9E37-E31330B93187}"/>
    <cellStyle name="Normal 6 4 4 3" xfId="3597" xr:uid="{0D58AD45-19B8-4765-A52D-22B41F618758}"/>
    <cellStyle name="Normal 6 4 4 3 2" xfId="9233" xr:uid="{9A35FE3D-AE95-4D77-BFAC-88B969C42251}"/>
    <cellStyle name="Normal 6 4 4 4" xfId="6423" xr:uid="{9A5E0795-6383-48C3-A483-BAF69CEB5A54}"/>
    <cellStyle name="Normal 6 4 5" xfId="1492" xr:uid="{0BB9CDB6-5F4C-4167-A796-D2CF55A54DDC}"/>
    <cellStyle name="Normal 6 4 5 2" xfId="4302" xr:uid="{EB08D3D1-2A23-458C-9E39-FB896E8EDC7E}"/>
    <cellStyle name="Normal 6 4 5 2 2" xfId="9938" xr:uid="{4116240D-99EE-47A1-B82F-6EC143D0DAAA}"/>
    <cellStyle name="Normal 6 4 5 3" xfId="7128" xr:uid="{6C51886D-9037-40FF-B424-FB0B7A1A3512}"/>
    <cellStyle name="Normal 6 4 6" xfId="2901" xr:uid="{E3627D33-F534-4E00-8559-C4699DAFDBC7}"/>
    <cellStyle name="Normal 6 4 6 2" xfId="8537" xr:uid="{81FA6D1E-CDB5-4CAF-B60D-B41CD41FD397}"/>
    <cellStyle name="Normal 6 4 7" xfId="5727" xr:uid="{75941D46-D58A-40A4-93E6-1901D86B631B}"/>
    <cellStyle name="Normal 6 5" xfId="183" xr:uid="{0B217E55-77FC-482A-93F7-D740EBD24FF1}"/>
    <cellStyle name="Normal 6 5 2" xfId="527" xr:uid="{D4BB6932-8372-4D0D-A0CE-8D19BE5E14DF}"/>
    <cellStyle name="Normal 6 5 2 2" xfId="1223" xr:uid="{B63170BE-4B28-446F-BE11-AB0EB7A6ED17}"/>
    <cellStyle name="Normal 6 5 2 2 2" xfId="2624" xr:uid="{955C4551-AEDD-4AC1-8E44-96DB35D7EF36}"/>
    <cellStyle name="Normal 6 5 2 2 2 2" xfId="5434" xr:uid="{828295D1-C2A0-4997-A231-0060085D041A}"/>
    <cellStyle name="Normal 6 5 2 2 2 2 2" xfId="11070" xr:uid="{F6BF7AF8-AD29-48B5-BF3B-D3338B1C317B}"/>
    <cellStyle name="Normal 6 5 2 2 2 3" xfId="8260" xr:uid="{FE00212F-C62E-4933-A4AC-7171926C8173}"/>
    <cellStyle name="Normal 6 5 2 2 3" xfId="4033" xr:uid="{68558F96-3F8B-4506-B502-EFA9C9889D12}"/>
    <cellStyle name="Normal 6 5 2 2 3 2" xfId="9669" xr:uid="{390C9E0E-786F-4F1E-BEED-72E364F0152A}"/>
    <cellStyle name="Normal 6 5 2 2 4" xfId="6859" xr:uid="{4C850077-5F53-4820-8913-48881D845DF9}"/>
    <cellStyle name="Normal 6 5 2 3" xfId="1928" xr:uid="{0E7BB5A0-30D3-4432-BFAA-9DCA42093C9C}"/>
    <cellStyle name="Normal 6 5 2 3 2" xfId="4738" xr:uid="{89BE2767-59F5-4688-95C9-F31FCA2FA88D}"/>
    <cellStyle name="Normal 6 5 2 3 2 2" xfId="10374" xr:uid="{57886917-EF8F-4BC6-80A3-6A0E394EC603}"/>
    <cellStyle name="Normal 6 5 2 3 3" xfId="7564" xr:uid="{651C3E0F-FBB7-4A16-8C7F-469C572C4DF1}"/>
    <cellStyle name="Normal 6 5 2 4" xfId="3337" xr:uid="{0FBAEFB9-03F0-4296-A2E7-E67882FDA072}"/>
    <cellStyle name="Normal 6 5 2 4 2" xfId="8973" xr:uid="{46779106-658A-412C-9CEA-459AC0C26EC0}"/>
    <cellStyle name="Normal 6 5 2 5" xfId="6163" xr:uid="{C39CC8D6-A4D3-436F-92A0-77AD16D9C938}"/>
    <cellStyle name="Normal 6 5 3" xfId="879" xr:uid="{65F8C5DC-9BCF-46D9-8426-7951E20B3BBB}"/>
    <cellStyle name="Normal 6 5 3 2" xfId="2280" xr:uid="{FFE90404-6E15-4EA1-AF6E-C8D1593815BD}"/>
    <cellStyle name="Normal 6 5 3 2 2" xfId="5090" xr:uid="{FC107F5C-99C5-4072-8B6B-D3F4E13DA463}"/>
    <cellStyle name="Normal 6 5 3 2 2 2" xfId="10726" xr:uid="{7B207FDB-B076-4EB0-B388-601ADDDC21AF}"/>
    <cellStyle name="Normal 6 5 3 2 3" xfId="7916" xr:uid="{B6B8332D-6B97-4263-8DCE-E0CFAB7C2919}"/>
    <cellStyle name="Normal 6 5 3 3" xfId="3689" xr:uid="{0A8CA565-9DBE-4EF1-8CBB-254F0894F85C}"/>
    <cellStyle name="Normal 6 5 3 3 2" xfId="9325" xr:uid="{AE4D1816-E281-4695-82B5-FD6D2E0EAF19}"/>
    <cellStyle name="Normal 6 5 3 4" xfId="6515" xr:uid="{1D7FC0E2-1A0F-417D-AE52-AC3A4ECFB348}"/>
    <cellStyle name="Normal 6 5 4" xfId="1584" xr:uid="{6E2E0571-EC33-4CD2-A66F-A022F3EF4258}"/>
    <cellStyle name="Normal 6 5 4 2" xfId="4394" xr:uid="{56CA42C2-E653-4D46-8A26-41DA3FAB4652}"/>
    <cellStyle name="Normal 6 5 4 2 2" xfId="10030" xr:uid="{068B1015-0356-416C-B2C5-5E6C55CD720C}"/>
    <cellStyle name="Normal 6 5 4 3" xfId="7220" xr:uid="{3ED977DC-73A3-4AE1-8E54-FD7CD7D19A8A}"/>
    <cellStyle name="Normal 6 5 5" xfId="2993" xr:uid="{31D263EA-F399-4193-BFD3-41F0A0BCD55A}"/>
    <cellStyle name="Normal 6 5 5 2" xfId="8629" xr:uid="{C9073F78-72FB-4FF6-96F1-865CD7C4E1A5}"/>
    <cellStyle name="Normal 6 5 6" xfId="5819" xr:uid="{27C06619-8DCD-446B-88E8-470C7C538C33}"/>
    <cellStyle name="Normal 6 6" xfId="355" xr:uid="{5211D673-5A08-42FC-987B-738A9F77E7DE}"/>
    <cellStyle name="Normal 6 6 2" xfId="1051" xr:uid="{40322F13-3141-4AB4-9F7B-CBB874781087}"/>
    <cellStyle name="Normal 6 6 2 2" xfId="2452" xr:uid="{EA24A8E4-644C-45DB-A7A2-369E7A916B7E}"/>
    <cellStyle name="Normal 6 6 2 2 2" xfId="5262" xr:uid="{5A3CB267-23A0-4A38-A2D4-4598427B042A}"/>
    <cellStyle name="Normal 6 6 2 2 2 2" xfId="10898" xr:uid="{07A7AE99-E965-4B8B-921A-A265C70528A4}"/>
    <cellStyle name="Normal 6 6 2 2 3" xfId="8088" xr:uid="{89AA6B85-3707-4E53-AAD9-EA1A4C39CF72}"/>
    <cellStyle name="Normal 6 6 2 3" xfId="3861" xr:uid="{4A7783A9-731B-4A15-AC2C-F97065121BBC}"/>
    <cellStyle name="Normal 6 6 2 3 2" xfId="9497" xr:uid="{39438EE8-59B4-4787-B04A-DD6F432E1524}"/>
    <cellStyle name="Normal 6 6 2 4" xfId="6687" xr:uid="{1CD5977D-F971-4A58-81FC-82BB9906F85D}"/>
    <cellStyle name="Normal 6 6 3" xfId="1756" xr:uid="{2D802B91-83B7-4711-A1F7-ACC6E7EC7DCA}"/>
    <cellStyle name="Normal 6 6 3 2" xfId="4566" xr:uid="{870E130D-4821-47CB-A683-A505C67041E9}"/>
    <cellStyle name="Normal 6 6 3 2 2" xfId="10202" xr:uid="{7A87D32F-C265-40A6-A67C-8609B197F074}"/>
    <cellStyle name="Normal 6 6 3 3" xfId="7392" xr:uid="{C48CE522-D95E-4A55-A656-1F98B71BCA46}"/>
    <cellStyle name="Normal 6 6 4" xfId="3165" xr:uid="{7B96AF38-DA6A-44A8-959E-EC5DAE56988C}"/>
    <cellStyle name="Normal 6 6 4 2" xfId="8801" xr:uid="{D960C75E-EDB4-4BD0-BB65-CC89A9EBF65E}"/>
    <cellStyle name="Normal 6 6 5" xfId="5991" xr:uid="{318839E4-9C11-4F68-AEB7-BF2DE660DEE0}"/>
    <cellStyle name="Normal 6 7" xfId="707" xr:uid="{B72DC5D8-B25A-4184-8F22-91D46D9E1E5D}"/>
    <cellStyle name="Normal 6 7 2" xfId="2108" xr:uid="{B50C3CFB-F6B8-4732-9664-5388CE1F4B3A}"/>
    <cellStyle name="Normal 6 7 2 2" xfId="4918" xr:uid="{FEE4F0B9-13CB-48F1-A95B-2AE55BF6F1B7}"/>
    <cellStyle name="Normal 6 7 2 2 2" xfId="10554" xr:uid="{FC8FB50E-3B74-440B-8FB1-24CE79B570F7}"/>
    <cellStyle name="Normal 6 7 2 3" xfId="7744" xr:uid="{329B6495-050B-45D6-BD1E-8788F3D08DD8}"/>
    <cellStyle name="Normal 6 7 3" xfId="3517" xr:uid="{0364F6AE-DA5A-4CDB-A39E-851DA9C70A4C}"/>
    <cellStyle name="Normal 6 7 3 2" xfId="9153" xr:uid="{EAA56DEA-1FCD-4F7F-9A2F-AC5960EE39BA}"/>
    <cellStyle name="Normal 6 7 4" xfId="6343" xr:uid="{ADAFE4A1-2B8C-4E6A-8F0B-EF0ED3CFD84E}"/>
    <cellStyle name="Normal 6 8" xfId="1412" xr:uid="{A1E9C601-A85B-4C4B-984E-1B83E4452359}"/>
    <cellStyle name="Normal 6 8 2" xfId="4222" xr:uid="{BAEBE8E3-11C1-47FE-B4AE-35380D8AF67A}"/>
    <cellStyle name="Normal 6 8 2 2" xfId="9858" xr:uid="{B4054BFC-1249-42F1-AC4F-A3D757BD532D}"/>
    <cellStyle name="Normal 6 8 3" xfId="7048" xr:uid="{A7A9CB94-1D23-4C69-BCCC-3D801A88683D}"/>
    <cellStyle name="Normal 6 9" xfId="2821" xr:uid="{56A3E8CD-0FCB-454F-ABC4-EF5E4BBA9C33}"/>
    <cellStyle name="Normal 6 9 2" xfId="8457" xr:uid="{2D0E5B64-ADEB-4A32-93DA-0E75726A332C}"/>
    <cellStyle name="Normal 60" xfId="11284" xr:uid="{F121EDCC-8DA1-4CFF-AB53-A095A75FCCD1}"/>
    <cellStyle name="Normal 61" xfId="11285" xr:uid="{FB93D2B9-A405-44E6-A01C-7D320532F5D0}"/>
    <cellStyle name="Normal 62" xfId="5627" xr:uid="{20E9F1DB-2D3E-46AC-AD47-2E44A71F58C5}"/>
    <cellStyle name="Normal 62 2" xfId="11263" xr:uid="{96D22385-6A32-43A8-BF00-5C3D51D7C97E}"/>
    <cellStyle name="Normal 63" xfId="11286" xr:uid="{74241EF8-5DB2-4639-86E4-1E2F859E2A63}"/>
    <cellStyle name="Normal 64" xfId="11287" xr:uid="{ACA25C8D-1AF9-438B-9BD4-C33270B98129}"/>
    <cellStyle name="Normal 65" xfId="11288" xr:uid="{B69EAEBD-E3C8-4381-B9B7-2FF854DC56D5}"/>
    <cellStyle name="Normal 66" xfId="11289" xr:uid="{021BB8FD-4A27-40C3-AC38-89B9651A42A2}"/>
    <cellStyle name="Normal 67" xfId="11290" xr:uid="{B82143F4-6C50-4492-AB04-2A0358E61FCB}"/>
    <cellStyle name="Normal 68" xfId="11291" xr:uid="{600A4A58-6404-49F8-82AB-A8C3F974108A}"/>
    <cellStyle name="Normal 69" xfId="11292" xr:uid="{8DE06AAC-C9D5-463C-8A83-F2ED570EF86C}"/>
    <cellStyle name="Normal 7" xfId="13" xr:uid="{6BB56E0F-15E1-443D-BE9B-79DA15800DB7}"/>
    <cellStyle name="Normal 7 2" xfId="45" xr:uid="{44D85BF8-A4B7-4098-AB2D-ACBB4195E3E9}"/>
    <cellStyle name="Normal 7 2 2" xfId="125" xr:uid="{741956A3-51B5-4C4E-904A-639BA0FFA6F0}"/>
    <cellStyle name="Normal 7 2 2 2" xfId="297" xr:uid="{2F081B1B-8F21-4C36-A376-664C8B929284}"/>
    <cellStyle name="Normal 7 2 2 2 2" xfId="641" xr:uid="{D384814C-6CAD-4D7A-81E5-34E7AAF5C7E9}"/>
    <cellStyle name="Normal 7 2 2 2 2 2" xfId="1337" xr:uid="{D549920A-F021-41F3-A850-A7F635A8338F}"/>
    <cellStyle name="Normal 7 2 2 2 2 2 2" xfId="2738" xr:uid="{3F807539-FA79-4F16-8A78-03A63E21C799}"/>
    <cellStyle name="Normal 7 2 2 2 2 2 2 2" xfId="5548" xr:uid="{AC45879B-6840-466D-9201-B7812F880967}"/>
    <cellStyle name="Normal 7 2 2 2 2 2 2 2 2" xfId="11184" xr:uid="{B7339F7C-4EB3-4791-B231-118D35739230}"/>
    <cellStyle name="Normal 7 2 2 2 2 2 2 3" xfId="8374" xr:uid="{43F88F9B-9E38-4FA1-ACD2-94F479D81892}"/>
    <cellStyle name="Normal 7 2 2 2 2 2 3" xfId="4147" xr:uid="{21BFE471-493D-402C-AC48-2E81E13AA024}"/>
    <cellStyle name="Normal 7 2 2 2 2 2 3 2" xfId="9783" xr:uid="{6C1D87FD-7F9C-4000-BF2C-EB0EC6DD369C}"/>
    <cellStyle name="Normal 7 2 2 2 2 2 4" xfId="6973" xr:uid="{AB058511-8D91-4588-AB68-B1C357568A8C}"/>
    <cellStyle name="Normal 7 2 2 2 2 3" xfId="2042" xr:uid="{039C88C4-9B2D-40DC-9879-53032AE73ECA}"/>
    <cellStyle name="Normal 7 2 2 2 2 3 2" xfId="4852" xr:uid="{3AF607C0-B167-41AD-B25A-BC2691EF2AD9}"/>
    <cellStyle name="Normal 7 2 2 2 2 3 2 2" xfId="10488" xr:uid="{5221030E-0638-4613-9F70-E6FC03AB156C}"/>
    <cellStyle name="Normal 7 2 2 2 2 3 3" xfId="7678" xr:uid="{DE922DE7-D4FF-4DA7-80F1-EDFDCDA7429B}"/>
    <cellStyle name="Normal 7 2 2 2 2 4" xfId="3451" xr:uid="{8F731286-9565-431E-8C6C-DDE1FC039818}"/>
    <cellStyle name="Normal 7 2 2 2 2 4 2" xfId="9087" xr:uid="{5C10AFB2-A435-4167-BD8A-70422CBBB558}"/>
    <cellStyle name="Normal 7 2 2 2 2 5" xfId="6277" xr:uid="{6157E72C-AB33-479A-9B30-2A924BEE3B0F}"/>
    <cellStyle name="Normal 7 2 2 2 3" xfId="993" xr:uid="{81A71E14-2918-4E54-88AC-EEE7CFE304D4}"/>
    <cellStyle name="Normal 7 2 2 2 3 2" xfId="2394" xr:uid="{06FEE644-B58E-4180-A572-F4B4F8D35B94}"/>
    <cellStyle name="Normal 7 2 2 2 3 2 2" xfId="5204" xr:uid="{99D9B06B-2E4E-4108-B301-3BF8F6D64A4D}"/>
    <cellStyle name="Normal 7 2 2 2 3 2 2 2" xfId="10840" xr:uid="{0EAA6DBE-33E7-42F8-85E2-D45A2EF73D3D}"/>
    <cellStyle name="Normal 7 2 2 2 3 2 3" xfId="8030" xr:uid="{065452C0-9D93-4F79-B379-0A2C96674234}"/>
    <cellStyle name="Normal 7 2 2 2 3 3" xfId="3803" xr:uid="{65A1F7AA-6CBE-471D-9D2C-56770A5698F0}"/>
    <cellStyle name="Normal 7 2 2 2 3 3 2" xfId="9439" xr:uid="{9F8D60C5-BC42-4951-91D1-3739C4A01E2D}"/>
    <cellStyle name="Normal 7 2 2 2 3 4" xfId="6629" xr:uid="{A0A2A7FE-B16D-44CE-9AA2-EBA673D0D361}"/>
    <cellStyle name="Normal 7 2 2 2 4" xfId="1698" xr:uid="{BEF986F4-CB70-4A0D-ABAF-36CDEA110978}"/>
    <cellStyle name="Normal 7 2 2 2 4 2" xfId="4508" xr:uid="{6AA4CACF-1E4B-4630-8991-58B219DC1A75}"/>
    <cellStyle name="Normal 7 2 2 2 4 2 2" xfId="10144" xr:uid="{0191EEC5-E693-4152-901C-B757E9196A25}"/>
    <cellStyle name="Normal 7 2 2 2 4 3" xfId="7334" xr:uid="{65AA5FB1-E328-4AB3-8096-A2D5A06CB199}"/>
    <cellStyle name="Normal 7 2 2 2 5" xfId="3107" xr:uid="{B3E90DBA-BCC9-4378-B68D-5CC6C260A99E}"/>
    <cellStyle name="Normal 7 2 2 2 5 2" xfId="8743" xr:uid="{736F9B70-ACDB-4AD7-944C-7D607BC0DCB6}"/>
    <cellStyle name="Normal 7 2 2 2 6" xfId="5933" xr:uid="{63389BF3-9D84-4C70-AD97-1C87E69BCA97}"/>
    <cellStyle name="Normal 7 2 2 3" xfId="469" xr:uid="{D8085FF1-D760-4896-9781-5A2500C9B5A3}"/>
    <cellStyle name="Normal 7 2 2 3 2" xfId="1165" xr:uid="{3D2E0FE5-F270-4B2D-A9C0-6C30E06DD0EA}"/>
    <cellStyle name="Normal 7 2 2 3 2 2" xfId="2566" xr:uid="{176CDBC7-17D2-44E4-BB76-B166F5E4FA36}"/>
    <cellStyle name="Normal 7 2 2 3 2 2 2" xfId="5376" xr:uid="{84DB1AE9-D214-4135-9FDD-114CA54CE098}"/>
    <cellStyle name="Normal 7 2 2 3 2 2 2 2" xfId="11012" xr:uid="{2CF679E4-EFDE-41F3-A8C2-59C4583C0A0F}"/>
    <cellStyle name="Normal 7 2 2 3 2 2 3" xfId="8202" xr:uid="{B3510695-BFEC-49EC-AF4E-CF65284FF644}"/>
    <cellStyle name="Normal 7 2 2 3 2 3" xfId="3975" xr:uid="{730C4AC0-07E1-4E78-B41A-B2A8608E1ACA}"/>
    <cellStyle name="Normal 7 2 2 3 2 3 2" xfId="9611" xr:uid="{7FD8C518-898A-413A-9E62-79858A9B903F}"/>
    <cellStyle name="Normal 7 2 2 3 2 4" xfId="6801" xr:uid="{20D2541A-284F-4DF1-80EE-9562ED2EAAFA}"/>
    <cellStyle name="Normal 7 2 2 3 3" xfId="1870" xr:uid="{B112AE78-561C-492B-98DB-5D5142E93B22}"/>
    <cellStyle name="Normal 7 2 2 3 3 2" xfId="4680" xr:uid="{82C408CC-C24F-4526-8316-958DC328AB18}"/>
    <cellStyle name="Normal 7 2 2 3 3 2 2" xfId="10316" xr:uid="{8D92878B-D2ED-4B67-96CE-EEFD45CA6FED}"/>
    <cellStyle name="Normal 7 2 2 3 3 3" xfId="7506" xr:uid="{3415BF1E-6741-44D8-B27C-353DDE77DD7E}"/>
    <cellStyle name="Normal 7 2 2 3 4" xfId="3279" xr:uid="{F2AF4C05-5233-4660-9357-E9AB83AB118F}"/>
    <cellStyle name="Normal 7 2 2 3 4 2" xfId="8915" xr:uid="{8C8810B9-222B-4AE7-96D0-343B1C3B98AB}"/>
    <cellStyle name="Normal 7 2 2 3 5" xfId="6105" xr:uid="{B3CA0CC5-C68E-4B3A-9229-98EAF6DE0916}"/>
    <cellStyle name="Normal 7 2 2 4" xfId="821" xr:uid="{28656C26-6690-4E89-8A23-E98364F86822}"/>
    <cellStyle name="Normal 7 2 2 4 2" xfId="2222" xr:uid="{B719A865-1ED0-4C01-B0AD-019396E93963}"/>
    <cellStyle name="Normal 7 2 2 4 2 2" xfId="5032" xr:uid="{B5C417E0-D178-4F5F-8EE0-3FABA92DEF5A}"/>
    <cellStyle name="Normal 7 2 2 4 2 2 2" xfId="10668" xr:uid="{3B0C62F9-53F2-4DC4-A0AC-1F017C32C88B}"/>
    <cellStyle name="Normal 7 2 2 4 2 3" xfId="7858" xr:uid="{82C38121-A18C-4BF5-9EF1-4C5561E39D2D}"/>
    <cellStyle name="Normal 7 2 2 4 3" xfId="3631" xr:uid="{50E61199-687F-4F0D-91FB-67A4644809A0}"/>
    <cellStyle name="Normal 7 2 2 4 3 2" xfId="9267" xr:uid="{446BEF49-4FF6-448B-B418-504EA09448F2}"/>
    <cellStyle name="Normal 7 2 2 4 4" xfId="6457" xr:uid="{E4746F9A-0A1F-4A94-81CE-701B168E32F1}"/>
    <cellStyle name="Normal 7 2 2 5" xfId="1526" xr:uid="{5821C158-7058-46A9-B78D-9042566DF6A8}"/>
    <cellStyle name="Normal 7 2 2 5 2" xfId="4336" xr:uid="{6F519198-34D5-4963-A9DF-2B52861D0B5E}"/>
    <cellStyle name="Normal 7 2 2 5 2 2" xfId="9972" xr:uid="{6556F56A-0BC6-4C2C-B7CF-89ED9658F5C0}"/>
    <cellStyle name="Normal 7 2 2 5 3" xfId="7162" xr:uid="{C48EBF2D-E238-4D11-8446-00C22A371780}"/>
    <cellStyle name="Normal 7 2 2 6" xfId="2935" xr:uid="{69346CB9-16BB-4564-B52B-1869A83E4EE2}"/>
    <cellStyle name="Normal 7 2 2 6 2" xfId="8571" xr:uid="{6E56B1E0-9D79-42F7-BD19-BF8771E35D63}"/>
    <cellStyle name="Normal 7 2 2 7" xfId="5761" xr:uid="{BDDBB323-84D5-42F6-8020-94907B07AAAE}"/>
    <cellStyle name="Normal 7 2 3" xfId="217" xr:uid="{EB5C2853-CEA2-441B-A923-305FC96FA366}"/>
    <cellStyle name="Normal 7 2 3 2" xfId="561" xr:uid="{A1432791-9820-45DC-99E0-35C8F0BF65CE}"/>
    <cellStyle name="Normal 7 2 3 2 2" xfId="1257" xr:uid="{1372E74E-62A9-4F34-8426-0147E481A980}"/>
    <cellStyle name="Normal 7 2 3 2 2 2" xfId="2658" xr:uid="{3FFA0EBD-5895-46D0-A4BA-CDDA4059C216}"/>
    <cellStyle name="Normal 7 2 3 2 2 2 2" xfId="5468" xr:uid="{74E1B41D-E9EF-4384-A2F4-CE247585B69D}"/>
    <cellStyle name="Normal 7 2 3 2 2 2 2 2" xfId="11104" xr:uid="{40CAF1C3-CC1A-407B-B804-94F3D9B676C9}"/>
    <cellStyle name="Normal 7 2 3 2 2 2 3" xfId="8294" xr:uid="{CEE64EB5-6421-4D41-8EE9-4A7CABE9ACC4}"/>
    <cellStyle name="Normal 7 2 3 2 2 3" xfId="4067" xr:uid="{25992867-7249-4169-B2CA-916CF6D39F23}"/>
    <cellStyle name="Normal 7 2 3 2 2 3 2" xfId="9703" xr:uid="{F49ACFDA-3190-4316-8E03-477201EA98B0}"/>
    <cellStyle name="Normal 7 2 3 2 2 4" xfId="6893" xr:uid="{30C74FB6-3F7F-4214-9A75-1488F12459FD}"/>
    <cellStyle name="Normal 7 2 3 2 3" xfId="1962" xr:uid="{20B3671A-1223-49BF-8E53-955A67A94BB5}"/>
    <cellStyle name="Normal 7 2 3 2 3 2" xfId="4772" xr:uid="{CD2E7BD6-1604-42A9-907A-5935751D7477}"/>
    <cellStyle name="Normal 7 2 3 2 3 2 2" xfId="10408" xr:uid="{6E8146A8-0DBA-48B4-8851-5945D7FA4FFF}"/>
    <cellStyle name="Normal 7 2 3 2 3 3" xfId="7598" xr:uid="{29549685-57B8-4BB6-AF82-519415C6D495}"/>
    <cellStyle name="Normal 7 2 3 2 4" xfId="3371" xr:uid="{D0CFD254-FBCE-45D1-A514-7EFCA4CF1D53}"/>
    <cellStyle name="Normal 7 2 3 2 4 2" xfId="9007" xr:uid="{5A84BC88-97F9-42DA-9BF3-1B5280C36156}"/>
    <cellStyle name="Normal 7 2 3 2 5" xfId="6197" xr:uid="{8E6D4AE4-9FF0-415C-8F90-87B042A831FB}"/>
    <cellStyle name="Normal 7 2 3 3" xfId="913" xr:uid="{CF90351B-2A87-42D8-8CAF-63E0390853A3}"/>
    <cellStyle name="Normal 7 2 3 3 2" xfId="2314" xr:uid="{B50A4239-484E-4AFB-A56E-118E006EE95B}"/>
    <cellStyle name="Normal 7 2 3 3 2 2" xfId="5124" xr:uid="{FCE742E2-599E-45DC-A82C-E58A6974FAB7}"/>
    <cellStyle name="Normal 7 2 3 3 2 2 2" xfId="10760" xr:uid="{2DD6E4E5-C5DA-473F-B6AF-388DEF43A429}"/>
    <cellStyle name="Normal 7 2 3 3 2 3" xfId="7950" xr:uid="{7FDDEE52-0A11-45D3-803F-600A3543FA64}"/>
    <cellStyle name="Normal 7 2 3 3 3" xfId="3723" xr:uid="{9EED5BCC-9519-4C47-AEFA-82C18112316B}"/>
    <cellStyle name="Normal 7 2 3 3 3 2" xfId="9359" xr:uid="{135C783A-0C5E-47BD-8967-AACEF4CBC2BF}"/>
    <cellStyle name="Normal 7 2 3 3 4" xfId="6549" xr:uid="{86BBFFE2-7584-4014-B1E7-846777A5B384}"/>
    <cellStyle name="Normal 7 2 3 4" xfId="1618" xr:uid="{24599368-AC9B-4239-B7B3-0081F250E458}"/>
    <cellStyle name="Normal 7 2 3 4 2" xfId="4428" xr:uid="{54ACEC50-D0EE-438B-BE4E-CC2C78CB1819}"/>
    <cellStyle name="Normal 7 2 3 4 2 2" xfId="10064" xr:uid="{10F3B642-1E20-43F3-810D-0A2E3A32A5E2}"/>
    <cellStyle name="Normal 7 2 3 4 3" xfId="7254" xr:uid="{A4C90A14-940B-4403-B09D-87D59ED7564B}"/>
    <cellStyle name="Normal 7 2 3 5" xfId="3027" xr:uid="{16B01C88-B005-4C81-8E40-2BF8FA33C4CF}"/>
    <cellStyle name="Normal 7 2 3 5 2" xfId="8663" xr:uid="{1C866E3D-E4B0-4E7E-B13B-048DF8FD29A2}"/>
    <cellStyle name="Normal 7 2 3 6" xfId="5853" xr:uid="{D29EEDBD-2D2B-46EF-8040-DED0482F0737}"/>
    <cellStyle name="Normal 7 2 4" xfId="389" xr:uid="{DE281CA7-64CD-482B-80F0-D787684F3E96}"/>
    <cellStyle name="Normal 7 2 4 2" xfId="1085" xr:uid="{B1D4FB81-7D72-42B2-A816-EF9594638DB4}"/>
    <cellStyle name="Normal 7 2 4 2 2" xfId="2486" xr:uid="{BE1CCA92-2045-4DD1-9398-3800B11066FE}"/>
    <cellStyle name="Normal 7 2 4 2 2 2" xfId="5296" xr:uid="{7DB7CE24-6093-4655-9457-40E79B4F6E2F}"/>
    <cellStyle name="Normal 7 2 4 2 2 2 2" xfId="10932" xr:uid="{826054F5-AC39-4A89-A22E-2C36EC2387A1}"/>
    <cellStyle name="Normal 7 2 4 2 2 3" xfId="8122" xr:uid="{89A2CBF3-81D7-44D6-ACFF-600BA0185D4B}"/>
    <cellStyle name="Normal 7 2 4 2 3" xfId="3895" xr:uid="{7BE71F6E-0DCD-48FD-96DA-7519F709C961}"/>
    <cellStyle name="Normal 7 2 4 2 3 2" xfId="9531" xr:uid="{25EF15ED-D288-4C82-ACC5-B63BA738895A}"/>
    <cellStyle name="Normal 7 2 4 2 4" xfId="6721" xr:uid="{B46859FE-AD13-4E07-9B20-1C6193F69A69}"/>
    <cellStyle name="Normal 7 2 4 3" xfId="1790" xr:uid="{93854B35-CC47-4DAE-A3A8-F5C48AF12DEC}"/>
    <cellStyle name="Normal 7 2 4 3 2" xfId="4600" xr:uid="{E4D62195-E245-48EE-BD6A-661F10785B52}"/>
    <cellStyle name="Normal 7 2 4 3 2 2" xfId="10236" xr:uid="{C308D8FF-70BD-41FF-95A6-02E6006FBFBE}"/>
    <cellStyle name="Normal 7 2 4 3 3" xfId="7426" xr:uid="{FB561BC8-E5D2-406E-86C3-22707E1D4CAC}"/>
    <cellStyle name="Normal 7 2 4 4" xfId="3199" xr:uid="{4122D357-D4FC-48C1-B7B7-24EB5A2F3B66}"/>
    <cellStyle name="Normal 7 2 4 4 2" xfId="8835" xr:uid="{4F996E50-711C-4041-90D0-7118187D9E2C}"/>
    <cellStyle name="Normal 7 2 4 5" xfId="6025" xr:uid="{6F51E4CC-93AC-4319-B980-F140584914CD}"/>
    <cellStyle name="Normal 7 2 5" xfId="741" xr:uid="{1F4F618D-972D-48FA-9E63-E3A263F2077E}"/>
    <cellStyle name="Normal 7 2 5 2" xfId="2142" xr:uid="{24D46B42-CBCE-4FE9-AF50-1E843D3278BF}"/>
    <cellStyle name="Normal 7 2 5 2 2" xfId="4952" xr:uid="{04B4D885-3BD4-436F-80D9-EC075F35A40E}"/>
    <cellStyle name="Normal 7 2 5 2 2 2" xfId="10588" xr:uid="{682C41FF-8018-4D08-99B5-085A8A8EE0E0}"/>
    <cellStyle name="Normal 7 2 5 2 3" xfId="7778" xr:uid="{42672638-6F50-42E8-AD6E-292C8A892AAA}"/>
    <cellStyle name="Normal 7 2 5 3" xfId="3551" xr:uid="{11354BF5-5A6E-43FA-84AC-EAFF6ED74B87}"/>
    <cellStyle name="Normal 7 2 5 3 2" xfId="9187" xr:uid="{97E87809-5E6E-4C12-8C26-6B04494C0A42}"/>
    <cellStyle name="Normal 7 2 5 4" xfId="6377" xr:uid="{8EFD99BA-E49B-45C8-BA36-DD8A896313C6}"/>
    <cellStyle name="Normal 7 2 6" xfId="1446" xr:uid="{E3A0E6B3-588C-4074-A8C7-329B9F2D6D82}"/>
    <cellStyle name="Normal 7 2 6 2" xfId="4256" xr:uid="{1E283711-5258-4B8C-8846-0F51ACB98073}"/>
    <cellStyle name="Normal 7 2 6 2 2" xfId="9892" xr:uid="{B2F78625-8B3D-4335-B13A-320FC0230A7E}"/>
    <cellStyle name="Normal 7 2 6 3" xfId="7082" xr:uid="{7BA6A396-CCF4-4394-A4C6-7BBA2D5A67B3}"/>
    <cellStyle name="Normal 7 2 7" xfId="2855" xr:uid="{7543F6D7-0ACB-4B5A-9700-13BFBA376780}"/>
    <cellStyle name="Normal 7 2 7 2" xfId="8491" xr:uid="{655DE09D-85A8-40D7-851D-45BFDC4080F8}"/>
    <cellStyle name="Normal 7 2 8" xfId="5681" xr:uid="{9F3C53A9-ED9C-47CA-9E2C-DCB123C1A43B}"/>
    <cellStyle name="Normal 7 3" xfId="93" xr:uid="{80C6206F-EED8-45D2-9A80-ACF00090F357}"/>
    <cellStyle name="Normal 7 3 2" xfId="265" xr:uid="{EF0CEDD8-8D45-4D0D-A967-29F71779AAF2}"/>
    <cellStyle name="Normal 7 3 2 2" xfId="609" xr:uid="{243A7FF9-0C81-435C-9ACF-104E648407EA}"/>
    <cellStyle name="Normal 7 3 2 2 2" xfId="1305" xr:uid="{F3F91B7D-8C0D-4E75-AF34-2235DD986D8B}"/>
    <cellStyle name="Normal 7 3 2 2 2 2" xfId="2706" xr:uid="{8BEC49D5-7A7C-4600-AD5E-35F80B99B6AF}"/>
    <cellStyle name="Normal 7 3 2 2 2 2 2" xfId="5516" xr:uid="{FD216B8D-2D42-449A-AC15-8583CD3D7C82}"/>
    <cellStyle name="Normal 7 3 2 2 2 2 2 2" xfId="11152" xr:uid="{5C8F8825-411D-4CB9-BF7C-D102335CE55E}"/>
    <cellStyle name="Normal 7 3 2 2 2 2 3" xfId="8342" xr:uid="{8B415B4D-9BBA-4CAA-87FA-AEAF6B780C0D}"/>
    <cellStyle name="Normal 7 3 2 2 2 3" xfId="4115" xr:uid="{BC560B7D-1D8A-4AAF-873B-F9FD56B120CC}"/>
    <cellStyle name="Normal 7 3 2 2 2 3 2" xfId="9751" xr:uid="{0EF22299-CEE4-4D82-A3B6-43AD8A377005}"/>
    <cellStyle name="Normal 7 3 2 2 2 4" xfId="6941" xr:uid="{2B6E40EB-B359-469F-9907-ED06055F6B12}"/>
    <cellStyle name="Normal 7 3 2 2 3" xfId="2010" xr:uid="{EA07931D-B2A4-45B4-BCCC-E6848045D716}"/>
    <cellStyle name="Normal 7 3 2 2 3 2" xfId="4820" xr:uid="{E9673E25-7878-4653-BE29-FD3582F71CAE}"/>
    <cellStyle name="Normal 7 3 2 2 3 2 2" xfId="10456" xr:uid="{3A034804-15CF-49FE-BCFB-F9826FAB66A0}"/>
    <cellStyle name="Normal 7 3 2 2 3 3" xfId="7646" xr:uid="{15C62EE7-F657-4B89-BF31-C15C09D7D77D}"/>
    <cellStyle name="Normal 7 3 2 2 4" xfId="3419" xr:uid="{8F694623-C65D-484B-B903-738CCC69CBB8}"/>
    <cellStyle name="Normal 7 3 2 2 4 2" xfId="9055" xr:uid="{8B292AB7-AF52-4637-85F6-D6DC607BED3B}"/>
    <cellStyle name="Normal 7 3 2 2 5" xfId="6245" xr:uid="{64BECA02-531D-4D05-A425-34465DDF8EF1}"/>
    <cellStyle name="Normal 7 3 2 3" xfId="961" xr:uid="{A0D59DC8-A92C-4F33-9D71-D2D9138A1058}"/>
    <cellStyle name="Normal 7 3 2 3 2" xfId="2362" xr:uid="{F09D554D-BBEF-42B3-B610-8E385DFF89BA}"/>
    <cellStyle name="Normal 7 3 2 3 2 2" xfId="5172" xr:uid="{C90ED60E-F599-4C6D-8B1F-96EA8F4C5F4A}"/>
    <cellStyle name="Normal 7 3 2 3 2 2 2" xfId="10808" xr:uid="{A90C4090-2187-4371-86EE-1DE6FC0618D9}"/>
    <cellStyle name="Normal 7 3 2 3 2 3" xfId="7998" xr:uid="{F6B36436-12AE-4A74-819D-83F77F703DBD}"/>
    <cellStyle name="Normal 7 3 2 3 3" xfId="3771" xr:uid="{344C69F0-9497-4437-96DF-A959C18DAC87}"/>
    <cellStyle name="Normal 7 3 2 3 3 2" xfId="9407" xr:uid="{2A0ED363-9049-4BCC-ADFD-82252FD5D3BA}"/>
    <cellStyle name="Normal 7 3 2 3 4" xfId="6597" xr:uid="{5395E332-FFFF-45B9-8C0E-06D3A7C252AC}"/>
    <cellStyle name="Normal 7 3 2 4" xfId="1666" xr:uid="{D8D12250-FAF3-47CD-9DD9-F224A4837178}"/>
    <cellStyle name="Normal 7 3 2 4 2" xfId="4476" xr:uid="{AE6592B2-DDC9-4DAC-A309-108F6DA3CE06}"/>
    <cellStyle name="Normal 7 3 2 4 2 2" xfId="10112" xr:uid="{9E0AC5C7-C588-4903-8638-4FC4465CC721}"/>
    <cellStyle name="Normal 7 3 2 4 3" xfId="7302" xr:uid="{34A943B4-A690-4BD9-9151-2204468ACF5E}"/>
    <cellStyle name="Normal 7 3 2 5" xfId="3075" xr:uid="{ECAF70D6-A80B-4552-AEAA-5DD7E690AD12}"/>
    <cellStyle name="Normal 7 3 2 5 2" xfId="8711" xr:uid="{43C2FE15-B9BB-4DAF-9871-792737448B1A}"/>
    <cellStyle name="Normal 7 3 2 6" xfId="5901" xr:uid="{D7BE8269-EA98-4636-BCE6-893DF150885C}"/>
    <cellStyle name="Normal 7 3 3" xfId="437" xr:uid="{C757378B-9DFD-43F3-B2A0-4E2C75F91136}"/>
    <cellStyle name="Normal 7 3 3 2" xfId="1133" xr:uid="{CB9DB0CA-B48B-4721-8D30-561FDFACBEAA}"/>
    <cellStyle name="Normal 7 3 3 2 2" xfId="2534" xr:uid="{B49E372D-ACC0-4A5E-9899-A55721BE1261}"/>
    <cellStyle name="Normal 7 3 3 2 2 2" xfId="5344" xr:uid="{8F282081-AD95-43DF-8F6D-AD81DA4E6B7E}"/>
    <cellStyle name="Normal 7 3 3 2 2 2 2" xfId="10980" xr:uid="{B9A779D9-AF14-4B5E-9567-9AB69E8784B3}"/>
    <cellStyle name="Normal 7 3 3 2 2 3" xfId="8170" xr:uid="{B8250A80-E7E0-42F3-87A6-FF44C73BBC97}"/>
    <cellStyle name="Normal 7 3 3 2 3" xfId="3943" xr:uid="{7A408E99-3870-431C-A0C3-487654D091C9}"/>
    <cellStyle name="Normal 7 3 3 2 3 2" xfId="9579" xr:uid="{ACBD2E0E-B337-4245-B06B-F9F9CE37D8C4}"/>
    <cellStyle name="Normal 7 3 3 2 4" xfId="6769" xr:uid="{92C36BE6-4D4C-40A0-B145-F741774927BA}"/>
    <cellStyle name="Normal 7 3 3 3" xfId="1838" xr:uid="{73EECFA6-51A3-4907-AEA6-85168BEF30C7}"/>
    <cellStyle name="Normal 7 3 3 3 2" xfId="4648" xr:uid="{C6BCC345-0AEA-4860-AC89-12698940FAA2}"/>
    <cellStyle name="Normal 7 3 3 3 2 2" xfId="10284" xr:uid="{84B70B19-1C2C-42A9-B016-C631354D6E95}"/>
    <cellStyle name="Normal 7 3 3 3 3" xfId="7474" xr:uid="{69412149-87E0-4F6E-97D7-F825A31AAEE4}"/>
    <cellStyle name="Normal 7 3 3 4" xfId="3247" xr:uid="{137EF5B5-96D9-4129-9472-1149D78FF914}"/>
    <cellStyle name="Normal 7 3 3 4 2" xfId="8883" xr:uid="{127C5A7F-3E4C-4D62-BBD3-EEBBCCEA67B9}"/>
    <cellStyle name="Normal 7 3 3 5" xfId="6073" xr:uid="{B40BAEFB-FB92-4309-A380-8AFC59A039DA}"/>
    <cellStyle name="Normal 7 3 4" xfId="789" xr:uid="{00AD7F3A-85E5-4109-9E52-D214BCAB63B1}"/>
    <cellStyle name="Normal 7 3 4 2" xfId="2190" xr:uid="{A9047042-ED20-45FA-A460-CAD09E052418}"/>
    <cellStyle name="Normal 7 3 4 2 2" xfId="5000" xr:uid="{321E8AFA-D4A3-46AF-A13B-260A0D86A499}"/>
    <cellStyle name="Normal 7 3 4 2 2 2" xfId="10636" xr:uid="{641A73D7-2F51-4047-973D-89F61B6814FC}"/>
    <cellStyle name="Normal 7 3 4 2 3" xfId="7826" xr:uid="{A070F82B-C257-448B-9750-3677FCFBC770}"/>
    <cellStyle name="Normal 7 3 4 3" xfId="3599" xr:uid="{918BA781-8394-4797-B616-D7269ABE1C01}"/>
    <cellStyle name="Normal 7 3 4 3 2" xfId="9235" xr:uid="{6F71C58A-40FC-4647-AA46-E5BA32DC0912}"/>
    <cellStyle name="Normal 7 3 4 4" xfId="6425" xr:uid="{FEE93B63-6D7C-4D27-A7F6-2A9BF15C2E05}"/>
    <cellStyle name="Normal 7 3 5" xfId="1494" xr:uid="{A7318746-02D3-4A67-B2A5-35F11B8E54C7}"/>
    <cellStyle name="Normal 7 3 5 2" xfId="4304" xr:uid="{1DA21D43-F949-43C7-A961-76E6E723C755}"/>
    <cellStyle name="Normal 7 3 5 2 2" xfId="9940" xr:uid="{499CBA4B-0912-407D-ACB2-B6CA0FE9DD1B}"/>
    <cellStyle name="Normal 7 3 5 3" xfId="7130" xr:uid="{5A9A54D6-76C1-45F2-BFB3-2BD8BDB09660}"/>
    <cellStyle name="Normal 7 3 6" xfId="2903" xr:uid="{8ABFDC33-74DD-4A2C-8EB4-6ECECD4755AA}"/>
    <cellStyle name="Normal 7 3 6 2" xfId="8539" xr:uid="{5BFE1A94-97AA-4C2C-B575-DF47FA2CAF8B}"/>
    <cellStyle name="Normal 7 3 7" xfId="5729" xr:uid="{D3D1A0E2-70A9-4D4E-956C-C2FD16A151D7}"/>
    <cellStyle name="Normal 7 4" xfId="185" xr:uid="{72D01784-CD89-40A2-94C4-4BC3C084AAB1}"/>
    <cellStyle name="Normal 7 4 2" xfId="529" xr:uid="{ECC5817D-D65F-456C-A2FF-3C7FED3EFCEC}"/>
    <cellStyle name="Normal 7 4 2 2" xfId="1225" xr:uid="{E2823982-5269-4D63-A91E-43C6D50AFB83}"/>
    <cellStyle name="Normal 7 4 2 2 2" xfId="2626" xr:uid="{FBFBEEF8-01D0-4281-9217-6B291C3476F2}"/>
    <cellStyle name="Normal 7 4 2 2 2 2" xfId="5436" xr:uid="{EEEB77BE-6A41-4FE5-B04B-086BFA3F2948}"/>
    <cellStyle name="Normal 7 4 2 2 2 2 2" xfId="11072" xr:uid="{130DD70E-4BA2-4676-82B4-7E45704B460F}"/>
    <cellStyle name="Normal 7 4 2 2 2 3" xfId="8262" xr:uid="{1A067405-D40B-491D-ACA9-746DE47D9300}"/>
    <cellStyle name="Normal 7 4 2 2 3" xfId="4035" xr:uid="{C1FC75CB-5D1C-4A01-9B1E-92DFEFBD947B}"/>
    <cellStyle name="Normal 7 4 2 2 3 2" xfId="9671" xr:uid="{0C0E96FC-9AB2-44E8-87D7-F49A5ACC4615}"/>
    <cellStyle name="Normal 7 4 2 2 4" xfId="6861" xr:uid="{95E45C22-7BBC-44BB-8461-B29C39BCF238}"/>
    <cellStyle name="Normal 7 4 2 3" xfId="1930" xr:uid="{EF0C75B6-0327-48EA-959A-595CE328395B}"/>
    <cellStyle name="Normal 7 4 2 3 2" xfId="4740" xr:uid="{368B7F57-0ADB-4E52-A6F9-0E85464EB887}"/>
    <cellStyle name="Normal 7 4 2 3 2 2" xfId="10376" xr:uid="{7CB30B0E-5C67-416D-885F-1CBD4087BF47}"/>
    <cellStyle name="Normal 7 4 2 3 3" xfId="7566" xr:uid="{7977C961-988A-47AC-8FF4-8190B7AC9627}"/>
    <cellStyle name="Normal 7 4 2 4" xfId="3339" xr:uid="{9C963F80-0925-4F26-A9BA-85400036A077}"/>
    <cellStyle name="Normal 7 4 2 4 2" xfId="8975" xr:uid="{2ACB6F2E-A431-4A1E-91F9-EDB0B0E1C8F8}"/>
    <cellStyle name="Normal 7 4 2 5" xfId="6165" xr:uid="{B0EDA56F-4B5F-45E3-8ADE-41BD62955FE9}"/>
    <cellStyle name="Normal 7 4 3" xfId="881" xr:uid="{D5B870D3-BE1F-4D27-989C-47189F36FE3B}"/>
    <cellStyle name="Normal 7 4 3 2" xfId="2282" xr:uid="{39DA03F3-E632-4EEB-B636-C034CAD7F73C}"/>
    <cellStyle name="Normal 7 4 3 2 2" xfId="5092" xr:uid="{5C07EA03-B5AD-4CE0-9CFC-1D5F98CDDADF}"/>
    <cellStyle name="Normal 7 4 3 2 2 2" xfId="10728" xr:uid="{435FD3F4-E463-4C04-B8F0-F4B94FE3DCBB}"/>
    <cellStyle name="Normal 7 4 3 2 3" xfId="7918" xr:uid="{92E26E80-B1DE-4D0D-B73F-582520FAB592}"/>
    <cellStyle name="Normal 7 4 3 3" xfId="3691" xr:uid="{E0E6364D-4ADC-4C3D-B452-6A4DD9BE0A3D}"/>
    <cellStyle name="Normal 7 4 3 3 2" xfId="9327" xr:uid="{2503C3BD-BB40-4F01-B63E-EDDB192E1AF0}"/>
    <cellStyle name="Normal 7 4 3 4" xfId="6517" xr:uid="{75648666-9485-43F0-81F8-437021B8C5AC}"/>
    <cellStyle name="Normal 7 4 4" xfId="1586" xr:uid="{8B4D081B-02AA-4BEF-826A-74E38960FB07}"/>
    <cellStyle name="Normal 7 4 4 2" xfId="4396" xr:uid="{7DF7F3DF-8525-4371-993E-D4B648963842}"/>
    <cellStyle name="Normal 7 4 4 2 2" xfId="10032" xr:uid="{E9FE8BC7-4EBA-4320-A30A-FDFF671486AF}"/>
    <cellStyle name="Normal 7 4 4 3" xfId="7222" xr:uid="{046AA1A1-FA63-4303-8773-1C65C0211296}"/>
    <cellStyle name="Normal 7 4 5" xfId="2995" xr:uid="{F9BD2539-45B3-47B7-B3E5-D1E4F2096FDC}"/>
    <cellStyle name="Normal 7 4 5 2" xfId="8631" xr:uid="{30F1F7D3-BBD5-420A-AFDA-9C2FDD47E3DE}"/>
    <cellStyle name="Normal 7 4 6" xfId="5821" xr:uid="{A7B80083-51FF-42BE-A90D-80D20B676F31}"/>
    <cellStyle name="Normal 7 5" xfId="357" xr:uid="{12B8527E-619D-4D4C-A85E-A7F8FEBD8F81}"/>
    <cellStyle name="Normal 7 5 2" xfId="1053" xr:uid="{BBFDABED-7ECE-4734-9435-E630FEBF5984}"/>
    <cellStyle name="Normal 7 5 2 2" xfId="2454" xr:uid="{DBDDF55A-3A33-415E-BD5F-B5616B8FFB94}"/>
    <cellStyle name="Normal 7 5 2 2 2" xfId="5264" xr:uid="{3B31B9FA-75B7-4395-BCB1-E03A925F6A93}"/>
    <cellStyle name="Normal 7 5 2 2 2 2" xfId="10900" xr:uid="{906AF6C5-5C72-4124-9D2F-343181654229}"/>
    <cellStyle name="Normal 7 5 2 2 3" xfId="8090" xr:uid="{5242EB37-DADE-4422-BD85-DC558455E9E6}"/>
    <cellStyle name="Normal 7 5 2 3" xfId="3863" xr:uid="{F3874975-CAD5-48E0-B39F-84A52ABCE5E4}"/>
    <cellStyle name="Normal 7 5 2 3 2" xfId="9499" xr:uid="{6985A2CB-BB31-4C79-965B-D5085F730E4A}"/>
    <cellStyle name="Normal 7 5 2 4" xfId="6689" xr:uid="{E8EBBA7E-9341-4988-A0F2-8203FE0DEF28}"/>
    <cellStyle name="Normal 7 5 3" xfId="1758" xr:uid="{E852DC56-6479-4C9C-9367-2161642A1CC4}"/>
    <cellStyle name="Normal 7 5 3 2" xfId="4568" xr:uid="{15B26882-8F28-4B29-9C45-35F3DD65D137}"/>
    <cellStyle name="Normal 7 5 3 2 2" xfId="10204" xr:uid="{020736D5-51A3-46F4-9C81-14D6172D44C8}"/>
    <cellStyle name="Normal 7 5 3 3" xfId="7394" xr:uid="{4A0EEF63-3C03-413D-83F2-313DA0188F73}"/>
    <cellStyle name="Normal 7 5 4" xfId="3167" xr:uid="{39B2B3A2-5F8D-47D6-930F-4E1A6EE0A9B7}"/>
    <cellStyle name="Normal 7 5 4 2" xfId="8803" xr:uid="{49F46B8D-0950-4733-8B06-5E9A67808A1F}"/>
    <cellStyle name="Normal 7 5 5" xfId="5993" xr:uid="{2C74BB0A-1E7A-428E-9B6D-33F6478DBD08}"/>
    <cellStyle name="Normal 7 6" xfId="709" xr:uid="{71DA1304-43EE-4D0A-B6EF-68DB300E6796}"/>
    <cellStyle name="Normal 7 6 2" xfId="2110" xr:uid="{43A05B41-AAAA-4404-9542-1A0477C90CF1}"/>
    <cellStyle name="Normal 7 6 2 2" xfId="4920" xr:uid="{9DE266F7-0CD0-49E3-BB5A-E06704050447}"/>
    <cellStyle name="Normal 7 6 2 2 2" xfId="10556" xr:uid="{996C684D-E6E7-4744-A5BE-E3F3DE8EB4AA}"/>
    <cellStyle name="Normal 7 6 2 3" xfId="7746" xr:uid="{EB938DE4-989D-4658-A04E-DCAEB72D528B}"/>
    <cellStyle name="Normal 7 6 3" xfId="3519" xr:uid="{2D903FD2-8C9D-45D2-980C-03D9F6E47C70}"/>
    <cellStyle name="Normal 7 6 3 2" xfId="9155" xr:uid="{6C9D3E03-5ABC-46B0-85B0-E75BB5D13027}"/>
    <cellStyle name="Normal 7 6 4" xfId="6345" xr:uid="{D9442DA4-5AAE-4F58-96D0-A0F3688A7F44}"/>
    <cellStyle name="Normal 7 7" xfId="1414" xr:uid="{D7C4D086-6122-4B1F-8002-0FBD0F8F4D9D}"/>
    <cellStyle name="Normal 7 7 2" xfId="4224" xr:uid="{C6D66A8A-6D7C-4018-B487-8374A6691A63}"/>
    <cellStyle name="Normal 7 7 2 2" xfId="9860" xr:uid="{42748CBF-E335-4926-8DD0-54D296F55DB5}"/>
    <cellStyle name="Normal 7 7 3" xfId="7050" xr:uid="{A20F6929-F81A-48A6-A083-CE3DD69E02B0}"/>
    <cellStyle name="Normal 7 8" xfId="2823" xr:uid="{26C56B4D-6531-4D27-91AA-E294304C1A0C}"/>
    <cellStyle name="Normal 7 8 2" xfId="8459" xr:uid="{03EE2A3A-419A-4D86-8121-81B1F68E044A}"/>
    <cellStyle name="Normal 7 9" xfId="5649" xr:uid="{A3D1822E-93A3-4EA4-A8F5-44B0ACC8C8BD}"/>
    <cellStyle name="Normal 70" xfId="11293" xr:uid="{1883FC8F-6585-4F48-B4B0-DF8E5A22FE1B}"/>
    <cellStyle name="Normal 71" xfId="11294" xr:uid="{711455D6-6E99-4139-9341-1BDF191EA091}"/>
    <cellStyle name="Normal 72" xfId="11295" xr:uid="{061519F0-9FAD-4748-B127-76ED0700C3F2}"/>
    <cellStyle name="Normal 73" xfId="11296" xr:uid="{442F629E-B2A0-42FB-8B73-6CA63FCE5BE9}"/>
    <cellStyle name="Normal 74" xfId="11297" xr:uid="{FC33F227-1618-4FBE-8BC2-7AC457BA0452}"/>
    <cellStyle name="Normal 75" xfId="11298" xr:uid="{31748543-2F71-4D2A-912A-D47120DC29D5}"/>
    <cellStyle name="Normal 76" xfId="11299" xr:uid="{5E9DBD4B-EB7C-4188-B9BC-7389413A0710}"/>
    <cellStyle name="Normal 77" xfId="11300" xr:uid="{55ECA8CB-02F3-4D6E-8D08-01DC4076DD30}"/>
    <cellStyle name="Normal 78" xfId="11301" xr:uid="{7D0B7173-4BE6-4511-9BE9-043DE37E087E}"/>
    <cellStyle name="Normal 79" xfId="11302" xr:uid="{49394776-D439-4BF6-896A-99959D50339E}"/>
    <cellStyle name="Normal 8" xfId="26" xr:uid="{A437D455-A1D5-4BF5-9C97-0F5735FD73C0}"/>
    <cellStyle name="Normal 8 2" xfId="58" xr:uid="{92555787-C417-4766-8D25-7E7AD7F9C983}"/>
    <cellStyle name="Normal 8 2 2" xfId="138" xr:uid="{CED93906-6275-426C-98DD-D089358FB6DA}"/>
    <cellStyle name="Normal 8 2 2 2" xfId="310" xr:uid="{1387000E-A40A-4D70-A89B-63856F2A4787}"/>
    <cellStyle name="Normal 8 2 2 2 2" xfId="654" xr:uid="{554DDF4D-077F-40F6-B75D-0DC8026B1A29}"/>
    <cellStyle name="Normal 8 2 2 2 2 2" xfId="1350" xr:uid="{A2CE71A4-947E-42DA-A0E1-491F335625B5}"/>
    <cellStyle name="Normal 8 2 2 2 2 2 2" xfId="2751" xr:uid="{C06A2143-2818-406E-9B8C-0D2106590911}"/>
    <cellStyle name="Normal 8 2 2 2 2 2 2 2" xfId="5561" xr:uid="{5FDE4F41-EAB0-4AF8-9636-1C98AAA9E930}"/>
    <cellStyle name="Normal 8 2 2 2 2 2 2 2 2" xfId="11197" xr:uid="{8DC28978-90AD-4F58-A49C-D7D8BDF86948}"/>
    <cellStyle name="Normal 8 2 2 2 2 2 2 3" xfId="8387" xr:uid="{D5D639A7-4946-42E8-AD5E-6FE1F4AC7BDA}"/>
    <cellStyle name="Normal 8 2 2 2 2 2 3" xfId="4160" xr:uid="{67CCB76C-7169-4953-8B2B-89B46FF523D4}"/>
    <cellStyle name="Normal 8 2 2 2 2 2 3 2" xfId="9796" xr:uid="{1971C798-BDB6-4C5F-B011-564AAD22A8CB}"/>
    <cellStyle name="Normal 8 2 2 2 2 2 4" xfId="6986" xr:uid="{F37DF3DE-39B2-4FB4-ACA3-AA63F97F791C}"/>
    <cellStyle name="Normal 8 2 2 2 2 3" xfId="2055" xr:uid="{8A6C203C-AC59-4E13-BA06-CEBD66D80B8E}"/>
    <cellStyle name="Normal 8 2 2 2 2 3 2" xfId="4865" xr:uid="{BFF305CA-CB8A-4962-9A28-D389A138D22E}"/>
    <cellStyle name="Normal 8 2 2 2 2 3 2 2" xfId="10501" xr:uid="{4737F4AB-8FDF-4928-AF10-EFE515613059}"/>
    <cellStyle name="Normal 8 2 2 2 2 3 3" xfId="7691" xr:uid="{F068E9C3-5D1A-46F0-A13E-E7A07011158A}"/>
    <cellStyle name="Normal 8 2 2 2 2 4" xfId="3464" xr:uid="{CA94646D-6A77-462D-B9EC-159A9F8ABA22}"/>
    <cellStyle name="Normal 8 2 2 2 2 4 2" xfId="9100" xr:uid="{AA15051E-FECD-4374-A252-7879FF0B65FE}"/>
    <cellStyle name="Normal 8 2 2 2 2 5" xfId="6290" xr:uid="{6EE2F430-B82F-41FA-BEBF-1DDE2942362C}"/>
    <cellStyle name="Normal 8 2 2 2 3" xfId="1006" xr:uid="{62AF5700-6E76-45DC-97DB-D8DED7AAECCE}"/>
    <cellStyle name="Normal 8 2 2 2 3 2" xfId="2407" xr:uid="{33D0511D-1342-4CDC-874F-C9C2303F0E90}"/>
    <cellStyle name="Normal 8 2 2 2 3 2 2" xfId="5217" xr:uid="{E138961B-4A3A-4B1B-A3BD-74C82C98FB7F}"/>
    <cellStyle name="Normal 8 2 2 2 3 2 2 2" xfId="10853" xr:uid="{CE737D8D-C183-495F-B21F-E4A3D62F7B21}"/>
    <cellStyle name="Normal 8 2 2 2 3 2 3" xfId="8043" xr:uid="{2E6E0952-0552-4F12-8347-173D9927B264}"/>
    <cellStyle name="Normal 8 2 2 2 3 3" xfId="3816" xr:uid="{2FAE4FA3-C587-40EA-89A7-3228C8FAE296}"/>
    <cellStyle name="Normal 8 2 2 2 3 3 2" xfId="9452" xr:uid="{1693DEC3-1EB6-4E3F-A7C6-7C366D5EAFB0}"/>
    <cellStyle name="Normal 8 2 2 2 3 4" xfId="6642" xr:uid="{F03F4D8C-CC79-468C-8DA6-FD8C6B714C82}"/>
    <cellStyle name="Normal 8 2 2 2 4" xfId="1711" xr:uid="{075B7CC4-1F9A-4C19-9D24-0D9014240254}"/>
    <cellStyle name="Normal 8 2 2 2 4 2" xfId="4521" xr:uid="{8DE8D0AD-6C79-4C27-B041-3F99C3CBDBAD}"/>
    <cellStyle name="Normal 8 2 2 2 4 2 2" xfId="10157" xr:uid="{EAC770E6-74E2-4ADB-AE9E-1EB6664DB0B0}"/>
    <cellStyle name="Normal 8 2 2 2 4 3" xfId="7347" xr:uid="{42CC0837-8300-4217-803C-C8A9E2C975B6}"/>
    <cellStyle name="Normal 8 2 2 2 5" xfId="3120" xr:uid="{0D1BB795-3555-4919-A617-4941D127A23C}"/>
    <cellStyle name="Normal 8 2 2 2 5 2" xfId="8756" xr:uid="{FFAFED4C-E236-4610-9C1A-0DF45ACC6135}"/>
    <cellStyle name="Normal 8 2 2 2 6" xfId="5946" xr:uid="{22678976-7ED2-484D-BD33-88B1DB90612C}"/>
    <cellStyle name="Normal 8 2 2 3" xfId="482" xr:uid="{F090E888-F42E-471A-86CE-8DD71F540AE7}"/>
    <cellStyle name="Normal 8 2 2 3 2" xfId="1178" xr:uid="{4F574A23-04E3-4258-BA50-87D024CF29B3}"/>
    <cellStyle name="Normal 8 2 2 3 2 2" xfId="2579" xr:uid="{FF4C731C-259F-40A1-8035-04649C663C4B}"/>
    <cellStyle name="Normal 8 2 2 3 2 2 2" xfId="5389" xr:uid="{71621D04-8718-414A-BC5A-C5F21F6AB700}"/>
    <cellStyle name="Normal 8 2 2 3 2 2 2 2" xfId="11025" xr:uid="{7397E6A7-189C-4BBF-824B-9293CCECE395}"/>
    <cellStyle name="Normal 8 2 2 3 2 2 3" xfId="8215" xr:uid="{2E2722A2-496D-4E85-AC77-275FAD8ABF00}"/>
    <cellStyle name="Normal 8 2 2 3 2 3" xfId="3988" xr:uid="{A74CC517-549B-4409-B9F3-5C308319491F}"/>
    <cellStyle name="Normal 8 2 2 3 2 3 2" xfId="9624" xr:uid="{62F5221E-7199-43EE-A95D-D63DA2BFD7A0}"/>
    <cellStyle name="Normal 8 2 2 3 2 4" xfId="6814" xr:uid="{1FC717A3-9B71-4301-A5AD-6072FB483D8B}"/>
    <cellStyle name="Normal 8 2 2 3 3" xfId="1883" xr:uid="{0E7033A9-7412-492D-A063-48123C7A8B48}"/>
    <cellStyle name="Normal 8 2 2 3 3 2" xfId="4693" xr:uid="{6D15E6BB-0E1A-4615-BFD7-2B0752C1AB8E}"/>
    <cellStyle name="Normal 8 2 2 3 3 2 2" xfId="10329" xr:uid="{1D169CD7-7C1A-4389-82B1-492AD077CE6A}"/>
    <cellStyle name="Normal 8 2 2 3 3 3" xfId="7519" xr:uid="{243571ED-0AF7-4B22-8829-A9D81F316098}"/>
    <cellStyle name="Normal 8 2 2 3 4" xfId="3292" xr:uid="{3B4D80A5-54FA-4701-8FCF-865AFE820C78}"/>
    <cellStyle name="Normal 8 2 2 3 4 2" xfId="8928" xr:uid="{E1F63780-654F-49D6-B583-02541F0B5F11}"/>
    <cellStyle name="Normal 8 2 2 3 5" xfId="6118" xr:uid="{1A1BB64C-BCF9-4855-8B82-5F35A7866177}"/>
    <cellStyle name="Normal 8 2 2 4" xfId="834" xr:uid="{D02BE310-5FB7-485A-8E8E-9E0843F9B633}"/>
    <cellStyle name="Normal 8 2 2 4 2" xfId="2235" xr:uid="{DA9EAC56-F7AA-4D67-B114-F7A8BB726C26}"/>
    <cellStyle name="Normal 8 2 2 4 2 2" xfId="5045" xr:uid="{0D80FEFB-D6CD-4A9B-9352-B85724559976}"/>
    <cellStyle name="Normal 8 2 2 4 2 2 2" xfId="10681" xr:uid="{D0011514-8227-4113-9EAB-C07E1295ADB4}"/>
    <cellStyle name="Normal 8 2 2 4 2 3" xfId="7871" xr:uid="{03573695-F205-4AB3-B89C-48CA545D6722}"/>
    <cellStyle name="Normal 8 2 2 4 3" xfId="3644" xr:uid="{0F29ECC0-E69D-4FE4-8066-C618126A9D73}"/>
    <cellStyle name="Normal 8 2 2 4 3 2" xfId="9280" xr:uid="{53DF54C7-3D7A-4071-A784-EFA3A2FD5FAB}"/>
    <cellStyle name="Normal 8 2 2 4 4" xfId="6470" xr:uid="{0CA230F8-1A96-403E-BA42-650843E3015D}"/>
    <cellStyle name="Normal 8 2 2 5" xfId="1539" xr:uid="{0214385B-4818-40BD-BD85-1E546C33C987}"/>
    <cellStyle name="Normal 8 2 2 5 2" xfId="4349" xr:uid="{C1C22807-D26B-4165-A279-A3FE69EDD2ED}"/>
    <cellStyle name="Normal 8 2 2 5 2 2" xfId="9985" xr:uid="{DCB25C89-4FC4-42DF-8CA5-2F01490E9AE1}"/>
    <cellStyle name="Normal 8 2 2 5 3" xfId="7175" xr:uid="{E53A6FCC-2994-4103-A3A2-EEBAC049965A}"/>
    <cellStyle name="Normal 8 2 2 6" xfId="2948" xr:uid="{6B593910-952D-46C7-930D-B876F6E315AB}"/>
    <cellStyle name="Normal 8 2 2 6 2" xfId="8584" xr:uid="{7F0132C6-8E52-46D9-93EF-A8DB94168188}"/>
    <cellStyle name="Normal 8 2 2 7" xfId="5774" xr:uid="{3A7EB344-EA50-41D3-A72C-A98EE1461A41}"/>
    <cellStyle name="Normal 8 2 3" xfId="230" xr:uid="{48F21D4D-3174-4FC3-A458-C613C5E30475}"/>
    <cellStyle name="Normal 8 2 3 2" xfId="574" xr:uid="{434F79D7-1D5F-4A8B-A5C2-C36F2714B6D8}"/>
    <cellStyle name="Normal 8 2 3 2 2" xfId="1270" xr:uid="{9BCCEF99-8BD5-486B-A499-E3D86AB662B9}"/>
    <cellStyle name="Normal 8 2 3 2 2 2" xfId="2671" xr:uid="{DAA02EC3-92C2-43B5-AA02-1772496BD166}"/>
    <cellStyle name="Normal 8 2 3 2 2 2 2" xfId="5481" xr:uid="{BF8D78C2-9A90-48B9-99B6-BF14F8D8D5C2}"/>
    <cellStyle name="Normal 8 2 3 2 2 2 2 2" xfId="11117" xr:uid="{4D041ACE-4767-40D4-A046-43C2BC8AF354}"/>
    <cellStyle name="Normal 8 2 3 2 2 2 3" xfId="8307" xr:uid="{358B381B-6A90-4E54-8EEA-14DE6E66F7DB}"/>
    <cellStyle name="Normal 8 2 3 2 2 3" xfId="4080" xr:uid="{C2712CBD-553C-4C48-B5D3-8C7ED5DC01DD}"/>
    <cellStyle name="Normal 8 2 3 2 2 3 2" xfId="9716" xr:uid="{3071F3E7-0BED-4C95-8F46-01E3BD3C556F}"/>
    <cellStyle name="Normal 8 2 3 2 2 4" xfId="6906" xr:uid="{AAF2577D-4C50-44B8-A21A-2A704343767F}"/>
    <cellStyle name="Normal 8 2 3 2 3" xfId="1975" xr:uid="{10820CC3-3999-4617-818E-888A033276B2}"/>
    <cellStyle name="Normal 8 2 3 2 3 2" xfId="4785" xr:uid="{E969488A-92DC-484D-9003-C6E30B3D65A6}"/>
    <cellStyle name="Normal 8 2 3 2 3 2 2" xfId="10421" xr:uid="{77E7922A-B536-4B27-A6E7-8D0CDC353B22}"/>
    <cellStyle name="Normal 8 2 3 2 3 3" xfId="7611" xr:uid="{D29199E9-FD98-4DB8-8CA2-7BD7D3C53332}"/>
    <cellStyle name="Normal 8 2 3 2 4" xfId="3384" xr:uid="{BC3B14FF-2B10-4F3D-9863-7F9F520D59F4}"/>
    <cellStyle name="Normal 8 2 3 2 4 2" xfId="9020" xr:uid="{4F1ACB98-402D-4998-8914-0C6F86E90115}"/>
    <cellStyle name="Normal 8 2 3 2 5" xfId="6210" xr:uid="{A205FA5F-C8E2-4575-B074-50BD73BFFE9B}"/>
    <cellStyle name="Normal 8 2 3 3" xfId="926" xr:uid="{A9854D17-856C-477B-A084-4CC549B65F80}"/>
    <cellStyle name="Normal 8 2 3 3 2" xfId="2327" xr:uid="{ED0B9DCD-45C3-4DAD-AFE1-4AE2C9C0B81F}"/>
    <cellStyle name="Normal 8 2 3 3 2 2" xfId="5137" xr:uid="{C98BAE96-449C-4F6A-9D48-398BD5CAF637}"/>
    <cellStyle name="Normal 8 2 3 3 2 2 2" xfId="10773" xr:uid="{9AAB40A9-49B6-486E-AD31-8571FC1C0CF0}"/>
    <cellStyle name="Normal 8 2 3 3 2 3" xfId="7963" xr:uid="{0D2A58F9-517E-48D4-8C00-0BF48B7DBC88}"/>
    <cellStyle name="Normal 8 2 3 3 3" xfId="3736" xr:uid="{0D4C5FBE-314A-4365-8B75-1B36ED470F46}"/>
    <cellStyle name="Normal 8 2 3 3 3 2" xfId="9372" xr:uid="{0036BA29-1E2F-406A-881D-7756194C1E46}"/>
    <cellStyle name="Normal 8 2 3 3 4" xfId="6562" xr:uid="{CB91B5B8-9270-4DCF-9DDF-DE0EBDD02F2A}"/>
    <cellStyle name="Normal 8 2 3 4" xfId="1631" xr:uid="{5B3BA7EE-DD90-4710-88E8-DCD47B10E2BB}"/>
    <cellStyle name="Normal 8 2 3 4 2" xfId="4441" xr:uid="{3807B894-5689-4C80-98C4-5B853624C1D3}"/>
    <cellStyle name="Normal 8 2 3 4 2 2" xfId="10077" xr:uid="{E09EABD2-94A0-468B-B599-B67289D9AE61}"/>
    <cellStyle name="Normal 8 2 3 4 3" xfId="7267" xr:uid="{2D0C83B7-F028-4B78-9911-3414FFF97153}"/>
    <cellStyle name="Normal 8 2 3 5" xfId="3040" xr:uid="{BCF3D4E2-3D48-404A-98D1-5842D891E700}"/>
    <cellStyle name="Normal 8 2 3 5 2" xfId="8676" xr:uid="{8A9DBCEA-C422-4BFC-B191-6C47129EF904}"/>
    <cellStyle name="Normal 8 2 3 6" xfId="5866" xr:uid="{A0272DD9-9097-40B4-817A-9F0673B20368}"/>
    <cellStyle name="Normal 8 2 4" xfId="402" xr:uid="{23537962-752F-4CB1-B9C0-BCD31930BB9E}"/>
    <cellStyle name="Normal 8 2 4 2" xfId="1098" xr:uid="{B15B7E07-3B3D-4C70-85A5-7BEE03ADB2AF}"/>
    <cellStyle name="Normal 8 2 4 2 2" xfId="2499" xr:uid="{ED551987-1185-4A8E-B1E4-DA50761821BF}"/>
    <cellStyle name="Normal 8 2 4 2 2 2" xfId="5309" xr:uid="{A48585A5-0E86-4D7B-8587-53D9105A7F2F}"/>
    <cellStyle name="Normal 8 2 4 2 2 2 2" xfId="10945" xr:uid="{BA5B4B98-97B2-4679-B51F-3140003CECF7}"/>
    <cellStyle name="Normal 8 2 4 2 2 3" xfId="8135" xr:uid="{52CE43AF-4247-414C-849A-67252C50559F}"/>
    <cellStyle name="Normal 8 2 4 2 3" xfId="3908" xr:uid="{4BBED19C-6070-44F2-B64B-A792B9B5D846}"/>
    <cellStyle name="Normal 8 2 4 2 3 2" xfId="9544" xr:uid="{5335B476-98C9-4BEC-A320-8ABDA255EC7C}"/>
    <cellStyle name="Normal 8 2 4 2 4" xfId="6734" xr:uid="{AF5711AF-EC8C-4010-836B-AFD43AF67F9E}"/>
    <cellStyle name="Normal 8 2 4 3" xfId="1803" xr:uid="{579EBB67-AC04-4F33-AD60-C08FFC067070}"/>
    <cellStyle name="Normal 8 2 4 3 2" xfId="4613" xr:uid="{0C020D3D-B5D8-4F6E-8D0D-945E35F8CC9F}"/>
    <cellStyle name="Normal 8 2 4 3 2 2" xfId="10249" xr:uid="{25829AB7-6FA7-45DD-A625-306833C4CF11}"/>
    <cellStyle name="Normal 8 2 4 3 3" xfId="7439" xr:uid="{18DD9922-DC6E-447B-829A-8B18A9C2ECE1}"/>
    <cellStyle name="Normal 8 2 4 4" xfId="3212" xr:uid="{072FDEBE-C7BA-4B9C-8CF5-660C2ADEA9E4}"/>
    <cellStyle name="Normal 8 2 4 4 2" xfId="8848" xr:uid="{824E573A-2C95-437F-8CDD-22ECD7B9B3BA}"/>
    <cellStyle name="Normal 8 2 4 5" xfId="6038" xr:uid="{DC6EA424-32AD-432D-8B7E-9044D999849A}"/>
    <cellStyle name="Normal 8 2 5" xfId="754" xr:uid="{CDA605CE-67C2-4E54-969B-954AC12BECD0}"/>
    <cellStyle name="Normal 8 2 5 2" xfId="2155" xr:uid="{F27B4E5A-E8D8-4679-B42B-1CF5F9A32900}"/>
    <cellStyle name="Normal 8 2 5 2 2" xfId="4965" xr:uid="{BBB2A94C-A0AA-4CF9-BADB-CE0EC30D311D}"/>
    <cellStyle name="Normal 8 2 5 2 2 2" xfId="10601" xr:uid="{6558287E-FD5C-4E4A-AD28-12E22CAF7F85}"/>
    <cellStyle name="Normal 8 2 5 2 3" xfId="7791" xr:uid="{00CBAD22-175F-4A8B-9044-1F739AFCD630}"/>
    <cellStyle name="Normal 8 2 5 3" xfId="3564" xr:uid="{290E82E5-3E6D-4529-B229-CE61C5D696DF}"/>
    <cellStyle name="Normal 8 2 5 3 2" xfId="9200" xr:uid="{90BFABA4-7734-4F11-8C77-3DC28CF05DED}"/>
    <cellStyle name="Normal 8 2 5 4" xfId="6390" xr:uid="{A09E0752-3107-405C-BFE0-12C8DEFB0AB7}"/>
    <cellStyle name="Normal 8 2 6" xfId="1459" xr:uid="{76EEB5FD-29CF-4260-AD66-FAAE0F42C4AB}"/>
    <cellStyle name="Normal 8 2 6 2" xfId="4269" xr:uid="{7283B698-1F8A-4843-AA2D-53F30C4CCDE0}"/>
    <cellStyle name="Normal 8 2 6 2 2" xfId="9905" xr:uid="{02DABED0-B6FF-43AD-BE30-03A8E02EFA5F}"/>
    <cellStyle name="Normal 8 2 6 3" xfId="7095" xr:uid="{A03100B9-5458-4460-BA7D-9F48928858AA}"/>
    <cellStyle name="Normal 8 2 7" xfId="2868" xr:uid="{1E6B43E1-10F8-4907-9A01-B0681052AFE2}"/>
    <cellStyle name="Normal 8 2 7 2" xfId="8504" xr:uid="{D86086EC-FC5E-4F55-96A5-61B8ADD0939B}"/>
    <cellStyle name="Normal 8 2 8" xfId="5694" xr:uid="{A6382401-4BE2-4D63-A2C5-27B1CB5C81DE}"/>
    <cellStyle name="Normal 8 3" xfId="106" xr:uid="{212A63DF-525C-40B4-8C27-C400DA6DB8B3}"/>
    <cellStyle name="Normal 8 3 2" xfId="278" xr:uid="{E2C23F33-68D0-4EAF-A2C4-9D7CE89E6224}"/>
    <cellStyle name="Normal 8 3 2 2" xfId="622" xr:uid="{3E6FB015-76D6-4AB0-BC0E-BC96264D1A13}"/>
    <cellStyle name="Normal 8 3 2 2 2" xfId="1318" xr:uid="{A769BE21-FF42-4E8A-BA03-DEE7955EFE45}"/>
    <cellStyle name="Normal 8 3 2 2 2 2" xfId="2719" xr:uid="{512FFEC7-810B-4195-9C35-BE7124274403}"/>
    <cellStyle name="Normal 8 3 2 2 2 2 2" xfId="5529" xr:uid="{056ADAA5-7F8A-448F-976C-34AC564194B1}"/>
    <cellStyle name="Normal 8 3 2 2 2 2 2 2" xfId="11165" xr:uid="{67F9B314-D1E1-4F8E-8A70-D16907A6CBCE}"/>
    <cellStyle name="Normal 8 3 2 2 2 2 3" xfId="8355" xr:uid="{D02AB757-E804-48B1-A23E-7020C94D5A21}"/>
    <cellStyle name="Normal 8 3 2 2 2 3" xfId="4128" xr:uid="{AE3F0EFD-A84B-4015-9D4D-CE1EE9710745}"/>
    <cellStyle name="Normal 8 3 2 2 2 3 2" xfId="9764" xr:uid="{08E6FE22-2F62-49BD-85ED-966BCB726AD3}"/>
    <cellStyle name="Normal 8 3 2 2 2 4" xfId="6954" xr:uid="{7C25C25D-8BC4-40DC-80FD-0F28BFF9E1F7}"/>
    <cellStyle name="Normal 8 3 2 2 3" xfId="2023" xr:uid="{2146607E-98F1-40B7-9F01-5D6904DDB722}"/>
    <cellStyle name="Normal 8 3 2 2 3 2" xfId="4833" xr:uid="{19E7F0E4-F695-4AC3-9E9A-D8E60949D7AC}"/>
    <cellStyle name="Normal 8 3 2 2 3 2 2" xfId="10469" xr:uid="{1ADA27F6-E508-46DF-97E9-7159FA53DDFC}"/>
    <cellStyle name="Normal 8 3 2 2 3 3" xfId="7659" xr:uid="{29A2F81B-5F05-4031-8197-4E3F30B1D48E}"/>
    <cellStyle name="Normal 8 3 2 2 4" xfId="3432" xr:uid="{8A3A933F-92FA-466C-B27C-0993F3F49531}"/>
    <cellStyle name="Normal 8 3 2 2 4 2" xfId="9068" xr:uid="{4C6E5D6C-65D1-4C76-92B6-06858E66084D}"/>
    <cellStyle name="Normal 8 3 2 2 5" xfId="6258" xr:uid="{5803D84F-CFA8-4E13-915A-AE249D63455F}"/>
    <cellStyle name="Normal 8 3 2 3" xfId="974" xr:uid="{F909447D-F724-40BB-BF14-DE6306962737}"/>
    <cellStyle name="Normal 8 3 2 3 2" xfId="2375" xr:uid="{87BE9062-EE8A-41B8-88C2-D07711363ECA}"/>
    <cellStyle name="Normal 8 3 2 3 2 2" xfId="5185" xr:uid="{8A6B9BDB-1382-442F-95EF-6FB4EB380DAB}"/>
    <cellStyle name="Normal 8 3 2 3 2 2 2" xfId="10821" xr:uid="{0CB13A7C-8FD6-4D91-9BCB-A87A815CD3A0}"/>
    <cellStyle name="Normal 8 3 2 3 2 3" xfId="8011" xr:uid="{5E5CA52F-C75F-4A44-AA8B-AADB6032EA4C}"/>
    <cellStyle name="Normal 8 3 2 3 3" xfId="3784" xr:uid="{13C2DB8A-74B4-45B9-B01E-56987F3C46FB}"/>
    <cellStyle name="Normal 8 3 2 3 3 2" xfId="9420" xr:uid="{2F5CE804-67AB-469C-AFE5-A569C2279576}"/>
    <cellStyle name="Normal 8 3 2 3 4" xfId="6610" xr:uid="{7FB3A506-2EC7-49BD-B55D-A3A36AFDFED9}"/>
    <cellStyle name="Normal 8 3 2 4" xfId="1679" xr:uid="{920B7BC9-C861-4B9B-B38A-C1BE81680B7C}"/>
    <cellStyle name="Normal 8 3 2 4 2" xfId="4489" xr:uid="{B45887A3-0AF9-4AF6-BD29-FFE1F65502A7}"/>
    <cellStyle name="Normal 8 3 2 4 2 2" xfId="10125" xr:uid="{6C5C5EE8-D954-4CAD-98F6-B9C53C3A44E6}"/>
    <cellStyle name="Normal 8 3 2 4 3" xfId="7315" xr:uid="{D86DD7DC-14CF-4144-AEF2-D4CED5C3F16B}"/>
    <cellStyle name="Normal 8 3 2 5" xfId="3088" xr:uid="{F6ADD1C0-E7A0-4990-A374-F8D6057C727B}"/>
    <cellStyle name="Normal 8 3 2 5 2" xfId="8724" xr:uid="{6EE1AD62-9084-4C11-BDE2-C8B8A5A15A58}"/>
    <cellStyle name="Normal 8 3 2 6" xfId="5914" xr:uid="{AEB8C3EF-E0D5-43E0-8A91-BB2D6FEB3D2B}"/>
    <cellStyle name="Normal 8 3 3" xfId="450" xr:uid="{FD1DBED1-3837-4845-9E7B-F07ED1BCBE8C}"/>
    <cellStyle name="Normal 8 3 3 2" xfId="1146" xr:uid="{60F18CBE-AC9D-4954-9609-ECF7A2DAEF52}"/>
    <cellStyle name="Normal 8 3 3 2 2" xfId="2547" xr:uid="{88E1D275-7A78-4C1C-B553-0D608736FDD5}"/>
    <cellStyle name="Normal 8 3 3 2 2 2" xfId="5357" xr:uid="{7F7800ED-AA93-447F-B72B-C9991C81B0A9}"/>
    <cellStyle name="Normal 8 3 3 2 2 2 2" xfId="10993" xr:uid="{C616AD7F-0EEB-4060-8F65-FF011FEB556A}"/>
    <cellStyle name="Normal 8 3 3 2 2 3" xfId="8183" xr:uid="{D70A19A1-DAFB-4464-803B-C2C3A071C1FB}"/>
    <cellStyle name="Normal 8 3 3 2 3" xfId="3956" xr:uid="{E8BFA4EC-88C7-4BB1-BB14-4B56EBBB4247}"/>
    <cellStyle name="Normal 8 3 3 2 3 2" xfId="9592" xr:uid="{D6734A4E-6992-4BA9-807A-D9CFB96164FE}"/>
    <cellStyle name="Normal 8 3 3 2 4" xfId="6782" xr:uid="{55DB007A-1162-4E3F-9D23-F7FE3AEDD130}"/>
    <cellStyle name="Normal 8 3 3 3" xfId="1851" xr:uid="{BA0A2431-B69E-4CB8-AF46-7F75F0894B60}"/>
    <cellStyle name="Normal 8 3 3 3 2" xfId="4661" xr:uid="{035044B9-5C88-4223-A1B4-C370128D52BA}"/>
    <cellStyle name="Normal 8 3 3 3 2 2" xfId="10297" xr:uid="{03A1847D-B857-4908-AD02-1FCF0485FA69}"/>
    <cellStyle name="Normal 8 3 3 3 3" xfId="7487" xr:uid="{095911C5-C650-44FF-A8EC-84C60E4C4951}"/>
    <cellStyle name="Normal 8 3 3 4" xfId="3260" xr:uid="{792E5BB2-5902-4AD9-AAE2-55963FF32A6E}"/>
    <cellStyle name="Normal 8 3 3 4 2" xfId="8896" xr:uid="{0C3399D9-4096-485C-AC06-AE44EDB40ABE}"/>
    <cellStyle name="Normal 8 3 3 5" xfId="6086" xr:uid="{9CC77DBF-6AE1-46E9-B0AA-4CF82CD1E4DE}"/>
    <cellStyle name="Normal 8 3 4" xfId="802" xr:uid="{0EA70FE3-1C3B-4DE4-8397-8FED22A1BE7E}"/>
    <cellStyle name="Normal 8 3 4 2" xfId="2203" xr:uid="{8B0CAD4B-219B-4309-BB71-92F4BDE2E025}"/>
    <cellStyle name="Normal 8 3 4 2 2" xfId="5013" xr:uid="{A1B1A802-644B-43ED-A961-0AD121C08847}"/>
    <cellStyle name="Normal 8 3 4 2 2 2" xfId="10649" xr:uid="{A9F16017-2B91-4629-A017-3B2FEB474622}"/>
    <cellStyle name="Normal 8 3 4 2 3" xfId="7839" xr:uid="{E5F08268-F863-4B88-84AA-A2679F7FF872}"/>
    <cellStyle name="Normal 8 3 4 3" xfId="3612" xr:uid="{255D9F8B-B8B3-453C-B5BD-443941F367B4}"/>
    <cellStyle name="Normal 8 3 4 3 2" xfId="9248" xr:uid="{2BAD32DE-78E2-44A8-982B-3E56FFC95DCE}"/>
    <cellStyle name="Normal 8 3 4 4" xfId="6438" xr:uid="{BE05E440-DAC1-4E10-AB19-495169F116AD}"/>
    <cellStyle name="Normal 8 3 5" xfId="1507" xr:uid="{E4FDFE7A-A8AC-4AEF-8CED-89A574C94E70}"/>
    <cellStyle name="Normal 8 3 5 2" xfId="4317" xr:uid="{5BFC08C2-875E-4B99-8EC6-E6844ACF3067}"/>
    <cellStyle name="Normal 8 3 5 2 2" xfId="9953" xr:uid="{FD41E28F-ABCC-4A30-A991-092C0781CF8A}"/>
    <cellStyle name="Normal 8 3 5 3" xfId="7143" xr:uid="{0978C014-B423-4D67-80B3-8CEAD7E10D21}"/>
    <cellStyle name="Normal 8 3 6" xfId="2916" xr:uid="{4EA2E629-64AD-4A5A-90A0-6C1E40D55C54}"/>
    <cellStyle name="Normal 8 3 6 2" xfId="8552" xr:uid="{FC9D8710-72D9-44AA-A949-7C7FCB9FE84B}"/>
    <cellStyle name="Normal 8 3 7" xfId="5742" xr:uid="{BC370D66-A344-4288-80CA-3B90670104D4}"/>
    <cellStyle name="Normal 8 4" xfId="198" xr:uid="{F22DAF3E-0F7E-4BCE-AF64-523E54E6D8B9}"/>
    <cellStyle name="Normal 8 4 2" xfId="542" xr:uid="{9E434707-CB56-4ABC-ADF2-5170B338A726}"/>
    <cellStyle name="Normal 8 4 2 2" xfId="1238" xr:uid="{8BF9E42B-66C6-4D3C-9EE2-DF797B418554}"/>
    <cellStyle name="Normal 8 4 2 2 2" xfId="2639" xr:uid="{46EDC59D-4E5B-48C3-A97A-666270EE6569}"/>
    <cellStyle name="Normal 8 4 2 2 2 2" xfId="5449" xr:uid="{42A97431-4082-453D-8C60-859B645D7E95}"/>
    <cellStyle name="Normal 8 4 2 2 2 2 2" xfId="11085" xr:uid="{2B628D0A-75EC-4B1F-930F-ABB9A2090280}"/>
    <cellStyle name="Normal 8 4 2 2 2 3" xfId="8275" xr:uid="{B4BBE088-A002-47E7-A9D4-8468EB9E03EB}"/>
    <cellStyle name="Normal 8 4 2 2 3" xfId="4048" xr:uid="{0889980E-3C01-4AAF-A352-919CE74B9AA6}"/>
    <cellStyle name="Normal 8 4 2 2 3 2" xfId="9684" xr:uid="{69D45E77-0883-4323-8A78-C8A1353B363A}"/>
    <cellStyle name="Normal 8 4 2 2 4" xfId="6874" xr:uid="{C1441CA9-BEFB-4D49-BDA0-85AAEB2F7BB9}"/>
    <cellStyle name="Normal 8 4 2 3" xfId="1943" xr:uid="{2CEC7CEF-F55B-4B95-A705-4248E6B96E41}"/>
    <cellStyle name="Normal 8 4 2 3 2" xfId="4753" xr:uid="{28FAC84E-4EE4-48C2-B15B-B1C398B2B61F}"/>
    <cellStyle name="Normal 8 4 2 3 2 2" xfId="10389" xr:uid="{6A788326-75FA-4CF6-A852-59E00A7F3FC9}"/>
    <cellStyle name="Normal 8 4 2 3 3" xfId="7579" xr:uid="{33BCC42B-D4ED-4BFC-B801-D10F771962F2}"/>
    <cellStyle name="Normal 8 4 2 4" xfId="3352" xr:uid="{CAAB9976-5481-4C4E-8738-B74AEC788702}"/>
    <cellStyle name="Normal 8 4 2 4 2" xfId="8988" xr:uid="{C59B2167-62F3-413D-AED5-68338D5A7D52}"/>
    <cellStyle name="Normal 8 4 2 5" xfId="6178" xr:uid="{AA5106F0-999B-4558-8C9C-E88A949B81C4}"/>
    <cellStyle name="Normal 8 4 3" xfId="894" xr:uid="{3C16291D-F14E-4A5E-988C-6EE5F1A7F5AF}"/>
    <cellStyle name="Normal 8 4 3 2" xfId="2295" xr:uid="{96D55FF6-676E-4594-975A-6AC13ABF9FC1}"/>
    <cellStyle name="Normal 8 4 3 2 2" xfId="5105" xr:uid="{1423BFEF-52B2-4B3D-A343-1533BF20DFA6}"/>
    <cellStyle name="Normal 8 4 3 2 2 2" xfId="10741" xr:uid="{714DDEDE-2C4A-43CF-A682-9F12026D9BDB}"/>
    <cellStyle name="Normal 8 4 3 2 3" xfId="7931" xr:uid="{2DF9B1D7-D248-483C-8FCA-29DACCBA72B7}"/>
    <cellStyle name="Normal 8 4 3 3" xfId="3704" xr:uid="{81925DAF-5CD1-4A01-8DA6-34580E34D4AF}"/>
    <cellStyle name="Normal 8 4 3 3 2" xfId="9340" xr:uid="{7D16E253-42EA-4BD2-84A2-6A877512C465}"/>
    <cellStyle name="Normal 8 4 3 4" xfId="6530" xr:uid="{6E089B2A-D8DE-40F5-AFF3-E5A1F9F2B5AC}"/>
    <cellStyle name="Normal 8 4 4" xfId="1599" xr:uid="{D0837B1C-6874-4DBA-B8D8-CA290E3F7534}"/>
    <cellStyle name="Normal 8 4 4 2" xfId="4409" xr:uid="{F8C22CD6-857C-4E93-9D51-12FA3E670451}"/>
    <cellStyle name="Normal 8 4 4 2 2" xfId="10045" xr:uid="{19DF9528-CA7E-4D75-8641-6D49E09C1132}"/>
    <cellStyle name="Normal 8 4 4 3" xfId="7235" xr:uid="{84D12DF5-0CAC-4B22-A1F1-66D8E90D4122}"/>
    <cellStyle name="Normal 8 4 5" xfId="3008" xr:uid="{E50FFC26-41B1-463B-92FC-F819705D4DDD}"/>
    <cellStyle name="Normal 8 4 5 2" xfId="8644" xr:uid="{67B04760-6416-4C0F-9D16-302DAC71B86F}"/>
    <cellStyle name="Normal 8 4 6" xfId="5834" xr:uid="{161789D8-18DA-47CF-B5DC-F208D3C63911}"/>
    <cellStyle name="Normal 8 5" xfId="370" xr:uid="{B7179F4B-2A71-46DE-955A-91B0E58AFB76}"/>
    <cellStyle name="Normal 8 5 2" xfId="1066" xr:uid="{66C103FB-1CE6-4703-B646-59EEC3A7B030}"/>
    <cellStyle name="Normal 8 5 2 2" xfId="2467" xr:uid="{295ED69D-61DB-41EC-A7C8-E5606635BF2C}"/>
    <cellStyle name="Normal 8 5 2 2 2" xfId="5277" xr:uid="{25B49AA7-AE6C-4553-9AAF-7676DAA484C6}"/>
    <cellStyle name="Normal 8 5 2 2 2 2" xfId="10913" xr:uid="{1C82AABD-BA23-42B8-9090-EFCE49AE3320}"/>
    <cellStyle name="Normal 8 5 2 2 3" xfId="8103" xr:uid="{B5528388-B4DA-42FB-9E05-79159B988A04}"/>
    <cellStyle name="Normal 8 5 2 3" xfId="3876" xr:uid="{F76C3F0A-AB67-470B-8FBF-37D40193E416}"/>
    <cellStyle name="Normal 8 5 2 3 2" xfId="9512" xr:uid="{6F210842-7343-4937-9BA8-4B4059BCF838}"/>
    <cellStyle name="Normal 8 5 2 4" xfId="6702" xr:uid="{44AC00C9-730F-4E8A-B9BE-38FA0723AD81}"/>
    <cellStyle name="Normal 8 5 3" xfId="1771" xr:uid="{3663E286-CE01-45E5-9EE3-7DE1C93740E9}"/>
    <cellStyle name="Normal 8 5 3 2" xfId="4581" xr:uid="{C477E4D0-96A8-43E0-8713-5ECA27A78829}"/>
    <cellStyle name="Normal 8 5 3 2 2" xfId="10217" xr:uid="{19F9D57C-F00B-49AC-B68B-358D8D220BA2}"/>
    <cellStyle name="Normal 8 5 3 3" xfId="7407" xr:uid="{E7412826-EA95-4939-9DCE-E9213F81A86A}"/>
    <cellStyle name="Normal 8 5 4" xfId="3180" xr:uid="{CEC74739-F346-402E-97B3-A45039786694}"/>
    <cellStyle name="Normal 8 5 4 2" xfId="8816" xr:uid="{39D63D78-27FB-4A34-8BEE-1EAE80D391D8}"/>
    <cellStyle name="Normal 8 5 5" xfId="6006" xr:uid="{41378339-28DE-4EDB-849B-A60C6A2330FE}"/>
    <cellStyle name="Normal 8 6" xfId="722" xr:uid="{9D61F546-23C2-4C41-A3ED-D1419CC05E27}"/>
    <cellStyle name="Normal 8 6 2" xfId="2123" xr:uid="{6F149082-4E39-41D7-9A88-FC4F103985A4}"/>
    <cellStyle name="Normal 8 6 2 2" xfId="4933" xr:uid="{40A86D3C-9BC9-46F9-A66E-9327B9DB07C1}"/>
    <cellStyle name="Normal 8 6 2 2 2" xfId="10569" xr:uid="{71E029B7-D6CF-4A36-9B3F-FE7A5F8E184A}"/>
    <cellStyle name="Normal 8 6 2 3" xfId="7759" xr:uid="{24DFE0E1-1744-41F2-BBA2-383132EA329E}"/>
    <cellStyle name="Normal 8 6 3" xfId="3532" xr:uid="{5C7A4CD0-FF28-4213-83A7-F9EBC49A208A}"/>
    <cellStyle name="Normal 8 6 3 2" xfId="9168" xr:uid="{85191234-F792-4699-9EF5-F0317289B078}"/>
    <cellStyle name="Normal 8 6 4" xfId="6358" xr:uid="{DEAE94A4-9226-40DC-B5BD-5ACAF5650BCB}"/>
    <cellStyle name="Normal 8 7" xfId="1427" xr:uid="{1803A0DE-BA35-4615-8A9F-D0C4304E207D}"/>
    <cellStyle name="Normal 8 7 2" xfId="4237" xr:uid="{5C521303-5A9E-4AE6-A719-AD923FF509C7}"/>
    <cellStyle name="Normal 8 7 2 2" xfId="9873" xr:uid="{0C555C2F-FE87-4A6B-B328-335B3C3F1E13}"/>
    <cellStyle name="Normal 8 7 3" xfId="7063" xr:uid="{25683527-6D5D-4795-B4C4-6B0793176F07}"/>
    <cellStyle name="Normal 8 8" xfId="2836" xr:uid="{F4671D95-D32F-4A0E-B5D4-3A85899124F3}"/>
    <cellStyle name="Normal 8 8 2" xfId="8472" xr:uid="{2BA6D13B-C0EE-436B-A2D7-AB07F9D2DEDF}"/>
    <cellStyle name="Normal 8 9" xfId="5662" xr:uid="{274E7ADA-E16E-485B-B510-9F81EF253FA0}"/>
    <cellStyle name="Normal 80" xfId="11303" xr:uid="{54A19DAF-6C4F-4819-A4A7-7D685112CF92}"/>
    <cellStyle name="Normal 81" xfId="11304" xr:uid="{5EE509DB-6C8A-4DE9-9CD1-DD28BF4989F7}"/>
    <cellStyle name="Normal 82" xfId="11305" xr:uid="{149AB5EE-2DF9-47A3-968E-BF33D553B4F1}"/>
    <cellStyle name="Normal 83" xfId="11306" xr:uid="{53EE0592-0265-450B-B069-CBA989AB8141}"/>
    <cellStyle name="Normal 84" xfId="11307" xr:uid="{EB74581D-E881-4CAA-AA78-C2AA5BC2F9EB}"/>
    <cellStyle name="Normal 85" xfId="11308" xr:uid="{348008D7-98A5-4D91-95E3-DB21DC73913D}"/>
    <cellStyle name="Normal 86" xfId="11309" xr:uid="{FAAB7D59-5A19-463F-A584-41553A72DFD8}"/>
    <cellStyle name="Normal 87" xfId="11310" xr:uid="{7F2EF642-8FF3-47DD-A21A-34554D1F223C}"/>
    <cellStyle name="Normal 88" xfId="11311" xr:uid="{3637A557-3BF4-495B-9115-C34636062E47}"/>
    <cellStyle name="Normal 89" xfId="11312" xr:uid="{FBAD1D9A-7E52-4262-86A8-733179D2AAF8}"/>
    <cellStyle name="Normal 9" xfId="28" xr:uid="{78C8FA19-FE96-4C44-95EF-306F0A8BA267}"/>
    <cellStyle name="Normal 9 10" xfId="11280" xr:uid="{C2D2DEF7-13DB-4257-A12F-77EDA866CCE4}"/>
    <cellStyle name="Normal 9 2" xfId="60" xr:uid="{2C62270C-AFA3-4EC5-ADDA-64E01A42051B}"/>
    <cellStyle name="Normal 9 2 2" xfId="140" xr:uid="{6016E073-C83C-4AB1-A1C1-E959A8573E7B}"/>
    <cellStyle name="Normal 9 2 2 2" xfId="312" xr:uid="{79E52934-A7E4-4517-9470-6D4CCAC3A91A}"/>
    <cellStyle name="Normal 9 2 2 2 2" xfId="656" xr:uid="{44DB1220-8B1E-4BEF-A3C3-2AEBBFD3D7BA}"/>
    <cellStyle name="Normal 9 2 2 2 2 2" xfId="1352" xr:uid="{1D1E71E5-D7C2-4A7E-9203-0898133334F6}"/>
    <cellStyle name="Normal 9 2 2 2 2 2 2" xfId="2753" xr:uid="{8CA1A5D8-9A72-47CA-8ED0-7811B22F43FF}"/>
    <cellStyle name="Normal 9 2 2 2 2 2 2 2" xfId="5563" xr:uid="{4D838552-984B-493E-8805-80C97B4F36D4}"/>
    <cellStyle name="Normal 9 2 2 2 2 2 2 2 2" xfId="11199" xr:uid="{C0556C9F-82BF-4129-A2E1-65F09ED7667E}"/>
    <cellStyle name="Normal 9 2 2 2 2 2 2 3" xfId="8389" xr:uid="{004B735C-373E-4F01-8B29-ABA3D5558DB9}"/>
    <cellStyle name="Normal 9 2 2 2 2 2 3" xfId="4162" xr:uid="{8509EA90-BA2B-4CEC-B6F1-2EE42FA80CFE}"/>
    <cellStyle name="Normal 9 2 2 2 2 2 3 2" xfId="9798" xr:uid="{AE15C679-F63F-4D89-A378-53E4BB2367D4}"/>
    <cellStyle name="Normal 9 2 2 2 2 2 4" xfId="6988" xr:uid="{91032DCC-4AF1-4973-BB3C-269FA17E1808}"/>
    <cellStyle name="Normal 9 2 2 2 2 3" xfId="2057" xr:uid="{C32EF435-1C67-4833-AEA0-73903953882F}"/>
    <cellStyle name="Normal 9 2 2 2 2 3 2" xfId="4867" xr:uid="{B62D90F9-5274-4C39-9961-A17C3B820261}"/>
    <cellStyle name="Normal 9 2 2 2 2 3 2 2" xfId="10503" xr:uid="{4AB74421-9EC8-4D0D-9049-4D6591E7A695}"/>
    <cellStyle name="Normal 9 2 2 2 2 3 3" xfId="7693" xr:uid="{AA4C9264-51D5-4EA4-9BD5-F05C02595D44}"/>
    <cellStyle name="Normal 9 2 2 2 2 4" xfId="3466" xr:uid="{02ABF2C4-F588-407A-A339-E31CD6B24576}"/>
    <cellStyle name="Normal 9 2 2 2 2 4 2" xfId="9102" xr:uid="{783ADC12-6EB9-4F93-8DEA-262A2BFE3146}"/>
    <cellStyle name="Normal 9 2 2 2 2 5" xfId="6292" xr:uid="{8CCBF95F-941A-4326-96D3-385C713AC2AD}"/>
    <cellStyle name="Normal 9 2 2 2 3" xfId="1008" xr:uid="{27A1BAC7-CD79-42C0-BAAC-0A714829C4CD}"/>
    <cellStyle name="Normal 9 2 2 2 3 2" xfId="2409" xr:uid="{35ED6E75-718B-476B-B31B-04D87E64E95D}"/>
    <cellStyle name="Normal 9 2 2 2 3 2 2" xfId="5219" xr:uid="{B2D57A40-383C-45B7-BC3D-DCEF80A517E2}"/>
    <cellStyle name="Normal 9 2 2 2 3 2 2 2" xfId="10855" xr:uid="{1F2945AF-5A3D-4BD4-8DB7-2364EBD4C9A2}"/>
    <cellStyle name="Normal 9 2 2 2 3 2 3" xfId="8045" xr:uid="{7CB3C291-CA99-42D2-9D5D-B502DB85CE41}"/>
    <cellStyle name="Normal 9 2 2 2 3 3" xfId="3818" xr:uid="{CF25FB2E-DD85-496B-BADD-2D0406F0F68A}"/>
    <cellStyle name="Normal 9 2 2 2 3 3 2" xfId="9454" xr:uid="{E36514BD-9628-4054-BEB6-5F8390462879}"/>
    <cellStyle name="Normal 9 2 2 2 3 4" xfId="6644" xr:uid="{5B7C39D5-22B9-44B8-A753-578C2B33C756}"/>
    <cellStyle name="Normal 9 2 2 2 4" xfId="1713" xr:uid="{F83A22DB-0FA4-4BEB-8154-951344E72F11}"/>
    <cellStyle name="Normal 9 2 2 2 4 2" xfId="4523" xr:uid="{DFD94128-A194-413B-8F6E-46DCF83AA82D}"/>
    <cellStyle name="Normal 9 2 2 2 4 2 2" xfId="10159" xr:uid="{D3045412-E0E3-4D35-907C-FA7871DDF4A3}"/>
    <cellStyle name="Normal 9 2 2 2 4 3" xfId="7349" xr:uid="{ED8970CA-6EBD-48BC-B148-249C0CB05A1D}"/>
    <cellStyle name="Normal 9 2 2 2 5" xfId="3122" xr:uid="{DD2EA2A4-70E7-49E0-B45D-4306C912FE1B}"/>
    <cellStyle name="Normal 9 2 2 2 5 2" xfId="8758" xr:uid="{102C56DF-7B5A-4F30-A030-9B793AA0FCC2}"/>
    <cellStyle name="Normal 9 2 2 2 6" xfId="5948" xr:uid="{A80F6F3B-3396-468C-A5EA-D68CFFC97400}"/>
    <cellStyle name="Normal 9 2 2 3" xfId="484" xr:uid="{BA92F538-7F2B-47E7-B515-8AF4557D8796}"/>
    <cellStyle name="Normal 9 2 2 3 2" xfId="1180" xr:uid="{AF10B407-8C31-48B4-9459-65CA3D837148}"/>
    <cellStyle name="Normal 9 2 2 3 2 2" xfId="2581" xr:uid="{2A93565A-78B5-4BD9-B76A-29C7B859BA94}"/>
    <cellStyle name="Normal 9 2 2 3 2 2 2" xfId="5391" xr:uid="{689B0591-9EA6-4A9F-801A-02834BE0E999}"/>
    <cellStyle name="Normal 9 2 2 3 2 2 2 2" xfId="11027" xr:uid="{84CDD278-9367-48BE-9677-599B269925D3}"/>
    <cellStyle name="Normal 9 2 2 3 2 2 3" xfId="8217" xr:uid="{53D7FC34-63B4-45CC-A9E5-4F4654AA4C3F}"/>
    <cellStyle name="Normal 9 2 2 3 2 3" xfId="3990" xr:uid="{32249BEB-BADC-4E8C-9EB2-0AF3CE703BB7}"/>
    <cellStyle name="Normal 9 2 2 3 2 3 2" xfId="9626" xr:uid="{591B576B-29F7-420A-B0B6-02E566F49ECC}"/>
    <cellStyle name="Normal 9 2 2 3 2 4" xfId="6816" xr:uid="{CFBDC9EE-3419-42F0-949B-DC94DB8E7DFB}"/>
    <cellStyle name="Normal 9 2 2 3 3" xfId="1885" xr:uid="{487ED792-8AF6-4C01-8371-6407D23DBB26}"/>
    <cellStyle name="Normal 9 2 2 3 3 2" xfId="4695" xr:uid="{920F8D0C-5EA1-4438-94EC-6548A14CD334}"/>
    <cellStyle name="Normal 9 2 2 3 3 2 2" xfId="10331" xr:uid="{435BAE7E-C6E7-43ED-ACF7-C868AAAE2676}"/>
    <cellStyle name="Normal 9 2 2 3 3 3" xfId="7521" xr:uid="{EFB786F1-5A82-4A4F-A8FC-C4C5A180BE52}"/>
    <cellStyle name="Normal 9 2 2 3 4" xfId="3294" xr:uid="{AA14DF94-7508-4388-8356-672B13EE9D88}"/>
    <cellStyle name="Normal 9 2 2 3 4 2" xfId="8930" xr:uid="{0F724371-9FA0-4EAC-A47F-34F79A07E50C}"/>
    <cellStyle name="Normal 9 2 2 3 5" xfId="6120" xr:uid="{22DE4670-C4E5-440B-8142-67DD0EB1016D}"/>
    <cellStyle name="Normal 9 2 2 4" xfId="836" xr:uid="{7FBA7366-04DD-4064-9078-8AA7823E3C4F}"/>
    <cellStyle name="Normal 9 2 2 4 2" xfId="2237" xr:uid="{9D67D637-2084-406C-9C04-8ADB35F21F1D}"/>
    <cellStyle name="Normal 9 2 2 4 2 2" xfId="5047" xr:uid="{254E65E2-C7DD-41A8-A181-9CB43A8BB5CF}"/>
    <cellStyle name="Normal 9 2 2 4 2 2 2" xfId="10683" xr:uid="{AA13B637-A94E-4316-80C6-982A2E00146D}"/>
    <cellStyle name="Normal 9 2 2 4 2 3" xfId="7873" xr:uid="{1B934F9B-37B3-489D-B326-A8A7AC744F1A}"/>
    <cellStyle name="Normal 9 2 2 4 3" xfId="3646" xr:uid="{F73FFA8F-6AD3-463F-9FFD-A4ABDB6F2002}"/>
    <cellStyle name="Normal 9 2 2 4 3 2" xfId="9282" xr:uid="{52475DBE-048D-42BB-9D3C-06D140ADC732}"/>
    <cellStyle name="Normal 9 2 2 4 4" xfId="6472" xr:uid="{C247DDE2-CC04-46B6-A168-C7DDCBCDCA48}"/>
    <cellStyle name="Normal 9 2 2 5" xfId="1541" xr:uid="{FDD515D0-D442-4E9F-B1CC-9AE2D4863954}"/>
    <cellStyle name="Normal 9 2 2 5 2" xfId="4351" xr:uid="{5760E9B8-238B-4D0F-BA34-A4673992180D}"/>
    <cellStyle name="Normal 9 2 2 5 2 2" xfId="9987" xr:uid="{99AB83AE-E7F1-43C6-8614-6210775522BE}"/>
    <cellStyle name="Normal 9 2 2 5 3" xfId="7177" xr:uid="{B917E2B5-B91D-4CAA-8735-ECF4209A1B60}"/>
    <cellStyle name="Normal 9 2 2 6" xfId="2950" xr:uid="{35DA14D0-D3D4-4121-9ADE-FC97254B90AB}"/>
    <cellStyle name="Normal 9 2 2 6 2" xfId="8586" xr:uid="{B5A1A27D-B8E0-4507-B845-B18A821DFCA4}"/>
    <cellStyle name="Normal 9 2 2 7" xfId="5776" xr:uid="{1620747B-E265-411C-8A8E-93CCAA7D0C83}"/>
    <cellStyle name="Normal 9 2 3" xfId="232" xr:uid="{2D97527C-362B-49F4-A7E8-BF8DE661C6BA}"/>
    <cellStyle name="Normal 9 2 3 2" xfId="576" xr:uid="{7B7FC146-E69D-4E53-B8FD-955578B49F2E}"/>
    <cellStyle name="Normal 9 2 3 2 2" xfId="1272" xr:uid="{97D0B2C6-9B96-4E48-914C-197DE3F6CF6F}"/>
    <cellStyle name="Normal 9 2 3 2 2 2" xfId="2673" xr:uid="{DE62E316-84EA-4D58-969F-C9C9CD0FD058}"/>
    <cellStyle name="Normal 9 2 3 2 2 2 2" xfId="5483" xr:uid="{9967DD9A-8AB1-4E40-B1A3-3F588A3531FD}"/>
    <cellStyle name="Normal 9 2 3 2 2 2 2 2" xfId="11119" xr:uid="{A16F1104-F756-423D-A61B-C7A2B5A870ED}"/>
    <cellStyle name="Normal 9 2 3 2 2 2 3" xfId="8309" xr:uid="{675FD463-9CD7-42E9-9823-8782303B7D88}"/>
    <cellStyle name="Normal 9 2 3 2 2 3" xfId="4082" xr:uid="{40664BE5-9D0C-40C1-9519-31F3747F9C03}"/>
    <cellStyle name="Normal 9 2 3 2 2 3 2" xfId="9718" xr:uid="{78A1DA19-291D-411E-91D0-0EE697BFF2B8}"/>
    <cellStyle name="Normal 9 2 3 2 2 4" xfId="6908" xr:uid="{894DB2D0-14EE-4BA3-94F5-068384016E0B}"/>
    <cellStyle name="Normal 9 2 3 2 3" xfId="1977" xr:uid="{A91F5FB4-AC87-40DF-9218-E5A0E734C4DA}"/>
    <cellStyle name="Normal 9 2 3 2 3 2" xfId="4787" xr:uid="{6D1FBC10-2555-48DE-A80F-BD4B8C5784F5}"/>
    <cellStyle name="Normal 9 2 3 2 3 2 2" xfId="10423" xr:uid="{11119349-958C-43A2-B927-2AC676E0CC30}"/>
    <cellStyle name="Normal 9 2 3 2 3 3" xfId="7613" xr:uid="{B90C1CCA-73AA-446C-9033-7DD8EFA264FA}"/>
    <cellStyle name="Normal 9 2 3 2 4" xfId="3386" xr:uid="{F90B9782-BA56-43FC-A219-556884B0513A}"/>
    <cellStyle name="Normal 9 2 3 2 4 2" xfId="9022" xr:uid="{152A8B4B-B5F7-4D7E-84A1-C2F52FC080CD}"/>
    <cellStyle name="Normal 9 2 3 2 5" xfId="6212" xr:uid="{862A1A9A-554B-4831-B2CB-A7F40E0D3EF6}"/>
    <cellStyle name="Normal 9 2 3 3" xfId="928" xr:uid="{C9D5741D-99C7-42DE-82C3-836AEBBC74F6}"/>
    <cellStyle name="Normal 9 2 3 3 2" xfId="2329" xr:uid="{3F2D88A4-AB38-44B4-8A76-2E22629788AD}"/>
    <cellStyle name="Normal 9 2 3 3 2 2" xfId="5139" xr:uid="{1585FE9B-F3E3-433B-9D97-F530E238A2BA}"/>
    <cellStyle name="Normal 9 2 3 3 2 2 2" xfId="10775" xr:uid="{394E11B3-D2E9-42AC-A1E7-DE33F4FA4AC4}"/>
    <cellStyle name="Normal 9 2 3 3 2 3" xfId="7965" xr:uid="{6B47DC5A-6732-4E6B-9BD9-52D2E94D0B2E}"/>
    <cellStyle name="Normal 9 2 3 3 3" xfId="3738" xr:uid="{1A2664E9-F1CB-44C5-AB9D-DB2ED784CEDF}"/>
    <cellStyle name="Normal 9 2 3 3 3 2" xfId="9374" xr:uid="{7E4D82F8-433C-40EE-B605-09C23F4C2925}"/>
    <cellStyle name="Normal 9 2 3 3 4" xfId="6564" xr:uid="{B2AC5BA8-3C3C-4B8F-AF2F-3ACCF0CDAC1A}"/>
    <cellStyle name="Normal 9 2 3 4" xfId="1633" xr:uid="{EEC80974-4C37-4C4B-BAC5-C4707F42A756}"/>
    <cellStyle name="Normal 9 2 3 4 2" xfId="4443" xr:uid="{C75A8BCD-0DF9-406A-8C15-46B9EDB0506B}"/>
    <cellStyle name="Normal 9 2 3 4 2 2" xfId="10079" xr:uid="{770AE69C-49D2-455A-B688-60507D98F8ED}"/>
    <cellStyle name="Normal 9 2 3 4 3" xfId="7269" xr:uid="{B1196189-E8B5-442A-8432-DFD31B366E53}"/>
    <cellStyle name="Normal 9 2 3 5" xfId="3042" xr:uid="{107003FD-C289-457A-8A23-1024E6E0ACC6}"/>
    <cellStyle name="Normal 9 2 3 5 2" xfId="8678" xr:uid="{8BB74BA3-FCB0-48E9-966B-3211FB09BF91}"/>
    <cellStyle name="Normal 9 2 3 6" xfId="5868" xr:uid="{F0F27B9D-4CAE-4D83-B839-C976E3604C9E}"/>
    <cellStyle name="Normal 9 2 4" xfId="404" xr:uid="{80A7B7DE-F930-4B80-927A-FB34DE0BCC49}"/>
    <cellStyle name="Normal 9 2 4 2" xfId="1100" xr:uid="{AC1AB5F2-89F5-4BB4-9913-114A0C8E0D1D}"/>
    <cellStyle name="Normal 9 2 4 2 2" xfId="2501" xr:uid="{31D710A8-5E50-4063-BAC6-8549984B5487}"/>
    <cellStyle name="Normal 9 2 4 2 2 2" xfId="5311" xr:uid="{14609063-502E-44CA-9F3A-1C08C46638B6}"/>
    <cellStyle name="Normal 9 2 4 2 2 2 2" xfId="10947" xr:uid="{AAB6E3AB-F39A-40F9-B23D-5558B93F3326}"/>
    <cellStyle name="Normal 9 2 4 2 2 3" xfId="8137" xr:uid="{296A37D1-69F6-4C61-9BC6-EAB4AC06B224}"/>
    <cellStyle name="Normal 9 2 4 2 3" xfId="3910" xr:uid="{5F5A7074-D901-4AD0-8976-A252AF83B9FE}"/>
    <cellStyle name="Normal 9 2 4 2 3 2" xfId="9546" xr:uid="{FD765B24-3948-4200-B73B-BDBF973AA71B}"/>
    <cellStyle name="Normal 9 2 4 2 4" xfId="6736" xr:uid="{DA7CADE3-35EF-45DD-BDEF-07D88A2D4423}"/>
    <cellStyle name="Normal 9 2 4 3" xfId="1805" xr:uid="{F06FA48C-A02B-44B1-AB6A-2C9A4BF86836}"/>
    <cellStyle name="Normal 9 2 4 3 2" xfId="4615" xr:uid="{3C7D81BE-1AF3-4503-9F7C-FA1333716614}"/>
    <cellStyle name="Normal 9 2 4 3 2 2" xfId="10251" xr:uid="{6B67CD13-91A3-44BA-8FFB-B1ED578AE4C7}"/>
    <cellStyle name="Normal 9 2 4 3 3" xfId="7441" xr:uid="{AFA6BC5A-6DEF-4F07-B31E-2D018B628029}"/>
    <cellStyle name="Normal 9 2 4 4" xfId="3214" xr:uid="{9FED0B72-10B3-40F6-A1DD-55C6AD7C39CD}"/>
    <cellStyle name="Normal 9 2 4 4 2" xfId="8850" xr:uid="{0338D4A4-D6E5-46C7-B5E0-362A3B1E46EF}"/>
    <cellStyle name="Normal 9 2 4 5" xfId="6040" xr:uid="{987729F9-DB61-46DA-8E60-A814E8CF13F9}"/>
    <cellStyle name="Normal 9 2 5" xfId="756" xr:uid="{51854A5D-CA78-488C-B141-5121FAEC5C8D}"/>
    <cellStyle name="Normal 9 2 5 2" xfId="2157" xr:uid="{CEAC186A-D3EC-43B9-8481-B577F95C0EBE}"/>
    <cellStyle name="Normal 9 2 5 2 2" xfId="4967" xr:uid="{78388EE4-A1F0-4832-A57D-4D063AB930B3}"/>
    <cellStyle name="Normal 9 2 5 2 2 2" xfId="10603" xr:uid="{940AD67C-64C9-45AA-B23A-6F2F120BFDDD}"/>
    <cellStyle name="Normal 9 2 5 2 3" xfId="7793" xr:uid="{7B039AC8-C9BF-4AA3-BEE2-75C4D4AD8436}"/>
    <cellStyle name="Normal 9 2 5 3" xfId="3566" xr:uid="{C4CA2404-8697-44E0-9360-00B1B7D0CBEB}"/>
    <cellStyle name="Normal 9 2 5 3 2" xfId="9202" xr:uid="{6CC5F6B1-D56F-45AD-AFE5-759285CF0CD5}"/>
    <cellStyle name="Normal 9 2 5 4" xfId="6392" xr:uid="{FF1EA83D-624B-4A44-8C58-8C68DA4E0542}"/>
    <cellStyle name="Normal 9 2 6" xfId="1461" xr:uid="{B315F1DA-81DC-4ADB-A732-198DD9CF4B39}"/>
    <cellStyle name="Normal 9 2 6 2" xfId="4271" xr:uid="{1CE6C604-F9E9-4181-90E8-19B010811CA0}"/>
    <cellStyle name="Normal 9 2 6 2 2" xfId="9907" xr:uid="{095A31FC-1FBF-45E4-BACD-9B110385128E}"/>
    <cellStyle name="Normal 9 2 6 3" xfId="7097" xr:uid="{5734EBF8-A494-43DC-B09A-3E9056E7FD9C}"/>
    <cellStyle name="Normal 9 2 7" xfId="2870" xr:uid="{7E21750D-8E71-4271-A31D-198E007253CC}"/>
    <cellStyle name="Normal 9 2 7 2" xfId="8506" xr:uid="{044EC541-3C47-4BA5-8B11-7F17CA15883B}"/>
    <cellStyle name="Normal 9 2 8" xfId="5696" xr:uid="{9D7CAE12-3304-4758-995F-D3C506A1B0DF}"/>
    <cellStyle name="Normal 9 3" xfId="108" xr:uid="{E3BDF59A-D3F7-426A-9594-F62A32422611}"/>
    <cellStyle name="Normal 9 3 2" xfId="280" xr:uid="{84977034-70F2-40DE-817D-ADC48C8FD9E8}"/>
    <cellStyle name="Normal 9 3 2 2" xfId="624" xr:uid="{6690A578-B8F0-483F-B1EE-EDCEB5630DB2}"/>
    <cellStyle name="Normal 9 3 2 2 2" xfId="1320" xr:uid="{A6C91CAD-2A6B-47EB-9171-8CB92C6EA3E9}"/>
    <cellStyle name="Normal 9 3 2 2 2 2" xfId="2721" xr:uid="{A5CAF059-6C75-4CB6-A6C9-FEE4C082842D}"/>
    <cellStyle name="Normal 9 3 2 2 2 2 2" xfId="5531" xr:uid="{88AE8B2D-C74B-42B9-BB9B-2A8C36EE391D}"/>
    <cellStyle name="Normal 9 3 2 2 2 2 2 2" xfId="11167" xr:uid="{88CA7588-E242-4CD9-A583-4D4EEE999112}"/>
    <cellStyle name="Normal 9 3 2 2 2 2 3" xfId="8357" xr:uid="{90E40F19-1CD5-4DF7-9542-874C399977B4}"/>
    <cellStyle name="Normal 9 3 2 2 2 3" xfId="4130" xr:uid="{E9112899-98DF-41FA-93A9-7C7EBFF7DFBF}"/>
    <cellStyle name="Normal 9 3 2 2 2 3 2" xfId="9766" xr:uid="{E6A00F71-D3CA-44A6-BF61-B959D30704DA}"/>
    <cellStyle name="Normal 9 3 2 2 2 4" xfId="6956" xr:uid="{87E5148B-714A-47F3-9BC6-293915D8173C}"/>
    <cellStyle name="Normal 9 3 2 2 3" xfId="2025" xr:uid="{09C99306-BC40-4C45-89B9-E32FB8D8BD2C}"/>
    <cellStyle name="Normal 9 3 2 2 3 2" xfId="4835" xr:uid="{DA527361-DF26-4B69-8BC3-06BDD14737E0}"/>
    <cellStyle name="Normal 9 3 2 2 3 2 2" xfId="10471" xr:uid="{45B6F605-5C75-429D-BFF5-192111B82BDD}"/>
    <cellStyle name="Normal 9 3 2 2 3 3" xfId="7661" xr:uid="{714AB54D-5B78-4C21-929D-4576C7A0E934}"/>
    <cellStyle name="Normal 9 3 2 2 4" xfId="3434" xr:uid="{20E77E71-C3C5-4E89-B434-3DA91C51934A}"/>
    <cellStyle name="Normal 9 3 2 2 4 2" xfId="9070" xr:uid="{7873F869-46B8-4C69-BE5C-CB75F6E774D3}"/>
    <cellStyle name="Normal 9 3 2 2 5" xfId="6260" xr:uid="{CF39BEBC-02C5-43FC-A897-CE2DF879F451}"/>
    <cellStyle name="Normal 9 3 2 3" xfId="976" xr:uid="{4DF1EA60-A8BC-46E4-9FC2-4F12DD40863B}"/>
    <cellStyle name="Normal 9 3 2 3 2" xfId="2377" xr:uid="{FE860A2A-993A-4754-B092-1310423EE11D}"/>
    <cellStyle name="Normal 9 3 2 3 2 2" xfId="5187" xr:uid="{913C1574-6EFD-4FC5-80C2-3F4506503F27}"/>
    <cellStyle name="Normal 9 3 2 3 2 2 2" xfId="10823" xr:uid="{4E75F6B1-B7AC-447D-8712-D29636E71D0E}"/>
    <cellStyle name="Normal 9 3 2 3 2 3" xfId="8013" xr:uid="{4081A2E4-4D0B-4870-9AA4-D61DA166932E}"/>
    <cellStyle name="Normal 9 3 2 3 3" xfId="3786" xr:uid="{58CC6220-CF6F-47A9-9F47-BE6D5BA71F9E}"/>
    <cellStyle name="Normal 9 3 2 3 3 2" xfId="9422" xr:uid="{43BE9EC7-1A84-4DEE-AE13-9E5EE5044848}"/>
    <cellStyle name="Normal 9 3 2 3 4" xfId="6612" xr:uid="{15B1FD29-8ED6-4A45-8334-FCD44A43568A}"/>
    <cellStyle name="Normal 9 3 2 4" xfId="1681" xr:uid="{2CC4CAE3-A990-427F-BE5C-519C6676F68F}"/>
    <cellStyle name="Normal 9 3 2 4 2" xfId="4491" xr:uid="{034B5FF0-4563-4D57-AE9A-2CB8E865FA7C}"/>
    <cellStyle name="Normal 9 3 2 4 2 2" xfId="10127" xr:uid="{B185E532-C9B7-4383-A10C-186E2A154E2B}"/>
    <cellStyle name="Normal 9 3 2 4 3" xfId="7317" xr:uid="{519E956E-BBCA-4442-9A64-8E5DC7893D52}"/>
    <cellStyle name="Normal 9 3 2 5" xfId="3090" xr:uid="{E8C4F850-780D-475A-8638-9066B6963AD4}"/>
    <cellStyle name="Normal 9 3 2 5 2" xfId="8726" xr:uid="{36BB9E30-A43E-4C69-9A02-1CBC48A6DD47}"/>
    <cellStyle name="Normal 9 3 2 6" xfId="5916" xr:uid="{D01F8813-4952-488F-8666-7FE571A7C520}"/>
    <cellStyle name="Normal 9 3 3" xfId="452" xr:uid="{DA3A88E7-62D2-4A34-9145-6CEA71C607B8}"/>
    <cellStyle name="Normal 9 3 3 2" xfId="1148" xr:uid="{E874A519-C706-42D9-97D2-4269C921C904}"/>
    <cellStyle name="Normal 9 3 3 2 2" xfId="2549" xr:uid="{A1F755A6-1FE6-4B4F-8F9B-36A7C3D81010}"/>
    <cellStyle name="Normal 9 3 3 2 2 2" xfId="5359" xr:uid="{2EB253BB-EF31-47D2-B52E-B5D16BE74AA3}"/>
    <cellStyle name="Normal 9 3 3 2 2 2 2" xfId="10995" xr:uid="{F2A22169-7DF5-4E3E-B0B5-93544CB4E376}"/>
    <cellStyle name="Normal 9 3 3 2 2 3" xfId="8185" xr:uid="{AFF23DA5-9C4D-4192-81CB-F3763B3B2CCB}"/>
    <cellStyle name="Normal 9 3 3 2 3" xfId="3958" xr:uid="{0C4AB733-7E16-43D9-BB01-BF60487F825A}"/>
    <cellStyle name="Normal 9 3 3 2 3 2" xfId="9594" xr:uid="{529EDFE6-5F20-4849-ACA4-3127E222A032}"/>
    <cellStyle name="Normal 9 3 3 2 4" xfId="6784" xr:uid="{A0856C01-8D60-487E-8B11-AC7897EF008D}"/>
    <cellStyle name="Normal 9 3 3 3" xfId="1853" xr:uid="{2260DE7F-5586-48AF-8C3F-745F57419112}"/>
    <cellStyle name="Normal 9 3 3 3 2" xfId="4663" xr:uid="{F69CC939-E4F8-4B98-B798-CBDE7EF1756B}"/>
    <cellStyle name="Normal 9 3 3 3 2 2" xfId="10299" xr:uid="{B08B16CE-4560-4127-B53D-AD2D0FEA58E9}"/>
    <cellStyle name="Normal 9 3 3 3 3" xfId="7489" xr:uid="{CA4545EF-0B65-4A3F-BB1F-EC5B652EE2B4}"/>
    <cellStyle name="Normal 9 3 3 4" xfId="3262" xr:uid="{7E4A4656-8919-47D6-9637-B267934D5C0E}"/>
    <cellStyle name="Normal 9 3 3 4 2" xfId="8898" xr:uid="{498EC957-EC30-48D1-82D8-3976C3CCB80B}"/>
    <cellStyle name="Normal 9 3 3 5" xfId="6088" xr:uid="{9044128A-003D-4773-8279-E1B6C85921B7}"/>
    <cellStyle name="Normal 9 3 4" xfId="804" xr:uid="{0BBA0EBB-2A5B-4E7F-8EA9-7356B0DAB96A}"/>
    <cellStyle name="Normal 9 3 4 2" xfId="2205" xr:uid="{31F28533-B6CE-4F8B-9CE4-AE61906FA28F}"/>
    <cellStyle name="Normal 9 3 4 2 2" xfId="5015" xr:uid="{97EC2533-28B3-4E9E-9576-9EE816CDD1A5}"/>
    <cellStyle name="Normal 9 3 4 2 2 2" xfId="10651" xr:uid="{C7B8D531-4072-47A7-ADF4-83C09F5E095D}"/>
    <cellStyle name="Normal 9 3 4 2 3" xfId="7841" xr:uid="{BCA01144-97F4-4C91-BB5E-A6CBCB5440C0}"/>
    <cellStyle name="Normal 9 3 4 3" xfId="3614" xr:uid="{C91A55BC-1EDD-42C4-956B-06AA2C18D406}"/>
    <cellStyle name="Normal 9 3 4 3 2" xfId="9250" xr:uid="{4CF180ED-D7CE-4B52-98FC-8023ABBFEAB5}"/>
    <cellStyle name="Normal 9 3 4 4" xfId="6440" xr:uid="{8EF48BC6-FA2E-4552-B525-02A70FE39FC4}"/>
    <cellStyle name="Normal 9 3 5" xfId="1509" xr:uid="{955031B7-7959-4621-BE95-E629D5FFC317}"/>
    <cellStyle name="Normal 9 3 5 2" xfId="4319" xr:uid="{29ED9CBC-5EA9-4E63-A961-E92751A18949}"/>
    <cellStyle name="Normal 9 3 5 2 2" xfId="9955" xr:uid="{CCDAEA50-8E95-4A9C-8E7A-1A3F073FDA03}"/>
    <cellStyle name="Normal 9 3 5 3" xfId="7145" xr:uid="{9BFFC417-F1FC-4B31-83D4-76DB1557DDFF}"/>
    <cellStyle name="Normal 9 3 6" xfId="2918" xr:uid="{07AEACA6-A245-4B63-AC1A-02F736F58CF3}"/>
    <cellStyle name="Normal 9 3 6 2" xfId="8554" xr:uid="{DA07C3F0-6D6A-4F5C-8B14-8509D19442B0}"/>
    <cellStyle name="Normal 9 3 7" xfId="5744" xr:uid="{766A6FC9-329A-471D-8FE8-472C7ECCE06A}"/>
    <cellStyle name="Normal 9 4" xfId="200" xr:uid="{D3DA9FCF-3B46-4FC1-85C6-E1BC6C7F829C}"/>
    <cellStyle name="Normal 9 4 2" xfId="544" xr:uid="{FA692AC6-B9E4-4571-8FF4-0661762BE2D8}"/>
    <cellStyle name="Normal 9 4 2 2" xfId="1240" xr:uid="{19E083F5-357A-4BB7-A27F-994E0BAA397F}"/>
    <cellStyle name="Normal 9 4 2 2 2" xfId="2641" xr:uid="{C1BC6BC1-86A5-4159-AC78-8C1F82CBF39E}"/>
    <cellStyle name="Normal 9 4 2 2 2 2" xfId="5451" xr:uid="{2CC97DA9-8B17-4FCE-BE56-8487E4B637A9}"/>
    <cellStyle name="Normal 9 4 2 2 2 2 2" xfId="11087" xr:uid="{601EE95A-A7FA-4841-AE62-69F48D8E3F1E}"/>
    <cellStyle name="Normal 9 4 2 2 2 3" xfId="8277" xr:uid="{B107638F-1D55-4612-BD21-4863EBB000D9}"/>
    <cellStyle name="Normal 9 4 2 2 3" xfId="4050" xr:uid="{5CD9EBCD-A56D-4758-912F-8E1B070F2571}"/>
    <cellStyle name="Normal 9 4 2 2 3 2" xfId="9686" xr:uid="{1E7F12E2-3A79-4331-AE76-7450B1048D81}"/>
    <cellStyle name="Normal 9 4 2 2 4" xfId="6876" xr:uid="{AD0DB9C3-3501-4C78-9E9A-E3BFCD91C996}"/>
    <cellStyle name="Normal 9 4 2 3" xfId="1945" xr:uid="{76C541DA-F5C3-4860-8884-730AA7108802}"/>
    <cellStyle name="Normal 9 4 2 3 2" xfId="4755" xr:uid="{03CF8E5A-743A-49C1-9EE6-0A0F386B3E53}"/>
    <cellStyle name="Normal 9 4 2 3 2 2" xfId="10391" xr:uid="{CD5BBBA5-F12B-4845-ABCA-AF9B8800DB78}"/>
    <cellStyle name="Normal 9 4 2 3 3" xfId="7581" xr:uid="{F65D9B7F-A6BE-40B7-AB0B-304E3AF12E4B}"/>
    <cellStyle name="Normal 9 4 2 4" xfId="3354" xr:uid="{EDA7E2D8-1E81-4852-B7A3-19F62C99D83B}"/>
    <cellStyle name="Normal 9 4 2 4 2" xfId="8990" xr:uid="{941397F2-C446-4DC8-AEB4-343504E82048}"/>
    <cellStyle name="Normal 9 4 2 5" xfId="6180" xr:uid="{0BB43FA2-A84D-458C-BA8E-E940762979DD}"/>
    <cellStyle name="Normal 9 4 3" xfId="896" xr:uid="{ED4A16B1-85E3-4CCB-8AC2-C6FD450CD59E}"/>
    <cellStyle name="Normal 9 4 3 2" xfId="2297" xr:uid="{A194D8A6-32DC-455D-92BE-D7816F590738}"/>
    <cellStyle name="Normal 9 4 3 2 2" xfId="5107" xr:uid="{5667F757-094C-461B-AD66-95BD95DA84E1}"/>
    <cellStyle name="Normal 9 4 3 2 2 2" xfId="10743" xr:uid="{DB510D35-09E9-4E65-B6C4-6D4ADA339E0D}"/>
    <cellStyle name="Normal 9 4 3 2 3" xfId="7933" xr:uid="{B1404248-BF51-4F43-AE25-247E0A224004}"/>
    <cellStyle name="Normal 9 4 3 3" xfId="3706" xr:uid="{EEEC5932-A22C-4FAD-8863-4846F9BEFA81}"/>
    <cellStyle name="Normal 9 4 3 3 2" xfId="9342" xr:uid="{CCDD112A-7842-4571-8DD2-834E38A8F35F}"/>
    <cellStyle name="Normal 9 4 3 4" xfId="6532" xr:uid="{4B90FF60-8857-4302-B804-BBFE7F060A0E}"/>
    <cellStyle name="Normal 9 4 4" xfId="1601" xr:uid="{27539941-8998-4E34-ACB0-9EE0AB17299D}"/>
    <cellStyle name="Normal 9 4 4 2" xfId="4411" xr:uid="{47F7ED6C-89AF-48BF-9D4C-76034246F022}"/>
    <cellStyle name="Normal 9 4 4 2 2" xfId="10047" xr:uid="{A9638339-16BC-4A8E-B89D-2A7F69951785}"/>
    <cellStyle name="Normal 9 4 4 3" xfId="7237" xr:uid="{A7F292BE-D256-409A-BB51-845D9098BE02}"/>
    <cellStyle name="Normal 9 4 5" xfId="3010" xr:uid="{11721E78-A143-48E9-BC17-92DEBEEB4414}"/>
    <cellStyle name="Normal 9 4 5 2" xfId="8646" xr:uid="{B2131B2F-2D0D-40BB-BC56-D356127B7CB1}"/>
    <cellStyle name="Normal 9 4 6" xfId="5836" xr:uid="{220D1DBA-7B83-41D3-A024-586AEF9DE9DB}"/>
    <cellStyle name="Normal 9 5" xfId="372" xr:uid="{A977B838-660D-45FD-95DE-5550FCDB3172}"/>
    <cellStyle name="Normal 9 5 2" xfId="1068" xr:uid="{91E67FFC-A512-4627-B9A9-739F7F65FFBF}"/>
    <cellStyle name="Normal 9 5 2 2" xfId="2469" xr:uid="{A28AE508-C8F9-4B33-B136-EDDE30B42A4C}"/>
    <cellStyle name="Normal 9 5 2 2 2" xfId="5279" xr:uid="{F8BB1BD8-1F6C-46F1-B559-98916FA31D1F}"/>
    <cellStyle name="Normal 9 5 2 2 2 2" xfId="10915" xr:uid="{F6C60A5C-7B80-45ED-A146-5E4043695F0C}"/>
    <cellStyle name="Normal 9 5 2 2 3" xfId="8105" xr:uid="{2ACF9571-D1B8-4D35-BB90-FF528AD0DB47}"/>
    <cellStyle name="Normal 9 5 2 3" xfId="3878" xr:uid="{D1D84563-035C-4052-AD2B-2645B3E28747}"/>
    <cellStyle name="Normal 9 5 2 3 2" xfId="9514" xr:uid="{BC5F1AFB-C828-49C8-B676-6D8B43AABCBD}"/>
    <cellStyle name="Normal 9 5 2 4" xfId="6704" xr:uid="{8EBF3D93-8466-4E34-B798-D179213788F1}"/>
    <cellStyle name="Normal 9 5 3" xfId="1773" xr:uid="{C1090546-3D96-4F9C-815A-1B62C0D52E6F}"/>
    <cellStyle name="Normal 9 5 3 2" xfId="4583" xr:uid="{79FEDFB9-5499-4B9B-94E6-5735DB03CED0}"/>
    <cellStyle name="Normal 9 5 3 2 2" xfId="10219" xr:uid="{22254259-6F03-4E34-A10A-BCB316504153}"/>
    <cellStyle name="Normal 9 5 3 3" xfId="7409" xr:uid="{E21FC271-0DAD-4029-AF0F-4E7287432BA5}"/>
    <cellStyle name="Normal 9 5 4" xfId="3182" xr:uid="{457BF280-F41C-44D6-9EFF-CE97D636BAA0}"/>
    <cellStyle name="Normal 9 5 4 2" xfId="8818" xr:uid="{AA6A37E7-1E7C-4A4D-9541-0A84E5A1D1B9}"/>
    <cellStyle name="Normal 9 5 5" xfId="6008" xr:uid="{6B7BB871-825E-46B1-8DAF-02A14B5F3110}"/>
    <cellStyle name="Normal 9 6" xfId="724" xr:uid="{A3CFC4F9-4B70-48F5-B56E-0A99AA1B1873}"/>
    <cellStyle name="Normal 9 6 2" xfId="2125" xr:uid="{F1FA1A8C-DCDE-4E90-A8C8-0F12D5FFDD6F}"/>
    <cellStyle name="Normal 9 6 2 2" xfId="4935" xr:uid="{44D1837C-5C6D-4C60-8DB2-D8E38B9473EE}"/>
    <cellStyle name="Normal 9 6 2 2 2" xfId="10571" xr:uid="{A5499CD9-A7DB-4B6B-BA51-91C80CD84304}"/>
    <cellStyle name="Normal 9 6 2 3" xfId="7761" xr:uid="{1947A532-325C-40E9-AEB9-46056DCB8EA9}"/>
    <cellStyle name="Normal 9 6 3" xfId="3534" xr:uid="{9C6F6C3C-293D-470D-8852-CEB02E7D0010}"/>
    <cellStyle name="Normal 9 6 3 2" xfId="9170" xr:uid="{5871A016-2156-4528-A0AE-A36EFBBAAC9D}"/>
    <cellStyle name="Normal 9 6 4" xfId="6360" xr:uid="{B207DBC8-99D9-4B4A-AC52-34FC20E5F339}"/>
    <cellStyle name="Normal 9 7" xfId="1429" xr:uid="{86D253B1-9F2B-4644-8250-10BDA4638DA7}"/>
    <cellStyle name="Normal 9 7 2" xfId="4239" xr:uid="{CD40F2A0-2D3C-4837-861B-4947359AF0F1}"/>
    <cellStyle name="Normal 9 7 2 2" xfId="9875" xr:uid="{73BF260B-62BD-4D69-9087-8E72DCE218E2}"/>
    <cellStyle name="Normal 9 7 3" xfId="7065" xr:uid="{8A4C8978-FDF9-4B44-89A4-6BB7A44431E8}"/>
    <cellStyle name="Normal 9 8" xfId="2838" xr:uid="{D4E86AC4-C6FB-4C1A-92E4-2A6511B579BC}"/>
    <cellStyle name="Normal 9 8 2" xfId="8474" xr:uid="{783CE674-675D-428F-A6D5-C4741D303C0D}"/>
    <cellStyle name="Normal 9 9" xfId="5664" xr:uid="{4313AAA3-EA7A-4B59-86EA-EDB07177D066}"/>
    <cellStyle name="Normal 90" xfId="11313" xr:uid="{05AFCAA9-4364-4778-A002-5C675318E313}"/>
    <cellStyle name="Normal 91" xfId="11314" xr:uid="{B2CB1E12-99E3-4DCC-A141-B2D5B78FD1B0}"/>
    <cellStyle name="Normal 92" xfId="11315" xr:uid="{08B7B02B-E3BF-479A-B452-CE8F2246E876}"/>
    <cellStyle name="Normal 93" xfId="11316" xr:uid="{E900E4D2-56E0-4B14-8D1E-6214E619D279}"/>
    <cellStyle name="Normal 94" xfId="11317" xr:uid="{E9CAAA5F-E373-4ECC-96A0-3288C40472F3}"/>
    <cellStyle name="Normal 95" xfId="11318" xr:uid="{5B4E41AD-1D9F-4247-A80C-FA01BE94726C}"/>
    <cellStyle name="Normal 96" xfId="11319" xr:uid="{E34DD765-D0E3-48B4-861E-7E0F0EF4F848}"/>
    <cellStyle name="Normal 97" xfId="11320" xr:uid="{AF0EDBE3-BEA7-4DB8-B03D-B666D364AABF}"/>
    <cellStyle name="Normal 98" xfId="11321" xr:uid="{5AEFF0A1-B515-4679-AF25-69AF7B0DEF2A}"/>
    <cellStyle name="Normal 99" xfId="11322" xr:uid="{6F095B8F-7202-4F98-A8D1-8C6114BAEAB6}"/>
    <cellStyle name="Percent 2" xfId="174" xr:uid="{C3D1531F-4425-447E-9B96-9845B46E8193}"/>
    <cellStyle name="Percent 2 2" xfId="518" xr:uid="{986ACC2E-F50A-4923-A700-CBBC6812426E}"/>
    <cellStyle name="Percent 2 2 2" xfId="1214" xr:uid="{543EC7E5-4942-40B8-B70F-F2F521961255}"/>
    <cellStyle name="Percent 2 2 2 2" xfId="2615" xr:uid="{C55CC1DC-A226-45C0-9239-5865A7C9AC3C}"/>
    <cellStyle name="Percent 2 2 2 2 2" xfId="5425" xr:uid="{82DDAA99-E516-4D71-94C4-E29A7ADCFF2C}"/>
    <cellStyle name="Percent 2 2 2 2 2 2" xfId="11061" xr:uid="{195E3F83-2660-46D4-953F-43A63ECE4DD2}"/>
    <cellStyle name="Percent 2 2 2 2 3" xfId="8251" xr:uid="{C5AC6911-BA05-46B8-8BDC-41AC7765AA2A}"/>
    <cellStyle name="Percent 2 2 2 3" xfId="4024" xr:uid="{57A24F7F-61EE-4D28-A0D3-59ACD56E6C5C}"/>
    <cellStyle name="Percent 2 2 2 3 2" xfId="9660" xr:uid="{F26FE6EB-781A-4A0C-AA2C-38AA140597A6}"/>
    <cellStyle name="Percent 2 2 2 4" xfId="6850" xr:uid="{644FFD09-62E1-4DAC-AD84-99A435CFF739}"/>
    <cellStyle name="Percent 2 2 3" xfId="1919" xr:uid="{F2A0D7F8-4E3E-473C-999D-0AD643B32DF9}"/>
    <cellStyle name="Percent 2 2 3 2" xfId="4729" xr:uid="{73C257DE-6713-455B-BFF1-21EE26C1B6EE}"/>
    <cellStyle name="Percent 2 2 3 2 2" xfId="10365" xr:uid="{3FB5649F-B5BA-4699-BD1A-6D99D18E177D}"/>
    <cellStyle name="Percent 2 2 3 3" xfId="7555" xr:uid="{E0995E84-2AE2-4B46-BFDC-EAACDBAD06FB}"/>
    <cellStyle name="Percent 2 2 4" xfId="3328" xr:uid="{20C03FB2-E9BA-4BDE-AABB-5A4CEA606F42}"/>
    <cellStyle name="Percent 2 2 4 2" xfId="8964" xr:uid="{DE3A1CAE-96CB-4448-B63C-2C0C53EF1D04}"/>
    <cellStyle name="Percent 2 2 5" xfId="6154" xr:uid="{4B698952-89B2-4391-A374-1AE5CD5DD2AE}"/>
    <cellStyle name="Percent 2 3" xfId="870" xr:uid="{8298E1CA-2C1B-4441-B4EE-196645ACB9C1}"/>
    <cellStyle name="Percent 2 3 2" xfId="2271" xr:uid="{9F24C7E9-6280-4BCC-B929-E2F30E264A5E}"/>
    <cellStyle name="Percent 2 3 2 2" xfId="5081" xr:uid="{B6900524-57F2-4E77-919D-ED6E70C428A8}"/>
    <cellStyle name="Percent 2 3 2 2 2" xfId="10717" xr:uid="{7B0016BA-9CF9-4756-B147-E87A1E71C63D}"/>
    <cellStyle name="Percent 2 3 2 3" xfId="7907" xr:uid="{C69664A2-69D9-4E3F-A9EB-28E21EA237B2}"/>
    <cellStyle name="Percent 2 3 3" xfId="3680" xr:uid="{0AA8A591-5C3D-40A3-ADAE-58FCEA820240}"/>
    <cellStyle name="Percent 2 3 3 2" xfId="9316" xr:uid="{4F428EAA-15F3-4B3E-807E-FD209F1B1FB6}"/>
    <cellStyle name="Percent 2 3 4" xfId="6506" xr:uid="{C174C14D-52FB-4454-B799-9F3DDC237244}"/>
    <cellStyle name="Percent 2 4" xfId="1575" xr:uid="{8C48E668-1281-463F-8112-32224CC229E6}"/>
    <cellStyle name="Percent 2 4 2" xfId="4385" xr:uid="{CC738897-355F-436A-BC29-578470829174}"/>
    <cellStyle name="Percent 2 4 2 2" xfId="10021" xr:uid="{620BCED9-685E-44D8-88C1-3332370FD2A1}"/>
    <cellStyle name="Percent 2 4 3" xfId="7211" xr:uid="{1BCF4CFE-1AB1-4F18-BD74-195E378D360C}"/>
    <cellStyle name="Percent 2 5" xfId="2984" xr:uid="{F130EC4D-F237-4EBF-BCED-84C2D67CF291}"/>
    <cellStyle name="Percent 2 5 2" xfId="8620" xr:uid="{31BD4DF1-2C59-4FE2-9180-A62A077C2C18}"/>
    <cellStyle name="Percent 2 6" xfId="5810" xr:uid="{1461521A-FD64-467C-8736-0B2F3E8000C9}"/>
    <cellStyle name="Percent 3" xfId="346" xr:uid="{EF0AA856-74C1-4360-A91A-A58EC8755A89}"/>
    <cellStyle name="Percent 3 2" xfId="1042" xr:uid="{80E6DD80-5FB0-4170-8175-CF0D57F2A717}"/>
    <cellStyle name="Percent 3 2 2" xfId="2443" xr:uid="{7AE0737A-3816-4844-BABC-AF6FBA4490E5}"/>
    <cellStyle name="Percent 3 2 2 2" xfId="5253" xr:uid="{C24D07A1-A2B9-424A-946F-16A95B98A525}"/>
    <cellStyle name="Percent 3 2 2 2 2" xfId="10889" xr:uid="{BD7D52E0-CE00-4CD4-9034-D34FD67AF222}"/>
    <cellStyle name="Percent 3 2 2 3" xfId="8079" xr:uid="{C96F6A8C-FFB4-4C6C-AD31-416F61AF9BC9}"/>
    <cellStyle name="Percent 3 2 3" xfId="3852" xr:uid="{9966EAF3-10FB-4E1F-965E-E88F1E9070ED}"/>
    <cellStyle name="Percent 3 2 3 2" xfId="9488" xr:uid="{D5B1C259-77C0-4A34-95FA-23CD20FB92F1}"/>
    <cellStyle name="Percent 3 2 4" xfId="6678" xr:uid="{A1EC0BED-0C8F-4347-AD4C-7E225F9DA624}"/>
    <cellStyle name="Percent 3 3" xfId="1747" xr:uid="{2024126A-A13C-4DEC-BAD4-7D0868935CB8}"/>
    <cellStyle name="Percent 3 3 2" xfId="4557" xr:uid="{62A23D4B-1A24-4B94-8C1F-444C54DDD8CF}"/>
    <cellStyle name="Percent 3 3 2 2" xfId="10193" xr:uid="{495E8FB0-C581-45A5-A9C2-4FFA3C7C7839}"/>
    <cellStyle name="Percent 3 3 3" xfId="7383" xr:uid="{04E63417-5D3C-4D71-AD3B-8325F55CC669}"/>
    <cellStyle name="Percent 3 4" xfId="3156" xr:uid="{302008F3-F132-4CC7-AE3B-07A9B265D352}"/>
    <cellStyle name="Percent 3 4 2" xfId="8792" xr:uid="{C0A98219-F8F4-4C19-8074-D1A92D6B72A8}"/>
    <cellStyle name="Percent 3 5" xfId="5982" xr:uid="{C01D88A5-B23F-4FF3-BFFD-BDE936689804}"/>
    <cellStyle name="Percent 4" xfId="698" xr:uid="{52577D56-20FA-496A-AC3B-8A35DAA351F5}"/>
    <cellStyle name="Percent 4 2" xfId="2099" xr:uid="{5C0BB943-ADBF-4391-97C0-3FEFD2CE2D44}"/>
    <cellStyle name="Percent 4 2 2" xfId="4909" xr:uid="{8DA378E2-A5A0-4C19-A08D-A3569B80DB2D}"/>
    <cellStyle name="Percent 4 2 2 2" xfId="10545" xr:uid="{C4EE7FFD-10CC-4DC5-BC1C-1BAB7E39F5FC}"/>
    <cellStyle name="Percent 4 2 3" xfId="7735" xr:uid="{A72C79D3-0F9D-43C2-86CC-E7960D9B24D3}"/>
    <cellStyle name="Percent 4 3" xfId="3508" xr:uid="{F4C5FBBE-CD71-4328-A6EE-7F948E154136}"/>
    <cellStyle name="Percent 4 3 2" xfId="9144" xr:uid="{127FD736-CBBF-48D8-A0B3-82602213A880}"/>
    <cellStyle name="Percent 4 4" xfId="6334" xr:uid="{E7F4216A-9A94-457E-B540-14E7B3452AB7}"/>
    <cellStyle name="Percent 5" xfId="1393" xr:uid="{4616C17E-D679-41D4-AB8C-021E008A6259}"/>
    <cellStyle name="Percent 5 2" xfId="2794" xr:uid="{2DA2F745-9876-452C-863F-CDE42DC6E13A}"/>
    <cellStyle name="Percent 5 2 2" xfId="5604" xr:uid="{D8DE1C0E-84CE-459D-A099-00588E0AEA56}"/>
    <cellStyle name="Percent 5 2 2 2" xfId="11240" xr:uid="{07E7450E-8122-4C2B-8BDD-17C7494AED6C}"/>
    <cellStyle name="Percent 5 2 3" xfId="8430" xr:uid="{56E34DF4-0FF8-442C-A013-F2E31A87D7C8}"/>
    <cellStyle name="Percent 5 3" xfId="4203" xr:uid="{A4DA9636-5392-475D-AC9A-B188259A120D}"/>
    <cellStyle name="Percent 5 3 2" xfId="9839" xr:uid="{6FAB72F1-FC3B-4CA2-BF65-6EE490B72800}"/>
    <cellStyle name="Percent 5 4" xfId="7029" xr:uid="{1B48DD34-D54A-4075-BE61-8E2C3E62FAD1}"/>
    <cellStyle name="Percent 6" xfId="1403" xr:uid="{47B39DAE-3AB7-4D0A-80BA-7FE99A8FEB14}"/>
    <cellStyle name="Percent 6 2" xfId="4213" xr:uid="{0E7C52DA-2FD4-4595-B00A-83FA94BC4052}"/>
    <cellStyle name="Percent 6 2 2" xfId="9849" xr:uid="{12F1914D-F15F-4627-AB6C-0A9D62DA4761}"/>
    <cellStyle name="Percent 6 3" xfId="7039" xr:uid="{EA82F66B-1B81-4DD8-9CAF-6548B780220F}"/>
    <cellStyle name="Percent 7" xfId="2803" xr:uid="{7F8D060A-253F-4818-8491-E9FFD6A3CF0A}"/>
    <cellStyle name="Percent 7 2" xfId="5613" xr:uid="{CCE3D6F5-90A0-43E4-A216-24D76FFD1189}"/>
    <cellStyle name="Percent 7 2 2" xfId="11249" xr:uid="{71690E16-3431-47A6-B6BB-097FE9E1B228}"/>
    <cellStyle name="Percent 7 3" xfId="8439" xr:uid="{97D84C3C-AEAB-4190-8E1E-E5C036902150}"/>
    <cellStyle name="Percent 8" xfId="5638" xr:uid="{52522DFF-EF63-46BD-A623-B762895DC234}"/>
    <cellStyle name="Pourcentage" xfId="2" builtinId="5"/>
    <cellStyle name="Pourcentage 2" xfId="5628" xr:uid="{0E1E5453-25B0-471C-B153-EB558E871668}"/>
    <cellStyle name="Pourcentage 2 2" xfId="11264" xr:uid="{3BBD7BCA-EE21-49F4-A987-9B055F4AD470}"/>
  </cellStyles>
  <dxfs count="114">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2.xml"/><Relationship Id="rId18" Type="http://schemas.openxmlformats.org/officeDocument/2006/relationships/worksheet" Target="worksheets/sheet17.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0.xml"/><Relationship Id="rId7" Type="http://schemas.openxmlformats.org/officeDocument/2006/relationships/worksheet" Target="worksheets/sheet7.xml"/><Relationship Id="rId12" Type="http://schemas.openxmlformats.org/officeDocument/2006/relationships/worksheet" Target="worksheets/sheet11.xml"/><Relationship Id="rId17" Type="http://schemas.openxmlformats.org/officeDocument/2006/relationships/worksheet" Target="worksheets/sheet16.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5.xml"/><Relationship Id="rId20" Type="http://schemas.openxmlformats.org/officeDocument/2006/relationships/worksheet" Target="worksheets/sheet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0.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4.xml"/><Relationship Id="rId23" Type="http://schemas.openxmlformats.org/officeDocument/2006/relationships/styles" Target="styles.xml"/><Relationship Id="rId10" Type="http://schemas.openxmlformats.org/officeDocument/2006/relationships/chartsheet" Target="chartsheets/sheet1.xml"/><Relationship Id="rId19" Type="http://schemas.openxmlformats.org/officeDocument/2006/relationships/worksheet" Target="worksheets/sheet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3.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Print_Mois!$AD$498:$AE$498</c:f>
              <c:strCache>
                <c:ptCount val="2"/>
                <c:pt idx="0">
                  <c:v>%vte</c:v>
                </c:pt>
                <c:pt idx="1">
                  <c:v>1.8%</c:v>
                </c:pt>
              </c:strCache>
            </c:strRef>
          </c:tx>
          <c:spPr>
            <a:solidFill>
              <a:schemeClr val="accent1"/>
            </a:solidFill>
            <a:ln>
              <a:noFill/>
            </a:ln>
            <a:effectLst/>
          </c:spPr>
          <c:invertIfNegative val="0"/>
          <c:cat>
            <c:multiLvlStrRef>
              <c:f>Print_Mois!$AF$491:$AL$497</c:f>
              <c:multiLvlStrCache>
                <c:ptCount val="7"/>
                <c:lvl>
                  <c:pt idx="0">
                    <c:v>0 </c:v>
                  </c:pt>
                  <c:pt idx="2">
                    <c:v>0 </c:v>
                  </c:pt>
                  <c:pt idx="3">
                    <c:v>0.0%</c:v>
                  </c:pt>
                  <c:pt idx="6">
                    <c:v>0 </c:v>
                  </c:pt>
                </c:lvl>
                <c:lvl>
                  <c:pt idx="0">
                    <c:v>(1,079)</c:v>
                  </c:pt>
                  <c:pt idx="2">
                    <c:v>0 </c:v>
                  </c:pt>
                  <c:pt idx="3">
                    <c:v>0.0%</c:v>
                  </c:pt>
                  <c:pt idx="6">
                    <c:v>(4,608)</c:v>
                  </c:pt>
                </c:lvl>
                <c:lvl>
                  <c:pt idx="0">
                    <c:v>0 </c:v>
                  </c:pt>
                  <c:pt idx="2">
                    <c:v>0 </c:v>
                  </c:pt>
                  <c:pt idx="3">
                    <c:v>0.0%</c:v>
                  </c:pt>
                  <c:pt idx="6">
                    <c:v>0.00 </c:v>
                  </c:pt>
                </c:lvl>
                <c:lvl>
                  <c:pt idx="0">
                    <c:v>0 </c:v>
                  </c:pt>
                  <c:pt idx="2">
                    <c:v>0 </c:v>
                  </c:pt>
                  <c:pt idx="3">
                    <c:v>0.0%</c:v>
                  </c:pt>
                  <c:pt idx="6">
                    <c:v>0 </c:v>
                  </c:pt>
                </c:lvl>
                <c:lvl>
                  <c:pt idx="0">
                    <c:v>0 </c:v>
                  </c:pt>
                  <c:pt idx="2">
                    <c:v>0 </c:v>
                  </c:pt>
                  <c:pt idx="3">
                    <c:v>0.0%</c:v>
                  </c:pt>
                  <c:pt idx="6">
                    <c:v>0 </c:v>
                  </c:pt>
                </c:lvl>
                <c:lvl>
                  <c:pt idx="0">
                    <c:v>0 </c:v>
                  </c:pt>
                  <c:pt idx="2">
                    <c:v>0 </c:v>
                  </c:pt>
                  <c:pt idx="3">
                    <c:v>0.0%</c:v>
                  </c:pt>
                  <c:pt idx="6">
                    <c:v>0 </c:v>
                  </c:pt>
                </c:lvl>
                <c:lvl>
                  <c:pt idx="0">
                    <c:v>42,648 </c:v>
                  </c:pt>
                  <c:pt idx="2">
                    <c:v>0 </c:v>
                  </c:pt>
                  <c:pt idx="3">
                    <c:v>0.0%</c:v>
                  </c:pt>
                  <c:pt idx="6">
                    <c:v>6,315 </c:v>
                  </c:pt>
                </c:lvl>
              </c:multiLvlStrCache>
            </c:multiLvlStrRef>
          </c:cat>
          <c:val>
            <c:numRef>
              <c:f>Print_Mois!$AF$498:$AL$498</c:f>
              <c:numCache>
                <c:formatCode>#,##0_);\(#,##0\)</c:formatCode>
                <c:ptCount val="7"/>
                <c:pt idx="0">
                  <c:v>98160.050000000279</c:v>
                </c:pt>
                <c:pt idx="2">
                  <c:v>-4265.5759531017247</c:v>
                </c:pt>
                <c:pt idx="3" formatCode="0.0%">
                  <c:v>-4.1645593213702398E-2</c:v>
                </c:pt>
                <c:pt idx="4" formatCode="General">
                  <c:v>0</c:v>
                </c:pt>
                <c:pt idx="5" formatCode="0.0%">
                  <c:v>1.7034328107735443E-2</c:v>
                </c:pt>
                <c:pt idx="6">
                  <c:v>111324.86999999956</c:v>
                </c:pt>
              </c:numCache>
            </c:numRef>
          </c:val>
          <c:extLst>
            <c:ext xmlns:c16="http://schemas.microsoft.com/office/drawing/2014/chart" uri="{C3380CC4-5D6E-409C-BE32-E72D297353CC}">
              <c16:uniqueId val="{00000000-F63D-44F6-A269-1C19C381ED2E}"/>
            </c:ext>
          </c:extLst>
        </c:ser>
        <c:dLbls>
          <c:showLegendKey val="0"/>
          <c:showVal val="0"/>
          <c:showCatName val="0"/>
          <c:showSerName val="0"/>
          <c:showPercent val="0"/>
          <c:showBubbleSize val="0"/>
        </c:dLbls>
        <c:gapWidth val="219"/>
        <c:overlap val="-27"/>
        <c:axId val="165990767"/>
        <c:axId val="165989807"/>
      </c:barChart>
      <c:catAx>
        <c:axId val="165990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89807"/>
        <c:crosses val="autoZero"/>
        <c:auto val="1"/>
        <c:lblAlgn val="ctr"/>
        <c:lblOffset val="100"/>
        <c:noMultiLvlLbl val="0"/>
      </c:catAx>
      <c:valAx>
        <c:axId val="165989807"/>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907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F6D6AFE-22D0-4FD1-AE96-7576CC7E51D9}">
  <sheetPr/>
  <sheetViews>
    <sheetView zoomScale="108"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78</xdr:row>
      <xdr:rowOff>0</xdr:rowOff>
    </xdr:from>
    <xdr:to>
      <xdr:col>4</xdr:col>
      <xdr:colOff>9525</xdr:colOff>
      <xdr:row>89</xdr:row>
      <xdr:rowOff>9525</xdr:rowOff>
    </xdr:to>
    <xdr:pic>
      <xdr:nvPicPr>
        <xdr:cNvPr id="2" name="Image 1">
          <a:extLst>
            <a:ext uri="{FF2B5EF4-FFF2-40B4-BE49-F238E27FC236}">
              <a16:creationId xmlns:a16="http://schemas.microsoft.com/office/drawing/2014/main" id="{C20B49D1-683A-DBC9-9F8E-3DA82DF4AB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3350" y="14363700"/>
          <a:ext cx="3676650" cy="262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absoluteAnchor>
    <xdr:pos x="0" y="0"/>
    <xdr:ext cx="8678333" cy="6297083"/>
    <xdr:graphicFrame macro="">
      <xdr:nvGraphicFramePr>
        <xdr:cNvPr id="2" name="Chart 1">
          <a:extLst>
            <a:ext uri="{FF2B5EF4-FFF2-40B4-BE49-F238E27FC236}">
              <a16:creationId xmlns:a16="http://schemas.microsoft.com/office/drawing/2014/main" id="{D075E0BE-CD7E-7BBA-78DF-0F497CAD909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8" Type="http://schemas.openxmlformats.org/officeDocument/2006/relationships/printerSettings" Target="../printerSettings/printerSettings17.bin"/><Relationship Id="rId3" Type="http://schemas.openxmlformats.org/officeDocument/2006/relationships/hyperlink" Target="about:blank" TargetMode="External"/><Relationship Id="rId7" Type="http://schemas.openxmlformats.org/officeDocument/2006/relationships/hyperlink" Target="mailto:4141@"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mailto:4505@"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s>
</file>

<file path=xl/worksheets/_rels/sheet1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D22" sqref="D22"/>
    </sheetView>
  </sheetViews>
  <sheetFormatPr baseColWidth="10" defaultColWidth="12.625" defaultRowHeight="15" customHeight="1"/>
  <cols>
    <col min="1" max="1" width="13" customWidth="1"/>
    <col min="2" max="2" width="23.75" customWidth="1"/>
    <col min="3" max="9" width="9.375" customWidth="1"/>
  </cols>
  <sheetData>
    <row r="1" spans="1:14">
      <c r="A1" s="1" t="s">
        <v>0</v>
      </c>
      <c r="B1" s="2" t="s">
        <v>1</v>
      </c>
    </row>
    <row r="2" spans="1:14">
      <c r="A2" s="1"/>
      <c r="G2" s="3" t="s">
        <v>2</v>
      </c>
      <c r="M2" s="4" t="s">
        <v>3</v>
      </c>
      <c r="N2" s="4" t="s">
        <v>4</v>
      </c>
    </row>
    <row r="3" spans="1:14">
      <c r="A3" s="1" t="s">
        <v>5</v>
      </c>
      <c r="B3" s="2" t="s">
        <v>13</v>
      </c>
      <c r="C3" s="4">
        <f>+VLOOKUP(B3,$K$3:$L$14,2,0)</f>
        <v>5</v>
      </c>
      <c r="G3" s="3" t="s">
        <v>7</v>
      </c>
      <c r="K3" s="5" t="s">
        <v>8</v>
      </c>
      <c r="L3" s="4">
        <v>1</v>
      </c>
      <c r="M3" s="4" t="str">
        <f t="shared" ref="M3:M14" si="0">+IF($K3=$B$3,"X","")</f>
        <v/>
      </c>
      <c r="N3" s="4" t="str">
        <f t="shared" ref="N3:N14" si="1">+IF(K3=B3,"X",IF(L3&lt;=$C$3,"X",""))</f>
        <v>X</v>
      </c>
    </row>
    <row r="4" spans="1:14">
      <c r="A4" s="1" t="s">
        <v>9</v>
      </c>
      <c r="B4" s="2">
        <v>2025</v>
      </c>
      <c r="K4" s="5" t="s">
        <v>10</v>
      </c>
      <c r="L4" s="4">
        <v>2</v>
      </c>
      <c r="M4" s="4" t="str">
        <f t="shared" si="0"/>
        <v/>
      </c>
      <c r="N4" s="4" t="str">
        <f t="shared" si="1"/>
        <v>X</v>
      </c>
    </row>
    <row r="5" spans="1:14" ht="15" customHeight="1">
      <c r="K5" s="5" t="s">
        <v>11</v>
      </c>
      <c r="L5" s="4">
        <v>3</v>
      </c>
      <c r="M5" s="4" t="str">
        <f t="shared" si="0"/>
        <v/>
      </c>
      <c r="N5" s="4" t="str">
        <f t="shared" si="1"/>
        <v>X</v>
      </c>
    </row>
    <row r="6" spans="1:14">
      <c r="A6" s="1"/>
      <c r="B6" s="6"/>
      <c r="K6" s="5" t="s">
        <v>12</v>
      </c>
      <c r="L6" s="4">
        <v>4</v>
      </c>
      <c r="M6" s="4" t="str">
        <f t="shared" si="0"/>
        <v/>
      </c>
      <c r="N6" s="4" t="str">
        <f t="shared" si="1"/>
        <v>X</v>
      </c>
    </row>
    <row r="7" spans="1:14">
      <c r="A7" s="3"/>
      <c r="B7" s="7"/>
      <c r="K7" s="5" t="s">
        <v>13</v>
      </c>
      <c r="L7" s="4">
        <v>5</v>
      </c>
      <c r="M7" s="4" t="str">
        <f t="shared" si="0"/>
        <v>X</v>
      </c>
      <c r="N7" s="4" t="str">
        <f t="shared" si="1"/>
        <v>X</v>
      </c>
    </row>
    <row r="8" spans="1:14">
      <c r="A8" s="3"/>
      <c r="B8" s="7"/>
      <c r="K8" s="5" t="s">
        <v>14</v>
      </c>
      <c r="L8" s="4">
        <v>6</v>
      </c>
      <c r="M8" s="4" t="str">
        <f t="shared" si="0"/>
        <v/>
      </c>
      <c r="N8" s="4" t="str">
        <f t="shared" si="1"/>
        <v/>
      </c>
    </row>
    <row r="9" spans="1:14" ht="15" customHeight="1">
      <c r="A9" s="5" t="s">
        <v>15</v>
      </c>
      <c r="K9" s="5" t="s">
        <v>16</v>
      </c>
      <c r="L9" s="4">
        <v>7</v>
      </c>
      <c r="M9" s="4" t="str">
        <f t="shared" si="0"/>
        <v/>
      </c>
      <c r="N9" s="4" t="str">
        <f t="shared" si="1"/>
        <v/>
      </c>
    </row>
    <row r="10" spans="1:14">
      <c r="A10" s="3" t="s">
        <v>17</v>
      </c>
      <c r="I10" s="3"/>
      <c r="K10" s="5" t="s">
        <v>18</v>
      </c>
      <c r="L10" s="4">
        <v>8</v>
      </c>
      <c r="M10" s="4" t="str">
        <f t="shared" si="0"/>
        <v/>
      </c>
      <c r="N10" s="4" t="str">
        <f t="shared" si="1"/>
        <v/>
      </c>
    </row>
    <row r="11" spans="1:14">
      <c r="A11" s="3" t="s">
        <v>19</v>
      </c>
      <c r="I11" s="3"/>
      <c r="K11" s="5" t="s">
        <v>20</v>
      </c>
      <c r="L11" s="4">
        <v>9</v>
      </c>
      <c r="M11" s="4" t="str">
        <f t="shared" si="0"/>
        <v/>
      </c>
      <c r="N11" s="4" t="str">
        <f t="shared" si="1"/>
        <v/>
      </c>
    </row>
    <row r="12" spans="1:14">
      <c r="A12" s="3" t="s">
        <v>21</v>
      </c>
      <c r="I12" s="3"/>
      <c r="K12" s="5" t="s">
        <v>22</v>
      </c>
      <c r="L12" s="4">
        <v>10</v>
      </c>
      <c r="M12" s="4" t="str">
        <f t="shared" si="0"/>
        <v/>
      </c>
      <c r="N12" s="4" t="str">
        <f t="shared" si="1"/>
        <v/>
      </c>
    </row>
    <row r="13" spans="1:14">
      <c r="A13" s="3"/>
      <c r="I13" s="3"/>
      <c r="K13" s="5" t="s">
        <v>23</v>
      </c>
      <c r="L13" s="4">
        <v>11</v>
      </c>
      <c r="M13" s="4" t="str">
        <f t="shared" si="0"/>
        <v/>
      </c>
      <c r="N13" s="4" t="str">
        <f t="shared" si="1"/>
        <v/>
      </c>
    </row>
    <row r="14" spans="1:14">
      <c r="A14" s="3"/>
      <c r="I14" s="3"/>
      <c r="K14" s="5" t="s">
        <v>6</v>
      </c>
      <c r="L14" s="4">
        <v>12</v>
      </c>
      <c r="M14" s="4" t="str">
        <f t="shared" si="0"/>
        <v/>
      </c>
      <c r="N14" s="4" t="str">
        <f t="shared" si="1"/>
        <v/>
      </c>
    </row>
    <row r="15" spans="1:14">
      <c r="A15" s="3"/>
      <c r="I15" s="3"/>
    </row>
    <row r="16" spans="1:14">
      <c r="I16" s="3"/>
    </row>
    <row r="17" spans="1:9">
      <c r="I17" s="3"/>
    </row>
    <row r="18" spans="1:9">
      <c r="I18" s="3"/>
    </row>
    <row r="19" spans="1:9">
      <c r="I19" s="3"/>
    </row>
    <row r="20" spans="1:9">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A34" workbookViewId="0">
      <selection activeCell="D59" sqref="D59"/>
    </sheetView>
  </sheetViews>
  <sheetFormatPr baseColWidth="10" defaultColWidth="12.625" defaultRowHeight="15" customHeight="1"/>
  <cols>
    <col min="1" max="1" width="59.625" customWidth="1"/>
    <col min="2" max="3" width="14.75" customWidth="1"/>
    <col min="4" max="4" width="67" customWidth="1"/>
    <col min="5" max="5" width="14.875" customWidth="1"/>
    <col min="6" max="6" width="10" customWidth="1"/>
    <col min="7" max="7" width="39.125" customWidth="1"/>
    <col min="8" max="25" width="10" customWidth="1"/>
  </cols>
  <sheetData>
    <row r="1" spans="1:25" ht="20.25">
      <c r="A1" s="8" t="s">
        <v>24</v>
      </c>
      <c r="B1" s="3"/>
      <c r="C1" s="3"/>
      <c r="D1" s="3"/>
      <c r="E1" s="3"/>
      <c r="F1" s="3"/>
      <c r="G1" s="3"/>
      <c r="H1" s="3"/>
      <c r="I1" s="3"/>
      <c r="J1" s="3"/>
      <c r="K1" s="3"/>
      <c r="L1" s="3"/>
      <c r="M1" s="3"/>
      <c r="N1" s="3"/>
      <c r="O1" s="3"/>
      <c r="P1" s="3"/>
      <c r="Q1" s="3"/>
      <c r="R1" s="3"/>
      <c r="S1" s="3"/>
      <c r="T1" s="3"/>
      <c r="U1" s="3"/>
      <c r="V1" s="3"/>
      <c r="W1" s="3"/>
      <c r="X1" s="3"/>
      <c r="Y1" s="3"/>
    </row>
    <row r="2" spans="1:25" ht="35.25">
      <c r="A2" s="8" t="str">
        <f>+Parametres!B1</f>
        <v>Volks</v>
      </c>
      <c r="B2" s="3"/>
      <c r="C2" s="3"/>
      <c r="D2" s="9"/>
      <c r="E2" s="3"/>
      <c r="F2" s="3"/>
      <c r="G2" s="3"/>
      <c r="H2" s="3"/>
      <c r="I2" s="3"/>
      <c r="J2" s="10"/>
      <c r="K2" s="3"/>
      <c r="L2" s="3"/>
      <c r="M2" s="3"/>
      <c r="N2" s="3"/>
      <c r="O2" s="3"/>
      <c r="P2" s="3"/>
      <c r="Q2" s="3"/>
      <c r="R2" s="3"/>
      <c r="S2" s="3"/>
      <c r="T2" s="3"/>
      <c r="U2" s="3"/>
      <c r="V2" s="3"/>
      <c r="W2" s="3"/>
      <c r="X2" s="3"/>
      <c r="Y2" s="3"/>
    </row>
    <row r="3" spans="1:25" ht="20.25">
      <c r="A3" s="11" t="str">
        <f>CONCATENATE("",,Parametres!B3," ",Parametres!B4)</f>
        <v>Mai 2025</v>
      </c>
      <c r="B3" s="3"/>
      <c r="C3" s="3"/>
      <c r="D3" s="3"/>
      <c r="E3" s="3"/>
      <c r="F3" s="3"/>
      <c r="G3" s="3"/>
      <c r="H3" s="3"/>
      <c r="I3" s="3"/>
      <c r="J3" s="3"/>
      <c r="K3" s="3"/>
      <c r="L3" s="3"/>
      <c r="M3" s="3"/>
      <c r="N3" s="3"/>
      <c r="O3" s="3"/>
      <c r="P3" s="3"/>
      <c r="Q3" s="3"/>
      <c r="R3" s="3"/>
      <c r="S3" s="3"/>
      <c r="T3" s="3"/>
      <c r="U3" s="3"/>
      <c r="V3" s="3"/>
      <c r="W3" s="3"/>
      <c r="X3" s="3"/>
      <c r="Y3" s="3"/>
    </row>
    <row r="4" spans="1:25">
      <c r="A4" s="3"/>
      <c r="B4" s="3"/>
      <c r="C4" s="3"/>
      <c r="D4" s="3"/>
      <c r="E4" s="12"/>
      <c r="F4" s="3"/>
      <c r="G4" s="3"/>
      <c r="H4" s="3"/>
      <c r="I4" s="3"/>
      <c r="J4" s="3"/>
      <c r="K4" s="3"/>
      <c r="L4" s="3"/>
      <c r="M4" s="3"/>
      <c r="N4" s="3"/>
      <c r="O4" s="3"/>
      <c r="P4" s="3"/>
      <c r="Q4" s="3"/>
      <c r="R4" s="3"/>
      <c r="S4" s="3"/>
      <c r="T4" s="3"/>
      <c r="U4" s="3"/>
      <c r="V4" s="3"/>
      <c r="W4" s="3"/>
      <c r="X4" s="3"/>
      <c r="Y4" s="3"/>
    </row>
    <row r="5" spans="1:25">
      <c r="A5" s="13" t="s">
        <v>25</v>
      </c>
      <c r="B5" s="14">
        <f>SUMIFS(BV_Data_An_Cour!$P:$P,BV_Data_An_Cour!$U:$U,$A$1,BV_Data_An_Cour!$V:$V,$A5)</f>
        <v>1251782.95</v>
      </c>
      <c r="C5" s="15"/>
      <c r="D5" s="13" t="s">
        <v>26</v>
      </c>
      <c r="E5" s="16">
        <f>-SUMIFS(BV_Data_An_Cour!$P:$P,BV_Data_An_Cour!$U:$U,$A$1,BV_Data_An_Cour!$V:$V,$D5)</f>
        <v>0</v>
      </c>
      <c r="F5" s="3"/>
      <c r="G5" s="3"/>
      <c r="H5" s="3"/>
      <c r="I5" s="3"/>
      <c r="J5" s="3"/>
      <c r="K5" s="3"/>
      <c r="L5" s="3"/>
      <c r="M5" s="3"/>
      <c r="N5" s="3"/>
      <c r="O5" s="3"/>
      <c r="P5" s="3"/>
      <c r="Q5" s="3"/>
      <c r="R5" s="3"/>
      <c r="S5" s="3"/>
      <c r="T5" s="3"/>
      <c r="U5" s="3"/>
      <c r="V5" s="3"/>
      <c r="W5" s="3"/>
      <c r="X5" s="3"/>
      <c r="Y5" s="3"/>
    </row>
    <row r="6" spans="1:25">
      <c r="A6" s="17" t="s">
        <v>27</v>
      </c>
      <c r="B6" s="18">
        <f>SUM(B5)</f>
        <v>1251782.95</v>
      </c>
      <c r="C6" s="19"/>
      <c r="D6" s="20"/>
      <c r="E6" s="21"/>
      <c r="F6" s="3"/>
      <c r="G6" s="3"/>
      <c r="H6" s="3"/>
      <c r="I6" s="3"/>
      <c r="J6" s="3"/>
      <c r="K6" s="3"/>
      <c r="L6" s="3"/>
      <c r="M6" s="3"/>
      <c r="N6" s="3"/>
      <c r="O6" s="3"/>
      <c r="P6" s="3"/>
      <c r="Q6" s="3"/>
      <c r="R6" s="3"/>
      <c r="S6" s="3"/>
      <c r="T6" s="3"/>
      <c r="U6" s="3"/>
      <c r="V6" s="3"/>
      <c r="W6" s="3"/>
      <c r="X6" s="3"/>
      <c r="Y6" s="3"/>
    </row>
    <row r="7" spans="1:25">
      <c r="A7" s="22"/>
      <c r="B7" s="21"/>
      <c r="C7" s="15"/>
      <c r="D7" s="17" t="s">
        <v>28</v>
      </c>
      <c r="E7" s="18">
        <f>-SUMIFS(BV_Data_An_Cour!$P:$P,BV_Data_An_Cour!$U:$U,$A$1,BV_Data_An_Cour!$V:$V,$D7)</f>
        <v>0</v>
      </c>
      <c r="F7" s="3"/>
      <c r="G7" s="3"/>
      <c r="H7" s="3"/>
      <c r="I7" s="3"/>
      <c r="J7" s="3"/>
      <c r="K7" s="3"/>
      <c r="L7" s="3"/>
      <c r="M7" s="3"/>
      <c r="N7" s="3"/>
      <c r="O7" s="3"/>
      <c r="P7" s="3"/>
      <c r="Q7" s="3"/>
      <c r="R7" s="3"/>
      <c r="S7" s="3"/>
      <c r="T7" s="3"/>
      <c r="U7" s="3"/>
      <c r="V7" s="3"/>
      <c r="W7" s="3"/>
      <c r="X7" s="3"/>
      <c r="Y7" s="3"/>
    </row>
    <row r="8" spans="1:25">
      <c r="A8" s="20" t="s">
        <v>29</v>
      </c>
      <c r="B8" s="21">
        <f>SUMIFS(BV_Data_An_Cour!$P:$P,BV_Data_An_Cour!$U:$U,$A$1,BV_Data_An_Cour!$V:$V,$A8)</f>
        <v>1416849.76</v>
      </c>
      <c r="C8" s="15"/>
      <c r="D8" s="20"/>
      <c r="E8" s="21"/>
      <c r="F8" s="3"/>
      <c r="G8" s="3"/>
      <c r="H8" s="3"/>
      <c r="I8" s="3"/>
      <c r="J8" s="3"/>
      <c r="K8" s="3"/>
      <c r="L8" s="3"/>
      <c r="M8" s="3"/>
      <c r="N8" s="3"/>
      <c r="O8" s="3"/>
      <c r="P8" s="3"/>
      <c r="Q8" s="3"/>
      <c r="R8" s="3"/>
      <c r="S8" s="3"/>
      <c r="T8" s="3"/>
      <c r="U8" s="3"/>
      <c r="V8" s="3"/>
      <c r="W8" s="3"/>
      <c r="X8" s="3"/>
      <c r="Y8" s="3"/>
    </row>
    <row r="9" spans="1:25">
      <c r="A9" s="20" t="s">
        <v>30</v>
      </c>
      <c r="B9" s="21">
        <f>SUMIFS(BV_Data_An_Cour!$P:$P,BV_Data_An_Cour!$U:$U,$A$1,BV_Data_An_Cour!$V:$V,$A9)</f>
        <v>127107.88</v>
      </c>
      <c r="C9" s="15"/>
      <c r="D9" s="20" t="s">
        <v>31</v>
      </c>
      <c r="E9" s="21">
        <f>-SUMIFS(BV_Data_An_Cour!$P:$P,BV_Data_An_Cour!$U:$U,$A$1,BV_Data_An_Cour!$V:$V,$D9)</f>
        <v>0</v>
      </c>
      <c r="F9" s="3"/>
      <c r="G9" s="3"/>
      <c r="H9" s="3"/>
      <c r="I9" s="3"/>
      <c r="J9" s="3"/>
      <c r="K9" s="3"/>
      <c r="L9" s="3"/>
      <c r="M9" s="3"/>
      <c r="N9" s="3"/>
      <c r="O9" s="3"/>
      <c r="P9" s="3"/>
      <c r="Q9" s="3"/>
      <c r="R9" s="3"/>
      <c r="S9" s="3"/>
      <c r="T9" s="3"/>
      <c r="U9" s="3"/>
      <c r="V9" s="3"/>
      <c r="W9" s="3"/>
      <c r="X9" s="3"/>
      <c r="Y9" s="3"/>
    </row>
    <row r="10" spans="1:25">
      <c r="A10" s="20" t="s">
        <v>32</v>
      </c>
      <c r="B10" s="21">
        <f>SUMIFS(BV_Data_An_Cour!$P:$P,BV_Data_An_Cour!$U:$U,$A$1,BV_Data_An_Cour!$V:$V,$A10)</f>
        <v>219750</v>
      </c>
      <c r="C10" s="15"/>
      <c r="D10" s="20" t="s">
        <v>33</v>
      </c>
      <c r="E10" s="21">
        <f>-SUMIFS(BV_Data_An_Cour!$P:$P,BV_Data_An_Cour!$U:$U,$A$1,BV_Data_An_Cour!$V:$V,$D10)</f>
        <v>513271.07</v>
      </c>
      <c r="F10" s="3"/>
      <c r="G10" s="3"/>
      <c r="H10" s="3"/>
      <c r="I10" s="3"/>
      <c r="J10" s="3"/>
      <c r="K10" s="3"/>
      <c r="L10" s="3"/>
      <c r="M10" s="3"/>
      <c r="N10" s="3"/>
      <c r="O10" s="3"/>
      <c r="P10" s="3"/>
      <c r="Q10" s="3"/>
      <c r="R10" s="3"/>
      <c r="S10" s="3"/>
      <c r="T10" s="3"/>
      <c r="U10" s="3"/>
      <c r="V10" s="3"/>
      <c r="W10" s="3"/>
      <c r="X10" s="3"/>
      <c r="Y10" s="3"/>
    </row>
    <row r="11" spans="1:25">
      <c r="A11" s="20" t="s">
        <v>34</v>
      </c>
      <c r="B11" s="21">
        <f>SUMIFS(BV_Data_An_Cour!$P:$P,BV_Data_An_Cour!$U:$U,$A$1,BV_Data_An_Cour!$V:$V,$A11)</f>
        <v>296551.57999999996</v>
      </c>
      <c r="C11" s="15"/>
      <c r="D11" s="20" t="s">
        <v>35</v>
      </c>
      <c r="E11" s="21">
        <f>-SUMIFS(BV_Data_An_Cour!$P:$P,BV_Data_An_Cour!$U:$U,$A$1,BV_Data_An_Cour!$V:$V,$D11)</f>
        <v>148729.38999999998</v>
      </c>
      <c r="F11" s="3"/>
      <c r="G11" s="3"/>
      <c r="H11" s="3"/>
      <c r="I11" s="3"/>
      <c r="J11" s="3"/>
      <c r="K11" s="3"/>
      <c r="L11" s="3"/>
      <c r="M11" s="3"/>
      <c r="N11" s="3"/>
      <c r="O11" s="3"/>
      <c r="P11" s="3"/>
      <c r="Q11" s="3"/>
      <c r="R11" s="3"/>
      <c r="S11" s="3"/>
      <c r="T11" s="3"/>
      <c r="U11" s="3"/>
      <c r="V11" s="3"/>
      <c r="W11" s="3"/>
      <c r="X11" s="3"/>
      <c r="Y11" s="3"/>
    </row>
    <row r="12" spans="1:25">
      <c r="A12" s="20" t="s">
        <v>36</v>
      </c>
      <c r="B12" s="21">
        <f>SUMIFS(BV_Data_An_Cour!$P:$P,BV_Data_An_Cour!$U:$U,$A$1,BV_Data_An_Cour!$V:$V,$A12)</f>
        <v>15166.24</v>
      </c>
      <c r="C12" s="15"/>
      <c r="D12" s="20" t="s">
        <v>37</v>
      </c>
      <c r="E12" s="21">
        <f>-SUMIFS(BV_Data_An_Cour!$P:$P,BV_Data_An_Cour!$U:$U,$A$1,BV_Data_An_Cour!$V:$V,$D12)</f>
        <v>0</v>
      </c>
      <c r="F12" s="3"/>
      <c r="G12" s="3"/>
      <c r="H12" s="3"/>
      <c r="I12" s="3"/>
      <c r="J12" s="3"/>
      <c r="K12" s="3"/>
      <c r="L12" s="3"/>
      <c r="M12" s="3"/>
      <c r="N12" s="3"/>
      <c r="O12" s="3"/>
      <c r="P12" s="3"/>
      <c r="Q12" s="3"/>
      <c r="R12" s="3"/>
      <c r="S12" s="3"/>
      <c r="T12" s="3"/>
      <c r="U12" s="3"/>
      <c r="V12" s="3"/>
      <c r="W12" s="3"/>
      <c r="X12" s="3"/>
      <c r="Y12" s="3"/>
    </row>
    <row r="13" spans="1:25">
      <c r="A13" s="20" t="s">
        <v>38</v>
      </c>
      <c r="B13" s="21">
        <f>SUMIFS(BV_Data_An_Cour!$P:$P,BV_Data_An_Cour!$U:$U,$A$1,BV_Data_An_Cour!$V:$V,$A13)</f>
        <v>-1746.34</v>
      </c>
      <c r="C13" s="15"/>
      <c r="D13" s="20" t="s">
        <v>39</v>
      </c>
      <c r="E13" s="21">
        <f>-SUMIFS(BV_Data_An_Cour!$P:$P,BV_Data_An_Cour!$U:$U,$A$1,BV_Data_An_Cour!$V:$V,$D13)</f>
        <v>48850</v>
      </c>
      <c r="F13" s="3"/>
      <c r="G13" s="3"/>
      <c r="H13" s="3"/>
      <c r="I13" s="3"/>
      <c r="J13" s="3"/>
      <c r="K13" s="3"/>
      <c r="L13" s="3"/>
      <c r="M13" s="3"/>
      <c r="N13" s="3"/>
      <c r="O13" s="3"/>
      <c r="P13" s="3"/>
      <c r="Q13" s="3"/>
      <c r="R13" s="3"/>
      <c r="S13" s="3"/>
      <c r="T13" s="3"/>
      <c r="U13" s="3"/>
      <c r="V13" s="3"/>
      <c r="W13" s="3"/>
      <c r="X13" s="3"/>
      <c r="Y13" s="3"/>
    </row>
    <row r="14" spans="1:25">
      <c r="A14" s="20" t="s">
        <v>40</v>
      </c>
      <c r="B14" s="21">
        <f>SUMIFS(BV_Data_An_Cour!$P:$P,BV_Data_An_Cour!$U:$U,$A$1,BV_Data_An_Cour!$V:$V,$A14)</f>
        <v>38231.370000000003</v>
      </c>
      <c r="C14" s="15"/>
      <c r="D14" s="20" t="s">
        <v>41</v>
      </c>
      <c r="E14" s="21">
        <f>-SUMIFS(BV_Data_An_Cour!$P:$P,BV_Data_An_Cour!$U:$U,$A$1,BV_Data_An_Cour!$V:$V,$D14)</f>
        <v>104617.9</v>
      </c>
      <c r="F14" s="3"/>
      <c r="G14" s="3"/>
      <c r="H14" s="3"/>
      <c r="I14" s="3"/>
      <c r="J14" s="3"/>
      <c r="K14" s="3"/>
      <c r="L14" s="3"/>
      <c r="M14" s="3"/>
      <c r="N14" s="3"/>
      <c r="O14" s="3"/>
      <c r="P14" s="3"/>
      <c r="Q14" s="3"/>
      <c r="R14" s="3"/>
      <c r="S14" s="3"/>
      <c r="T14" s="3"/>
      <c r="U14" s="3"/>
      <c r="V14" s="3"/>
      <c r="W14" s="3"/>
      <c r="X14" s="3"/>
      <c r="Y14" s="3"/>
    </row>
    <row r="15" spans="1:25">
      <c r="A15" s="20" t="s">
        <v>42</v>
      </c>
      <c r="B15" s="21">
        <f>SUMIFS(BV_Data_An_Cour!$P:$P,BV_Data_An_Cour!$U:$U,$A$1,BV_Data_An_Cour!$V:$V,$A15)</f>
        <v>-35863.69</v>
      </c>
      <c r="C15" s="15"/>
      <c r="D15" s="20" t="s">
        <v>43</v>
      </c>
      <c r="E15" s="21">
        <f>-SUMIFS(BV_Data_An_Cour!$P:$P,BV_Data_An_Cour!$U:$U,$A$1,BV_Data_An_Cour!$V:$V,$D15)</f>
        <v>332002.56999999995</v>
      </c>
      <c r="F15" s="3"/>
      <c r="G15" s="3"/>
      <c r="H15" s="3"/>
      <c r="I15" s="3"/>
      <c r="J15" s="3"/>
      <c r="K15" s="3"/>
      <c r="L15" s="3"/>
      <c r="M15" s="3"/>
      <c r="N15" s="3"/>
      <c r="O15" s="3"/>
      <c r="P15" s="3"/>
      <c r="Q15" s="3"/>
      <c r="R15" s="3"/>
      <c r="S15" s="3"/>
      <c r="T15" s="3"/>
      <c r="U15" s="3"/>
      <c r="V15" s="3"/>
      <c r="W15" s="3"/>
      <c r="X15" s="3"/>
      <c r="Y15" s="3"/>
    </row>
    <row r="16" spans="1:25">
      <c r="A16" s="17" t="s">
        <v>44</v>
      </c>
      <c r="B16" s="18">
        <f>+SUM(B8:B15)</f>
        <v>2076046.8000000003</v>
      </c>
      <c r="C16" s="19"/>
      <c r="D16" s="17" t="s">
        <v>45</v>
      </c>
      <c r="E16" s="18">
        <f>+SUM(E10:E15)</f>
        <v>1147470.93</v>
      </c>
      <c r="F16" s="3"/>
      <c r="G16" s="3"/>
      <c r="H16" s="3"/>
      <c r="I16" s="3"/>
      <c r="J16" s="3"/>
      <c r="K16" s="3"/>
      <c r="L16" s="3"/>
      <c r="M16" s="3"/>
      <c r="N16" s="3"/>
      <c r="O16" s="3"/>
      <c r="P16" s="3"/>
      <c r="Q16" s="3"/>
      <c r="R16" s="3"/>
      <c r="S16" s="3"/>
      <c r="T16" s="3"/>
      <c r="U16" s="3"/>
      <c r="V16" s="3"/>
      <c r="W16" s="3"/>
      <c r="X16" s="3"/>
      <c r="Y16" s="3"/>
    </row>
    <row r="17" spans="1:25">
      <c r="A17" s="20"/>
      <c r="B17" s="21"/>
      <c r="C17" s="15"/>
      <c r="D17" s="22"/>
      <c r="E17" s="21"/>
      <c r="F17" s="3"/>
      <c r="G17" s="3"/>
      <c r="H17" s="3"/>
      <c r="I17" s="3"/>
      <c r="J17" s="3"/>
      <c r="K17" s="3"/>
      <c r="L17" s="3"/>
      <c r="M17" s="3"/>
      <c r="N17" s="3"/>
      <c r="O17" s="3"/>
      <c r="P17" s="3"/>
      <c r="Q17" s="3"/>
      <c r="R17" s="3"/>
      <c r="S17" s="3"/>
      <c r="T17" s="3"/>
      <c r="U17" s="3"/>
      <c r="V17" s="3"/>
      <c r="W17" s="3"/>
      <c r="X17" s="3"/>
      <c r="Y17" s="3"/>
    </row>
    <row r="18" spans="1:25">
      <c r="A18" s="20" t="s">
        <v>46</v>
      </c>
      <c r="B18" s="21">
        <f>SUMIFS(BV_Data_An_Cour!$P:$P,BV_Data_An_Cour!$U:$U,$A$1,BV_Data_An_Cour!$V:$V,$A18)</f>
        <v>2330712.0300000003</v>
      </c>
      <c r="C18" s="15"/>
      <c r="D18" s="20" t="s">
        <v>47</v>
      </c>
      <c r="E18" s="21">
        <f>-SUMIFS(BV_Data_An_Cour!$P:$P,BV_Data_An_Cour!$U:$U,$A$1,BV_Data_An_Cour!$V:$V,$D18)</f>
        <v>3800053.62</v>
      </c>
      <c r="F18" s="3"/>
      <c r="G18" s="3"/>
      <c r="H18" s="3"/>
      <c r="I18" s="3"/>
      <c r="J18" s="3"/>
      <c r="K18" s="3"/>
      <c r="L18" s="3"/>
      <c r="M18" s="3"/>
      <c r="N18" s="3"/>
      <c r="O18" s="3"/>
      <c r="P18" s="3"/>
      <c r="Q18" s="3"/>
      <c r="R18" s="3"/>
      <c r="S18" s="3"/>
      <c r="T18" s="3"/>
      <c r="U18" s="3"/>
      <c r="V18" s="3"/>
      <c r="W18" s="3"/>
      <c r="X18" s="3"/>
      <c r="Y18" s="3"/>
    </row>
    <row r="19" spans="1:25">
      <c r="A19" s="20" t="s">
        <v>48</v>
      </c>
      <c r="B19" s="21">
        <f>SUMIFS(BV_Data_An_Cour!$P:$P,BV_Data_An_Cour!$U:$U,$A$1,BV_Data_An_Cour!$V:$V,$A19)</f>
        <v>1796651.93</v>
      </c>
      <c r="C19" s="15"/>
      <c r="D19" s="20" t="s">
        <v>49</v>
      </c>
      <c r="E19" s="21">
        <f>-SUMIFS(BV_Data_An_Cour!$P:$P,BV_Data_An_Cour!$U:$U,$A$1,BV_Data_An_Cour!$V:$V,$D19)</f>
        <v>1399521.21</v>
      </c>
      <c r="F19" s="3"/>
      <c r="G19" s="3"/>
      <c r="H19" s="3"/>
      <c r="I19" s="3"/>
      <c r="J19" s="3"/>
      <c r="K19" s="3"/>
      <c r="L19" s="3"/>
      <c r="M19" s="3"/>
      <c r="N19" s="3"/>
      <c r="O19" s="3"/>
      <c r="P19" s="3"/>
      <c r="Q19" s="3"/>
      <c r="R19" s="3"/>
      <c r="S19" s="3"/>
      <c r="T19" s="3"/>
      <c r="U19" s="3"/>
      <c r="V19" s="3"/>
      <c r="W19" s="3"/>
      <c r="X19" s="3"/>
      <c r="Y19" s="3"/>
    </row>
    <row r="20" spans="1:25">
      <c r="A20" s="20" t="s">
        <v>50</v>
      </c>
      <c r="B20" s="21">
        <f>SUMIFS(BV_Data_An_Cour!$P:$P,BV_Data_An_Cour!$U:$U,$A$1,BV_Data_An_Cour!$V:$V,$A20)</f>
        <v>679286.62</v>
      </c>
      <c r="C20" s="15"/>
      <c r="D20" s="17" t="s">
        <v>51</v>
      </c>
      <c r="E20" s="18">
        <f>+SUM(E18:E19)</f>
        <v>5199574.83</v>
      </c>
      <c r="F20" s="3"/>
      <c r="G20" s="3"/>
      <c r="H20" s="3"/>
      <c r="I20" s="3"/>
      <c r="J20" s="3"/>
      <c r="K20" s="3"/>
      <c r="L20" s="3"/>
      <c r="M20" s="3"/>
      <c r="N20" s="3"/>
      <c r="O20" s="3"/>
      <c r="P20" s="3"/>
      <c r="Q20" s="3"/>
      <c r="R20" s="3"/>
      <c r="S20" s="3"/>
      <c r="T20" s="3"/>
      <c r="U20" s="3"/>
      <c r="V20" s="3"/>
      <c r="W20" s="3"/>
      <c r="X20" s="3"/>
      <c r="Y20" s="3"/>
    </row>
    <row r="21" spans="1:25" ht="15.75" customHeight="1">
      <c r="A21" s="17" t="s">
        <v>52</v>
      </c>
      <c r="B21" s="18">
        <f>SUM(B18:B20)</f>
        <v>4806650.58</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53</v>
      </c>
      <c r="E22" s="21">
        <f>-SUMIFS(BV_Data_An_Cour!$P:$P,BV_Data_An_Cour!$U:$U,$A$1,BV_Data_An_Cour!$V:$V,$D22)</f>
        <v>396571.11</v>
      </c>
      <c r="F22" s="3"/>
      <c r="G22" s="3"/>
      <c r="H22" s="3"/>
      <c r="I22" s="3"/>
      <c r="J22" s="3"/>
      <c r="K22" s="3"/>
      <c r="L22" s="3"/>
      <c r="M22" s="3"/>
      <c r="N22" s="3"/>
      <c r="O22" s="3"/>
      <c r="P22" s="3"/>
      <c r="Q22" s="3"/>
      <c r="R22" s="3"/>
      <c r="S22" s="3"/>
      <c r="T22" s="3"/>
      <c r="U22" s="3"/>
      <c r="V22" s="3"/>
      <c r="W22" s="3"/>
      <c r="X22" s="3"/>
      <c r="Y22" s="3"/>
    </row>
    <row r="23" spans="1:25" ht="15.75" customHeight="1">
      <c r="A23" s="20" t="s">
        <v>54</v>
      </c>
      <c r="B23" s="21">
        <f>SUMIFS(BV_Data_An_Cour!$P:$P,BV_Data_An_Cour!$U:$U,$A$1,BV_Data_An_Cour!$V:$V,$A23)</f>
        <v>0</v>
      </c>
      <c r="C23" s="15"/>
      <c r="D23" s="20" t="s">
        <v>55</v>
      </c>
      <c r="E23" s="21">
        <f>-SUMIFS(BV_Data_An_Cour!$P:$P,BV_Data_An_Cour!$U:$U,$A$1,BV_Data_An_Cour!$V:$V,$D23)</f>
        <v>3763.0599999999995</v>
      </c>
      <c r="F23" s="3"/>
      <c r="G23" s="3"/>
      <c r="H23" s="3"/>
      <c r="I23" s="3"/>
      <c r="J23" s="3"/>
      <c r="K23" s="3"/>
      <c r="L23" s="3"/>
      <c r="M23" s="3"/>
      <c r="N23" s="3"/>
      <c r="O23" s="3"/>
      <c r="P23" s="3"/>
      <c r="Q23" s="3"/>
      <c r="R23" s="3"/>
      <c r="S23" s="3"/>
      <c r="T23" s="3"/>
      <c r="U23" s="3"/>
      <c r="V23" s="3"/>
      <c r="W23" s="3"/>
      <c r="X23" s="3"/>
      <c r="Y23" s="3"/>
    </row>
    <row r="24" spans="1:25" ht="15.75" customHeight="1">
      <c r="A24" s="20" t="s">
        <v>56</v>
      </c>
      <c r="B24" s="21">
        <f>SUMIFS(BV_Data_An_Cour!$P:$P,BV_Data_An_Cour!$U:$U,$A$1,BV_Data_An_Cour!$V:$V,$A24)</f>
        <v>19444.64</v>
      </c>
      <c r="C24" s="15"/>
      <c r="D24" s="20" t="s">
        <v>57</v>
      </c>
      <c r="E24" s="21">
        <f>-SUMIFS(BV_Data_An_Cour!$P:$P,BV_Data_An_Cour!$U:$U,$A$1,BV_Data_An_Cour!$V:$V,$D24)</f>
        <v>352032.69999999995</v>
      </c>
      <c r="F24" s="3"/>
      <c r="G24" s="3"/>
      <c r="H24" s="3"/>
      <c r="I24" s="3"/>
      <c r="J24" s="3"/>
      <c r="K24" s="3"/>
      <c r="L24" s="3"/>
      <c r="M24" s="3"/>
      <c r="N24" s="3"/>
      <c r="O24" s="3"/>
      <c r="P24" s="3"/>
      <c r="Q24" s="3"/>
      <c r="R24" s="3"/>
      <c r="S24" s="3"/>
      <c r="T24" s="3"/>
      <c r="U24" s="3"/>
      <c r="V24" s="3"/>
      <c r="W24" s="3"/>
      <c r="X24" s="3"/>
      <c r="Y24" s="3"/>
    </row>
    <row r="25" spans="1:25" ht="15.75" customHeight="1">
      <c r="A25" s="20" t="s">
        <v>58</v>
      </c>
      <c r="B25" s="21">
        <f>SUMIFS(BV_Data_An_Cour!$P:$P,BV_Data_An_Cour!$U:$U,$A$1,BV_Data_An_Cour!$V:$V,$A25)</f>
        <v>-25703.16</v>
      </c>
      <c r="C25" s="15"/>
      <c r="D25" s="20" t="s">
        <v>59</v>
      </c>
      <c r="E25" s="21">
        <f>-SUMIFS(BV_Data_An_Cour!$P:$P,BV_Data_An_Cour!$U:$U,$A$1,BV_Data_An_Cour!$V:$V,$D25)</f>
        <v>0</v>
      </c>
      <c r="F25" s="3"/>
      <c r="G25" s="3"/>
      <c r="H25" s="3"/>
      <c r="I25" s="3"/>
      <c r="J25" s="3"/>
      <c r="K25" s="3"/>
      <c r="L25" s="3"/>
      <c r="M25" s="3"/>
      <c r="N25" s="3"/>
      <c r="O25" s="3"/>
      <c r="P25" s="3"/>
      <c r="Q25" s="3"/>
      <c r="R25" s="3"/>
      <c r="S25" s="3"/>
      <c r="T25" s="3"/>
      <c r="U25" s="3"/>
      <c r="V25" s="3"/>
      <c r="W25" s="3"/>
      <c r="X25" s="3"/>
      <c r="Y25" s="3"/>
    </row>
    <row r="26" spans="1:25" ht="15.75" customHeight="1">
      <c r="A26" s="20" t="s">
        <v>60</v>
      </c>
      <c r="B26" s="21">
        <f>SUMIFS(BV_Data_An_Cour!$P:$P,BV_Data_An_Cour!$U:$U,$A$1,BV_Data_An_Cour!$V:$V,$A26)</f>
        <v>4634.0499999999884</v>
      </c>
      <c r="C26" s="15"/>
      <c r="D26" s="20" t="s">
        <v>59</v>
      </c>
      <c r="E26" s="21">
        <f>-SUMIFS(BV_Data_An_Cour!$P:$P,BV_Data_An_Cour!$U:$U,$A$1,BV_Data_An_Cour!$V:$V,$D26)</f>
        <v>0</v>
      </c>
      <c r="F26" s="3"/>
      <c r="G26" s="3"/>
      <c r="H26" s="3"/>
      <c r="I26" s="3"/>
      <c r="J26" s="3"/>
      <c r="K26" s="3"/>
      <c r="L26" s="3"/>
      <c r="M26" s="3"/>
      <c r="N26" s="3"/>
      <c r="O26" s="3"/>
      <c r="P26" s="3"/>
      <c r="Q26" s="3"/>
      <c r="R26" s="3"/>
      <c r="S26" s="3"/>
      <c r="T26" s="3"/>
      <c r="U26" s="3"/>
      <c r="V26" s="3"/>
      <c r="W26" s="3"/>
      <c r="X26" s="3"/>
      <c r="Y26" s="3"/>
    </row>
    <row r="27" spans="1:25" ht="15.75" customHeight="1">
      <c r="A27" s="20" t="s">
        <v>59</v>
      </c>
      <c r="B27" s="21">
        <f>SUMIFS(BV_Data_An_Cour!$P:$P,BV_Data_An_Cour!$U:$U,$A$1,BV_Data_An_Cour!$V:$V,$A27)</f>
        <v>0</v>
      </c>
      <c r="C27" s="15"/>
      <c r="D27" s="20" t="s">
        <v>59</v>
      </c>
      <c r="E27" s="21">
        <f>-SUMIFS(BV_Data_An_Cour!$P:$P,BV_Data_An_Cour!$U:$U,$A$1,BV_Data_An_Cour!$V:$V,$D27)</f>
        <v>0</v>
      </c>
      <c r="F27" s="3"/>
      <c r="G27" s="3"/>
      <c r="H27" s="3"/>
      <c r="I27" s="3"/>
      <c r="J27" s="3"/>
      <c r="K27" s="3"/>
      <c r="L27" s="3"/>
      <c r="M27" s="3"/>
      <c r="N27" s="3"/>
      <c r="O27" s="3"/>
      <c r="P27" s="3"/>
      <c r="Q27" s="3"/>
      <c r="R27" s="3"/>
      <c r="S27" s="3"/>
      <c r="T27" s="3"/>
      <c r="U27" s="3"/>
      <c r="V27" s="3"/>
      <c r="W27" s="3"/>
      <c r="X27" s="3"/>
      <c r="Y27" s="3"/>
    </row>
    <row r="28" spans="1:25" ht="15.75" customHeight="1">
      <c r="A28" s="20" t="s">
        <v>59</v>
      </c>
      <c r="B28" s="21">
        <f>SUMIFS(BV_Data_An_Cour!$P:$P,BV_Data_An_Cour!$U:$U,$A$1,BV_Data_An_Cour!$V:$V,$A28)</f>
        <v>0</v>
      </c>
      <c r="C28" s="15"/>
      <c r="D28" s="17" t="s">
        <v>61</v>
      </c>
      <c r="E28" s="18">
        <f>SUM(E22:E24)</f>
        <v>752366.86999999988</v>
      </c>
      <c r="F28" s="3"/>
      <c r="G28" s="3"/>
      <c r="H28" s="3"/>
      <c r="I28" s="3"/>
      <c r="J28" s="3"/>
      <c r="K28" s="3"/>
      <c r="L28" s="3"/>
      <c r="M28" s="3"/>
      <c r="N28" s="3"/>
      <c r="O28" s="3"/>
      <c r="P28" s="3"/>
      <c r="Q28" s="3"/>
      <c r="R28" s="3"/>
      <c r="S28" s="3"/>
      <c r="T28" s="3"/>
      <c r="U28" s="3"/>
      <c r="V28" s="3"/>
      <c r="W28" s="3"/>
      <c r="X28" s="3"/>
      <c r="Y28" s="3"/>
    </row>
    <row r="29" spans="1:25" ht="15.75" customHeight="1">
      <c r="A29" s="20" t="s">
        <v>59</v>
      </c>
      <c r="B29" s="21">
        <f>SUMIFS(BV_Data_An_Cour!$P:$P,BV_Data_An_Cour!$U:$U,$A$1,BV_Data_An_Cour!$V:$V,$A29)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62</v>
      </c>
      <c r="B30" s="18">
        <f>SUM(B23:B29)</f>
        <v>-1624.4700000000121</v>
      </c>
      <c r="C30" s="19"/>
      <c r="D30" s="23" t="s">
        <v>63</v>
      </c>
      <c r="E30" s="24">
        <f>+E5+E7+E16+E20+E28</f>
        <v>7099412.6299999999</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64</v>
      </c>
      <c r="B32" s="24">
        <f>+B6+B16+B21+B30</f>
        <v>8132855.8600000003</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65</v>
      </c>
      <c r="E33" s="28">
        <f>-SUMIFS(BV_Data_An_Cour!$P:$P,BV_Data_An_Cour!$U:$U,$A$1,BV_Data_An_Cour!$V:$V,$D33)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66</v>
      </c>
      <c r="B35" s="21">
        <f>SUMIFS(BV_Data_An_Cour!$P:$P,BV_Data_An_Cour!$U:$U,$A$1,BV_Data_An_Cour!$V:$V,$A35)</f>
        <v>0</v>
      </c>
      <c r="C35" s="15"/>
      <c r="D35" s="20" t="s">
        <v>67</v>
      </c>
      <c r="E35" s="21">
        <f>-SUMIFS(BV_Data_An_Cour!$P:$P,BV_Data_An_Cour!$U:$U,$A$1,BV_Data_An_Cour!$V:$V,$D35)</f>
        <v>0</v>
      </c>
      <c r="F35" s="3"/>
      <c r="G35" s="3"/>
      <c r="H35" s="3"/>
      <c r="I35" s="3"/>
      <c r="J35" s="3"/>
      <c r="K35" s="3"/>
      <c r="L35" s="3"/>
      <c r="M35" s="3"/>
      <c r="N35" s="3"/>
      <c r="O35" s="3"/>
      <c r="P35" s="3"/>
      <c r="Q35" s="3"/>
      <c r="R35" s="3"/>
      <c r="S35" s="3"/>
      <c r="T35" s="3"/>
      <c r="U35" s="3"/>
      <c r="V35" s="3"/>
      <c r="W35" s="3"/>
      <c r="X35" s="3"/>
      <c r="Y35" s="3"/>
    </row>
    <row r="36" spans="1:25" ht="15.75" customHeight="1">
      <c r="A36" s="20" t="s">
        <v>68</v>
      </c>
      <c r="B36" s="21">
        <f>SUMIFS(BV_Data_An_Cour!$P:$P,BV_Data_An_Cour!$U:$U,$A$1,BV_Data_An_Cour!$V:$V,$A36)</f>
        <v>0</v>
      </c>
      <c r="C36" s="15"/>
      <c r="D36" s="20" t="s">
        <v>69</v>
      </c>
      <c r="E36" s="21">
        <f>-SUMIFS(BV_Data_An_Cour!$P:$P,BV_Data_An_Cour!$U:$U,$A$1,BV_Data_An_Cour!$V:$V,$D36)</f>
        <v>0</v>
      </c>
      <c r="F36" s="3"/>
      <c r="G36" s="3"/>
      <c r="H36" s="3"/>
      <c r="I36" s="3"/>
      <c r="J36" s="3"/>
      <c r="K36" s="3"/>
      <c r="L36" s="3"/>
      <c r="M36" s="3"/>
      <c r="N36" s="3"/>
      <c r="O36" s="3"/>
      <c r="P36" s="3"/>
      <c r="Q36" s="3"/>
      <c r="R36" s="3"/>
      <c r="S36" s="3"/>
      <c r="T36" s="3"/>
      <c r="U36" s="3"/>
      <c r="V36" s="3"/>
      <c r="W36" s="3"/>
      <c r="X36" s="3"/>
      <c r="Y36" s="3"/>
    </row>
    <row r="37" spans="1:25" ht="15.75" customHeight="1">
      <c r="A37" s="20" t="s">
        <v>70</v>
      </c>
      <c r="B37" s="21">
        <f>SUMIFS(BV_Data_An_Cour!$P:$P,BV_Data_An_Cour!$U:$U,$A$1,BV_Data_An_Cour!$V:$V,$A37)</f>
        <v>10004455.280000001</v>
      </c>
      <c r="C37" s="15"/>
      <c r="D37" s="20" t="s">
        <v>71</v>
      </c>
      <c r="E37" s="21">
        <f>-SUMIFS(BV_Data_An_Cour!$P:$P,BV_Data_An_Cour!$U:$U,$A$1,BV_Data_An_Cour!$V:$V,$D37)</f>
        <v>0</v>
      </c>
      <c r="F37" s="3"/>
      <c r="G37" s="3"/>
      <c r="H37" s="3"/>
      <c r="I37" s="3"/>
      <c r="J37" s="3"/>
      <c r="K37" s="3"/>
      <c r="L37" s="3"/>
      <c r="M37" s="3"/>
      <c r="N37" s="3"/>
      <c r="O37" s="3"/>
      <c r="P37" s="3"/>
      <c r="Q37" s="3"/>
      <c r="R37" s="3"/>
      <c r="S37" s="3"/>
      <c r="T37" s="3"/>
      <c r="U37" s="3"/>
      <c r="V37" s="3"/>
      <c r="W37" s="3"/>
      <c r="X37" s="3"/>
      <c r="Y37" s="3"/>
    </row>
    <row r="38" spans="1:25" ht="15.75" customHeight="1">
      <c r="A38" s="20" t="s">
        <v>72</v>
      </c>
      <c r="B38" s="21">
        <f>SUMIFS(BV_Data_An_Cour!$P:$P,BV_Data_An_Cour!$U:$U,$A$1,BV_Data_An_Cour!$V:$V,$A38)</f>
        <v>0</v>
      </c>
      <c r="C38" s="15"/>
      <c r="D38" s="20" t="s">
        <v>73</v>
      </c>
      <c r="E38" s="21">
        <f>-SUMIFS(BV_Data_An_Cour!$P:$P,BV_Data_An_Cour!$U:$U,$A$1,BV_Data_An_Cour!$V:$V,$D38)</f>
        <v>0</v>
      </c>
      <c r="F38" s="3"/>
      <c r="G38" s="29"/>
      <c r="H38" s="3"/>
      <c r="I38" s="3"/>
      <c r="J38" s="3"/>
      <c r="K38" s="3"/>
      <c r="L38" s="3"/>
      <c r="M38" s="3"/>
      <c r="N38" s="3"/>
      <c r="O38" s="3"/>
      <c r="P38" s="3"/>
      <c r="Q38" s="3"/>
      <c r="R38" s="3"/>
      <c r="S38" s="3"/>
      <c r="T38" s="3"/>
      <c r="U38" s="3"/>
      <c r="V38" s="3"/>
      <c r="W38" s="3"/>
      <c r="X38" s="3"/>
      <c r="Y38" s="3"/>
    </row>
    <row r="39" spans="1:25" ht="15.75" customHeight="1">
      <c r="A39" s="20" t="s">
        <v>74</v>
      </c>
      <c r="B39" s="21">
        <f>SUMIFS(BV_Data_An_Cour!$P:$P,BV_Data_An_Cour!$U:$U,$A$1,BV_Data_An_Cour!$V:$V,$A39)</f>
        <v>385618.81999999995</v>
      </c>
      <c r="C39" s="15"/>
      <c r="D39" s="20" t="s">
        <v>59</v>
      </c>
      <c r="E39" s="21">
        <f>-SUMIFS(BV_Data_An_Cour!$P:$P,BV_Data_An_Cour!$U:$U,$A$1,BV_Data_An_Cour!$V:$V,$D39)</f>
        <v>0</v>
      </c>
      <c r="F39" s="3"/>
      <c r="G39" s="3"/>
      <c r="H39" s="3"/>
      <c r="I39" s="3"/>
      <c r="J39" s="3"/>
      <c r="K39" s="3"/>
      <c r="L39" s="3"/>
      <c r="M39" s="3"/>
      <c r="N39" s="3"/>
      <c r="O39" s="3"/>
      <c r="P39" s="3"/>
      <c r="Q39" s="3"/>
      <c r="R39" s="3"/>
      <c r="S39" s="3"/>
      <c r="T39" s="3"/>
      <c r="U39" s="3"/>
      <c r="V39" s="3"/>
      <c r="W39" s="3"/>
      <c r="X39" s="3"/>
      <c r="Y39" s="3"/>
    </row>
    <row r="40" spans="1:25" ht="15.75" customHeight="1">
      <c r="A40" s="20" t="s">
        <v>75</v>
      </c>
      <c r="B40" s="21">
        <f>SUMIFS(BV_Data_An_Cour!$P:$P,BV_Data_An_Cour!$U:$U,$A$1,BV_Data_An_Cour!$V:$V,$A40)</f>
        <v>22494.809999999998</v>
      </c>
      <c r="C40" s="15"/>
      <c r="D40" s="20" t="s">
        <v>59</v>
      </c>
      <c r="E40" s="21">
        <f>-SUMIFS(BV_Data_An_Cour!$P:$P,BV_Data_An_Cour!$U:$U,$A$1,BV_Data_An_Cour!$V:$V,$D40)</f>
        <v>0</v>
      </c>
      <c r="F40" s="3"/>
      <c r="G40" s="3"/>
      <c r="H40" s="3"/>
      <c r="I40" s="3"/>
      <c r="J40" s="3"/>
      <c r="K40" s="3"/>
      <c r="L40" s="3"/>
      <c r="M40" s="3"/>
      <c r="N40" s="3"/>
      <c r="O40" s="3"/>
      <c r="P40" s="3"/>
      <c r="Q40" s="3"/>
      <c r="R40" s="3"/>
      <c r="S40" s="3"/>
      <c r="T40" s="3"/>
      <c r="U40" s="3"/>
      <c r="V40" s="3"/>
      <c r="W40" s="3"/>
      <c r="X40" s="3"/>
      <c r="Y40" s="3"/>
    </row>
    <row r="41" spans="1:25" ht="15.75" customHeight="1">
      <c r="A41" s="20" t="s">
        <v>76</v>
      </c>
      <c r="B41" s="21">
        <f>SUMIFS(BV_Data_An_Cour!$P:$P,BV_Data_An_Cour!$U:$U,$A$1,BV_Data_An_Cour!$V:$V,$A41)</f>
        <v>60720.809999999983</v>
      </c>
      <c r="C41" s="15"/>
      <c r="D41" s="20" t="s">
        <v>59</v>
      </c>
      <c r="E41" s="21">
        <f>-SUMIFS(BV_Data_An_Cour!$P:$P,BV_Data_An_Cour!$U:$U,$A$1,BV_Data_An_Cour!$V:$V,$D41)</f>
        <v>0</v>
      </c>
      <c r="F41" s="3"/>
      <c r="G41" s="3"/>
      <c r="H41" s="3"/>
      <c r="I41" s="3"/>
      <c r="J41" s="3"/>
      <c r="K41" s="3"/>
      <c r="L41" s="3"/>
      <c r="M41" s="3"/>
      <c r="N41" s="3"/>
      <c r="O41" s="3"/>
      <c r="P41" s="3"/>
      <c r="Q41" s="3"/>
      <c r="R41" s="3"/>
      <c r="S41" s="3"/>
      <c r="T41" s="3"/>
      <c r="U41" s="3"/>
      <c r="V41" s="3"/>
      <c r="W41" s="3"/>
      <c r="X41" s="3"/>
      <c r="Y41" s="3"/>
    </row>
    <row r="42" spans="1:25" ht="15.75" customHeight="1">
      <c r="A42" s="20" t="s">
        <v>77</v>
      </c>
      <c r="B42" s="21">
        <f>SUMIFS(BV_Data_An_Cour!$P:$P,BV_Data_An_Cour!$U:$U,$A$1,BV_Data_An_Cour!$V:$V,$A42)</f>
        <v>0</v>
      </c>
      <c r="C42" s="15"/>
      <c r="D42" s="23" t="s">
        <v>78</v>
      </c>
      <c r="E42" s="24">
        <f>+SUM(E33:E38)</f>
        <v>0</v>
      </c>
      <c r="F42" s="3"/>
      <c r="G42" s="3"/>
      <c r="H42" s="3"/>
      <c r="I42" s="3"/>
      <c r="J42" s="3"/>
      <c r="K42" s="3"/>
      <c r="L42" s="3"/>
      <c r="M42" s="3"/>
      <c r="N42" s="3"/>
      <c r="O42" s="3"/>
      <c r="P42" s="3"/>
      <c r="Q42" s="3"/>
      <c r="R42" s="3"/>
      <c r="S42" s="3"/>
      <c r="T42" s="3"/>
      <c r="U42" s="3"/>
      <c r="V42" s="3"/>
      <c r="W42" s="3"/>
      <c r="X42" s="3"/>
      <c r="Y42" s="3"/>
    </row>
    <row r="43" spans="1:25" ht="15.75" customHeight="1">
      <c r="A43" s="20" t="s">
        <v>79</v>
      </c>
      <c r="B43" s="21">
        <f>SUMIFS(BV_Data_An_Cour!$P:$P,BV_Data_An_Cour!$U:$U,$A$1,BV_Data_An_Cour!$V:$V,$A43)</f>
        <v>1012.0100000000093</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80</v>
      </c>
      <c r="B44" s="18">
        <f>SUM(B35:B43)</f>
        <v>10474301.730000002</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81</v>
      </c>
      <c r="E45" s="24">
        <f>+E42+E30</f>
        <v>7099412.6299999999</v>
      </c>
      <c r="F45" s="3"/>
      <c r="G45" s="3"/>
      <c r="H45" s="3"/>
      <c r="I45" s="3"/>
      <c r="J45" s="3"/>
      <c r="K45" s="3"/>
      <c r="L45" s="3"/>
      <c r="M45" s="3"/>
      <c r="N45" s="3"/>
      <c r="O45" s="3"/>
      <c r="P45" s="3"/>
      <c r="Q45" s="3"/>
      <c r="R45" s="3"/>
      <c r="S45" s="3"/>
      <c r="T45" s="3"/>
      <c r="U45" s="3"/>
      <c r="V45" s="3"/>
      <c r="W45" s="3"/>
      <c r="X45" s="3"/>
      <c r="Y45" s="3"/>
    </row>
    <row r="46" spans="1:25" ht="15.75" customHeight="1">
      <c r="A46" s="17" t="s">
        <v>82</v>
      </c>
      <c r="B46" s="18">
        <f>SUMIFS(BV_Data_An_Cour!$P:$P,BV_Data_An_Cour!$U:$U,$A$1,BV_Data_An_Cour!$V:$V,$A46)</f>
        <v>1223600</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83</v>
      </c>
      <c r="B48" s="18">
        <f>SUMIFS(BV_Data_An_Cour!$P:$P,BV_Data_An_Cour!$U:$U,$A$1,BV_Data_An_Cour!$V:$V,$A48)</f>
        <v>0</v>
      </c>
      <c r="C48" s="19"/>
      <c r="D48" s="20" t="s">
        <v>84</v>
      </c>
      <c r="E48" s="21">
        <f>-SUMIFS(BV_Data_An_Cour!$P:$P,BV_Data_An_Cour!$U:$U,$A$1,BV_Data_An_Cour!$V:$V,$D48)</f>
        <v>2697547.5</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85</v>
      </c>
      <c r="E49" s="21">
        <f>-SUMIFS(BV_Data_An_Cour!$P:$P,BV_Data_An_Cour!$U:$U,$A$1,BV_Data_An_Cour!$V:$V,$D49)</f>
        <v>1723617</v>
      </c>
      <c r="F49" s="3"/>
      <c r="G49" s="3"/>
      <c r="H49" s="3"/>
      <c r="I49" s="3"/>
      <c r="J49" s="3"/>
      <c r="K49" s="3"/>
      <c r="L49" s="3"/>
      <c r="M49" s="3"/>
      <c r="N49" s="3"/>
      <c r="O49" s="3"/>
      <c r="P49" s="3"/>
      <c r="Q49" s="3"/>
      <c r="R49" s="3"/>
      <c r="S49" s="3"/>
      <c r="T49" s="3"/>
      <c r="U49" s="3"/>
      <c r="V49" s="3"/>
      <c r="W49" s="3"/>
      <c r="X49" s="3"/>
      <c r="Y49" s="3"/>
    </row>
    <row r="50" spans="1:25" ht="15.75" customHeight="1">
      <c r="A50" s="20" t="s">
        <v>59</v>
      </c>
      <c r="B50" s="21">
        <f>SUMIFS(BV_Data_An_Cour!$P:$P,BV_Data_An_Cour!$U:$U,$A$1,BV_Data_An_Cour!$V:$V,$A50)</f>
        <v>0</v>
      </c>
      <c r="C50" s="15"/>
      <c r="D50" s="20" t="s">
        <v>86</v>
      </c>
      <c r="E50" s="21">
        <f>-SUMIFS(BV_Data_An_Cour!$P:$P,BV_Data_An_Cour!$U:$U,$A$1,BV_Data_An_Cour!$V:$V,$D50)+Print_AAD!AF498</f>
        <v>8310180.46</v>
      </c>
      <c r="F50" s="3"/>
      <c r="G50" s="3"/>
      <c r="H50" s="3"/>
      <c r="I50" s="3"/>
      <c r="J50" s="3"/>
      <c r="K50" s="3"/>
      <c r="L50" s="3"/>
      <c r="M50" s="3"/>
      <c r="N50" s="3"/>
      <c r="O50" s="3"/>
      <c r="P50" s="3"/>
      <c r="Q50" s="3"/>
      <c r="R50" s="3"/>
      <c r="S50" s="3"/>
      <c r="T50" s="3"/>
      <c r="U50" s="3"/>
      <c r="V50" s="3"/>
      <c r="W50" s="3"/>
      <c r="X50" s="3"/>
      <c r="Y50" s="3"/>
    </row>
    <row r="51" spans="1:25" ht="15.75" customHeight="1">
      <c r="A51" s="20" t="s">
        <v>59</v>
      </c>
      <c r="B51" s="21">
        <f>SUMIFS(BV_Data_An_Cour!$P:$P,BV_Data_An_Cour!$U:$U,$A$1,BV_Data_An_Cour!$V:$V,$A51)</f>
        <v>0</v>
      </c>
      <c r="C51" s="15"/>
      <c r="D51" s="20" t="s">
        <v>87</v>
      </c>
      <c r="E51" s="21">
        <f>-SUMIFS(BV_Data_An_Cour!$P:$P,BV_Data_An_Cour!$U:$U,$A$1,BV_Data_An_Cour!$V:$V,$D51)</f>
        <v>0</v>
      </c>
      <c r="F51" s="3"/>
      <c r="G51" s="3"/>
      <c r="H51" s="3"/>
      <c r="I51" s="3"/>
      <c r="J51" s="3"/>
      <c r="K51" s="3"/>
      <c r="L51" s="3"/>
      <c r="M51" s="3"/>
      <c r="N51" s="3"/>
      <c r="O51" s="3"/>
      <c r="P51" s="3"/>
      <c r="Q51" s="3"/>
      <c r="R51" s="3"/>
      <c r="S51" s="3"/>
      <c r="T51" s="3"/>
      <c r="U51" s="3"/>
      <c r="V51" s="3"/>
      <c r="W51" s="3"/>
      <c r="X51" s="3"/>
      <c r="Y51" s="3"/>
    </row>
    <row r="52" spans="1:25" ht="15.75" customHeight="1">
      <c r="A52" s="20" t="s">
        <v>59</v>
      </c>
      <c r="B52" s="21">
        <f>SUMIFS(BV_Data_An_Cour!$P:$P,BV_Data_An_Cour!$U:$U,$A$1,BV_Data_An_Cour!$V:$V,$A52)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88</v>
      </c>
      <c r="B53" s="24">
        <f>+B44+B48+B46</f>
        <v>11697901.730000002</v>
      </c>
      <c r="C53" s="19"/>
      <c r="D53" s="23" t="s">
        <v>89</v>
      </c>
      <c r="E53" s="24">
        <f>SUM(E48:E51)</f>
        <v>12731344.960000001</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90</v>
      </c>
      <c r="B56" s="24">
        <f>+B32+B53</f>
        <v>19830757.590000004</v>
      </c>
      <c r="C56" s="19"/>
      <c r="D56" s="23" t="s">
        <v>91</v>
      </c>
      <c r="E56" s="24">
        <f>+E53+E45</f>
        <v>19830757.59</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1"/>
  <sheetViews>
    <sheetView topLeftCell="A10" zoomScale="80" zoomScaleNormal="80" workbookViewId="0">
      <selection activeCell="C505" sqref="C505"/>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972" t="str">
        <f>"Budget 2024 Mensuel Révisé"&amp;" "&amp;Parametres!$B$1</f>
        <v>Budget 2024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X</v>
      </c>
      <c r="S2" s="35" t="str">
        <f>+IF(Parametres!$B$3=R$6,"O","")</f>
        <v>O</v>
      </c>
      <c r="T2" s="35" t="str">
        <f>+IF(Parametres!$B$3=R$6,"U","")</f>
        <v>U</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3932</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0.25">
      <c r="A6" s="39"/>
      <c r="B6" s="40" t="s">
        <v>3</v>
      </c>
      <c r="C6" s="969">
        <v>2025</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25">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96</v>
      </c>
      <c r="C8" s="735"/>
      <c r="D8" s="736"/>
      <c r="E8" s="737">
        <v>42012201.801665038</v>
      </c>
      <c r="F8" s="735"/>
      <c r="G8" s="736"/>
      <c r="H8" s="738">
        <v>2738793.1171082277</v>
      </c>
      <c r="I8" s="735"/>
      <c r="J8" s="736"/>
      <c r="K8" s="738">
        <v>2857429.7225132226</v>
      </c>
      <c r="L8" s="735"/>
      <c r="M8" s="736"/>
      <c r="N8" s="738">
        <v>3142915.1351248776</v>
      </c>
      <c r="O8" s="735"/>
      <c r="P8" s="736"/>
      <c r="Q8" s="738">
        <v>3150915.1351248776</v>
      </c>
      <c r="R8" s="735"/>
      <c r="S8" s="736"/>
      <c r="T8" s="738">
        <v>3234339.5387282078</v>
      </c>
      <c r="U8" s="735"/>
      <c r="V8" s="736"/>
      <c r="W8" s="738">
        <v>3782098.1621498531</v>
      </c>
      <c r="X8" s="735"/>
      <c r="Y8" s="736"/>
      <c r="Z8" s="738">
        <v>3782098.1621498531</v>
      </c>
      <c r="AA8" s="735"/>
      <c r="AB8" s="736"/>
      <c r="AC8" s="738">
        <v>4621342.1981831538</v>
      </c>
      <c r="AD8" s="735"/>
      <c r="AE8" s="736"/>
      <c r="AF8" s="738">
        <v>3359976.1441332032</v>
      </c>
      <c r="AG8" s="735"/>
      <c r="AH8" s="736"/>
      <c r="AI8" s="738">
        <v>3781098.1621498531</v>
      </c>
      <c r="AJ8" s="735"/>
      <c r="AK8" s="736"/>
      <c r="AL8" s="738">
        <v>4620342.1981831538</v>
      </c>
      <c r="AM8" s="735"/>
      <c r="AN8" s="736"/>
      <c r="AO8" s="738">
        <v>2940854.1261165529</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97</v>
      </c>
      <c r="C9" s="739">
        <v>206</v>
      </c>
      <c r="D9" s="740">
        <v>1953.6491683802797</v>
      </c>
      <c r="E9" s="741">
        <v>402451.72868633759</v>
      </c>
      <c r="F9" s="742">
        <v>15</v>
      </c>
      <c r="G9" s="740">
        <v>1953.6491683802794</v>
      </c>
      <c r="H9" s="743">
        <v>29304.737525704193</v>
      </c>
      <c r="I9" s="742">
        <v>14</v>
      </c>
      <c r="J9" s="740">
        <v>1953.6491683802797</v>
      </c>
      <c r="K9" s="743">
        <v>27351.088357323915</v>
      </c>
      <c r="L9" s="742">
        <v>13</v>
      </c>
      <c r="M9" s="740">
        <v>1953.6491683802799</v>
      </c>
      <c r="N9" s="743">
        <v>25397.439188943637</v>
      </c>
      <c r="O9" s="742">
        <v>15</v>
      </c>
      <c r="P9" s="740">
        <v>1953.6491683802794</v>
      </c>
      <c r="Q9" s="743">
        <v>29304.737525704193</v>
      </c>
      <c r="R9" s="742">
        <v>16</v>
      </c>
      <c r="S9" s="740">
        <v>1953.6491683802797</v>
      </c>
      <c r="T9" s="743">
        <v>31258.386694084475</v>
      </c>
      <c r="U9" s="742">
        <v>19</v>
      </c>
      <c r="V9" s="740">
        <v>1953.6491683802797</v>
      </c>
      <c r="W9" s="743">
        <v>37119.334199225312</v>
      </c>
      <c r="X9" s="742">
        <v>19</v>
      </c>
      <c r="Y9" s="740">
        <v>1953.6491683802797</v>
      </c>
      <c r="Z9" s="743">
        <v>37119.334199225312</v>
      </c>
      <c r="AA9" s="742">
        <v>23</v>
      </c>
      <c r="AB9" s="740">
        <v>1953.6491683802797</v>
      </c>
      <c r="AC9" s="743">
        <v>44933.93087274643</v>
      </c>
      <c r="AD9" s="742">
        <v>16</v>
      </c>
      <c r="AE9" s="740">
        <v>1953.6491683802797</v>
      </c>
      <c r="AF9" s="743">
        <v>31258.386694084475</v>
      </c>
      <c r="AG9" s="742">
        <v>19</v>
      </c>
      <c r="AH9" s="740">
        <v>1953.6491683802797</v>
      </c>
      <c r="AI9" s="743">
        <v>37119.334199225312</v>
      </c>
      <c r="AJ9" s="742">
        <v>23</v>
      </c>
      <c r="AK9" s="740">
        <v>1953.6491683802797</v>
      </c>
      <c r="AL9" s="743">
        <v>44933.93087274643</v>
      </c>
      <c r="AM9" s="742">
        <v>14</v>
      </c>
      <c r="AN9" s="740">
        <v>1953.6491683802797</v>
      </c>
      <c r="AO9" s="743">
        <v>27351.088357323915</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98</v>
      </c>
      <c r="C10" s="739">
        <v>555</v>
      </c>
      <c r="D10" s="740">
        <v>2435.9046775963693</v>
      </c>
      <c r="E10" s="741">
        <v>1351927.096065985</v>
      </c>
      <c r="F10" s="742">
        <v>42</v>
      </c>
      <c r="G10" s="740">
        <v>2435.9046775963693</v>
      </c>
      <c r="H10" s="743">
        <v>102307.99645904751</v>
      </c>
      <c r="I10" s="742">
        <v>38</v>
      </c>
      <c r="J10" s="740">
        <v>2435.9046775963693</v>
      </c>
      <c r="K10" s="743">
        <v>92564.377748662038</v>
      </c>
      <c r="L10" s="742">
        <v>36</v>
      </c>
      <c r="M10" s="740">
        <v>2435.9046775963693</v>
      </c>
      <c r="N10" s="743">
        <v>87692.568393469293</v>
      </c>
      <c r="O10" s="742">
        <v>42</v>
      </c>
      <c r="P10" s="740">
        <v>2435.9046775963693</v>
      </c>
      <c r="Q10" s="743">
        <v>102307.99645904751</v>
      </c>
      <c r="R10" s="742">
        <v>43</v>
      </c>
      <c r="S10" s="740">
        <v>2435.9046775963693</v>
      </c>
      <c r="T10" s="743">
        <v>104743.90113664388</v>
      </c>
      <c r="U10" s="742">
        <v>50</v>
      </c>
      <c r="V10" s="740">
        <v>2435.9046775963693</v>
      </c>
      <c r="W10" s="743">
        <v>121795.23387981846</v>
      </c>
      <c r="X10" s="742">
        <v>50</v>
      </c>
      <c r="Y10" s="740">
        <v>2435.9046775963693</v>
      </c>
      <c r="Z10" s="743">
        <v>121795.23387981846</v>
      </c>
      <c r="AA10" s="742">
        <v>61</v>
      </c>
      <c r="AB10" s="740">
        <v>2435.9046775963693</v>
      </c>
      <c r="AC10" s="743">
        <v>148590.18533337853</v>
      </c>
      <c r="AD10" s="742">
        <v>44</v>
      </c>
      <c r="AE10" s="740">
        <v>2435.9046775963693</v>
      </c>
      <c r="AF10" s="743">
        <v>107179.80581424024</v>
      </c>
      <c r="AG10" s="742">
        <v>50</v>
      </c>
      <c r="AH10" s="740">
        <v>2435.9046775963693</v>
      </c>
      <c r="AI10" s="743">
        <v>121795.23387981846</v>
      </c>
      <c r="AJ10" s="742">
        <v>60</v>
      </c>
      <c r="AK10" s="740">
        <v>2435.9046775963693</v>
      </c>
      <c r="AL10" s="743">
        <v>146154.28065578215</v>
      </c>
      <c r="AM10" s="742">
        <v>39</v>
      </c>
      <c r="AN10" s="740">
        <v>2435.9046775963693</v>
      </c>
      <c r="AO10" s="743">
        <v>95000.282426258404</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101</v>
      </c>
      <c r="C16" s="744">
        <v>761</v>
      </c>
      <c r="D16" s="745">
        <v>2305.3598222763767</v>
      </c>
      <c r="E16" s="746">
        <v>1754378.8247523226</v>
      </c>
      <c r="F16" s="744">
        <v>57</v>
      </c>
      <c r="G16" s="745">
        <v>2308.9953330658195</v>
      </c>
      <c r="H16" s="746">
        <v>131612.73398475171</v>
      </c>
      <c r="I16" s="744">
        <v>52</v>
      </c>
      <c r="J16" s="745">
        <v>2306.066655884345</v>
      </c>
      <c r="K16" s="746">
        <v>119915.46610598595</v>
      </c>
      <c r="L16" s="744">
        <v>49</v>
      </c>
      <c r="M16" s="745">
        <v>2307.9593384165905</v>
      </c>
      <c r="N16" s="746">
        <v>113090.00758241293</v>
      </c>
      <c r="O16" s="744">
        <v>57</v>
      </c>
      <c r="P16" s="745">
        <v>2308.9953330658195</v>
      </c>
      <c r="Q16" s="746">
        <v>131612.73398475171</v>
      </c>
      <c r="R16" s="744">
        <v>59</v>
      </c>
      <c r="S16" s="745">
        <v>2305.1235225547175</v>
      </c>
      <c r="T16" s="746">
        <v>136002.28783072834</v>
      </c>
      <c r="U16" s="744">
        <v>69</v>
      </c>
      <c r="V16" s="745">
        <v>2303.109682304982</v>
      </c>
      <c r="W16" s="746">
        <v>158914.56807904376</v>
      </c>
      <c r="X16" s="744">
        <v>69</v>
      </c>
      <c r="Y16" s="745">
        <v>2303.109682304982</v>
      </c>
      <c r="Z16" s="746">
        <v>158914.56807904376</v>
      </c>
      <c r="AA16" s="744">
        <v>84</v>
      </c>
      <c r="AB16" s="745">
        <v>2303.8585262633924</v>
      </c>
      <c r="AC16" s="746">
        <v>193524.11620612495</v>
      </c>
      <c r="AD16" s="744">
        <v>60</v>
      </c>
      <c r="AE16" s="745">
        <v>2307.3032084720785</v>
      </c>
      <c r="AF16" s="746">
        <v>138438.19250832472</v>
      </c>
      <c r="AG16" s="744">
        <v>69</v>
      </c>
      <c r="AH16" s="745">
        <v>2303.109682304982</v>
      </c>
      <c r="AI16" s="746">
        <v>158914.56807904376</v>
      </c>
      <c r="AJ16" s="744">
        <v>83</v>
      </c>
      <c r="AK16" s="745">
        <v>2302.2676087774526</v>
      </c>
      <c r="AL16" s="746">
        <v>191088.21152852857</v>
      </c>
      <c r="AM16" s="744">
        <v>53</v>
      </c>
      <c r="AN16" s="745">
        <v>2308.5164298789118</v>
      </c>
      <c r="AO16" s="746">
        <v>122351.37078358232</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102</v>
      </c>
      <c r="C18" s="749">
        <v>39</v>
      </c>
      <c r="D18" s="750">
        <v>1534.7521433415677</v>
      </c>
      <c r="E18" s="751">
        <v>59855.333590321141</v>
      </c>
      <c r="F18" s="752">
        <v>3</v>
      </c>
      <c r="G18" s="750">
        <v>1534.7521433415677</v>
      </c>
      <c r="H18" s="753">
        <v>4604.2564300247031</v>
      </c>
      <c r="I18" s="752">
        <v>3</v>
      </c>
      <c r="J18" s="750">
        <v>1534.7521433415677</v>
      </c>
      <c r="K18" s="753">
        <v>4604.2564300247031</v>
      </c>
      <c r="L18" s="752">
        <v>3</v>
      </c>
      <c r="M18" s="750">
        <v>1534.7521433415677</v>
      </c>
      <c r="N18" s="753">
        <v>4604.2564300247031</v>
      </c>
      <c r="O18" s="752">
        <v>3</v>
      </c>
      <c r="P18" s="750">
        <v>1534.7521433415677</v>
      </c>
      <c r="Q18" s="753">
        <v>4604.2564300247031</v>
      </c>
      <c r="R18" s="752">
        <v>2</v>
      </c>
      <c r="S18" s="750">
        <v>1534.7521433415677</v>
      </c>
      <c r="T18" s="753">
        <v>3069.5042866831354</v>
      </c>
      <c r="U18" s="752">
        <v>4</v>
      </c>
      <c r="V18" s="750">
        <v>1534.7521433415677</v>
      </c>
      <c r="W18" s="753">
        <v>6139.0085733662709</v>
      </c>
      <c r="X18" s="752">
        <v>4</v>
      </c>
      <c r="Y18" s="750">
        <v>1534.7521433415677</v>
      </c>
      <c r="Z18" s="753">
        <v>6139.0085733662709</v>
      </c>
      <c r="AA18" s="752">
        <v>4</v>
      </c>
      <c r="AB18" s="750">
        <v>1534.7521433415677</v>
      </c>
      <c r="AC18" s="753">
        <v>6139.0085733662709</v>
      </c>
      <c r="AD18" s="752">
        <v>3</v>
      </c>
      <c r="AE18" s="750">
        <v>1534.7521433415677</v>
      </c>
      <c r="AF18" s="753">
        <v>4604.2564300247031</v>
      </c>
      <c r="AG18" s="752">
        <v>3</v>
      </c>
      <c r="AH18" s="750">
        <v>1534.7521433415677</v>
      </c>
      <c r="AI18" s="753">
        <v>4604.2564300247031</v>
      </c>
      <c r="AJ18" s="752">
        <v>4</v>
      </c>
      <c r="AK18" s="750">
        <v>1534.7521433415677</v>
      </c>
      <c r="AL18" s="753">
        <v>6139.0085733662709</v>
      </c>
      <c r="AM18" s="752">
        <v>3</v>
      </c>
      <c r="AN18" s="750">
        <v>1534.7521433415677</v>
      </c>
      <c r="AO18" s="753">
        <v>4604.2564300247031</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103</v>
      </c>
      <c r="C20" s="739">
        <v>20</v>
      </c>
      <c r="D20" s="740">
        <v>2393.8521192147823</v>
      </c>
      <c r="E20" s="741">
        <v>47877.042384295644</v>
      </c>
      <c r="F20" s="742">
        <v>1</v>
      </c>
      <c r="G20" s="740">
        <v>2393.8521192147828</v>
      </c>
      <c r="H20" s="743">
        <v>2393.8521192147828</v>
      </c>
      <c r="I20" s="742">
        <v>1</v>
      </c>
      <c r="J20" s="740">
        <v>2393.8521192147828</v>
      </c>
      <c r="K20" s="743">
        <v>2393.8521192147828</v>
      </c>
      <c r="L20" s="742">
        <v>1</v>
      </c>
      <c r="M20" s="740">
        <v>2393.8521192147828</v>
      </c>
      <c r="N20" s="743">
        <v>2393.8521192147828</v>
      </c>
      <c r="O20" s="742">
        <v>2</v>
      </c>
      <c r="P20" s="740">
        <v>2393.8521192147828</v>
      </c>
      <c r="Q20" s="743">
        <v>4787.7042384295655</v>
      </c>
      <c r="R20" s="742">
        <v>2</v>
      </c>
      <c r="S20" s="740">
        <v>2393.8521192147828</v>
      </c>
      <c r="T20" s="743">
        <v>4787.7042384295655</v>
      </c>
      <c r="U20" s="742">
        <v>2</v>
      </c>
      <c r="V20" s="740">
        <v>2393.8521192147828</v>
      </c>
      <c r="W20" s="743">
        <v>4787.7042384295655</v>
      </c>
      <c r="X20" s="742">
        <v>2</v>
      </c>
      <c r="Y20" s="740">
        <v>2393.8521192147828</v>
      </c>
      <c r="Z20" s="743">
        <v>4787.7042384295655</v>
      </c>
      <c r="AA20" s="742">
        <v>2</v>
      </c>
      <c r="AB20" s="740">
        <v>2393.8521192147828</v>
      </c>
      <c r="AC20" s="743">
        <v>4787.7042384295655</v>
      </c>
      <c r="AD20" s="742">
        <v>2</v>
      </c>
      <c r="AE20" s="740">
        <v>2393.8521192147828</v>
      </c>
      <c r="AF20" s="743">
        <v>4787.7042384295655</v>
      </c>
      <c r="AG20" s="742">
        <v>2</v>
      </c>
      <c r="AH20" s="740">
        <v>2393.8521192147828</v>
      </c>
      <c r="AI20" s="743">
        <v>4787.7042384295655</v>
      </c>
      <c r="AJ20" s="742">
        <v>2</v>
      </c>
      <c r="AK20" s="740">
        <v>2393.8521192147828</v>
      </c>
      <c r="AL20" s="743">
        <v>4787.7042384295655</v>
      </c>
      <c r="AM20" s="742">
        <v>1</v>
      </c>
      <c r="AN20" s="740">
        <v>2393.8521192147828</v>
      </c>
      <c r="AO20" s="743">
        <v>2393.8521192147828</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85000</v>
      </c>
      <c r="F22" s="739"/>
      <c r="G22" s="740"/>
      <c r="H22" s="743">
        <v>5525</v>
      </c>
      <c r="I22" s="739"/>
      <c r="J22" s="740"/>
      <c r="K22" s="743">
        <v>5780</v>
      </c>
      <c r="L22" s="739"/>
      <c r="M22" s="740"/>
      <c r="N22" s="743">
        <v>6375</v>
      </c>
      <c r="O22" s="739"/>
      <c r="P22" s="740"/>
      <c r="Q22" s="743">
        <v>6375</v>
      </c>
      <c r="R22" s="739"/>
      <c r="S22" s="740"/>
      <c r="T22" s="743">
        <v>6545</v>
      </c>
      <c r="U22" s="739"/>
      <c r="V22" s="740"/>
      <c r="W22" s="743">
        <v>7650</v>
      </c>
      <c r="X22" s="739"/>
      <c r="Y22" s="740"/>
      <c r="Z22" s="743">
        <v>7650</v>
      </c>
      <c r="AA22" s="739"/>
      <c r="AB22" s="740"/>
      <c r="AC22" s="743">
        <v>9350</v>
      </c>
      <c r="AD22" s="739"/>
      <c r="AE22" s="740"/>
      <c r="AF22" s="743">
        <v>6800</v>
      </c>
      <c r="AG22" s="739"/>
      <c r="AH22" s="740"/>
      <c r="AI22" s="743">
        <v>7650</v>
      </c>
      <c r="AJ22" s="739"/>
      <c r="AK22" s="740"/>
      <c r="AL22" s="743">
        <v>9350</v>
      </c>
      <c r="AM22" s="739"/>
      <c r="AN22" s="740"/>
      <c r="AO22" s="743">
        <v>5950.0000000000009</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50</v>
      </c>
      <c r="E24" s="741">
        <v>40000</v>
      </c>
      <c r="F24" s="742"/>
      <c r="G24" s="740">
        <v>50</v>
      </c>
      <c r="H24" s="743">
        <v>3000</v>
      </c>
      <c r="I24" s="742"/>
      <c r="J24" s="740">
        <v>50</v>
      </c>
      <c r="K24" s="743">
        <v>2750</v>
      </c>
      <c r="L24" s="742"/>
      <c r="M24" s="740">
        <v>50</v>
      </c>
      <c r="N24" s="743">
        <v>2600</v>
      </c>
      <c r="O24" s="742"/>
      <c r="P24" s="740">
        <v>50</v>
      </c>
      <c r="Q24" s="743">
        <v>3000</v>
      </c>
      <c r="R24" s="742"/>
      <c r="S24" s="740">
        <v>50</v>
      </c>
      <c r="T24" s="743">
        <v>3050</v>
      </c>
      <c r="U24" s="742"/>
      <c r="V24" s="740">
        <v>50</v>
      </c>
      <c r="W24" s="743">
        <v>3650</v>
      </c>
      <c r="X24" s="742"/>
      <c r="Y24" s="740">
        <v>50</v>
      </c>
      <c r="Z24" s="743">
        <v>3650</v>
      </c>
      <c r="AA24" s="742"/>
      <c r="AB24" s="740">
        <v>50</v>
      </c>
      <c r="AC24" s="743">
        <v>4400</v>
      </c>
      <c r="AD24" s="742"/>
      <c r="AE24" s="740">
        <v>50</v>
      </c>
      <c r="AF24" s="743">
        <v>3150</v>
      </c>
      <c r="AG24" s="742"/>
      <c r="AH24" s="740">
        <v>50</v>
      </c>
      <c r="AI24" s="743">
        <v>3600</v>
      </c>
      <c r="AJ24" s="742"/>
      <c r="AK24" s="740">
        <v>50</v>
      </c>
      <c r="AL24" s="743">
        <v>4350</v>
      </c>
      <c r="AM24" s="742"/>
      <c r="AN24" s="740">
        <v>50</v>
      </c>
      <c r="AO24" s="743">
        <v>2800</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930</v>
      </c>
      <c r="E25" s="741">
        <v>744000</v>
      </c>
      <c r="F25" s="742"/>
      <c r="G25" s="740">
        <v>930</v>
      </c>
      <c r="H25" s="743">
        <v>55800</v>
      </c>
      <c r="I25" s="742"/>
      <c r="J25" s="740">
        <v>930</v>
      </c>
      <c r="K25" s="743">
        <v>51150</v>
      </c>
      <c r="L25" s="742"/>
      <c r="M25" s="740">
        <v>930</v>
      </c>
      <c r="N25" s="743">
        <v>48360</v>
      </c>
      <c r="O25" s="742"/>
      <c r="P25" s="740">
        <v>930</v>
      </c>
      <c r="Q25" s="743">
        <v>55800</v>
      </c>
      <c r="R25" s="742"/>
      <c r="S25" s="740">
        <v>930</v>
      </c>
      <c r="T25" s="743">
        <v>56730</v>
      </c>
      <c r="U25" s="742"/>
      <c r="V25" s="740">
        <v>930</v>
      </c>
      <c r="W25" s="743">
        <v>67890</v>
      </c>
      <c r="X25" s="742"/>
      <c r="Y25" s="740">
        <v>930</v>
      </c>
      <c r="Z25" s="743">
        <v>67890</v>
      </c>
      <c r="AA25" s="742"/>
      <c r="AB25" s="740">
        <v>930</v>
      </c>
      <c r="AC25" s="743">
        <v>81840</v>
      </c>
      <c r="AD25" s="742"/>
      <c r="AE25" s="740">
        <v>930</v>
      </c>
      <c r="AF25" s="743">
        <v>58590</v>
      </c>
      <c r="AG25" s="742"/>
      <c r="AH25" s="740">
        <v>930</v>
      </c>
      <c r="AI25" s="743">
        <v>66960</v>
      </c>
      <c r="AJ25" s="742"/>
      <c r="AK25" s="740">
        <v>930</v>
      </c>
      <c r="AL25" s="743">
        <v>80910</v>
      </c>
      <c r="AM25" s="742"/>
      <c r="AN25" s="740">
        <v>930</v>
      </c>
      <c r="AO25" s="743">
        <v>52080</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20</v>
      </c>
      <c r="E26" s="741">
        <v>16000</v>
      </c>
      <c r="F26" s="742"/>
      <c r="G26" s="740">
        <v>20</v>
      </c>
      <c r="H26" s="743">
        <v>1200</v>
      </c>
      <c r="I26" s="742"/>
      <c r="J26" s="740">
        <v>20</v>
      </c>
      <c r="K26" s="743">
        <v>1100</v>
      </c>
      <c r="L26" s="742"/>
      <c r="M26" s="740">
        <v>20</v>
      </c>
      <c r="N26" s="743">
        <v>1040</v>
      </c>
      <c r="O26" s="742"/>
      <c r="P26" s="740">
        <v>20</v>
      </c>
      <c r="Q26" s="743">
        <v>1200</v>
      </c>
      <c r="R26" s="742"/>
      <c r="S26" s="740">
        <v>20</v>
      </c>
      <c r="T26" s="743">
        <v>1220</v>
      </c>
      <c r="U26" s="742"/>
      <c r="V26" s="740">
        <v>20</v>
      </c>
      <c r="W26" s="743">
        <v>1460</v>
      </c>
      <c r="X26" s="742"/>
      <c r="Y26" s="740">
        <v>20</v>
      </c>
      <c r="Z26" s="743">
        <v>1460</v>
      </c>
      <c r="AA26" s="742"/>
      <c r="AB26" s="740">
        <v>20</v>
      </c>
      <c r="AC26" s="743">
        <v>1760</v>
      </c>
      <c r="AD26" s="742"/>
      <c r="AE26" s="740">
        <v>20</v>
      </c>
      <c r="AF26" s="743">
        <v>1260</v>
      </c>
      <c r="AG26" s="742"/>
      <c r="AH26" s="740">
        <v>20</v>
      </c>
      <c r="AI26" s="743">
        <v>1440</v>
      </c>
      <c r="AJ26" s="742"/>
      <c r="AK26" s="740">
        <v>20</v>
      </c>
      <c r="AL26" s="743">
        <v>1740</v>
      </c>
      <c r="AM26" s="742"/>
      <c r="AN26" s="740">
        <v>20</v>
      </c>
      <c r="AO26" s="743">
        <v>1120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800</v>
      </c>
      <c r="D27" s="745">
        <v>1000</v>
      </c>
      <c r="E27" s="746">
        <v>800000</v>
      </c>
      <c r="F27" s="744">
        <v>60</v>
      </c>
      <c r="G27" s="745">
        <v>1000</v>
      </c>
      <c r="H27" s="746">
        <v>60000</v>
      </c>
      <c r="I27" s="744">
        <v>55</v>
      </c>
      <c r="J27" s="745">
        <v>1000</v>
      </c>
      <c r="K27" s="746">
        <v>55000</v>
      </c>
      <c r="L27" s="744">
        <v>52</v>
      </c>
      <c r="M27" s="745">
        <v>1000</v>
      </c>
      <c r="N27" s="746">
        <v>52000</v>
      </c>
      <c r="O27" s="744">
        <v>60</v>
      </c>
      <c r="P27" s="745">
        <v>1000</v>
      </c>
      <c r="Q27" s="746">
        <v>60000</v>
      </c>
      <c r="R27" s="744">
        <v>61</v>
      </c>
      <c r="S27" s="745">
        <v>1000</v>
      </c>
      <c r="T27" s="746">
        <v>61000</v>
      </c>
      <c r="U27" s="744">
        <v>73</v>
      </c>
      <c r="V27" s="745">
        <v>1000</v>
      </c>
      <c r="W27" s="746">
        <v>73000</v>
      </c>
      <c r="X27" s="744">
        <v>73</v>
      </c>
      <c r="Y27" s="745">
        <v>1000</v>
      </c>
      <c r="Z27" s="746">
        <v>73000</v>
      </c>
      <c r="AA27" s="744">
        <v>88</v>
      </c>
      <c r="AB27" s="745">
        <v>1000</v>
      </c>
      <c r="AC27" s="746">
        <v>88000</v>
      </c>
      <c r="AD27" s="744">
        <v>63</v>
      </c>
      <c r="AE27" s="745">
        <v>1000</v>
      </c>
      <c r="AF27" s="746">
        <v>63000</v>
      </c>
      <c r="AG27" s="744">
        <v>72</v>
      </c>
      <c r="AH27" s="745">
        <v>1000</v>
      </c>
      <c r="AI27" s="746">
        <v>72000</v>
      </c>
      <c r="AJ27" s="744">
        <v>87</v>
      </c>
      <c r="AK27" s="745">
        <v>1000</v>
      </c>
      <c r="AL27" s="746">
        <v>87000</v>
      </c>
      <c r="AM27" s="744">
        <v>56</v>
      </c>
      <c r="AN27" s="745">
        <v>1000</v>
      </c>
      <c r="AO27" s="746">
        <v>56000</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49" t="s">
        <v>109</v>
      </c>
      <c r="C30" s="759">
        <v>820</v>
      </c>
      <c r="D30" s="760">
        <v>3350.1356106426092</v>
      </c>
      <c r="E30" s="761">
        <v>2747111.2007269394</v>
      </c>
      <c r="F30" s="759">
        <v>61</v>
      </c>
      <c r="G30" s="760">
        <v>3346.4892218687082</v>
      </c>
      <c r="H30" s="761">
        <v>204135.84253399121</v>
      </c>
      <c r="I30" s="759">
        <v>56</v>
      </c>
      <c r="J30" s="760">
        <v>3351.6709759861687</v>
      </c>
      <c r="K30" s="761">
        <v>187693.57465522544</v>
      </c>
      <c r="L30" s="759">
        <v>53</v>
      </c>
      <c r="M30" s="760">
        <v>3367.2286062575931</v>
      </c>
      <c r="N30" s="761">
        <v>178463.11613165244</v>
      </c>
      <c r="O30" s="759">
        <v>62</v>
      </c>
      <c r="P30" s="760">
        <v>3344.8337847291286</v>
      </c>
      <c r="Q30" s="761">
        <v>207379.69465320598</v>
      </c>
      <c r="R30" s="759">
        <v>63</v>
      </c>
      <c r="S30" s="760">
        <v>3355.6269262831911</v>
      </c>
      <c r="T30" s="761">
        <v>211404.49635584105</v>
      </c>
      <c r="U30" s="759">
        <v>75</v>
      </c>
      <c r="V30" s="760">
        <v>3339.8837452111948</v>
      </c>
      <c r="W30" s="761">
        <v>250491.28089083961</v>
      </c>
      <c r="X30" s="759">
        <v>75</v>
      </c>
      <c r="Y30" s="760">
        <v>3339.8837452111948</v>
      </c>
      <c r="Z30" s="761">
        <v>250491.28089083961</v>
      </c>
      <c r="AA30" s="759">
        <v>90</v>
      </c>
      <c r="AB30" s="760">
        <v>3353.3425446435649</v>
      </c>
      <c r="AC30" s="761">
        <v>301800.82901792083</v>
      </c>
      <c r="AD30" s="759">
        <v>65</v>
      </c>
      <c r="AE30" s="760">
        <v>3348.1562027196769</v>
      </c>
      <c r="AF30" s="761">
        <v>217630.15317677899</v>
      </c>
      <c r="AG30" s="759">
        <v>74</v>
      </c>
      <c r="AH30" s="760">
        <v>3350.7639019932171</v>
      </c>
      <c r="AI30" s="761">
        <v>247956.52874749806</v>
      </c>
      <c r="AJ30" s="759">
        <v>89</v>
      </c>
      <c r="AK30" s="760">
        <v>3352.4148802283644</v>
      </c>
      <c r="AL30" s="761">
        <v>298364.92434032442</v>
      </c>
      <c r="AM30" s="759">
        <v>57</v>
      </c>
      <c r="AN30" s="760">
        <v>3356.1312163652947</v>
      </c>
      <c r="AO30" s="761">
        <v>191299.47933282179</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0.3299999999999999</v>
      </c>
      <c r="D34" s="770">
        <v>748.37159031634042</v>
      </c>
      <c r="E34" s="758">
        <v>598697.27225307235</v>
      </c>
      <c r="F34" s="769">
        <v>0.33900478622949964</v>
      </c>
      <c r="G34" s="770">
        <v>769.63686193978481</v>
      </c>
      <c r="H34" s="771">
        <v>46178.211716387086</v>
      </c>
      <c r="I34" s="769">
        <v>0.3335806878178777</v>
      </c>
      <c r="J34" s="770">
        <v>755.22499437188583</v>
      </c>
      <c r="K34" s="771">
        <v>41537.374690453718</v>
      </c>
      <c r="L34" s="769">
        <v>0.33665933346340871</v>
      </c>
      <c r="M34" s="770">
        <v>761.9783168248789</v>
      </c>
      <c r="N34" s="771">
        <v>39622.872474893702</v>
      </c>
      <c r="O34" s="769">
        <v>0.33304493795843365</v>
      </c>
      <c r="P34" s="770">
        <v>756.10631869289614</v>
      </c>
      <c r="Q34" s="771">
        <v>45366.379121573766</v>
      </c>
      <c r="R34" s="769">
        <v>0.34122337682034687</v>
      </c>
      <c r="S34" s="770">
        <v>777.94338568459739</v>
      </c>
      <c r="T34" s="771">
        <v>47454.546526760438</v>
      </c>
      <c r="U34" s="769">
        <v>0.32512203902136383</v>
      </c>
      <c r="V34" s="770">
        <v>735.10349847945918</v>
      </c>
      <c r="W34" s="771">
        <v>53662.555389000518</v>
      </c>
      <c r="X34" s="769">
        <v>0.32512203902136383</v>
      </c>
      <c r="Y34" s="770">
        <v>735.10349847945918</v>
      </c>
      <c r="Z34" s="771">
        <v>53662.555389000518</v>
      </c>
      <c r="AA34" s="769">
        <v>0.3239710213803329</v>
      </c>
      <c r="AB34" s="770">
        <v>735.05757348637064</v>
      </c>
      <c r="AC34" s="771">
        <v>64685.066466800621</v>
      </c>
      <c r="AD34" s="769">
        <v>0.33053741520820579</v>
      </c>
      <c r="AE34" s="770">
        <v>750.49017995450447</v>
      </c>
      <c r="AF34" s="771">
        <v>47280.881337133782</v>
      </c>
      <c r="AG34" s="769">
        <v>0.33313832916400887</v>
      </c>
      <c r="AH34" s="770">
        <v>756.5887219974145</v>
      </c>
      <c r="AI34" s="771">
        <v>54474.387983813845</v>
      </c>
      <c r="AJ34" s="769">
        <v>0.31738468467625353</v>
      </c>
      <c r="AK34" s="770">
        <v>719.50458691510289</v>
      </c>
      <c r="AL34" s="771">
        <v>62596.899061613949</v>
      </c>
      <c r="AM34" s="769">
        <v>0.33220695310085518</v>
      </c>
      <c r="AN34" s="770">
        <v>753.13468027929287</v>
      </c>
      <c r="AO34" s="771">
        <v>42175.542095640398</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0.28000000000000003</v>
      </c>
      <c r="D35" s="773">
        <v>280</v>
      </c>
      <c r="E35" s="774">
        <v>224000</v>
      </c>
      <c r="F35" s="772">
        <v>0.28000000000000003</v>
      </c>
      <c r="G35" s="773">
        <v>280</v>
      </c>
      <c r="H35" s="775">
        <v>16800</v>
      </c>
      <c r="I35" s="772">
        <v>0.28000000000000003</v>
      </c>
      <c r="J35" s="773">
        <v>280.00000000000006</v>
      </c>
      <c r="K35" s="775">
        <v>15400.000000000002</v>
      </c>
      <c r="L35" s="772">
        <v>0.28000000000000003</v>
      </c>
      <c r="M35" s="773">
        <v>280.00000000000006</v>
      </c>
      <c r="N35" s="775">
        <v>14560.000000000002</v>
      </c>
      <c r="O35" s="772">
        <v>0.28000000000000003</v>
      </c>
      <c r="P35" s="773">
        <v>280</v>
      </c>
      <c r="Q35" s="775">
        <v>16800</v>
      </c>
      <c r="R35" s="772">
        <v>0.28000000000000003</v>
      </c>
      <c r="S35" s="773">
        <v>280</v>
      </c>
      <c r="T35" s="775">
        <v>17080</v>
      </c>
      <c r="U35" s="772">
        <v>0.28000000000000003</v>
      </c>
      <c r="V35" s="773">
        <v>280.00000000000006</v>
      </c>
      <c r="W35" s="775">
        <v>20440.000000000004</v>
      </c>
      <c r="X35" s="772">
        <v>0.28000000000000003</v>
      </c>
      <c r="Y35" s="773">
        <v>280.00000000000006</v>
      </c>
      <c r="Z35" s="775">
        <v>20440.000000000004</v>
      </c>
      <c r="AA35" s="772">
        <v>0.28000000000000003</v>
      </c>
      <c r="AB35" s="773">
        <v>280.00000000000006</v>
      </c>
      <c r="AC35" s="775">
        <v>24640.000000000004</v>
      </c>
      <c r="AD35" s="772">
        <v>0.28000000000000003</v>
      </c>
      <c r="AE35" s="773">
        <v>280</v>
      </c>
      <c r="AF35" s="775">
        <v>17640</v>
      </c>
      <c r="AG35" s="772">
        <v>0.28000000000000003</v>
      </c>
      <c r="AH35" s="773">
        <v>280.00000000000006</v>
      </c>
      <c r="AI35" s="775">
        <v>20160.000000000004</v>
      </c>
      <c r="AJ35" s="772">
        <v>0.28000000000000003</v>
      </c>
      <c r="AK35" s="773">
        <v>280.00000000000006</v>
      </c>
      <c r="AL35" s="775">
        <v>24360.000000000004</v>
      </c>
      <c r="AM35" s="772">
        <v>0.28000000000000003</v>
      </c>
      <c r="AN35" s="773">
        <v>280.00000000000006</v>
      </c>
      <c r="AO35" s="775">
        <v>15680.000000000002</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115</v>
      </c>
      <c r="E36" s="758">
        <v>92000</v>
      </c>
      <c r="F36" s="747"/>
      <c r="G36" s="770">
        <v>115</v>
      </c>
      <c r="H36" s="771">
        <v>6900</v>
      </c>
      <c r="I36" s="747"/>
      <c r="J36" s="770">
        <v>115</v>
      </c>
      <c r="K36" s="771">
        <v>6325</v>
      </c>
      <c r="L36" s="747"/>
      <c r="M36" s="770">
        <v>115</v>
      </c>
      <c r="N36" s="771">
        <v>5980</v>
      </c>
      <c r="O36" s="747"/>
      <c r="P36" s="770">
        <v>115</v>
      </c>
      <c r="Q36" s="771">
        <v>6900</v>
      </c>
      <c r="R36" s="747"/>
      <c r="S36" s="770">
        <v>115</v>
      </c>
      <c r="T36" s="771">
        <v>7015</v>
      </c>
      <c r="U36" s="747"/>
      <c r="V36" s="770">
        <v>115</v>
      </c>
      <c r="W36" s="771">
        <v>8395</v>
      </c>
      <c r="X36" s="747"/>
      <c r="Y36" s="770">
        <v>115</v>
      </c>
      <c r="Z36" s="771">
        <v>8395</v>
      </c>
      <c r="AA36" s="747"/>
      <c r="AB36" s="770">
        <v>115</v>
      </c>
      <c r="AC36" s="771">
        <v>10120</v>
      </c>
      <c r="AD36" s="747"/>
      <c r="AE36" s="770">
        <v>115</v>
      </c>
      <c r="AF36" s="771">
        <v>7245</v>
      </c>
      <c r="AG36" s="747"/>
      <c r="AH36" s="770">
        <v>115</v>
      </c>
      <c r="AI36" s="771">
        <v>8280</v>
      </c>
      <c r="AJ36" s="747"/>
      <c r="AK36" s="770">
        <v>115</v>
      </c>
      <c r="AL36" s="771">
        <v>10005</v>
      </c>
      <c r="AM36" s="747"/>
      <c r="AN36" s="770">
        <v>115</v>
      </c>
      <c r="AO36" s="771">
        <v>6440</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10</v>
      </c>
      <c r="E37" s="758">
        <v>8000</v>
      </c>
      <c r="F37" s="747"/>
      <c r="G37" s="770">
        <v>10</v>
      </c>
      <c r="H37" s="771">
        <v>600</v>
      </c>
      <c r="I37" s="747"/>
      <c r="J37" s="770">
        <v>10</v>
      </c>
      <c r="K37" s="771">
        <v>550</v>
      </c>
      <c r="L37" s="747"/>
      <c r="M37" s="770">
        <v>10</v>
      </c>
      <c r="N37" s="771">
        <v>520</v>
      </c>
      <c r="O37" s="747"/>
      <c r="P37" s="770">
        <v>10</v>
      </c>
      <c r="Q37" s="771">
        <v>600</v>
      </c>
      <c r="R37" s="747"/>
      <c r="S37" s="770">
        <v>10</v>
      </c>
      <c r="T37" s="771">
        <v>610</v>
      </c>
      <c r="U37" s="747"/>
      <c r="V37" s="770">
        <v>10</v>
      </c>
      <c r="W37" s="771">
        <v>730</v>
      </c>
      <c r="X37" s="747"/>
      <c r="Y37" s="770">
        <v>10</v>
      </c>
      <c r="Z37" s="771">
        <v>730</v>
      </c>
      <c r="AA37" s="747"/>
      <c r="AB37" s="770">
        <v>10</v>
      </c>
      <c r="AC37" s="771">
        <v>880</v>
      </c>
      <c r="AD37" s="747"/>
      <c r="AE37" s="770">
        <v>10</v>
      </c>
      <c r="AF37" s="771">
        <v>630</v>
      </c>
      <c r="AG37" s="747"/>
      <c r="AH37" s="770">
        <v>10</v>
      </c>
      <c r="AI37" s="771">
        <v>720</v>
      </c>
      <c r="AJ37" s="747"/>
      <c r="AK37" s="770">
        <v>10</v>
      </c>
      <c r="AL37" s="771">
        <v>870</v>
      </c>
      <c r="AM37" s="747"/>
      <c r="AN37" s="770">
        <v>10</v>
      </c>
      <c r="AO37" s="771">
        <v>560</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120.75</v>
      </c>
      <c r="E38" s="774">
        <v>96600</v>
      </c>
      <c r="F38" s="776"/>
      <c r="G38" s="773">
        <v>120.75</v>
      </c>
      <c r="H38" s="775">
        <v>7245</v>
      </c>
      <c r="I38" s="776"/>
      <c r="J38" s="773">
        <v>120.75</v>
      </c>
      <c r="K38" s="775">
        <v>6641.25</v>
      </c>
      <c r="L38" s="776"/>
      <c r="M38" s="773">
        <v>120.75</v>
      </c>
      <c r="N38" s="775">
        <v>6279</v>
      </c>
      <c r="O38" s="776"/>
      <c r="P38" s="773">
        <v>120.75</v>
      </c>
      <c r="Q38" s="775">
        <v>7245</v>
      </c>
      <c r="R38" s="776"/>
      <c r="S38" s="773">
        <v>120.75</v>
      </c>
      <c r="T38" s="775">
        <v>7365.75</v>
      </c>
      <c r="U38" s="776"/>
      <c r="V38" s="773">
        <v>120.75</v>
      </c>
      <c r="W38" s="775">
        <v>8814.75</v>
      </c>
      <c r="X38" s="776"/>
      <c r="Y38" s="773">
        <v>120.75</v>
      </c>
      <c r="Z38" s="775">
        <v>8814.75</v>
      </c>
      <c r="AA38" s="776"/>
      <c r="AB38" s="773">
        <v>120.75</v>
      </c>
      <c r="AC38" s="775">
        <v>10626</v>
      </c>
      <c r="AD38" s="776"/>
      <c r="AE38" s="773">
        <v>120.75</v>
      </c>
      <c r="AF38" s="775">
        <v>7607.25</v>
      </c>
      <c r="AG38" s="776"/>
      <c r="AH38" s="773">
        <v>120.75</v>
      </c>
      <c r="AI38" s="775">
        <v>8694</v>
      </c>
      <c r="AJ38" s="776"/>
      <c r="AK38" s="773">
        <v>120.75</v>
      </c>
      <c r="AL38" s="775">
        <v>10505.25</v>
      </c>
      <c r="AM38" s="776"/>
      <c r="AN38" s="773">
        <v>120.75</v>
      </c>
      <c r="AO38" s="775">
        <v>6762</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101.93</v>
      </c>
      <c r="E39" s="758">
        <v>81544</v>
      </c>
      <c r="F39" s="747"/>
      <c r="G39" s="770">
        <v>91.033333333333331</v>
      </c>
      <c r="H39" s="771">
        <v>5462</v>
      </c>
      <c r="I39" s="747"/>
      <c r="J39" s="770">
        <v>108.4</v>
      </c>
      <c r="K39" s="771">
        <v>5962</v>
      </c>
      <c r="L39" s="747"/>
      <c r="M39" s="770">
        <v>351.19230769230768</v>
      </c>
      <c r="N39" s="771">
        <v>18262</v>
      </c>
      <c r="O39" s="747"/>
      <c r="P39" s="770">
        <v>91.033333333333331</v>
      </c>
      <c r="Q39" s="771">
        <v>5462</v>
      </c>
      <c r="R39" s="747"/>
      <c r="S39" s="770">
        <v>87.901639344262293</v>
      </c>
      <c r="T39" s="771">
        <v>5362</v>
      </c>
      <c r="U39" s="747"/>
      <c r="V39" s="770">
        <v>57.013698630136986</v>
      </c>
      <c r="W39" s="771">
        <v>4162</v>
      </c>
      <c r="X39" s="747"/>
      <c r="Y39" s="770">
        <v>57.013698630136986</v>
      </c>
      <c r="Z39" s="771">
        <v>4162</v>
      </c>
      <c r="AA39" s="747"/>
      <c r="AB39" s="770">
        <v>30.25</v>
      </c>
      <c r="AC39" s="771">
        <v>2662</v>
      </c>
      <c r="AD39" s="747"/>
      <c r="AE39" s="770">
        <v>81.936507936507937</v>
      </c>
      <c r="AF39" s="771">
        <v>5162</v>
      </c>
      <c r="AG39" s="747"/>
      <c r="AH39" s="770">
        <v>225.86111111111111</v>
      </c>
      <c r="AI39" s="771">
        <v>16262</v>
      </c>
      <c r="AJ39" s="747"/>
      <c r="AK39" s="770">
        <v>31.74712643678161</v>
      </c>
      <c r="AL39" s="771">
        <v>2762</v>
      </c>
      <c r="AM39" s="747"/>
      <c r="AN39" s="770">
        <v>104.67857142857143</v>
      </c>
      <c r="AO39" s="771">
        <v>5862</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554.29499999999996</v>
      </c>
      <c r="E40" s="758">
        <v>443435.99999999994</v>
      </c>
      <c r="F40" s="747"/>
      <c r="G40" s="770">
        <v>580.19552322928689</v>
      </c>
      <c r="H40" s="771">
        <v>34811.731393757211</v>
      </c>
      <c r="I40" s="747"/>
      <c r="J40" s="770">
        <v>623.20302355257672</v>
      </c>
      <c r="K40" s="771">
        <v>34276.166295391718</v>
      </c>
      <c r="L40" s="747"/>
      <c r="M40" s="770">
        <v>690.05503058631155</v>
      </c>
      <c r="N40" s="771">
        <v>35882.861590488203</v>
      </c>
      <c r="O40" s="747"/>
      <c r="P40" s="770">
        <v>601.02305483238945</v>
      </c>
      <c r="Q40" s="771">
        <v>36061.383289943369</v>
      </c>
      <c r="R40" s="747"/>
      <c r="S40" s="770">
        <v>626.28924071156302</v>
      </c>
      <c r="T40" s="771">
        <v>38203.643683405346</v>
      </c>
      <c r="U40" s="747"/>
      <c r="V40" s="770">
        <v>523.33758470418286</v>
      </c>
      <c r="W40" s="771">
        <v>38203.643683405346</v>
      </c>
      <c r="X40" s="747"/>
      <c r="Y40" s="770">
        <v>560.02012568812097</v>
      </c>
      <c r="Z40" s="771">
        <v>40881.469175232829</v>
      </c>
      <c r="AA40" s="747"/>
      <c r="AB40" s="770">
        <v>413.84575782788289</v>
      </c>
      <c r="AC40" s="771">
        <v>36418.426688853695</v>
      </c>
      <c r="AD40" s="747"/>
      <c r="AE40" s="770">
        <v>603.57336482460619</v>
      </c>
      <c r="AF40" s="771">
        <v>38025.121983950186</v>
      </c>
      <c r="AG40" s="747"/>
      <c r="AH40" s="770">
        <v>565.31871494135646</v>
      </c>
      <c r="AI40" s="771">
        <v>40702.947475777662</v>
      </c>
      <c r="AJ40" s="747"/>
      <c r="AK40" s="770">
        <v>402.18681716336067</v>
      </c>
      <c r="AL40" s="771">
        <v>34990.253093212377</v>
      </c>
      <c r="AM40" s="747"/>
      <c r="AN40" s="770">
        <v>624.61342226039346</v>
      </c>
      <c r="AO40" s="771">
        <v>34978.351646582036</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0.56214589050651698</v>
      </c>
      <c r="E44" s="779">
        <v>1544277.2722530724</v>
      </c>
      <c r="F44" s="777" t="s">
        <v>119</v>
      </c>
      <c r="G44" s="778">
        <v>0.57803147965304669</v>
      </c>
      <c r="H44" s="779">
        <v>117996.94311014429</v>
      </c>
      <c r="I44" s="777" t="s">
        <v>119</v>
      </c>
      <c r="J44" s="778">
        <v>0.58974736449649556</v>
      </c>
      <c r="K44" s="779">
        <v>110691.79098584544</v>
      </c>
      <c r="L44" s="777" t="s">
        <v>119</v>
      </c>
      <c r="M44" s="778">
        <v>0.6786093210209404</v>
      </c>
      <c r="N44" s="779">
        <v>121106.7340653819</v>
      </c>
      <c r="O44" s="777" t="s">
        <v>119</v>
      </c>
      <c r="P44" s="778">
        <v>0.57110105504577746</v>
      </c>
      <c r="Q44" s="779">
        <v>118434.76241151712</v>
      </c>
      <c r="R44" s="777" t="s">
        <v>119</v>
      </c>
      <c r="S44" s="778">
        <v>0.58225317971939539</v>
      </c>
      <c r="T44" s="779">
        <v>123090.94021016579</v>
      </c>
      <c r="U44" s="777" t="s">
        <v>119</v>
      </c>
      <c r="V44" s="778">
        <v>0.53657735548479579</v>
      </c>
      <c r="W44" s="779">
        <v>134407.94907240587</v>
      </c>
      <c r="X44" s="777" t="s">
        <v>119</v>
      </c>
      <c r="Y44" s="778">
        <v>0.54726764970303821</v>
      </c>
      <c r="Z44" s="779">
        <v>137085.77456423335</v>
      </c>
      <c r="AA44" s="777" t="s">
        <v>119</v>
      </c>
      <c r="AB44" s="778">
        <v>0.49712087817606854</v>
      </c>
      <c r="AC44" s="779">
        <v>150031.49315565432</v>
      </c>
      <c r="AD44" s="777" t="s">
        <v>119</v>
      </c>
      <c r="AE44" s="778">
        <v>0.56789122057315622</v>
      </c>
      <c r="AF44" s="779">
        <v>123590.25332108398</v>
      </c>
      <c r="AG44" s="777" t="s">
        <v>119</v>
      </c>
      <c r="AH44" s="778">
        <v>0.60209479546159328</v>
      </c>
      <c r="AI44" s="779">
        <v>149293.33545959153</v>
      </c>
      <c r="AJ44" s="777" t="s">
        <v>119</v>
      </c>
      <c r="AK44" s="778">
        <v>0.4896332988129401</v>
      </c>
      <c r="AL44" s="779">
        <v>146089.40215482633</v>
      </c>
      <c r="AM44" s="777" t="s">
        <v>119</v>
      </c>
      <c r="AN44" s="778">
        <v>0.58786304141773849</v>
      </c>
      <c r="AO44" s="779">
        <v>112457.89374222243</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309574.05000000005</v>
      </c>
      <c r="F45" s="747"/>
      <c r="G45" s="757"/>
      <c r="H45" s="771">
        <v>28420.581730769234</v>
      </c>
      <c r="I45" s="747"/>
      <c r="J45" s="757"/>
      <c r="K45" s="771">
        <v>24486.465384615389</v>
      </c>
      <c r="L45" s="747"/>
      <c r="M45" s="757"/>
      <c r="N45" s="771">
        <v>24486.465384615389</v>
      </c>
      <c r="O45" s="747"/>
      <c r="P45" s="757"/>
      <c r="Q45" s="771">
        <v>24486.465384615389</v>
      </c>
      <c r="R45" s="747"/>
      <c r="S45" s="757"/>
      <c r="T45" s="771">
        <v>28420.581730769234</v>
      </c>
      <c r="U45" s="747"/>
      <c r="V45" s="757"/>
      <c r="W45" s="771">
        <v>24486.465384615389</v>
      </c>
      <c r="X45" s="747"/>
      <c r="Y45" s="757"/>
      <c r="Z45" s="771">
        <v>24486.465384615389</v>
      </c>
      <c r="AA45" s="747"/>
      <c r="AB45" s="757"/>
      <c r="AC45" s="771">
        <v>28420.581730769234</v>
      </c>
      <c r="AD45" s="747"/>
      <c r="AE45" s="757"/>
      <c r="AF45" s="771">
        <v>24486.465384615389</v>
      </c>
      <c r="AG45" s="747"/>
      <c r="AH45" s="757"/>
      <c r="AI45" s="771">
        <v>28420.581730769234</v>
      </c>
      <c r="AJ45" s="747"/>
      <c r="AK45" s="757"/>
      <c r="AL45" s="771">
        <v>24486.465384615389</v>
      </c>
      <c r="AM45" s="747"/>
      <c r="AN45" s="757"/>
      <c r="AO45" s="771">
        <v>24486.465384615389</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179904.84799999997</v>
      </c>
      <c r="F46" s="747"/>
      <c r="G46" s="757"/>
      <c r="H46" s="771">
        <v>17167.773846153847</v>
      </c>
      <c r="I46" s="747"/>
      <c r="J46" s="757"/>
      <c r="K46" s="771">
        <v>13904.219076923078</v>
      </c>
      <c r="L46" s="747"/>
      <c r="M46" s="757"/>
      <c r="N46" s="771">
        <v>13904.219076923078</v>
      </c>
      <c r="O46" s="747"/>
      <c r="P46" s="757"/>
      <c r="Q46" s="771">
        <v>13904.219076923078</v>
      </c>
      <c r="R46" s="747"/>
      <c r="S46" s="757"/>
      <c r="T46" s="771">
        <v>17167.773846153847</v>
      </c>
      <c r="U46" s="747"/>
      <c r="V46" s="757"/>
      <c r="W46" s="771">
        <v>13904.219076923078</v>
      </c>
      <c r="X46" s="747"/>
      <c r="Y46" s="757"/>
      <c r="Z46" s="771">
        <v>13904.219076923078</v>
      </c>
      <c r="AA46" s="747"/>
      <c r="AB46" s="757"/>
      <c r="AC46" s="771">
        <v>17167.773846153847</v>
      </c>
      <c r="AD46" s="747"/>
      <c r="AE46" s="757"/>
      <c r="AF46" s="771">
        <v>13904.219076923078</v>
      </c>
      <c r="AG46" s="747"/>
      <c r="AH46" s="757"/>
      <c r="AI46" s="771">
        <v>17167.773846153847</v>
      </c>
      <c r="AJ46" s="747"/>
      <c r="AK46" s="757"/>
      <c r="AL46" s="771">
        <v>13904.219076923078</v>
      </c>
      <c r="AM46" s="747"/>
      <c r="AN46" s="757"/>
      <c r="AO46" s="771">
        <v>13904.219076923078</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4102.2000000000007</v>
      </c>
      <c r="F47" s="780"/>
      <c r="G47" s="781"/>
      <c r="H47" s="783">
        <v>394.44230769230774</v>
      </c>
      <c r="I47" s="780"/>
      <c r="J47" s="781"/>
      <c r="K47" s="783">
        <v>315.55384615384617</v>
      </c>
      <c r="L47" s="780"/>
      <c r="M47" s="781"/>
      <c r="N47" s="783">
        <v>315.55384615384617</v>
      </c>
      <c r="O47" s="780"/>
      <c r="P47" s="781"/>
      <c r="Q47" s="783">
        <v>315.55384615384617</v>
      </c>
      <c r="R47" s="780"/>
      <c r="S47" s="781"/>
      <c r="T47" s="783">
        <v>394.44230769230774</v>
      </c>
      <c r="U47" s="780"/>
      <c r="V47" s="781"/>
      <c r="W47" s="783">
        <v>315.55384615384617</v>
      </c>
      <c r="X47" s="780"/>
      <c r="Y47" s="781"/>
      <c r="Z47" s="783">
        <v>315.55384615384617</v>
      </c>
      <c r="AA47" s="780"/>
      <c r="AB47" s="781"/>
      <c r="AC47" s="783">
        <v>394.44230769230774</v>
      </c>
      <c r="AD47" s="780"/>
      <c r="AE47" s="781"/>
      <c r="AF47" s="783">
        <v>315.55384615384617</v>
      </c>
      <c r="AG47" s="780"/>
      <c r="AH47" s="781"/>
      <c r="AI47" s="783">
        <v>394.44230769230774</v>
      </c>
      <c r="AJ47" s="780"/>
      <c r="AK47" s="781"/>
      <c r="AL47" s="783">
        <v>315.55384615384617</v>
      </c>
      <c r="AM47" s="780"/>
      <c r="AN47" s="781"/>
      <c r="AO47" s="783">
        <v>315.55384615384617</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148529.80500274603</v>
      </c>
      <c r="F52" s="747"/>
      <c r="G52" s="757"/>
      <c r="H52" s="771">
        <v>12062.772479562989</v>
      </c>
      <c r="I52" s="747"/>
      <c r="J52" s="757"/>
      <c r="K52" s="771">
        <v>9735.8914894858408</v>
      </c>
      <c r="L52" s="747"/>
      <c r="M52" s="757"/>
      <c r="N52" s="771">
        <v>12663.726344675681</v>
      </c>
      <c r="O52" s="747"/>
      <c r="P52" s="757"/>
      <c r="Q52" s="771">
        <v>13219.128099359219</v>
      </c>
      <c r="R52" s="747"/>
      <c r="S52" s="757"/>
      <c r="T52" s="771">
        <v>14936.127334752829</v>
      </c>
      <c r="U52" s="747"/>
      <c r="V52" s="757"/>
      <c r="W52" s="771">
        <v>11620.016753536451</v>
      </c>
      <c r="X52" s="747"/>
      <c r="Y52" s="757"/>
      <c r="Z52" s="771">
        <v>11796.070671764297</v>
      </c>
      <c r="AA52" s="747"/>
      <c r="AB52" s="757"/>
      <c r="AC52" s="771">
        <v>13032.075111588296</v>
      </c>
      <c r="AD52" s="747"/>
      <c r="AE52" s="757"/>
      <c r="AF52" s="771">
        <v>12229.898508219989</v>
      </c>
      <c r="AG52" s="747"/>
      <c r="AH52" s="757"/>
      <c r="AI52" s="771">
        <v>14095.711661841447</v>
      </c>
      <c r="AJ52" s="747"/>
      <c r="AK52" s="757"/>
      <c r="AL52" s="771">
        <v>13449.662017587063</v>
      </c>
      <c r="AM52" s="747"/>
      <c r="AN52" s="757"/>
      <c r="AO52" s="771">
        <v>9688.7245303719174</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180591.30476104806</v>
      </c>
      <c r="F53" s="780"/>
      <c r="G53" s="781"/>
      <c r="H53" s="783">
        <v>14666.630856208745</v>
      </c>
      <c r="I53" s="780"/>
      <c r="J53" s="781"/>
      <c r="K53" s="783">
        <v>11837.471590740493</v>
      </c>
      <c r="L53" s="780"/>
      <c r="M53" s="781"/>
      <c r="N53" s="783">
        <v>15397.306040222413</v>
      </c>
      <c r="O53" s="780"/>
      <c r="P53" s="781"/>
      <c r="Q53" s="783">
        <v>16072.596279397112</v>
      </c>
      <c r="R53" s="780"/>
      <c r="S53" s="781"/>
      <c r="T53" s="783">
        <v>18160.225305690667</v>
      </c>
      <c r="U53" s="780"/>
      <c r="V53" s="781"/>
      <c r="W53" s="783">
        <v>14128.302308264583</v>
      </c>
      <c r="X53" s="780"/>
      <c r="Y53" s="781"/>
      <c r="Z53" s="783">
        <v>14342.359054656152</v>
      </c>
      <c r="AA53" s="780"/>
      <c r="AB53" s="781"/>
      <c r="AC53" s="783">
        <v>15845.166214970792</v>
      </c>
      <c r="AD53" s="780"/>
      <c r="AE53" s="781"/>
      <c r="AF53" s="783">
        <v>14869.832547439282</v>
      </c>
      <c r="AG53" s="780"/>
      <c r="AH53" s="781"/>
      <c r="AI53" s="783">
        <v>17138.398320124405</v>
      </c>
      <c r="AJ53" s="780"/>
      <c r="AK53" s="781"/>
      <c r="AL53" s="783">
        <v>16352.893025788675</v>
      </c>
      <c r="AM53" s="780"/>
      <c r="AN53" s="781"/>
      <c r="AO53" s="783">
        <v>11780.123217544711</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93043.780931235611</v>
      </c>
      <c r="F54" s="747"/>
      <c r="G54" s="757"/>
      <c r="H54" s="771">
        <v>7556.5032889597223</v>
      </c>
      <c r="I54" s="747"/>
      <c r="J54" s="757"/>
      <c r="K54" s="771">
        <v>6098.8712326206451</v>
      </c>
      <c r="L54" s="747"/>
      <c r="M54" s="757"/>
      <c r="N54" s="771">
        <v>7932.9598511580689</v>
      </c>
      <c r="O54" s="747"/>
      <c r="P54" s="757"/>
      <c r="Q54" s="771">
        <v>8280.8811265589466</v>
      </c>
      <c r="R54" s="747"/>
      <c r="S54" s="757"/>
      <c r="T54" s="771">
        <v>9356.4639074971456</v>
      </c>
      <c r="U54" s="747"/>
      <c r="V54" s="757"/>
      <c r="W54" s="771">
        <v>7279.1470588232733</v>
      </c>
      <c r="X54" s="747"/>
      <c r="Y54" s="757"/>
      <c r="Z54" s="771">
        <v>7389.4328172902333</v>
      </c>
      <c r="AA54" s="747"/>
      <c r="AB54" s="757"/>
      <c r="AC54" s="771">
        <v>8163.7052020610372</v>
      </c>
      <c r="AD54" s="747"/>
      <c r="AE54" s="757"/>
      <c r="AF54" s="771">
        <v>7661.1963342241506</v>
      </c>
      <c r="AG54" s="747"/>
      <c r="AH54" s="757"/>
      <c r="AI54" s="771">
        <v>8830.0008736293112</v>
      </c>
      <c r="AJ54" s="747"/>
      <c r="AK54" s="757"/>
      <c r="AL54" s="771">
        <v>8425.2948850259036</v>
      </c>
      <c r="AM54" s="747"/>
      <c r="AN54" s="757"/>
      <c r="AO54" s="771">
        <v>6069.3243533871655</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40567.611939076007</v>
      </c>
      <c r="F55" s="747"/>
      <c r="G55" s="757"/>
      <c r="H55" s="771">
        <v>3294.6779459599352</v>
      </c>
      <c r="I55" s="747"/>
      <c r="J55" s="757"/>
      <c r="K55" s="771">
        <v>2659.1421689344584</v>
      </c>
      <c r="L55" s="747"/>
      <c r="M55" s="757"/>
      <c r="N55" s="771">
        <v>3458.8151249774983</v>
      </c>
      <c r="O55" s="747"/>
      <c r="P55" s="757"/>
      <c r="Q55" s="771">
        <v>3610.5107584152929</v>
      </c>
      <c r="R55" s="747"/>
      <c r="S55" s="757"/>
      <c r="T55" s="771">
        <v>4079.470902002975</v>
      </c>
      <c r="U55" s="747"/>
      <c r="V55" s="757"/>
      <c r="W55" s="771">
        <v>3173.7490692478409</v>
      </c>
      <c r="X55" s="747"/>
      <c r="Y55" s="757"/>
      <c r="Z55" s="771">
        <v>3221.8342803937726</v>
      </c>
      <c r="AA55" s="747"/>
      <c r="AB55" s="757"/>
      <c r="AC55" s="771">
        <v>3559.421396116627</v>
      </c>
      <c r="AD55" s="747"/>
      <c r="AE55" s="757"/>
      <c r="AF55" s="771">
        <v>3340.3247026856357</v>
      </c>
      <c r="AG55" s="747"/>
      <c r="AH55" s="757"/>
      <c r="AI55" s="771">
        <v>3849.9300574192498</v>
      </c>
      <c r="AJ55" s="747"/>
      <c r="AK55" s="757"/>
      <c r="AL55" s="771">
        <v>3673.4759695612238</v>
      </c>
      <c r="AM55" s="747"/>
      <c r="AN55" s="757"/>
      <c r="AO55" s="771">
        <v>2646.2595633614928</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0.34811608659345367</v>
      </c>
      <c r="E57" s="779">
        <v>956313.60063410574</v>
      </c>
      <c r="F57" s="777" t="s">
        <v>119</v>
      </c>
      <c r="G57" s="778">
        <v>0.40935183855031443</v>
      </c>
      <c r="H57" s="779">
        <v>83563.382455306783</v>
      </c>
      <c r="I57" s="777" t="s">
        <v>119</v>
      </c>
      <c r="J57" s="778">
        <v>0.36782087461592133</v>
      </c>
      <c r="K57" s="779">
        <v>69037.614789473751</v>
      </c>
      <c r="L57" s="777" t="s">
        <v>119</v>
      </c>
      <c r="M57" s="778">
        <v>0.43795629798970875</v>
      </c>
      <c r="N57" s="779">
        <v>78159.045668725972</v>
      </c>
      <c r="O57" s="777" t="s">
        <v>119</v>
      </c>
      <c r="P57" s="778">
        <v>0.38523228952101185</v>
      </c>
      <c r="Q57" s="779">
        <v>79889.354571422882</v>
      </c>
      <c r="R57" s="777" t="s">
        <v>119</v>
      </c>
      <c r="S57" s="778">
        <v>0.4376211808609568</v>
      </c>
      <c r="T57" s="779">
        <v>92515.085334559</v>
      </c>
      <c r="U57" s="777" t="s">
        <v>119</v>
      </c>
      <c r="V57" s="778">
        <v>0.29904215919678268</v>
      </c>
      <c r="W57" s="779">
        <v>74907.453497564464</v>
      </c>
      <c r="X57" s="777" t="s">
        <v>119</v>
      </c>
      <c r="Y57" s="778">
        <v>0.30123178285267083</v>
      </c>
      <c r="Z57" s="779">
        <v>75455.935131796767</v>
      </c>
      <c r="AA57" s="777" t="s">
        <v>119</v>
      </c>
      <c r="AB57" s="778">
        <v>0.28688842933632519</v>
      </c>
      <c r="AC57" s="779">
        <v>86583.16580935214</v>
      </c>
      <c r="AD57" s="777" t="s">
        <v>119</v>
      </c>
      <c r="AE57" s="778">
        <v>0.35292669365476831</v>
      </c>
      <c r="AF57" s="779">
        <v>76807.490400261377</v>
      </c>
      <c r="AG57" s="777" t="s">
        <v>119</v>
      </c>
      <c r="AH57" s="778">
        <v>0.36255080377082777</v>
      </c>
      <c r="AI57" s="779">
        <v>89896.838797629782</v>
      </c>
      <c r="AJ57" s="777" t="s">
        <v>119</v>
      </c>
      <c r="AK57" s="778">
        <v>0.27016434449818788</v>
      </c>
      <c r="AL57" s="779">
        <v>80607.564205655173</v>
      </c>
      <c r="AM57" s="777" t="s">
        <v>119</v>
      </c>
      <c r="AN57" s="778">
        <v>0.36011948496996171</v>
      </c>
      <c r="AO57" s="779">
        <v>68890.669972357617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107430.57520000001</v>
      </c>
      <c r="F60" s="785"/>
      <c r="G60" s="786"/>
      <c r="H60" s="788">
        <v>8952.5479333333333</v>
      </c>
      <c r="I60" s="785"/>
      <c r="J60" s="786"/>
      <c r="K60" s="788">
        <v>8952.5479333333333</v>
      </c>
      <c r="L60" s="785"/>
      <c r="M60" s="786"/>
      <c r="N60" s="788">
        <v>8952.5479333333333</v>
      </c>
      <c r="O60" s="785"/>
      <c r="P60" s="786"/>
      <c r="Q60" s="788">
        <v>8952.5479333333333</v>
      </c>
      <c r="R60" s="785"/>
      <c r="S60" s="786"/>
      <c r="T60" s="788">
        <v>8952.5479333333333</v>
      </c>
      <c r="U60" s="785"/>
      <c r="V60" s="786"/>
      <c r="W60" s="788">
        <v>8952.5479333333333</v>
      </c>
      <c r="X60" s="785"/>
      <c r="Y60" s="786"/>
      <c r="Z60" s="788">
        <v>8952.5479333333333</v>
      </c>
      <c r="AA60" s="785"/>
      <c r="AB60" s="786"/>
      <c r="AC60" s="788">
        <v>8952.5479333333333</v>
      </c>
      <c r="AD60" s="785"/>
      <c r="AE60" s="786"/>
      <c r="AF60" s="788">
        <v>8952.5479333333333</v>
      </c>
      <c r="AG60" s="785"/>
      <c r="AH60" s="786"/>
      <c r="AI60" s="788">
        <v>8952.5479333333333</v>
      </c>
      <c r="AJ60" s="785"/>
      <c r="AK60" s="786"/>
      <c r="AL60" s="788">
        <v>8952.5479333333333</v>
      </c>
      <c r="AM60" s="785"/>
      <c r="AN60" s="786"/>
      <c r="AO60" s="788">
        <v>8952.5479333333333</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95531.937102186712</v>
      </c>
      <c r="F61" s="747"/>
      <c r="G61" s="757"/>
      <c r="H61" s="771">
        <v>7960.9947585155569</v>
      </c>
      <c r="I61" s="747"/>
      <c r="J61" s="757"/>
      <c r="K61" s="771">
        <v>7960.9947585155569</v>
      </c>
      <c r="L61" s="747"/>
      <c r="M61" s="757"/>
      <c r="N61" s="771">
        <v>7960.9947585155569</v>
      </c>
      <c r="O61" s="747"/>
      <c r="P61" s="757"/>
      <c r="Q61" s="771">
        <v>7960.9947585155569</v>
      </c>
      <c r="R61" s="747"/>
      <c r="S61" s="757"/>
      <c r="T61" s="771">
        <v>7960.9947585155569</v>
      </c>
      <c r="U61" s="747"/>
      <c r="V61" s="757"/>
      <c r="W61" s="771">
        <v>7960.9947585155569</v>
      </c>
      <c r="X61" s="747"/>
      <c r="Y61" s="757"/>
      <c r="Z61" s="771">
        <v>7960.9947585155569</v>
      </c>
      <c r="AA61" s="747"/>
      <c r="AB61" s="757"/>
      <c r="AC61" s="771">
        <v>7960.9947585155569</v>
      </c>
      <c r="AD61" s="747"/>
      <c r="AE61" s="757"/>
      <c r="AF61" s="771">
        <v>7960.9947585155569</v>
      </c>
      <c r="AG61" s="747"/>
      <c r="AH61" s="757"/>
      <c r="AI61" s="771">
        <v>7960.9947585155569</v>
      </c>
      <c r="AJ61" s="747"/>
      <c r="AK61" s="757"/>
      <c r="AL61" s="771">
        <v>7960.9947585155569</v>
      </c>
      <c r="AM61" s="747"/>
      <c r="AN61" s="757"/>
      <c r="AO61" s="771">
        <v>7960.9947585155569</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15200.370010355771</v>
      </c>
      <c r="F62" s="747"/>
      <c r="G62" s="757"/>
      <c r="H62" s="771">
        <v>1266.6975008629806</v>
      </c>
      <c r="I62" s="747"/>
      <c r="J62" s="757"/>
      <c r="K62" s="771">
        <v>1266.6975008629806</v>
      </c>
      <c r="L62" s="747"/>
      <c r="M62" s="757"/>
      <c r="N62" s="771">
        <v>1266.6975008629806</v>
      </c>
      <c r="O62" s="747"/>
      <c r="P62" s="757"/>
      <c r="Q62" s="771">
        <v>1266.6975008629806</v>
      </c>
      <c r="R62" s="747"/>
      <c r="S62" s="757"/>
      <c r="T62" s="771">
        <v>1266.6975008629806</v>
      </c>
      <c r="U62" s="747"/>
      <c r="V62" s="757"/>
      <c r="W62" s="771">
        <v>1266.6975008629806</v>
      </c>
      <c r="X62" s="747"/>
      <c r="Y62" s="757"/>
      <c r="Z62" s="771">
        <v>1266.6975008629806</v>
      </c>
      <c r="AA62" s="747"/>
      <c r="AB62" s="757"/>
      <c r="AC62" s="771">
        <v>1266.6975008629806</v>
      </c>
      <c r="AD62" s="747"/>
      <c r="AE62" s="757"/>
      <c r="AF62" s="771">
        <v>1266.6975008629806</v>
      </c>
      <c r="AG62" s="747"/>
      <c r="AH62" s="757"/>
      <c r="AI62" s="771">
        <v>1266.6975008629806</v>
      </c>
      <c r="AJ62" s="747"/>
      <c r="AK62" s="757"/>
      <c r="AL62" s="771">
        <v>1266.6975008629806</v>
      </c>
      <c r="AM62" s="747"/>
      <c r="AN62" s="757"/>
      <c r="AO62" s="771">
        <v>1266.6975008629806</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86588.888683050362</v>
      </c>
      <c r="F63" s="785"/>
      <c r="G63" s="786"/>
      <c r="H63" s="788">
        <v>7215.7407235875298</v>
      </c>
      <c r="I63" s="785"/>
      <c r="J63" s="786"/>
      <c r="K63" s="788">
        <v>7215.7407235875298</v>
      </c>
      <c r="L63" s="785"/>
      <c r="M63" s="786"/>
      <c r="N63" s="788">
        <v>7215.7407235875298</v>
      </c>
      <c r="O63" s="785"/>
      <c r="P63" s="786"/>
      <c r="Q63" s="788">
        <v>7215.7407235875298</v>
      </c>
      <c r="R63" s="785"/>
      <c r="S63" s="786"/>
      <c r="T63" s="788">
        <v>7215.7407235875298</v>
      </c>
      <c r="U63" s="785"/>
      <c r="V63" s="786"/>
      <c r="W63" s="788">
        <v>7215.7407235875298</v>
      </c>
      <c r="X63" s="785"/>
      <c r="Y63" s="786"/>
      <c r="Z63" s="788">
        <v>7215.7407235875298</v>
      </c>
      <c r="AA63" s="785"/>
      <c r="AB63" s="786"/>
      <c r="AC63" s="788">
        <v>7215.7407235875298</v>
      </c>
      <c r="AD63" s="785"/>
      <c r="AE63" s="786"/>
      <c r="AF63" s="788">
        <v>7215.7407235875298</v>
      </c>
      <c r="AG63" s="785"/>
      <c r="AH63" s="786"/>
      <c r="AI63" s="788">
        <v>7215.7407235875298</v>
      </c>
      <c r="AJ63" s="785"/>
      <c r="AK63" s="786"/>
      <c r="AL63" s="788">
        <v>7215.7407235875298</v>
      </c>
      <c r="AM63" s="785"/>
      <c r="AN63" s="786"/>
      <c r="AO63" s="788">
        <v>7215.7407235875298</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1167.0880000000002</v>
      </c>
      <c r="F64" s="747"/>
      <c r="G64" s="757"/>
      <c r="H64" s="771">
        <v>97.257333333333349</v>
      </c>
      <c r="I64" s="747"/>
      <c r="J64" s="757"/>
      <c r="K64" s="771">
        <v>97.257333333333349</v>
      </c>
      <c r="L64" s="747"/>
      <c r="M64" s="757"/>
      <c r="N64" s="771">
        <v>97.257333333333349</v>
      </c>
      <c r="O64" s="747"/>
      <c r="P64" s="757"/>
      <c r="Q64" s="771">
        <v>97.257333333333349</v>
      </c>
      <c r="R64" s="747"/>
      <c r="S64" s="757"/>
      <c r="T64" s="771">
        <v>97.257333333333349</v>
      </c>
      <c r="U64" s="747"/>
      <c r="V64" s="757"/>
      <c r="W64" s="771">
        <v>97.257333333333349</v>
      </c>
      <c r="X64" s="747"/>
      <c r="Y64" s="757"/>
      <c r="Z64" s="771">
        <v>97.257333333333349</v>
      </c>
      <c r="AA64" s="747"/>
      <c r="AB64" s="757"/>
      <c r="AC64" s="771">
        <v>97.257333333333349</v>
      </c>
      <c r="AD64" s="747"/>
      <c r="AE64" s="757"/>
      <c r="AF64" s="771">
        <v>97.257333333333349</v>
      </c>
      <c r="AG64" s="747"/>
      <c r="AH64" s="757"/>
      <c r="AI64" s="771">
        <v>97.257333333333349</v>
      </c>
      <c r="AJ64" s="747"/>
      <c r="AK64" s="757"/>
      <c r="AL64" s="771">
        <v>97.257333333333349</v>
      </c>
      <c r="AM64" s="747"/>
      <c r="AN64" s="757"/>
      <c r="AO64" s="771">
        <v>97.257333333333349</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340</v>
      </c>
      <c r="F65" s="747"/>
      <c r="G65" s="757"/>
      <c r="H65" s="771">
        <v>28.333333333333332</v>
      </c>
      <c r="I65" s="747"/>
      <c r="J65" s="757"/>
      <c r="K65" s="771">
        <v>28.333333333333332</v>
      </c>
      <c r="L65" s="747"/>
      <c r="M65" s="757"/>
      <c r="N65" s="771">
        <v>28.333333333333332</v>
      </c>
      <c r="O65" s="747"/>
      <c r="P65" s="757"/>
      <c r="Q65" s="771">
        <v>28.333333333333332</v>
      </c>
      <c r="R65" s="747"/>
      <c r="S65" s="757"/>
      <c r="T65" s="771">
        <v>28.333333333333332</v>
      </c>
      <c r="U65" s="747"/>
      <c r="V65" s="757"/>
      <c r="W65" s="771">
        <v>28.333333333333332</v>
      </c>
      <c r="X65" s="747"/>
      <c r="Y65" s="757"/>
      <c r="Z65" s="771">
        <v>28.333333333333332</v>
      </c>
      <c r="AA65" s="747"/>
      <c r="AB65" s="757"/>
      <c r="AC65" s="771">
        <v>28.333333333333332</v>
      </c>
      <c r="AD65" s="747"/>
      <c r="AE65" s="757"/>
      <c r="AF65" s="771">
        <v>28.333333333333332</v>
      </c>
      <c r="AG65" s="747"/>
      <c r="AH65" s="757"/>
      <c r="AI65" s="771">
        <v>28.333333333333332</v>
      </c>
      <c r="AJ65" s="747"/>
      <c r="AK65" s="757"/>
      <c r="AL65" s="771">
        <v>28.333333333333332</v>
      </c>
      <c r="AM65" s="747"/>
      <c r="AN65" s="757"/>
      <c r="AO65" s="771">
        <v>28.333333333333332</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8897.1707360294404</v>
      </c>
      <c r="F66" s="747"/>
      <c r="G66" s="757"/>
      <c r="H66" s="771">
        <v>741.43089466911999</v>
      </c>
      <c r="I66" s="747"/>
      <c r="J66" s="757"/>
      <c r="K66" s="771">
        <v>741.43089466911999</v>
      </c>
      <c r="L66" s="747"/>
      <c r="M66" s="757"/>
      <c r="N66" s="771">
        <v>741.43089466911999</v>
      </c>
      <c r="O66" s="747"/>
      <c r="P66" s="757"/>
      <c r="Q66" s="771">
        <v>741.43089466911999</v>
      </c>
      <c r="R66" s="747"/>
      <c r="S66" s="757"/>
      <c r="T66" s="771">
        <v>741.43089466911999</v>
      </c>
      <c r="U66" s="747"/>
      <c r="V66" s="757"/>
      <c r="W66" s="771">
        <v>741.43089466911999</v>
      </c>
      <c r="X66" s="747"/>
      <c r="Y66" s="757"/>
      <c r="Z66" s="771">
        <v>741.43089466911999</v>
      </c>
      <c r="AA66" s="747"/>
      <c r="AB66" s="757"/>
      <c r="AC66" s="771">
        <v>741.43089466911999</v>
      </c>
      <c r="AD66" s="747"/>
      <c r="AE66" s="757"/>
      <c r="AF66" s="771">
        <v>741.43089466911999</v>
      </c>
      <c r="AG66" s="747"/>
      <c r="AH66" s="757"/>
      <c r="AI66" s="771">
        <v>741.43089466911999</v>
      </c>
      <c r="AJ66" s="747"/>
      <c r="AK66" s="757"/>
      <c r="AL66" s="771">
        <v>741.43089466911999</v>
      </c>
      <c r="AM66" s="747"/>
      <c r="AN66" s="757"/>
      <c r="AO66" s="771">
        <v>741.43089466911999</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4137.6238190157865</v>
      </c>
      <c r="F67" s="747"/>
      <c r="G67" s="757"/>
      <c r="H67" s="771">
        <v>344.80198491798222</v>
      </c>
      <c r="I67" s="747"/>
      <c r="J67" s="757"/>
      <c r="K67" s="771">
        <v>344.80198491798222</v>
      </c>
      <c r="L67" s="747"/>
      <c r="M67" s="757"/>
      <c r="N67" s="771">
        <v>344.80198491798222</v>
      </c>
      <c r="O67" s="747"/>
      <c r="P67" s="757"/>
      <c r="Q67" s="771">
        <v>344.80198491798222</v>
      </c>
      <c r="R67" s="747"/>
      <c r="S67" s="757"/>
      <c r="T67" s="771">
        <v>344.80198491798222</v>
      </c>
      <c r="U67" s="747"/>
      <c r="V67" s="757"/>
      <c r="W67" s="771">
        <v>344.80198491798222</v>
      </c>
      <c r="X67" s="747"/>
      <c r="Y67" s="757"/>
      <c r="Z67" s="771">
        <v>344.80198491798222</v>
      </c>
      <c r="AA67" s="747"/>
      <c r="AB67" s="757"/>
      <c r="AC67" s="771">
        <v>344.80198491798222</v>
      </c>
      <c r="AD67" s="747"/>
      <c r="AE67" s="757"/>
      <c r="AF67" s="771">
        <v>344.80198491798222</v>
      </c>
      <c r="AG67" s="747"/>
      <c r="AH67" s="757"/>
      <c r="AI67" s="771">
        <v>344.80198491798222</v>
      </c>
      <c r="AJ67" s="747"/>
      <c r="AK67" s="757"/>
      <c r="AL67" s="771">
        <v>344.80198491798222</v>
      </c>
      <c r="AM67" s="747"/>
      <c r="AN67" s="757"/>
      <c r="AO67" s="771">
        <v>344.80198491798222</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1233.8687444210134</v>
      </c>
      <c r="F68" s="747"/>
      <c r="G68" s="757"/>
      <c r="H68" s="771">
        <v>102.82239536841776</v>
      </c>
      <c r="I68" s="747"/>
      <c r="J68" s="757"/>
      <c r="K68" s="771">
        <v>102.82239536841776</v>
      </c>
      <c r="L68" s="747"/>
      <c r="M68" s="757"/>
      <c r="N68" s="771">
        <v>102.82239536841776</v>
      </c>
      <c r="O68" s="747"/>
      <c r="P68" s="757"/>
      <c r="Q68" s="771">
        <v>102.82239536841776</v>
      </c>
      <c r="R68" s="747"/>
      <c r="S68" s="757"/>
      <c r="T68" s="771">
        <v>102.82239536841776</v>
      </c>
      <c r="U68" s="747"/>
      <c r="V68" s="757"/>
      <c r="W68" s="771">
        <v>102.82239536841776</v>
      </c>
      <c r="X68" s="747"/>
      <c r="Y68" s="757"/>
      <c r="Z68" s="771">
        <v>102.82239536841776</v>
      </c>
      <c r="AA68" s="747"/>
      <c r="AB68" s="757"/>
      <c r="AC68" s="771">
        <v>102.82239536841776</v>
      </c>
      <c r="AD68" s="747"/>
      <c r="AE68" s="757"/>
      <c r="AF68" s="771">
        <v>102.82239536841776</v>
      </c>
      <c r="AG68" s="747"/>
      <c r="AH68" s="757"/>
      <c r="AI68" s="771">
        <v>102.82239536841776</v>
      </c>
      <c r="AJ68" s="747"/>
      <c r="AK68" s="757"/>
      <c r="AL68" s="771">
        <v>102.82239536841776</v>
      </c>
      <c r="AM68" s="747"/>
      <c r="AN68" s="757"/>
      <c r="AO68" s="771">
        <v>102.82239536841776</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2414.0446220152535</v>
      </c>
      <c r="F69" s="747"/>
      <c r="G69" s="757"/>
      <c r="H69" s="771">
        <v>201.17038516793778</v>
      </c>
      <c r="I69" s="747"/>
      <c r="J69" s="757"/>
      <c r="K69" s="771">
        <v>201.17038516793778</v>
      </c>
      <c r="L69" s="747"/>
      <c r="M69" s="757"/>
      <c r="N69" s="771">
        <v>201.17038516793778</v>
      </c>
      <c r="O69" s="747"/>
      <c r="P69" s="757"/>
      <c r="Q69" s="771">
        <v>201.17038516793778</v>
      </c>
      <c r="R69" s="747"/>
      <c r="S69" s="757"/>
      <c r="T69" s="771">
        <v>201.17038516793778</v>
      </c>
      <c r="U69" s="747"/>
      <c r="V69" s="757"/>
      <c r="W69" s="771">
        <v>201.17038516793778</v>
      </c>
      <c r="X69" s="747"/>
      <c r="Y69" s="757"/>
      <c r="Z69" s="771">
        <v>201.17038516793778</v>
      </c>
      <c r="AA69" s="747"/>
      <c r="AB69" s="757"/>
      <c r="AC69" s="771">
        <v>201.17038516793778</v>
      </c>
      <c r="AD69" s="747"/>
      <c r="AE69" s="757"/>
      <c r="AF69" s="771">
        <v>201.17038516793778</v>
      </c>
      <c r="AG69" s="747"/>
      <c r="AH69" s="757"/>
      <c r="AI69" s="771">
        <v>201.17038516793778</v>
      </c>
      <c r="AJ69" s="747"/>
      <c r="AK69" s="757"/>
      <c r="AL69" s="771">
        <v>201.17038516793778</v>
      </c>
      <c r="AM69" s="747"/>
      <c r="AN69" s="757"/>
      <c r="AO69" s="771">
        <v>201.17038516793778</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23216.474999999995</v>
      </c>
      <c r="F70" s="747"/>
      <c r="G70" s="757"/>
      <c r="H70" s="771">
        <v>1934.7062499999995</v>
      </c>
      <c r="I70" s="747"/>
      <c r="J70" s="757"/>
      <c r="K70" s="771">
        <v>1934.7062499999995</v>
      </c>
      <c r="L70" s="747"/>
      <c r="M70" s="757"/>
      <c r="N70" s="771">
        <v>1934.7062499999995</v>
      </c>
      <c r="O70" s="747"/>
      <c r="P70" s="757"/>
      <c r="Q70" s="771">
        <v>1934.7062499999995</v>
      </c>
      <c r="R70" s="747"/>
      <c r="S70" s="757"/>
      <c r="T70" s="771">
        <v>1934.7062499999995</v>
      </c>
      <c r="U70" s="747"/>
      <c r="V70" s="757"/>
      <c r="W70" s="771">
        <v>1934.7062499999995</v>
      </c>
      <c r="X70" s="747"/>
      <c r="Y70" s="757"/>
      <c r="Z70" s="771">
        <v>1934.7062499999995</v>
      </c>
      <c r="AA70" s="747"/>
      <c r="AB70" s="757"/>
      <c r="AC70" s="771">
        <v>1934.7062499999995</v>
      </c>
      <c r="AD70" s="747"/>
      <c r="AE70" s="757"/>
      <c r="AF70" s="771">
        <v>1934.7062499999995</v>
      </c>
      <c r="AG70" s="747"/>
      <c r="AH70" s="757"/>
      <c r="AI70" s="771">
        <v>1934.7062499999995</v>
      </c>
      <c r="AJ70" s="747"/>
      <c r="AK70" s="757"/>
      <c r="AL70" s="771">
        <v>1934.7062499999995</v>
      </c>
      <c r="AM70" s="747"/>
      <c r="AN70" s="757"/>
      <c r="AO70" s="771">
        <v>1934.7062499999995</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42711.177790357877</v>
      </c>
      <c r="F71" s="747"/>
      <c r="G71" s="757"/>
      <c r="H71" s="771">
        <v>2786.751354489752</v>
      </c>
      <c r="I71" s="747"/>
      <c r="J71" s="757"/>
      <c r="K71" s="771">
        <v>2686.9399197668931</v>
      </c>
      <c r="L71" s="747"/>
      <c r="M71" s="757"/>
      <c r="N71" s="771">
        <v>2842.7950373258304</v>
      </c>
      <c r="O71" s="747"/>
      <c r="P71" s="757"/>
      <c r="Q71" s="771">
        <v>3725.0158256549021</v>
      </c>
      <c r="R71" s="747"/>
      <c r="S71" s="757"/>
      <c r="T71" s="771">
        <v>3960.0994470928576</v>
      </c>
      <c r="U71" s="747"/>
      <c r="V71" s="757"/>
      <c r="W71" s="771">
        <v>3689.0505916353209</v>
      </c>
      <c r="X71" s="747"/>
      <c r="Y71" s="757"/>
      <c r="Z71" s="771">
        <v>3605.8793737115443</v>
      </c>
      <c r="AA71" s="747"/>
      <c r="AB71" s="757"/>
      <c r="AC71" s="771">
        <v>3899.9394827825868</v>
      </c>
      <c r="AD71" s="747"/>
      <c r="AE71" s="757"/>
      <c r="AF71" s="771">
        <v>3172.2328259854512</v>
      </c>
      <c r="AG71" s="747"/>
      <c r="AH71" s="757"/>
      <c r="AI71" s="771">
        <v>4283.1051167853166</v>
      </c>
      <c r="AJ71" s="747"/>
      <c r="AK71" s="757"/>
      <c r="AL71" s="771">
        <v>5035.3183170192588</v>
      </c>
      <c r="AM71" s="747"/>
      <c r="AN71" s="757"/>
      <c r="AO71" s="771">
        <v>3024.0504981081649</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0.14155568933814175</v>
      </c>
      <c r="E75" s="779">
        <v>388869.2197074322</v>
      </c>
      <c r="F75" s="777" t="s">
        <v>119</v>
      </c>
      <c r="G75" s="778">
        <v>0.15496178649916384</v>
      </c>
      <c r="H75" s="779">
        <v>31633.254847579276</v>
      </c>
      <c r="I75" s="777" t="s">
        <v>119</v>
      </c>
      <c r="J75" s="778">
        <v>0.16800491690128572</v>
      </c>
      <c r="K75" s="779">
        <v>31533.443412856417</v>
      </c>
      <c r="L75" s="777" t="s">
        <v>119</v>
      </c>
      <c r="M75" s="778">
        <v>0.17756777544463656</v>
      </c>
      <c r="N75" s="779">
        <v>31689.298530415355</v>
      </c>
      <c r="O75" s="777" t="s">
        <v>119</v>
      </c>
      <c r="P75" s="778">
        <v>0.15706223973958813</v>
      </c>
      <c r="Q75" s="779">
        <v>32571.519318744424</v>
      </c>
      <c r="R75" s="777" t="s">
        <v>119</v>
      </c>
      <c r="S75" s="778">
        <v>0.15518403584454293</v>
      </c>
      <c r="T75" s="779">
        <v>32806.602940182383</v>
      </c>
      <c r="U75" s="777" t="s">
        <v>119</v>
      </c>
      <c r="V75" s="778">
        <v>0.12988697238888469</v>
      </c>
      <c r="W75" s="779">
        <v>32535.554084724845</v>
      </c>
      <c r="X75" s="777" t="s">
        <v>119</v>
      </c>
      <c r="Y75" s="778">
        <v>0.12955494000185713</v>
      </c>
      <c r="Z75" s="779">
        <v>32452.382866801068</v>
      </c>
      <c r="AA75" s="777" t="s">
        <v>119</v>
      </c>
      <c r="AB75" s="778">
        <v>0.10850348914690236</v>
      </c>
      <c r="AC75" s="779">
        <v>32746.442975872109</v>
      </c>
      <c r="AD75" s="777" t="s">
        <v>119</v>
      </c>
      <c r="AE75" s="778">
        <v>0.14712454065621342</v>
      </c>
      <c r="AF75" s="779">
        <v>32018.736319074975</v>
      </c>
      <c r="AG75" s="777" t="s">
        <v>119</v>
      </c>
      <c r="AH75" s="778">
        <v>0.13361055172542671</v>
      </c>
      <c r="AI75" s="779">
        <v>33129.608609874842</v>
      </c>
      <c r="AJ75" s="777" t="s">
        <v>119</v>
      </c>
      <c r="AK75" s="778">
        <v>0.11355832755817541</v>
      </c>
      <c r="AL75" s="779">
        <v>33881.821810108784</v>
      </c>
      <c r="AM75" s="777" t="s">
        <v>119</v>
      </c>
      <c r="AN75" s="778">
        <v>0.16660031748308876</v>
      </c>
      <c r="AO75" s="779">
        <v>31870.553991197688</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1.0518176664381125</v>
      </c>
      <c r="E77" s="789">
        <v>2889460.0925946105</v>
      </c>
      <c r="F77" s="777" t="s">
        <v>119</v>
      </c>
      <c r="G77" s="778">
        <v>1.142345104702525</v>
      </c>
      <c r="H77" s="789">
        <v>233193.58041303034</v>
      </c>
      <c r="I77" s="777" t="s">
        <v>119</v>
      </c>
      <c r="J77" s="778">
        <v>1.1255731560137028</v>
      </c>
      <c r="K77" s="789">
        <v>211262.84918817563</v>
      </c>
      <c r="L77" s="777" t="s">
        <v>119</v>
      </c>
      <c r="M77" s="778">
        <v>1.2941333944552857</v>
      </c>
      <c r="N77" s="789">
        <v>230955.07826452324</v>
      </c>
      <c r="O77" s="777" t="s">
        <v>119</v>
      </c>
      <c r="P77" s="778">
        <v>1.1133955843063774</v>
      </c>
      <c r="Q77" s="789">
        <v>230895.63630168443</v>
      </c>
      <c r="R77" s="777" t="s">
        <v>119</v>
      </c>
      <c r="S77" s="778">
        <v>1.1750583964248951</v>
      </c>
      <c r="T77" s="789">
        <v>248412.62848490715</v>
      </c>
      <c r="U77" s="777" t="s">
        <v>119</v>
      </c>
      <c r="V77" s="778">
        <v>0.96550648707046316</v>
      </c>
      <c r="W77" s="789">
        <v>241850.95665469518</v>
      </c>
      <c r="X77" s="777" t="s">
        <v>119</v>
      </c>
      <c r="Y77" s="778">
        <v>0.97805437255756611</v>
      </c>
      <c r="Z77" s="789">
        <v>244994.09256283118</v>
      </c>
      <c r="AA77" s="777" t="s">
        <v>119</v>
      </c>
      <c r="AB77" s="778">
        <v>0.89251279665929606</v>
      </c>
      <c r="AC77" s="789">
        <v>269361.10194087855</v>
      </c>
      <c r="AD77" s="777" t="s">
        <v>119</v>
      </c>
      <c r="AE77" s="778">
        <v>1.0679424548841379</v>
      </c>
      <c r="AF77" s="789">
        <v>232416.48004042031</v>
      </c>
      <c r="AG77" s="777" t="s">
        <v>119</v>
      </c>
      <c r="AH77" s="778">
        <v>1.0982561509578477</v>
      </c>
      <c r="AI77" s="789">
        <v>272319.78286709613</v>
      </c>
      <c r="AJ77" s="777" t="s">
        <v>119</v>
      </c>
      <c r="AK77" s="778">
        <v>0.87335597086930339</v>
      </c>
      <c r="AL77" s="789">
        <v>260578.7881705903</v>
      </c>
      <c r="AM77" s="777" t="s">
        <v>119</v>
      </c>
      <c r="AN77" s="778">
        <v>1.114582843870789</v>
      </c>
      <c r="AO77" s="789">
        <v>213219.11770577772</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100000</v>
      </c>
      <c r="F78" s="747"/>
      <c r="G78" s="757"/>
      <c r="H78" s="771">
        <v>0</v>
      </c>
      <c r="I78" s="747"/>
      <c r="J78" s="757"/>
      <c r="K78" s="771">
        <v>0</v>
      </c>
      <c r="L78" s="747"/>
      <c r="M78" s="757"/>
      <c r="N78" s="771">
        <v>25000</v>
      </c>
      <c r="O78" s="747"/>
      <c r="P78" s="757"/>
      <c r="Q78" s="771">
        <v>0</v>
      </c>
      <c r="R78" s="747"/>
      <c r="S78" s="757"/>
      <c r="T78" s="771">
        <v>0</v>
      </c>
      <c r="U78" s="747"/>
      <c r="V78" s="757"/>
      <c r="W78" s="771">
        <v>25000</v>
      </c>
      <c r="X78" s="747"/>
      <c r="Y78" s="757"/>
      <c r="Z78" s="771">
        <v>0</v>
      </c>
      <c r="AA78" s="747"/>
      <c r="AB78" s="757"/>
      <c r="AC78" s="771">
        <v>0</v>
      </c>
      <c r="AD78" s="747"/>
      <c r="AE78" s="757"/>
      <c r="AF78" s="771">
        <v>25000</v>
      </c>
      <c r="AG78" s="747"/>
      <c r="AH78" s="757"/>
      <c r="AI78" s="771">
        <v>0</v>
      </c>
      <c r="AJ78" s="747"/>
      <c r="AK78" s="757"/>
      <c r="AL78" s="771">
        <v>0</v>
      </c>
      <c r="AM78" s="747"/>
      <c r="AN78" s="757"/>
      <c r="AO78" s="771">
        <v>25000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1145900.2452170278</v>
      </c>
      <c r="F81" s="747"/>
      <c r="G81" s="757"/>
      <c r="H81" s="771">
        <v>84434.754910728356</v>
      </c>
      <c r="I81" s="747"/>
      <c r="J81" s="757"/>
      <c r="K81" s="771">
        <v>76895.937507984767</v>
      </c>
      <c r="L81" s="747"/>
      <c r="M81" s="757"/>
      <c r="N81" s="771">
        <v>72372.647066338584</v>
      </c>
      <c r="O81" s="747"/>
      <c r="P81" s="757"/>
      <c r="Q81" s="771">
        <v>85942.518391277088</v>
      </c>
      <c r="R81" s="747"/>
      <c r="S81" s="757"/>
      <c r="T81" s="771">
        <v>87450.281871825806</v>
      </c>
      <c r="U81" s="747"/>
      <c r="V81" s="757"/>
      <c r="W81" s="771">
        <v>105543.44363841046</v>
      </c>
      <c r="X81" s="747"/>
      <c r="Y81" s="757"/>
      <c r="Z81" s="771">
        <v>105543.44363841046</v>
      </c>
      <c r="AA81" s="747"/>
      <c r="AB81" s="757"/>
      <c r="AC81" s="771">
        <v>128159.89584664126</v>
      </c>
      <c r="AD81" s="747"/>
      <c r="AE81" s="757"/>
      <c r="AF81" s="771">
        <v>90465.808832923241</v>
      </c>
      <c r="AG81" s="747"/>
      <c r="AH81" s="757"/>
      <c r="AI81" s="771">
        <v>104035.68015786173</v>
      </c>
      <c r="AJ81" s="747"/>
      <c r="AK81" s="757"/>
      <c r="AL81" s="771">
        <v>126652.13236609256</v>
      </c>
      <c r="AM81" s="747"/>
      <c r="AN81" s="757"/>
      <c r="AO81" s="771">
        <v>78403.70098853347</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379239.99999999994</v>
      </c>
      <c r="F85" s="747"/>
      <c r="G85" s="757"/>
      <c r="H85" s="771">
        <v>28442.999999999996</v>
      </c>
      <c r="I85" s="747"/>
      <c r="J85" s="757"/>
      <c r="K85" s="771">
        <v>26072.749999999996</v>
      </c>
      <c r="L85" s="747"/>
      <c r="M85" s="757"/>
      <c r="N85" s="771">
        <v>24650.6</v>
      </c>
      <c r="O85" s="747"/>
      <c r="P85" s="757"/>
      <c r="Q85" s="771">
        <v>28442.999999999996</v>
      </c>
      <c r="R85" s="747"/>
      <c r="S85" s="757"/>
      <c r="T85" s="771">
        <v>28917.049999999996</v>
      </c>
      <c r="U85" s="747"/>
      <c r="V85" s="757"/>
      <c r="W85" s="771">
        <v>34605.649999999994</v>
      </c>
      <c r="X85" s="747"/>
      <c r="Y85" s="757"/>
      <c r="Z85" s="771">
        <v>34605.649999999994</v>
      </c>
      <c r="AA85" s="747"/>
      <c r="AB85" s="757"/>
      <c r="AC85" s="771">
        <v>41716.399999999994</v>
      </c>
      <c r="AD85" s="747"/>
      <c r="AE85" s="757"/>
      <c r="AF85" s="771">
        <v>29865.149999999998</v>
      </c>
      <c r="AG85" s="747"/>
      <c r="AH85" s="757"/>
      <c r="AI85" s="771">
        <v>34131.599999999999</v>
      </c>
      <c r="AJ85" s="747"/>
      <c r="AK85" s="757"/>
      <c r="AL85" s="771">
        <v>41242.35</v>
      </c>
      <c r="AM85" s="747"/>
      <c r="AN85" s="757"/>
      <c r="AO85" s="771">
        <v>26546.799999999996</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1625140.2452170278</v>
      </c>
      <c r="F86" s="790"/>
      <c r="G86" s="791"/>
      <c r="H86" s="792">
        <v>112877.75491072836</v>
      </c>
      <c r="I86" s="790"/>
      <c r="J86" s="791"/>
      <c r="K86" s="792">
        <v>102968.68750798477</v>
      </c>
      <c r="L86" s="790"/>
      <c r="M86" s="791"/>
      <c r="N86" s="792">
        <v>122023.24706633858</v>
      </c>
      <c r="O86" s="790"/>
      <c r="P86" s="791"/>
      <c r="Q86" s="792">
        <v>114385.51839127709</v>
      </c>
      <c r="R86" s="790"/>
      <c r="S86" s="791"/>
      <c r="T86" s="792">
        <v>116367.33187182579</v>
      </c>
      <c r="U86" s="790"/>
      <c r="V86" s="791"/>
      <c r="W86" s="792">
        <v>165149.09363841044</v>
      </c>
      <c r="X86" s="790"/>
      <c r="Y86" s="791"/>
      <c r="Z86" s="792">
        <v>140149.09363841044</v>
      </c>
      <c r="AA86" s="790"/>
      <c r="AB86" s="791"/>
      <c r="AC86" s="792">
        <v>169876.29584664124</v>
      </c>
      <c r="AD86" s="790"/>
      <c r="AE86" s="791"/>
      <c r="AF86" s="792">
        <v>145330.95883292324</v>
      </c>
      <c r="AG86" s="790"/>
      <c r="AH86" s="791"/>
      <c r="AI86" s="792">
        <v>138167.28015786174</v>
      </c>
      <c r="AJ86" s="790"/>
      <c r="AK86" s="791"/>
      <c r="AL86" s="792">
        <v>167894.48236609256</v>
      </c>
      <c r="AM86" s="790"/>
      <c r="AN86" s="791"/>
      <c r="AO86" s="792">
        <v>129950.50098853346</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57" t="s">
        <v>151</v>
      </c>
      <c r="C88" s="796"/>
      <c r="D88" s="797"/>
      <c r="E88" s="798">
        <v>1482791.3533493567</v>
      </c>
      <c r="F88" s="796"/>
      <c r="G88" s="797"/>
      <c r="H88" s="798">
        <v>83820.017031689218</v>
      </c>
      <c r="I88" s="796"/>
      <c r="J88" s="797"/>
      <c r="K88" s="798">
        <v>79399.412975034575</v>
      </c>
      <c r="L88" s="796"/>
      <c r="M88" s="797"/>
      <c r="N88" s="798">
        <v>69531.284933467774</v>
      </c>
      <c r="O88" s="796"/>
      <c r="P88" s="797"/>
      <c r="Q88" s="798">
        <v>90869.576742798643</v>
      </c>
      <c r="R88" s="796"/>
      <c r="S88" s="797"/>
      <c r="T88" s="798">
        <v>79359.199742759694</v>
      </c>
      <c r="U88" s="796"/>
      <c r="V88" s="797"/>
      <c r="W88" s="798">
        <v>173789.41787455487</v>
      </c>
      <c r="X88" s="796"/>
      <c r="Y88" s="797"/>
      <c r="Z88" s="798">
        <v>145646.28196641887</v>
      </c>
      <c r="AA88" s="796"/>
      <c r="AB88" s="797"/>
      <c r="AC88" s="798">
        <v>202316.02292368351</v>
      </c>
      <c r="AD88" s="796"/>
      <c r="AE88" s="797"/>
      <c r="AF88" s="798">
        <v>130544.63196928191</v>
      </c>
      <c r="AG88" s="796"/>
      <c r="AH88" s="797"/>
      <c r="AI88" s="798">
        <v>113804.02603826366</v>
      </c>
      <c r="AJ88" s="796"/>
      <c r="AK88" s="797"/>
      <c r="AL88" s="798">
        <v>205680.61853582668</v>
      </c>
      <c r="AM88" s="796"/>
      <c r="AN88" s="797"/>
      <c r="AO88" s="798">
        <v>108030.86261557753</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3933</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40" t="s">
        <v>3</v>
      </c>
      <c r="C94" s="969">
        <v>2025</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18869045.323906403</v>
      </c>
      <c r="F96" s="735"/>
      <c r="G96" s="736"/>
      <c r="H96" s="805">
        <v>1038927.9928148522</v>
      </c>
      <c r="I96" s="735"/>
      <c r="J96" s="736"/>
      <c r="K96" s="805">
        <v>1318990.1726734482</v>
      </c>
      <c r="L96" s="735"/>
      <c r="M96" s="736"/>
      <c r="N96" s="805">
        <v>1322790.1726734482</v>
      </c>
      <c r="O96" s="735"/>
      <c r="P96" s="736"/>
      <c r="Q96" s="805">
        <v>1417410.8992929801</v>
      </c>
      <c r="R96" s="735"/>
      <c r="S96" s="736"/>
      <c r="T96" s="805">
        <v>2037727.6949818912</v>
      </c>
      <c r="U96" s="735"/>
      <c r="V96" s="736"/>
      <c r="W96" s="805">
        <v>1743301.3697993888</v>
      </c>
      <c r="X96" s="735"/>
      <c r="Y96" s="736"/>
      <c r="Z96" s="805">
        <v>1699373.0791515762</v>
      </c>
      <c r="AA96" s="735"/>
      <c r="AB96" s="736"/>
      <c r="AC96" s="805">
        <v>1510131.6259125122</v>
      </c>
      <c r="AD96" s="735"/>
      <c r="AE96" s="736"/>
      <c r="AF96" s="805">
        <v>1226269.4460539161</v>
      </c>
      <c r="AG96" s="735"/>
      <c r="AH96" s="736"/>
      <c r="AI96" s="805">
        <v>2168676.7122492362</v>
      </c>
      <c r="AJ96" s="735"/>
      <c r="AK96" s="736"/>
      <c r="AL96" s="805">
        <v>1792093.8057711083</v>
      </c>
      <c r="AM96" s="735"/>
      <c r="AN96" s="736"/>
      <c r="AO96" s="805">
        <v>1593352.3525320443</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287</v>
      </c>
      <c r="D97" s="740">
        <v>1400</v>
      </c>
      <c r="E97" s="741">
        <v>401800</v>
      </c>
      <c r="F97" s="742">
        <v>16</v>
      </c>
      <c r="G97" s="740">
        <v>1400</v>
      </c>
      <c r="H97" s="743">
        <v>22400</v>
      </c>
      <c r="I97" s="742">
        <v>20</v>
      </c>
      <c r="J97" s="740">
        <v>1400</v>
      </c>
      <c r="K97" s="743">
        <v>28000</v>
      </c>
      <c r="L97" s="742">
        <v>20</v>
      </c>
      <c r="M97" s="740">
        <v>1400</v>
      </c>
      <c r="N97" s="743">
        <v>28000</v>
      </c>
      <c r="O97" s="742">
        <v>22</v>
      </c>
      <c r="P97" s="740">
        <v>1400</v>
      </c>
      <c r="Q97" s="743">
        <v>30800</v>
      </c>
      <c r="R97" s="742">
        <v>31</v>
      </c>
      <c r="S97" s="740">
        <v>1400</v>
      </c>
      <c r="T97" s="743">
        <v>43400</v>
      </c>
      <c r="U97" s="742">
        <v>30</v>
      </c>
      <c r="V97" s="740">
        <v>1400</v>
      </c>
      <c r="W97" s="743">
        <v>42000</v>
      </c>
      <c r="X97" s="742">
        <v>26</v>
      </c>
      <c r="Y97" s="740">
        <v>1400</v>
      </c>
      <c r="Z97" s="743">
        <v>36400</v>
      </c>
      <c r="AA97" s="742">
        <v>23</v>
      </c>
      <c r="AB97" s="740">
        <v>1400</v>
      </c>
      <c r="AC97" s="743">
        <v>32200</v>
      </c>
      <c r="AD97" s="742">
        <v>19</v>
      </c>
      <c r="AE97" s="740">
        <v>1400</v>
      </c>
      <c r="AF97" s="743">
        <v>26600</v>
      </c>
      <c r="AG97" s="742">
        <v>33</v>
      </c>
      <c r="AH97" s="740">
        <v>1400</v>
      </c>
      <c r="AI97" s="743">
        <v>46200</v>
      </c>
      <c r="AJ97" s="742">
        <v>27</v>
      </c>
      <c r="AK97" s="740">
        <v>1400</v>
      </c>
      <c r="AL97" s="743">
        <v>37800</v>
      </c>
      <c r="AM97" s="742">
        <v>20</v>
      </c>
      <c r="AN97" s="740">
        <v>1400</v>
      </c>
      <c r="AO97" s="743">
        <v>28000</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34</v>
      </c>
      <c r="D98" s="740">
        <v>1800</v>
      </c>
      <c r="E98" s="741">
        <v>61200</v>
      </c>
      <c r="F98" s="742">
        <v>2</v>
      </c>
      <c r="G98" s="740">
        <v>1800</v>
      </c>
      <c r="H98" s="743">
        <v>3600</v>
      </c>
      <c r="I98" s="742">
        <v>2</v>
      </c>
      <c r="J98" s="740">
        <v>1800</v>
      </c>
      <c r="K98" s="743">
        <v>3600</v>
      </c>
      <c r="L98" s="742">
        <v>2</v>
      </c>
      <c r="M98" s="740">
        <v>1800</v>
      </c>
      <c r="N98" s="743">
        <v>3600</v>
      </c>
      <c r="O98" s="742">
        <v>3</v>
      </c>
      <c r="P98" s="740">
        <v>1800</v>
      </c>
      <c r="Q98" s="743">
        <v>5400</v>
      </c>
      <c r="R98" s="742">
        <v>4</v>
      </c>
      <c r="S98" s="740">
        <v>1800</v>
      </c>
      <c r="T98" s="743">
        <v>7200</v>
      </c>
      <c r="U98" s="742">
        <v>3</v>
      </c>
      <c r="V98" s="740">
        <v>1800</v>
      </c>
      <c r="W98" s="743">
        <v>5400</v>
      </c>
      <c r="X98" s="742">
        <v>3</v>
      </c>
      <c r="Y98" s="740">
        <v>1800</v>
      </c>
      <c r="Z98" s="743">
        <v>5400</v>
      </c>
      <c r="AA98" s="742">
        <v>3</v>
      </c>
      <c r="AB98" s="740">
        <v>1800</v>
      </c>
      <c r="AC98" s="743">
        <v>5400</v>
      </c>
      <c r="AD98" s="742">
        <v>2</v>
      </c>
      <c r="AE98" s="740">
        <v>1800</v>
      </c>
      <c r="AF98" s="743">
        <v>3600</v>
      </c>
      <c r="AG98" s="742">
        <v>4</v>
      </c>
      <c r="AH98" s="740">
        <v>1800</v>
      </c>
      <c r="AI98" s="743">
        <v>7200</v>
      </c>
      <c r="AJ98" s="742">
        <v>3</v>
      </c>
      <c r="AK98" s="740">
        <v>1800</v>
      </c>
      <c r="AL98" s="743">
        <v>5400</v>
      </c>
      <c r="AM98" s="742">
        <v>3</v>
      </c>
      <c r="AN98" s="740">
        <v>1800</v>
      </c>
      <c r="AO98" s="743">
        <v>5400</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3859</v>
      </c>
      <c r="C99" s="739">
        <v>50</v>
      </c>
      <c r="D99" s="740">
        <v>1500</v>
      </c>
      <c r="E99" s="741">
        <v>75000</v>
      </c>
      <c r="F99" s="742">
        <v>3</v>
      </c>
      <c r="G99" s="740">
        <v>1500</v>
      </c>
      <c r="H99" s="743">
        <v>4500</v>
      </c>
      <c r="I99" s="742">
        <v>3</v>
      </c>
      <c r="J99" s="740">
        <v>1500</v>
      </c>
      <c r="K99" s="743">
        <v>4500</v>
      </c>
      <c r="L99" s="742">
        <v>5</v>
      </c>
      <c r="M99" s="740">
        <v>1500</v>
      </c>
      <c r="N99" s="743">
        <v>7500</v>
      </c>
      <c r="O99" s="742">
        <v>4</v>
      </c>
      <c r="P99" s="740">
        <v>1500</v>
      </c>
      <c r="Q99" s="743">
        <v>6000</v>
      </c>
      <c r="R99" s="742">
        <v>5</v>
      </c>
      <c r="S99" s="740">
        <v>1500</v>
      </c>
      <c r="T99" s="743">
        <v>7500</v>
      </c>
      <c r="U99" s="742">
        <v>5</v>
      </c>
      <c r="V99" s="740">
        <v>1500</v>
      </c>
      <c r="W99" s="743">
        <v>7500</v>
      </c>
      <c r="X99" s="742">
        <v>5</v>
      </c>
      <c r="Y99" s="740">
        <v>1500</v>
      </c>
      <c r="Z99" s="743">
        <v>7500</v>
      </c>
      <c r="AA99" s="742">
        <v>4</v>
      </c>
      <c r="AB99" s="740">
        <v>1500</v>
      </c>
      <c r="AC99" s="743">
        <v>6000</v>
      </c>
      <c r="AD99" s="742">
        <v>3</v>
      </c>
      <c r="AE99" s="740">
        <v>1500</v>
      </c>
      <c r="AF99" s="743">
        <v>4500</v>
      </c>
      <c r="AG99" s="742">
        <v>5</v>
      </c>
      <c r="AH99" s="740">
        <v>1500</v>
      </c>
      <c r="AI99" s="743">
        <v>7500</v>
      </c>
      <c r="AJ99" s="742">
        <v>5</v>
      </c>
      <c r="AK99" s="740">
        <v>1500</v>
      </c>
      <c r="AL99" s="743">
        <v>7500</v>
      </c>
      <c r="AM99" s="742">
        <v>3</v>
      </c>
      <c r="AN99" s="740">
        <v>1500</v>
      </c>
      <c r="AO99" s="743">
        <v>4500</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371</v>
      </c>
      <c r="D100" s="745">
        <v>1450.134770889488</v>
      </c>
      <c r="E100" s="746">
        <v>538000</v>
      </c>
      <c r="F100" s="744">
        <v>21</v>
      </c>
      <c r="G100" s="745">
        <v>1452.3809523809523</v>
      </c>
      <c r="H100" s="746">
        <v>30500</v>
      </c>
      <c r="I100" s="744">
        <v>25</v>
      </c>
      <c r="J100" s="745">
        <v>1444</v>
      </c>
      <c r="K100" s="746">
        <v>36100</v>
      </c>
      <c r="L100" s="744">
        <v>27</v>
      </c>
      <c r="M100" s="745">
        <v>1448.148148148148</v>
      </c>
      <c r="N100" s="746">
        <v>39100</v>
      </c>
      <c r="O100" s="744">
        <v>29</v>
      </c>
      <c r="P100" s="745">
        <v>1455.1724137931035</v>
      </c>
      <c r="Q100" s="746">
        <v>42200</v>
      </c>
      <c r="R100" s="744">
        <v>40</v>
      </c>
      <c r="S100" s="745">
        <v>1452.5</v>
      </c>
      <c r="T100" s="746">
        <v>58100</v>
      </c>
      <c r="U100" s="744">
        <v>38</v>
      </c>
      <c r="V100" s="745">
        <v>1444.7368421052631</v>
      </c>
      <c r="W100" s="746">
        <v>54900</v>
      </c>
      <c r="X100" s="744">
        <v>34</v>
      </c>
      <c r="Y100" s="745">
        <v>1450</v>
      </c>
      <c r="Z100" s="746">
        <v>49300</v>
      </c>
      <c r="AA100" s="744">
        <v>30</v>
      </c>
      <c r="AB100" s="745">
        <v>1453.3333333333333</v>
      </c>
      <c r="AC100" s="746">
        <v>43600</v>
      </c>
      <c r="AD100" s="744">
        <v>24</v>
      </c>
      <c r="AE100" s="745">
        <v>1445.8333333333333</v>
      </c>
      <c r="AF100" s="746">
        <v>34700</v>
      </c>
      <c r="AG100" s="744">
        <v>42</v>
      </c>
      <c r="AH100" s="745">
        <v>1450</v>
      </c>
      <c r="AI100" s="746">
        <v>60900</v>
      </c>
      <c r="AJ100" s="744">
        <v>35</v>
      </c>
      <c r="AK100" s="745">
        <v>1448.5714285714287</v>
      </c>
      <c r="AL100" s="746">
        <v>50700</v>
      </c>
      <c r="AM100" s="744">
        <v>26</v>
      </c>
      <c r="AN100" s="745">
        <v>1457.6923076923076</v>
      </c>
      <c r="AO100" s="746">
        <v>37900</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v>0</v>
      </c>
      <c r="G102" s="757"/>
      <c r="H102" s="748">
        <v>0</v>
      </c>
      <c r="I102" s="747"/>
      <c r="J102" s="757"/>
      <c r="K102" s="748"/>
      <c r="L102" s="747"/>
      <c r="M102" s="757"/>
      <c r="N102" s="748"/>
      <c r="O102" s="747"/>
      <c r="P102" s="757"/>
      <c r="Q102" s="748"/>
      <c r="R102" s="747"/>
      <c r="S102" s="757"/>
      <c r="T102" s="748"/>
      <c r="U102" s="747"/>
      <c r="V102" s="757"/>
      <c r="W102" s="748"/>
      <c r="X102" s="747"/>
      <c r="Y102" s="757"/>
      <c r="Z102" s="748"/>
      <c r="AA102" s="747"/>
      <c r="AB102" s="757"/>
      <c r="AC102" s="748"/>
      <c r="AD102" s="747"/>
      <c r="AE102" s="757"/>
      <c r="AF102" s="748"/>
      <c r="AG102" s="747"/>
      <c r="AH102" s="757"/>
      <c r="AI102" s="748"/>
      <c r="AJ102" s="747"/>
      <c r="AK102" s="757"/>
      <c r="AL102" s="748"/>
      <c r="AM102" s="747"/>
      <c r="AN102" s="757"/>
      <c r="AO102" s="748"/>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409</v>
      </c>
      <c r="D103" s="740">
        <v>400</v>
      </c>
      <c r="E103" s="741">
        <v>163600</v>
      </c>
      <c r="F103" s="742">
        <v>22</v>
      </c>
      <c r="G103" s="740">
        <v>400</v>
      </c>
      <c r="H103" s="743">
        <v>8800</v>
      </c>
      <c r="I103" s="742">
        <v>29</v>
      </c>
      <c r="J103" s="740">
        <v>400</v>
      </c>
      <c r="K103" s="743">
        <v>11600</v>
      </c>
      <c r="L103" s="742">
        <v>29</v>
      </c>
      <c r="M103" s="740">
        <v>400</v>
      </c>
      <c r="N103" s="743">
        <v>11600</v>
      </c>
      <c r="O103" s="742">
        <v>31</v>
      </c>
      <c r="P103" s="740">
        <v>400</v>
      </c>
      <c r="Q103" s="743">
        <v>12400</v>
      </c>
      <c r="R103" s="742">
        <v>44</v>
      </c>
      <c r="S103" s="740">
        <v>400</v>
      </c>
      <c r="T103" s="743">
        <v>17600</v>
      </c>
      <c r="U103" s="742">
        <v>38</v>
      </c>
      <c r="V103" s="740">
        <v>400</v>
      </c>
      <c r="W103" s="743">
        <v>15200</v>
      </c>
      <c r="X103" s="742">
        <v>37</v>
      </c>
      <c r="Y103" s="740">
        <v>400</v>
      </c>
      <c r="Z103" s="743">
        <v>14800</v>
      </c>
      <c r="AA103" s="742">
        <v>33</v>
      </c>
      <c r="AB103" s="740">
        <v>400</v>
      </c>
      <c r="AC103" s="743">
        <v>13200</v>
      </c>
      <c r="AD103" s="742">
        <v>27</v>
      </c>
      <c r="AE103" s="740">
        <v>400</v>
      </c>
      <c r="AF103" s="743">
        <v>10800</v>
      </c>
      <c r="AG103" s="742">
        <v>45</v>
      </c>
      <c r="AH103" s="740">
        <v>400</v>
      </c>
      <c r="AI103" s="743">
        <v>18000</v>
      </c>
      <c r="AJ103" s="742">
        <v>39</v>
      </c>
      <c r="AK103" s="740">
        <v>400</v>
      </c>
      <c r="AL103" s="743">
        <v>15600</v>
      </c>
      <c r="AM103" s="742">
        <v>35</v>
      </c>
      <c r="AN103" s="740">
        <v>400</v>
      </c>
      <c r="AO103" s="743">
        <v>14000</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600</v>
      </c>
      <c r="E105" s="741">
        <v>222600</v>
      </c>
      <c r="F105" s="742"/>
      <c r="G105" s="740">
        <v>600</v>
      </c>
      <c r="H105" s="743">
        <v>12600</v>
      </c>
      <c r="I105" s="742"/>
      <c r="J105" s="740">
        <v>600</v>
      </c>
      <c r="K105" s="743">
        <v>15000</v>
      </c>
      <c r="L105" s="742"/>
      <c r="M105" s="740">
        <v>600</v>
      </c>
      <c r="N105" s="743">
        <v>16200</v>
      </c>
      <c r="O105" s="742"/>
      <c r="P105" s="740">
        <v>600</v>
      </c>
      <c r="Q105" s="743">
        <v>17400</v>
      </c>
      <c r="R105" s="742"/>
      <c r="S105" s="740">
        <v>600</v>
      </c>
      <c r="T105" s="743">
        <v>24000</v>
      </c>
      <c r="U105" s="742"/>
      <c r="V105" s="740">
        <v>600</v>
      </c>
      <c r="W105" s="743">
        <v>22800</v>
      </c>
      <c r="X105" s="742"/>
      <c r="Y105" s="740">
        <v>600</v>
      </c>
      <c r="Z105" s="743">
        <v>20400</v>
      </c>
      <c r="AA105" s="742"/>
      <c r="AB105" s="740">
        <v>600</v>
      </c>
      <c r="AC105" s="743">
        <v>18000</v>
      </c>
      <c r="AD105" s="742"/>
      <c r="AE105" s="740">
        <v>600</v>
      </c>
      <c r="AF105" s="743">
        <v>14400</v>
      </c>
      <c r="AG105" s="742"/>
      <c r="AH105" s="740">
        <v>600</v>
      </c>
      <c r="AI105" s="743">
        <v>25200</v>
      </c>
      <c r="AJ105" s="742"/>
      <c r="AK105" s="740">
        <v>600</v>
      </c>
      <c r="AL105" s="743">
        <v>21000</v>
      </c>
      <c r="AM105" s="742"/>
      <c r="AN105" s="740">
        <v>600</v>
      </c>
      <c r="AO105" s="743">
        <v>15600</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1250</v>
      </c>
      <c r="E106" s="741">
        <v>463750</v>
      </c>
      <c r="F106" s="742"/>
      <c r="G106" s="740">
        <v>1250</v>
      </c>
      <c r="H106" s="743">
        <v>26250</v>
      </c>
      <c r="I106" s="742"/>
      <c r="J106" s="740">
        <v>1250</v>
      </c>
      <c r="K106" s="743">
        <v>31250</v>
      </c>
      <c r="L106" s="742"/>
      <c r="M106" s="740">
        <v>1250</v>
      </c>
      <c r="N106" s="743">
        <v>33750</v>
      </c>
      <c r="O106" s="742"/>
      <c r="P106" s="740">
        <v>1250</v>
      </c>
      <c r="Q106" s="743">
        <v>36250</v>
      </c>
      <c r="R106" s="742"/>
      <c r="S106" s="740">
        <v>1250</v>
      </c>
      <c r="T106" s="743">
        <v>50000</v>
      </c>
      <c r="U106" s="742"/>
      <c r="V106" s="740">
        <v>1250</v>
      </c>
      <c r="W106" s="743">
        <v>47500</v>
      </c>
      <c r="X106" s="742"/>
      <c r="Y106" s="740">
        <v>1250</v>
      </c>
      <c r="Z106" s="743">
        <v>42500</v>
      </c>
      <c r="AA106" s="742"/>
      <c r="AB106" s="740">
        <v>1250</v>
      </c>
      <c r="AC106" s="743">
        <v>37500</v>
      </c>
      <c r="AD106" s="742"/>
      <c r="AE106" s="740">
        <v>1250</v>
      </c>
      <c r="AF106" s="743">
        <v>30000</v>
      </c>
      <c r="AG106" s="742"/>
      <c r="AH106" s="740">
        <v>1250</v>
      </c>
      <c r="AI106" s="743">
        <v>52500</v>
      </c>
      <c r="AJ106" s="742"/>
      <c r="AK106" s="740">
        <v>1250</v>
      </c>
      <c r="AL106" s="743">
        <v>43750</v>
      </c>
      <c r="AM106" s="742"/>
      <c r="AN106" s="740">
        <v>1250</v>
      </c>
      <c r="AO106" s="743">
        <v>32500</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50</v>
      </c>
      <c r="E107" s="741">
        <v>18550</v>
      </c>
      <c r="F107" s="742"/>
      <c r="G107" s="807">
        <v>50</v>
      </c>
      <c r="H107" s="743">
        <v>1050</v>
      </c>
      <c r="I107" s="742"/>
      <c r="J107" s="807">
        <v>50</v>
      </c>
      <c r="K107" s="743">
        <v>1250</v>
      </c>
      <c r="L107" s="742"/>
      <c r="M107" s="807">
        <v>50</v>
      </c>
      <c r="N107" s="743">
        <v>1350</v>
      </c>
      <c r="O107" s="742"/>
      <c r="P107" s="807">
        <v>50</v>
      </c>
      <c r="Q107" s="743">
        <v>1450</v>
      </c>
      <c r="R107" s="742"/>
      <c r="S107" s="807">
        <v>50</v>
      </c>
      <c r="T107" s="743">
        <v>2000</v>
      </c>
      <c r="U107" s="742"/>
      <c r="V107" s="807">
        <v>50</v>
      </c>
      <c r="W107" s="743">
        <v>1900</v>
      </c>
      <c r="X107" s="742"/>
      <c r="Y107" s="807">
        <v>50</v>
      </c>
      <c r="Z107" s="743">
        <v>1700</v>
      </c>
      <c r="AA107" s="742"/>
      <c r="AB107" s="807">
        <v>50</v>
      </c>
      <c r="AC107" s="743">
        <v>1500</v>
      </c>
      <c r="AD107" s="742"/>
      <c r="AE107" s="807">
        <v>50</v>
      </c>
      <c r="AF107" s="743">
        <v>1200</v>
      </c>
      <c r="AG107" s="742"/>
      <c r="AH107" s="807">
        <v>50</v>
      </c>
      <c r="AI107" s="743">
        <v>2100</v>
      </c>
      <c r="AJ107" s="742"/>
      <c r="AK107" s="807">
        <v>50</v>
      </c>
      <c r="AL107" s="743">
        <v>1750</v>
      </c>
      <c r="AM107" s="742"/>
      <c r="AN107" s="807">
        <v>50</v>
      </c>
      <c r="AO107" s="743">
        <v>1300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371</v>
      </c>
      <c r="D108" s="745">
        <v>1900</v>
      </c>
      <c r="E108" s="746">
        <v>704900</v>
      </c>
      <c r="F108" s="744">
        <v>21</v>
      </c>
      <c r="G108" s="745">
        <v>1900</v>
      </c>
      <c r="H108" s="746">
        <v>39900</v>
      </c>
      <c r="I108" s="744">
        <v>25</v>
      </c>
      <c r="J108" s="745">
        <v>1900</v>
      </c>
      <c r="K108" s="746">
        <v>47500</v>
      </c>
      <c r="L108" s="744">
        <v>27</v>
      </c>
      <c r="M108" s="745">
        <v>1900</v>
      </c>
      <c r="N108" s="746">
        <v>51300</v>
      </c>
      <c r="O108" s="744">
        <v>29</v>
      </c>
      <c r="P108" s="745">
        <v>1900</v>
      </c>
      <c r="Q108" s="746">
        <v>55100</v>
      </c>
      <c r="R108" s="744">
        <v>40</v>
      </c>
      <c r="S108" s="745">
        <v>1900</v>
      </c>
      <c r="T108" s="746">
        <v>76000</v>
      </c>
      <c r="U108" s="744">
        <v>38</v>
      </c>
      <c r="V108" s="745">
        <v>1900</v>
      </c>
      <c r="W108" s="746">
        <v>72200</v>
      </c>
      <c r="X108" s="744">
        <v>34</v>
      </c>
      <c r="Y108" s="745">
        <v>1900</v>
      </c>
      <c r="Z108" s="746">
        <v>64600</v>
      </c>
      <c r="AA108" s="744">
        <v>30</v>
      </c>
      <c r="AB108" s="745">
        <v>1900</v>
      </c>
      <c r="AC108" s="746">
        <v>57000</v>
      </c>
      <c r="AD108" s="744">
        <v>24</v>
      </c>
      <c r="AE108" s="745">
        <v>1900</v>
      </c>
      <c r="AF108" s="746">
        <v>45600</v>
      </c>
      <c r="AG108" s="744">
        <v>42</v>
      </c>
      <c r="AH108" s="745">
        <v>1900</v>
      </c>
      <c r="AI108" s="746">
        <v>79800</v>
      </c>
      <c r="AJ108" s="744">
        <v>35</v>
      </c>
      <c r="AK108" s="745">
        <v>1900</v>
      </c>
      <c r="AL108" s="746">
        <v>66500</v>
      </c>
      <c r="AM108" s="744">
        <v>26</v>
      </c>
      <c r="AN108" s="745">
        <v>1900</v>
      </c>
      <c r="AO108" s="746">
        <v>49400</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1"/>
        <v>Véhicules usagésTotal Dépt. Usagés</v>
      </c>
      <c r="B111" s="49" t="s">
        <v>157</v>
      </c>
      <c r="C111" s="759">
        <v>780</v>
      </c>
      <c r="D111" s="760">
        <v>1803.2051282051282</v>
      </c>
      <c r="E111" s="761">
        <v>1406500</v>
      </c>
      <c r="F111" s="759">
        <v>43</v>
      </c>
      <c r="G111" s="760">
        <v>1841.8604651162791</v>
      </c>
      <c r="H111" s="761">
        <v>79200</v>
      </c>
      <c r="I111" s="759">
        <v>54</v>
      </c>
      <c r="J111" s="760">
        <v>1762.962962962963</v>
      </c>
      <c r="K111" s="761">
        <v>95200</v>
      </c>
      <c r="L111" s="759">
        <v>56</v>
      </c>
      <c r="M111" s="760">
        <v>1821.4285714285713</v>
      </c>
      <c r="N111" s="761">
        <v>102000</v>
      </c>
      <c r="O111" s="759">
        <v>60</v>
      </c>
      <c r="P111" s="760">
        <v>1828.3333333333333</v>
      </c>
      <c r="Q111" s="761">
        <v>109700</v>
      </c>
      <c r="R111" s="759">
        <v>84</v>
      </c>
      <c r="S111" s="760">
        <v>1805.952380952381</v>
      </c>
      <c r="T111" s="761">
        <v>151700</v>
      </c>
      <c r="U111" s="759">
        <v>76</v>
      </c>
      <c r="V111" s="760">
        <v>1872.3684210526317</v>
      </c>
      <c r="W111" s="761">
        <v>142300</v>
      </c>
      <c r="X111" s="759">
        <v>71</v>
      </c>
      <c r="Y111" s="760">
        <v>1812.6760563380283</v>
      </c>
      <c r="Z111" s="761">
        <v>128700</v>
      </c>
      <c r="AA111" s="759">
        <v>63</v>
      </c>
      <c r="AB111" s="760">
        <v>1806.3492063492063</v>
      </c>
      <c r="AC111" s="761">
        <v>113800</v>
      </c>
      <c r="AD111" s="759">
        <v>51</v>
      </c>
      <c r="AE111" s="760">
        <v>1786.2745098039215</v>
      </c>
      <c r="AF111" s="761">
        <v>91100</v>
      </c>
      <c r="AG111" s="759">
        <v>87</v>
      </c>
      <c r="AH111" s="760">
        <v>1824.1379310344828</v>
      </c>
      <c r="AI111" s="761">
        <v>158700</v>
      </c>
      <c r="AJ111" s="759">
        <v>74</v>
      </c>
      <c r="AK111" s="760">
        <v>1794.5945945945946</v>
      </c>
      <c r="AL111" s="761">
        <v>132800</v>
      </c>
      <c r="AM111" s="759">
        <v>61</v>
      </c>
      <c r="AN111" s="760">
        <v>1660.655737704918</v>
      </c>
      <c r="AO111" s="761">
        <v>101300</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0.35</v>
      </c>
      <c r="D115" s="770">
        <v>586.60436137071656</v>
      </c>
      <c r="E115" s="758">
        <v>188300</v>
      </c>
      <c r="F115" s="769">
        <v>0.40340241261985771</v>
      </c>
      <c r="G115" s="770">
        <v>683.54297693920341</v>
      </c>
      <c r="H115" s="771">
        <v>12303.773584905661</v>
      </c>
      <c r="I115" s="769">
        <v>0.36247769373782024</v>
      </c>
      <c r="J115" s="770">
        <v>594.79294290615042</v>
      </c>
      <c r="K115" s="771">
        <v>13085.44474393531</v>
      </c>
      <c r="L115" s="769">
        <v>0.35489207988363514</v>
      </c>
      <c r="M115" s="770">
        <v>630.74001470227881</v>
      </c>
      <c r="N115" s="771">
        <v>13876.280323450133</v>
      </c>
      <c r="O115" s="769">
        <v>0.34756198822191847</v>
      </c>
      <c r="P115" s="770">
        <v>586.68463611859841</v>
      </c>
      <c r="Q115" s="771">
        <v>14667.115902964959</v>
      </c>
      <c r="R115" s="769">
        <v>0.34107937332696203</v>
      </c>
      <c r="S115" s="770">
        <v>566.19175972275696</v>
      </c>
      <c r="T115" s="771">
        <v>19816.711590296494</v>
      </c>
      <c r="U115" s="769">
        <v>0.33198316959529456</v>
      </c>
      <c r="V115" s="770">
        <v>552.29927305398996</v>
      </c>
      <c r="W115" s="771">
        <v>18225.876010781671</v>
      </c>
      <c r="X115" s="769">
        <v>0.33761064608016272</v>
      </c>
      <c r="Y115" s="770">
        <v>573.93809833627665</v>
      </c>
      <c r="Z115" s="771">
        <v>16644.204851752023</v>
      </c>
      <c r="AA115" s="769">
        <v>0.36381958010831128</v>
      </c>
      <c r="AB115" s="770">
        <v>610.09744972009116</v>
      </c>
      <c r="AC115" s="771">
        <v>15862.533692722371</v>
      </c>
      <c r="AD115" s="769">
        <v>0.3657068286506599</v>
      </c>
      <c r="AE115" s="770">
        <v>604.28699781799514</v>
      </c>
      <c r="AF115" s="771">
        <v>12690.026954177898</v>
      </c>
      <c r="AG115" s="769">
        <v>0.33838336896241905</v>
      </c>
      <c r="AH115" s="770">
        <v>556.96073431922491</v>
      </c>
      <c r="AI115" s="771">
        <v>20607.547169811322</v>
      </c>
      <c r="AJ115" s="769">
        <v>0.33608723158795728</v>
      </c>
      <c r="AK115" s="770">
        <v>567.98742138364787</v>
      </c>
      <c r="AL115" s="771">
        <v>17039.622641509435</v>
      </c>
      <c r="AM115" s="769">
        <v>0.35569558136392404</v>
      </c>
      <c r="AN115" s="770">
        <v>586.1244579866401</v>
      </c>
      <c r="AO115" s="771">
        <v>13480.862533692722</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0.3</v>
      </c>
      <c r="D116" s="773">
        <v>658.78504672897191</v>
      </c>
      <c r="E116" s="774">
        <v>211470</v>
      </c>
      <c r="F116" s="772">
        <v>0.3</v>
      </c>
      <c r="G116" s="773">
        <v>665</v>
      </c>
      <c r="H116" s="775">
        <v>11970</v>
      </c>
      <c r="I116" s="772">
        <v>0.3</v>
      </c>
      <c r="J116" s="773">
        <v>647.72727272727275</v>
      </c>
      <c r="K116" s="775">
        <v>14250</v>
      </c>
      <c r="L116" s="772">
        <v>0.3</v>
      </c>
      <c r="M116" s="773">
        <v>699.5454545454545</v>
      </c>
      <c r="N116" s="775">
        <v>15390</v>
      </c>
      <c r="O116" s="772">
        <v>0.3</v>
      </c>
      <c r="P116" s="773">
        <v>661.2</v>
      </c>
      <c r="Q116" s="775">
        <v>16530</v>
      </c>
      <c r="R116" s="772">
        <v>0.3</v>
      </c>
      <c r="S116" s="773">
        <v>651.42857142857144</v>
      </c>
      <c r="T116" s="775">
        <v>22800</v>
      </c>
      <c r="U116" s="772">
        <v>0.3</v>
      </c>
      <c r="V116" s="773">
        <v>656.36363636363637</v>
      </c>
      <c r="W116" s="775">
        <v>21660</v>
      </c>
      <c r="X116" s="772">
        <v>0.3</v>
      </c>
      <c r="Y116" s="773">
        <v>668.27586206896547</v>
      </c>
      <c r="Z116" s="775">
        <v>19380</v>
      </c>
      <c r="AA116" s="772">
        <v>0.3</v>
      </c>
      <c r="AB116" s="773">
        <v>657.69230769230774</v>
      </c>
      <c r="AC116" s="775">
        <v>17100</v>
      </c>
      <c r="AD116" s="772">
        <v>0.3</v>
      </c>
      <c r="AE116" s="773">
        <v>651.42857142857144</v>
      </c>
      <c r="AF116" s="775">
        <v>13680</v>
      </c>
      <c r="AG116" s="772">
        <v>0.3</v>
      </c>
      <c r="AH116" s="773">
        <v>647.02702702702697</v>
      </c>
      <c r="AI116" s="775">
        <v>23940</v>
      </c>
      <c r="AJ116" s="772">
        <v>0.3</v>
      </c>
      <c r="AK116" s="773">
        <v>665</v>
      </c>
      <c r="AL116" s="775">
        <v>19950</v>
      </c>
      <c r="AM116" s="772">
        <v>0.3</v>
      </c>
      <c r="AN116" s="773">
        <v>644.3478260869565</v>
      </c>
      <c r="AO116" s="775">
        <v>14820</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9.2461059190031154</v>
      </c>
      <c r="E117" s="758">
        <v>2968</v>
      </c>
      <c r="F117" s="747"/>
      <c r="G117" s="770">
        <v>9.3333333333333339</v>
      </c>
      <c r="H117" s="771">
        <v>168</v>
      </c>
      <c r="I117" s="747"/>
      <c r="J117" s="770">
        <v>9.0909090909090917</v>
      </c>
      <c r="K117" s="771">
        <v>200</v>
      </c>
      <c r="L117" s="747"/>
      <c r="M117" s="770">
        <v>9.8181818181818183</v>
      </c>
      <c r="N117" s="771">
        <v>216</v>
      </c>
      <c r="O117" s="747"/>
      <c r="P117" s="770">
        <v>9.2799999999999994</v>
      </c>
      <c r="Q117" s="771">
        <v>232</v>
      </c>
      <c r="R117" s="747"/>
      <c r="S117" s="770">
        <v>9.1428571428571423</v>
      </c>
      <c r="T117" s="771">
        <v>320</v>
      </c>
      <c r="U117" s="747"/>
      <c r="V117" s="770">
        <v>9.2121212121212128</v>
      </c>
      <c r="W117" s="771">
        <v>304</v>
      </c>
      <c r="X117" s="747"/>
      <c r="Y117" s="770">
        <v>9.3793103448275854</v>
      </c>
      <c r="Z117" s="771">
        <v>272</v>
      </c>
      <c r="AA117" s="747"/>
      <c r="AB117" s="770">
        <v>9.2307692307692299</v>
      </c>
      <c r="AC117" s="771">
        <v>240</v>
      </c>
      <c r="AD117" s="747"/>
      <c r="AE117" s="770">
        <v>9.1428571428571423</v>
      </c>
      <c r="AF117" s="771">
        <v>192</v>
      </c>
      <c r="AG117" s="747"/>
      <c r="AH117" s="770">
        <v>9.0810810810810807</v>
      </c>
      <c r="AI117" s="771">
        <v>336</v>
      </c>
      <c r="AJ117" s="747"/>
      <c r="AK117" s="770">
        <v>9.3333333333333339</v>
      </c>
      <c r="AL117" s="771">
        <v>280</v>
      </c>
      <c r="AM117" s="747"/>
      <c r="AN117" s="770">
        <v>9.0434782608695645</v>
      </c>
      <c r="AO117" s="771">
        <v>208</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52.009345794392523</v>
      </c>
      <c r="E118" s="758">
        <v>16695</v>
      </c>
      <c r="F118" s="747"/>
      <c r="G118" s="770">
        <v>52.5</v>
      </c>
      <c r="H118" s="771">
        <v>945</v>
      </c>
      <c r="I118" s="747"/>
      <c r="J118" s="770">
        <v>51.136363636363633</v>
      </c>
      <c r="K118" s="771">
        <v>1125</v>
      </c>
      <c r="L118" s="747"/>
      <c r="M118" s="770">
        <v>55.227272727272727</v>
      </c>
      <c r="N118" s="771">
        <v>1215</v>
      </c>
      <c r="O118" s="747"/>
      <c r="P118" s="770">
        <v>52.2</v>
      </c>
      <c r="Q118" s="771">
        <v>1305</v>
      </c>
      <c r="R118" s="747"/>
      <c r="S118" s="770">
        <v>51.428571428571431</v>
      </c>
      <c r="T118" s="771">
        <v>1800</v>
      </c>
      <c r="U118" s="747"/>
      <c r="V118" s="770">
        <v>51.81818181818182</v>
      </c>
      <c r="W118" s="771">
        <v>1710</v>
      </c>
      <c r="X118" s="747"/>
      <c r="Y118" s="770">
        <v>52.758620689655174</v>
      </c>
      <c r="Z118" s="771">
        <v>1530</v>
      </c>
      <c r="AA118" s="747"/>
      <c r="AB118" s="770">
        <v>51.92307692307692</v>
      </c>
      <c r="AC118" s="771">
        <v>1350</v>
      </c>
      <c r="AD118" s="747"/>
      <c r="AE118" s="770">
        <v>51.428571428571431</v>
      </c>
      <c r="AF118" s="771">
        <v>1080</v>
      </c>
      <c r="AG118" s="747"/>
      <c r="AH118" s="770">
        <v>51.081081081081081</v>
      </c>
      <c r="AI118" s="771">
        <v>1890</v>
      </c>
      <c r="AJ118" s="747"/>
      <c r="AK118" s="770">
        <v>52.5</v>
      </c>
      <c r="AL118" s="771">
        <v>1575</v>
      </c>
      <c r="AM118" s="747"/>
      <c r="AN118" s="770">
        <v>50.869565217391305</v>
      </c>
      <c r="AO118" s="771">
        <v>1170</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184.9221183800623</v>
      </c>
      <c r="E119" s="774">
        <v>59360</v>
      </c>
      <c r="F119" s="776"/>
      <c r="G119" s="773">
        <v>186.66666666666666</v>
      </c>
      <c r="H119" s="775">
        <v>3360</v>
      </c>
      <c r="I119" s="776"/>
      <c r="J119" s="773">
        <v>181.81818181818181</v>
      </c>
      <c r="K119" s="775">
        <v>4000</v>
      </c>
      <c r="L119" s="776"/>
      <c r="M119" s="773">
        <v>196.36363636363637</v>
      </c>
      <c r="N119" s="775">
        <v>4320</v>
      </c>
      <c r="O119" s="776"/>
      <c r="P119" s="773">
        <v>185.6</v>
      </c>
      <c r="Q119" s="775">
        <v>4640</v>
      </c>
      <c r="R119" s="776"/>
      <c r="S119" s="773">
        <v>182.85714285714286</v>
      </c>
      <c r="T119" s="775">
        <v>6400</v>
      </c>
      <c r="U119" s="776"/>
      <c r="V119" s="773">
        <v>184.24242424242425</v>
      </c>
      <c r="W119" s="775">
        <v>6080</v>
      </c>
      <c r="X119" s="776"/>
      <c r="Y119" s="773">
        <v>187.58620689655172</v>
      </c>
      <c r="Z119" s="775">
        <v>5440</v>
      </c>
      <c r="AA119" s="776"/>
      <c r="AB119" s="773">
        <v>184.61538461538461</v>
      </c>
      <c r="AC119" s="775">
        <v>4800</v>
      </c>
      <c r="AD119" s="776"/>
      <c r="AE119" s="773">
        <v>182.85714285714286</v>
      </c>
      <c r="AF119" s="775">
        <v>3840</v>
      </c>
      <c r="AG119" s="776"/>
      <c r="AH119" s="773">
        <v>181.62162162162161</v>
      </c>
      <c r="AI119" s="775">
        <v>6720</v>
      </c>
      <c r="AJ119" s="776"/>
      <c r="AK119" s="773">
        <v>186.66666666666666</v>
      </c>
      <c r="AL119" s="775">
        <v>5600</v>
      </c>
      <c r="AM119" s="776"/>
      <c r="AN119" s="773">
        <v>180.86956521739131</v>
      </c>
      <c r="AO119" s="775">
        <v>4160</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455.71339563862927</v>
      </c>
      <c r="E120" s="758">
        <v>146284</v>
      </c>
      <c r="F120" s="747"/>
      <c r="G120" s="770">
        <v>732.33333333333337</v>
      </c>
      <c r="H120" s="771">
        <v>13182</v>
      </c>
      <c r="I120" s="747"/>
      <c r="J120" s="770">
        <v>581</v>
      </c>
      <c r="K120" s="771">
        <v>12782</v>
      </c>
      <c r="L120" s="747"/>
      <c r="M120" s="770">
        <v>571.90909090909088</v>
      </c>
      <c r="N120" s="771">
        <v>12582</v>
      </c>
      <c r="O120" s="747"/>
      <c r="P120" s="770">
        <v>495.28</v>
      </c>
      <c r="Q120" s="771">
        <v>12382</v>
      </c>
      <c r="R120" s="747"/>
      <c r="S120" s="770">
        <v>322.34285714285716</v>
      </c>
      <c r="T120" s="771">
        <v>11282</v>
      </c>
      <c r="U120" s="747"/>
      <c r="V120" s="770">
        <v>347.93939393939394</v>
      </c>
      <c r="W120" s="771">
        <v>11482</v>
      </c>
      <c r="X120" s="747"/>
      <c r="Y120" s="770">
        <v>409.72413793103448</v>
      </c>
      <c r="Z120" s="771">
        <v>11882</v>
      </c>
      <c r="AA120" s="747"/>
      <c r="AB120" s="770">
        <v>472.38461538461536</v>
      </c>
      <c r="AC120" s="771">
        <v>12282</v>
      </c>
      <c r="AD120" s="747"/>
      <c r="AE120" s="770">
        <v>613.42857142857144</v>
      </c>
      <c r="AF120" s="771">
        <v>12882</v>
      </c>
      <c r="AG120" s="747"/>
      <c r="AH120" s="770">
        <v>299.51351351351349</v>
      </c>
      <c r="AI120" s="771">
        <v>11082</v>
      </c>
      <c r="AJ120" s="747"/>
      <c r="AK120" s="770">
        <v>392.73333333333335</v>
      </c>
      <c r="AL120" s="771">
        <v>11782</v>
      </c>
      <c r="AM120" s="747"/>
      <c r="AN120" s="770">
        <v>551.39130434782612</v>
      </c>
      <c r="AO120" s="771">
        <v>12682</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275.48598130841128</v>
      </c>
      <c r="E121" s="758">
        <v>88431.000000000015</v>
      </c>
      <c r="F121" s="747"/>
      <c r="G121" s="770">
        <v>370.35569203596663</v>
      </c>
      <c r="H121" s="771">
        <v>6666.402456647399</v>
      </c>
      <c r="I121" s="747"/>
      <c r="J121" s="770">
        <v>308.82695086705206</v>
      </c>
      <c r="K121" s="771">
        <v>6794.1929190751453</v>
      </c>
      <c r="L121" s="747"/>
      <c r="M121" s="770">
        <v>320.4442656332107</v>
      </c>
      <c r="N121" s="771">
        <v>7049.7738439306358</v>
      </c>
      <c r="O121" s="747"/>
      <c r="P121" s="770">
        <v>343.33037572254329</v>
      </c>
      <c r="Q121" s="771">
        <v>8583.259393063583</v>
      </c>
      <c r="R121" s="747"/>
      <c r="S121" s="770">
        <v>230.63135838150288</v>
      </c>
      <c r="T121" s="771">
        <v>8072.097543352601</v>
      </c>
      <c r="U121" s="747"/>
      <c r="V121" s="770">
        <v>234.92792082676476</v>
      </c>
      <c r="W121" s="771">
        <v>7752.6213872832368</v>
      </c>
      <c r="X121" s="747"/>
      <c r="Y121" s="770">
        <v>249.70550129559496</v>
      </c>
      <c r="Z121" s="771">
        <v>7241.4595375722538</v>
      </c>
      <c r="AA121" s="747"/>
      <c r="AB121" s="770">
        <v>249.02756780791464</v>
      </c>
      <c r="AC121" s="771">
        <v>6474.7167630057802</v>
      </c>
      <c r="AD121" s="747"/>
      <c r="AE121" s="770">
        <v>417.85452793834293</v>
      </c>
      <c r="AF121" s="771">
        <v>8774.9450867052019</v>
      </c>
      <c r="AG121" s="747"/>
      <c r="AH121" s="770">
        <v>214.71100218715827</v>
      </c>
      <c r="AI121" s="771">
        <v>7944.3070809248557</v>
      </c>
      <c r="AJ121" s="747"/>
      <c r="AK121" s="770">
        <v>237.12230250481696</v>
      </c>
      <c r="AL121" s="771">
        <v>7113.6690751445085</v>
      </c>
      <c r="AM121" s="747"/>
      <c r="AN121" s="770">
        <v>259.28499623020861</v>
      </c>
      <c r="AO121" s="771">
        <v>5963.5549132947981</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c r="I122" s="812"/>
      <c r="J122" s="770">
        <v>0</v>
      </c>
      <c r="K122" s="758"/>
      <c r="L122" s="812"/>
      <c r="M122" s="770">
        <v>0</v>
      </c>
      <c r="N122" s="758"/>
      <c r="O122" s="812"/>
      <c r="P122" s="770">
        <v>0</v>
      </c>
      <c r="Q122" s="758"/>
      <c r="R122" s="812"/>
      <c r="S122" s="770">
        <v>0</v>
      </c>
      <c r="T122" s="758"/>
      <c r="U122" s="812"/>
      <c r="V122" s="770">
        <v>0</v>
      </c>
      <c r="W122" s="758"/>
      <c r="X122" s="812"/>
      <c r="Y122" s="770">
        <v>0</v>
      </c>
      <c r="Z122" s="758"/>
      <c r="AA122" s="812"/>
      <c r="AB122" s="770">
        <v>0</v>
      </c>
      <c r="AC122" s="758"/>
      <c r="AD122" s="812"/>
      <c r="AE122" s="770">
        <v>0</v>
      </c>
      <c r="AF122" s="758"/>
      <c r="AG122" s="812"/>
      <c r="AH122" s="770">
        <v>0</v>
      </c>
      <c r="AI122" s="758"/>
      <c r="AJ122" s="812"/>
      <c r="AK122" s="770">
        <v>0</v>
      </c>
      <c r="AL122" s="758"/>
      <c r="AM122" s="812"/>
      <c r="AN122" s="770">
        <v>0</v>
      </c>
      <c r="AO122" s="758"/>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c r="I123" s="812"/>
      <c r="J123" s="770">
        <v>0</v>
      </c>
      <c r="K123" s="758"/>
      <c r="L123" s="812"/>
      <c r="M123" s="770">
        <v>0</v>
      </c>
      <c r="N123" s="758"/>
      <c r="O123" s="812"/>
      <c r="P123" s="770">
        <v>0</v>
      </c>
      <c r="Q123" s="758"/>
      <c r="R123" s="812"/>
      <c r="S123" s="770">
        <v>0</v>
      </c>
      <c r="T123" s="758"/>
      <c r="U123" s="812"/>
      <c r="V123" s="770">
        <v>0</v>
      </c>
      <c r="W123" s="758"/>
      <c r="X123" s="812"/>
      <c r="Y123" s="770">
        <v>0</v>
      </c>
      <c r="Z123" s="758"/>
      <c r="AA123" s="812"/>
      <c r="AB123" s="770">
        <v>0</v>
      </c>
      <c r="AC123" s="758"/>
      <c r="AD123" s="812"/>
      <c r="AE123" s="770">
        <v>0</v>
      </c>
      <c r="AF123" s="758"/>
      <c r="AG123" s="812"/>
      <c r="AH123" s="770">
        <v>0</v>
      </c>
      <c r="AI123" s="758"/>
      <c r="AJ123" s="812"/>
      <c r="AK123" s="770">
        <v>0</v>
      </c>
      <c r="AL123" s="758"/>
      <c r="AM123" s="812"/>
      <c r="AN123" s="770">
        <v>0</v>
      </c>
      <c r="AO123" s="758"/>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c r="G124" s="770">
        <v>0</v>
      </c>
      <c r="H124" s="758"/>
      <c r="I124" s="812"/>
      <c r="J124" s="770">
        <v>0</v>
      </c>
      <c r="K124" s="758"/>
      <c r="L124" s="812"/>
      <c r="M124" s="770">
        <v>0</v>
      </c>
      <c r="N124" s="758"/>
      <c r="O124" s="812"/>
      <c r="P124" s="770">
        <v>0</v>
      </c>
      <c r="Q124" s="758"/>
      <c r="R124" s="812"/>
      <c r="S124" s="770">
        <v>0</v>
      </c>
      <c r="T124" s="758"/>
      <c r="U124" s="812"/>
      <c r="V124" s="770">
        <v>0</v>
      </c>
      <c r="W124" s="758"/>
      <c r="X124" s="812"/>
      <c r="Y124" s="770">
        <v>0</v>
      </c>
      <c r="Z124" s="758"/>
      <c r="AA124" s="812"/>
      <c r="AB124" s="770">
        <v>0</v>
      </c>
      <c r="AC124" s="758"/>
      <c r="AD124" s="812"/>
      <c r="AE124" s="770">
        <v>0</v>
      </c>
      <c r="AF124" s="758"/>
      <c r="AG124" s="812"/>
      <c r="AH124" s="770">
        <v>0</v>
      </c>
      <c r="AI124" s="758"/>
      <c r="AJ124" s="812"/>
      <c r="AK124" s="770">
        <v>0</v>
      </c>
      <c r="AL124" s="758"/>
      <c r="AM124" s="812"/>
      <c r="AN124" s="770">
        <v>0</v>
      </c>
      <c r="AO124" s="758"/>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0.50729328119445427</v>
      </c>
      <c r="E125" s="779">
        <v>713508</v>
      </c>
      <c r="F125" s="777" t="s">
        <v>119</v>
      </c>
      <c r="G125" s="778">
        <v>0.61357545507011435</v>
      </c>
      <c r="H125" s="779">
        <v>48595.176041553059</v>
      </c>
      <c r="I125" s="777" t="s">
        <v>119</v>
      </c>
      <c r="J125" s="778">
        <v>0.54870417713246278</v>
      </c>
      <c r="K125" s="779">
        <v>52236.637663010457</v>
      </c>
      <c r="L125" s="777" t="s">
        <v>119</v>
      </c>
      <c r="M125" s="778">
        <v>0.53577504085667416</v>
      </c>
      <c r="N125" s="779">
        <v>54649.054167380767</v>
      </c>
      <c r="O125" s="777" t="s">
        <v>119</v>
      </c>
      <c r="P125" s="778">
        <v>0.53180834362833673</v>
      </c>
      <c r="Q125" s="779">
        <v>58339.375296028542</v>
      </c>
      <c r="R125" s="777" t="s">
        <v>119</v>
      </c>
      <c r="S125" s="778">
        <v>0.46467243990539941</v>
      </c>
      <c r="T125" s="779">
        <v>70490.809133649091</v>
      </c>
      <c r="U125" s="777" t="s">
        <v>119</v>
      </c>
      <c r="V125" s="778">
        <v>0.47234362191191082</v>
      </c>
      <c r="W125" s="779">
        <v>67214.497398064908</v>
      </c>
      <c r="X125" s="777" t="s">
        <v>119</v>
      </c>
      <c r="Y125" s="778">
        <v>0.48476817707322672</v>
      </c>
      <c r="Z125" s="779">
        <v>62389.66438932428</v>
      </c>
      <c r="AA125" s="777" t="s">
        <v>119</v>
      </c>
      <c r="AB125" s="778">
        <v>0.51062610242291873</v>
      </c>
      <c r="AC125" s="779">
        <v>58109.25045572815</v>
      </c>
      <c r="AD125" s="777" t="s">
        <v>119</v>
      </c>
      <c r="AE125" s="778">
        <v>0.58330375456512729</v>
      </c>
      <c r="AF125" s="779">
        <v>53138.972040883098</v>
      </c>
      <c r="AG125" s="777" t="s">
        <v>119</v>
      </c>
      <c r="AH125" s="778">
        <v>0.45696190454150087</v>
      </c>
      <c r="AI125" s="779">
        <v>72519.854250736185</v>
      </c>
      <c r="AJ125" s="777" t="s">
        <v>119</v>
      </c>
      <c r="AK125" s="778">
        <v>0.47696002798685194</v>
      </c>
      <c r="AL125" s="779">
        <v>63340.291716653941</v>
      </c>
      <c r="AM125" s="777" t="s">
        <v>119</v>
      </c>
      <c r="AN125" s="778">
        <v>0.51810876058230526</v>
      </c>
      <c r="AO125" s="779">
        <v>52484.417446987522</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115460.90000000002</v>
      </c>
      <c r="F126" s="747"/>
      <c r="G126" s="757"/>
      <c r="H126" s="771">
        <v>10460.983974358975</v>
      </c>
      <c r="I126" s="747"/>
      <c r="J126" s="757"/>
      <c r="K126" s="771">
        <v>9202.1205128205147</v>
      </c>
      <c r="L126" s="747"/>
      <c r="M126" s="757"/>
      <c r="N126" s="771">
        <v>9202.1205128205147</v>
      </c>
      <c r="O126" s="747"/>
      <c r="P126" s="757"/>
      <c r="Q126" s="771">
        <v>9202.1205128205147</v>
      </c>
      <c r="R126" s="747"/>
      <c r="S126" s="757"/>
      <c r="T126" s="771">
        <v>10460.983974358975</v>
      </c>
      <c r="U126" s="747"/>
      <c r="V126" s="757"/>
      <c r="W126" s="771">
        <v>9202.1205128205147</v>
      </c>
      <c r="X126" s="747"/>
      <c r="Y126" s="757"/>
      <c r="Z126" s="771">
        <v>9202.1205128205147</v>
      </c>
      <c r="AA126" s="747"/>
      <c r="AB126" s="757"/>
      <c r="AC126" s="771">
        <v>10460.983974358975</v>
      </c>
      <c r="AD126" s="747"/>
      <c r="AE126" s="757"/>
      <c r="AF126" s="771">
        <v>9202.1205128205147</v>
      </c>
      <c r="AG126" s="747"/>
      <c r="AH126" s="757"/>
      <c r="AI126" s="771">
        <v>10460.983974358975</v>
      </c>
      <c r="AJ126" s="747"/>
      <c r="AK126" s="757"/>
      <c r="AL126" s="771">
        <v>9202.1205128205147</v>
      </c>
      <c r="AM126" s="747"/>
      <c r="AN126" s="757"/>
      <c r="AO126" s="771">
        <v>9202.1205128205147</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110210.56</v>
      </c>
      <c r="F127" s="747"/>
      <c r="G127" s="757"/>
      <c r="H127" s="771">
        <v>10493.323076923078</v>
      </c>
      <c r="I127" s="747"/>
      <c r="J127" s="757"/>
      <c r="K127" s="771">
        <v>8529.65846153846</v>
      </c>
      <c r="L127" s="747"/>
      <c r="M127" s="757"/>
      <c r="N127" s="771">
        <v>8529.65846153846</v>
      </c>
      <c r="O127" s="747"/>
      <c r="P127" s="757"/>
      <c r="Q127" s="771">
        <v>8529.65846153846</v>
      </c>
      <c r="R127" s="747"/>
      <c r="S127" s="757"/>
      <c r="T127" s="771">
        <v>10493.323076923078</v>
      </c>
      <c r="U127" s="747"/>
      <c r="V127" s="757"/>
      <c r="W127" s="771">
        <v>8529.65846153846</v>
      </c>
      <c r="X127" s="747"/>
      <c r="Y127" s="757"/>
      <c r="Z127" s="771">
        <v>8529.65846153846</v>
      </c>
      <c r="AA127" s="747"/>
      <c r="AB127" s="757"/>
      <c r="AC127" s="771">
        <v>10493.323076923078</v>
      </c>
      <c r="AD127" s="747"/>
      <c r="AE127" s="757"/>
      <c r="AF127" s="771">
        <v>8529.65846153846</v>
      </c>
      <c r="AG127" s="747"/>
      <c r="AH127" s="757"/>
      <c r="AI127" s="771">
        <v>10493.323076923078</v>
      </c>
      <c r="AJ127" s="747"/>
      <c r="AK127" s="757"/>
      <c r="AL127" s="771">
        <v>8529.65846153846</v>
      </c>
      <c r="AM127" s="747"/>
      <c r="AN127" s="757"/>
      <c r="AO127" s="771">
        <v>8529.65846153846</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43483.600000000006</v>
      </c>
      <c r="F128" s="780"/>
      <c r="G128" s="781"/>
      <c r="H128" s="783">
        <v>4181.1153846153848</v>
      </c>
      <c r="I128" s="780"/>
      <c r="J128" s="781"/>
      <c r="K128" s="783">
        <v>3344.8923076923074</v>
      </c>
      <c r="L128" s="780"/>
      <c r="M128" s="781"/>
      <c r="N128" s="783">
        <v>3344.8923076923074</v>
      </c>
      <c r="O128" s="780"/>
      <c r="P128" s="781"/>
      <c r="Q128" s="783">
        <v>3344.8923076923074</v>
      </c>
      <c r="R128" s="780"/>
      <c r="S128" s="781"/>
      <c r="T128" s="783">
        <v>4181.1153846153848</v>
      </c>
      <c r="U128" s="780"/>
      <c r="V128" s="781"/>
      <c r="W128" s="783">
        <v>3344.8923076923074</v>
      </c>
      <c r="X128" s="780"/>
      <c r="Y128" s="781"/>
      <c r="Z128" s="783">
        <v>3344.8923076923074</v>
      </c>
      <c r="AA128" s="780"/>
      <c r="AB128" s="781"/>
      <c r="AC128" s="783">
        <v>4181.1153846153848</v>
      </c>
      <c r="AD128" s="780"/>
      <c r="AE128" s="781"/>
      <c r="AF128" s="783">
        <v>3344.8923076923074</v>
      </c>
      <c r="AG128" s="780"/>
      <c r="AH128" s="781"/>
      <c r="AI128" s="783">
        <v>4181.1153846153848</v>
      </c>
      <c r="AJ128" s="780"/>
      <c r="AK128" s="781"/>
      <c r="AL128" s="783">
        <v>3344.8923076923074</v>
      </c>
      <c r="AM128" s="780"/>
      <c r="AN128" s="781"/>
      <c r="AO128" s="783">
        <v>3344.8923076923074</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97035.129310000004</v>
      </c>
      <c r="F133" s="747"/>
      <c r="G133" s="757"/>
      <c r="H133" s="771">
        <v>7688.5772349358976</v>
      </c>
      <c r="I133" s="747"/>
      <c r="J133" s="757"/>
      <c r="K133" s="771">
        <v>7179.3004212820515</v>
      </c>
      <c r="L133" s="747"/>
      <c r="M133" s="757"/>
      <c r="N133" s="771">
        <v>7818.0216712820511</v>
      </c>
      <c r="O133" s="747"/>
      <c r="P133" s="757"/>
      <c r="Q133" s="771">
        <v>9509.0581712820513</v>
      </c>
      <c r="R133" s="747"/>
      <c r="S133" s="757"/>
      <c r="T133" s="771">
        <v>9745.1404849358969</v>
      </c>
      <c r="U133" s="747"/>
      <c r="V133" s="757"/>
      <c r="W133" s="771">
        <v>8046.9511712820504</v>
      </c>
      <c r="X133" s="747"/>
      <c r="Y133" s="757"/>
      <c r="Z133" s="771">
        <v>7574.3371712820526</v>
      </c>
      <c r="AA133" s="747"/>
      <c r="AB133" s="757"/>
      <c r="AC133" s="771">
        <v>8541.4729849358973</v>
      </c>
      <c r="AD133" s="747"/>
      <c r="AE133" s="757"/>
      <c r="AF133" s="771">
        <v>7803.266671282051</v>
      </c>
      <c r="AG133" s="747"/>
      <c r="AH133" s="757"/>
      <c r="AI133" s="771">
        <v>8663.315234935897</v>
      </c>
      <c r="AJ133" s="747"/>
      <c r="AK133" s="757"/>
      <c r="AL133" s="771">
        <v>7925.1089212820507</v>
      </c>
      <c r="AM133" s="747"/>
      <c r="AN133" s="757"/>
      <c r="AO133" s="771">
        <v>6540.5791712820519</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117981.03827999999</v>
      </c>
      <c r="F134" s="780"/>
      <c r="G134" s="781"/>
      <c r="H134" s="783">
        <v>9348.2260653846151</v>
      </c>
      <c r="I134" s="780"/>
      <c r="J134" s="781"/>
      <c r="K134" s="783">
        <v>8729.0172523076926</v>
      </c>
      <c r="L134" s="780"/>
      <c r="M134" s="781"/>
      <c r="N134" s="783">
        <v>9505.612252307692</v>
      </c>
      <c r="O134" s="780"/>
      <c r="P134" s="781"/>
      <c r="Q134" s="783">
        <v>11561.674252307692</v>
      </c>
      <c r="R134" s="780"/>
      <c r="S134" s="781"/>
      <c r="T134" s="783">
        <v>11848.717065384617</v>
      </c>
      <c r="U134" s="780"/>
      <c r="V134" s="781"/>
      <c r="W134" s="783">
        <v>9783.9582523076915</v>
      </c>
      <c r="X134" s="780"/>
      <c r="Y134" s="781"/>
      <c r="Z134" s="783">
        <v>9209.3262523076937</v>
      </c>
      <c r="AA134" s="780"/>
      <c r="AB134" s="781"/>
      <c r="AC134" s="783">
        <v>10385.227065384615</v>
      </c>
      <c r="AD134" s="780"/>
      <c r="AE134" s="781"/>
      <c r="AF134" s="783">
        <v>9487.6722523076915</v>
      </c>
      <c r="AG134" s="780"/>
      <c r="AH134" s="781"/>
      <c r="AI134" s="783">
        <v>10533.370065384615</v>
      </c>
      <c r="AJ134" s="780"/>
      <c r="AK134" s="781"/>
      <c r="AL134" s="783">
        <v>9635.8152523076915</v>
      </c>
      <c r="AM134" s="780"/>
      <c r="AN134" s="781"/>
      <c r="AO134" s="783">
        <v>7952.4222523076933</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60785.882766000002</v>
      </c>
      <c r="F135" s="747"/>
      <c r="G135" s="757"/>
      <c r="H135" s="771">
        <v>4816.3686467307689</v>
      </c>
      <c r="I135" s="747"/>
      <c r="J135" s="757"/>
      <c r="K135" s="771">
        <v>4497.3414973846156</v>
      </c>
      <c r="L135" s="747"/>
      <c r="M135" s="757"/>
      <c r="N135" s="771">
        <v>4897.4567473846146</v>
      </c>
      <c r="O135" s="747"/>
      <c r="P135" s="757"/>
      <c r="Q135" s="771">
        <v>5956.7756473846148</v>
      </c>
      <c r="R135" s="747"/>
      <c r="S135" s="757"/>
      <c r="T135" s="771">
        <v>6104.6650967307687</v>
      </c>
      <c r="U135" s="747"/>
      <c r="V135" s="757"/>
      <c r="W135" s="771">
        <v>5040.8654473846145</v>
      </c>
      <c r="X135" s="747"/>
      <c r="Y135" s="757"/>
      <c r="Z135" s="771">
        <v>4744.805047384616</v>
      </c>
      <c r="AA135" s="747"/>
      <c r="AB135" s="757"/>
      <c r="AC135" s="771">
        <v>5350.6495967307692</v>
      </c>
      <c r="AD135" s="747"/>
      <c r="AE135" s="757"/>
      <c r="AF135" s="771">
        <v>4888.2137473846151</v>
      </c>
      <c r="AG135" s="747"/>
      <c r="AH135" s="757"/>
      <c r="AI135" s="771">
        <v>5426.9754467307685</v>
      </c>
      <c r="AJ135" s="747"/>
      <c r="AK135" s="757"/>
      <c r="AL135" s="771">
        <v>4964.5395973846144</v>
      </c>
      <c r="AM135" s="747"/>
      <c r="AN135" s="757"/>
      <c r="AO135" s="771">
        <v>4097.2262473846149</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26502.986859999994</v>
      </c>
      <c r="F136" s="747"/>
      <c r="G136" s="757"/>
      <c r="H136" s="771">
        <v>2099.9638262820513</v>
      </c>
      <c r="I136" s="747"/>
      <c r="J136" s="757"/>
      <c r="K136" s="771">
        <v>1960.8661943589743</v>
      </c>
      <c r="L136" s="747"/>
      <c r="M136" s="757"/>
      <c r="N136" s="771">
        <v>2135.318694358974</v>
      </c>
      <c r="O136" s="747"/>
      <c r="P136" s="757"/>
      <c r="Q136" s="771">
        <v>2597.1876943589741</v>
      </c>
      <c r="R136" s="747"/>
      <c r="S136" s="757"/>
      <c r="T136" s="771">
        <v>2661.6683262820511</v>
      </c>
      <c r="U136" s="747"/>
      <c r="V136" s="757"/>
      <c r="W136" s="771">
        <v>2197.845694358974</v>
      </c>
      <c r="X136" s="747"/>
      <c r="Y136" s="757"/>
      <c r="Z136" s="771">
        <v>2068.7616943589746</v>
      </c>
      <c r="AA136" s="747"/>
      <c r="AB136" s="757"/>
      <c r="AC136" s="771">
        <v>2332.913326282051</v>
      </c>
      <c r="AD136" s="747"/>
      <c r="AE136" s="757"/>
      <c r="AF136" s="771">
        <v>2131.2886943589742</v>
      </c>
      <c r="AG136" s="747"/>
      <c r="AH136" s="757"/>
      <c r="AI136" s="771">
        <v>2366.1918262820514</v>
      </c>
      <c r="AJ136" s="747"/>
      <c r="AK136" s="757"/>
      <c r="AL136" s="771">
        <v>2164.5671943589741</v>
      </c>
      <c r="AM136" s="747"/>
      <c r="AN136" s="757"/>
      <c r="AO136" s="771">
        <v>1786.4136943589745</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v>
      </c>
      <c r="B137" s="44" t="s">
        <v>59</v>
      </c>
      <c r="C137" s="776"/>
      <c r="D137" s="784"/>
      <c r="E137" s="774">
        <v>0</v>
      </c>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0.40629939368361179</v>
      </c>
      <c r="E138" s="779">
        <v>571460.09721599997</v>
      </c>
      <c r="F138" s="777" t="s">
        <v>119</v>
      </c>
      <c r="G138" s="778">
        <v>0.61980502789432801</v>
      </c>
      <c r="H138" s="779">
        <v>49088.558209230774</v>
      </c>
      <c r="I138" s="777" t="s">
        <v>119</v>
      </c>
      <c r="J138" s="778">
        <v>0.45633609923723339</v>
      </c>
      <c r="K138" s="779">
        <v>43443.196647384619</v>
      </c>
      <c r="L138" s="777" t="s">
        <v>119</v>
      </c>
      <c r="M138" s="778">
        <v>0.44542235928808444</v>
      </c>
      <c r="N138" s="779">
        <v>45433.08064738461</v>
      </c>
      <c r="O138" s="777" t="s">
        <v>119</v>
      </c>
      <c r="P138" s="778">
        <v>0.4621820150171797</v>
      </c>
      <c r="Q138" s="779">
        <v>50701.367047384614</v>
      </c>
      <c r="R138" s="777" t="s">
        <v>119</v>
      </c>
      <c r="S138" s="778">
        <v>0.36582474231529843</v>
      </c>
      <c r="T138" s="779">
        <v>55495.613409230769</v>
      </c>
      <c r="U138" s="777" t="s">
        <v>119</v>
      </c>
      <c r="V138" s="778">
        <v>0.32428876913130439</v>
      </c>
      <c r="W138" s="779">
        <v>46146.291847384615</v>
      </c>
      <c r="X138" s="777" t="s">
        <v>119</v>
      </c>
      <c r="Y138" s="778">
        <v>0.34711656136273983</v>
      </c>
      <c r="Z138" s="779">
        <v>44673.901447384618</v>
      </c>
      <c r="AA138" s="777" t="s">
        <v>119</v>
      </c>
      <c r="AB138" s="778">
        <v>0.4547072531566852</v>
      </c>
      <c r="AC138" s="779">
        <v>51745.685409230777</v>
      </c>
      <c r="AD138" s="777" t="s">
        <v>119</v>
      </c>
      <c r="AE138" s="778">
        <v>0.49821199393396942</v>
      </c>
      <c r="AF138" s="779">
        <v>45387.112647384616</v>
      </c>
      <c r="AG138" s="777" t="s">
        <v>119</v>
      </c>
      <c r="AH138" s="778">
        <v>0.32845163836944402</v>
      </c>
      <c r="AI138" s="779">
        <v>52125.275009230769</v>
      </c>
      <c r="AJ138" s="777" t="s">
        <v>119</v>
      </c>
      <c r="AK138" s="778">
        <v>0.34462878198331792</v>
      </c>
      <c r="AL138" s="779">
        <v>45766.702247384623</v>
      </c>
      <c r="AM138" s="777" t="s">
        <v>119</v>
      </c>
      <c r="AN138" s="778">
        <v>0.40921335288632399</v>
      </c>
      <c r="AO138" s="779">
        <v>41453.312647384621</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15409.839466666666</v>
      </c>
      <c r="F141" s="785"/>
      <c r="G141" s="786"/>
      <c r="H141" s="788">
        <v>1284.1532888888889</v>
      </c>
      <c r="I141" s="785"/>
      <c r="J141" s="786"/>
      <c r="K141" s="788">
        <v>1284.1532888888889</v>
      </c>
      <c r="L141" s="785"/>
      <c r="M141" s="786"/>
      <c r="N141" s="788">
        <v>1284.1532888888889</v>
      </c>
      <c r="O141" s="785"/>
      <c r="P141" s="786"/>
      <c r="Q141" s="788">
        <v>1284.1532888888889</v>
      </c>
      <c r="R141" s="785"/>
      <c r="S141" s="786"/>
      <c r="T141" s="788">
        <v>1284.1532888888889</v>
      </c>
      <c r="U141" s="785"/>
      <c r="V141" s="786"/>
      <c r="W141" s="788">
        <v>1284.1532888888889</v>
      </c>
      <c r="X141" s="785"/>
      <c r="Y141" s="786"/>
      <c r="Z141" s="788">
        <v>1284.1532888888889</v>
      </c>
      <c r="AA141" s="785"/>
      <c r="AB141" s="786"/>
      <c r="AC141" s="788">
        <v>1284.1532888888889</v>
      </c>
      <c r="AD141" s="785"/>
      <c r="AE141" s="786"/>
      <c r="AF141" s="788">
        <v>1284.1532888888889</v>
      </c>
      <c r="AG141" s="785"/>
      <c r="AH141" s="786"/>
      <c r="AI141" s="788">
        <v>1284.1532888888889</v>
      </c>
      <c r="AJ141" s="785"/>
      <c r="AK141" s="786"/>
      <c r="AL141" s="788">
        <v>1284.1532888888889</v>
      </c>
      <c r="AM141" s="785"/>
      <c r="AN141" s="786"/>
      <c r="AO141" s="788">
        <v>1284.1532888888889</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45092.227472319973</v>
      </c>
      <c r="F142" s="747"/>
      <c r="G142" s="757"/>
      <c r="H142" s="771">
        <v>3757.6856226933323</v>
      </c>
      <c r="I142" s="747"/>
      <c r="J142" s="757"/>
      <c r="K142" s="771">
        <v>3757.6856226933323</v>
      </c>
      <c r="L142" s="747"/>
      <c r="M142" s="757"/>
      <c r="N142" s="771">
        <v>3757.6856226933323</v>
      </c>
      <c r="O142" s="747"/>
      <c r="P142" s="757"/>
      <c r="Q142" s="771">
        <v>3757.6856226933323</v>
      </c>
      <c r="R142" s="747"/>
      <c r="S142" s="757"/>
      <c r="T142" s="771">
        <v>3757.6856226933323</v>
      </c>
      <c r="U142" s="747"/>
      <c r="V142" s="757"/>
      <c r="W142" s="771">
        <v>3757.6856226933323</v>
      </c>
      <c r="X142" s="747"/>
      <c r="Y142" s="757"/>
      <c r="Z142" s="771">
        <v>3757.6856226933323</v>
      </c>
      <c r="AA142" s="747"/>
      <c r="AB142" s="757"/>
      <c r="AC142" s="771">
        <v>3757.6856226933323</v>
      </c>
      <c r="AD142" s="747"/>
      <c r="AE142" s="757"/>
      <c r="AF142" s="771">
        <v>3757.6856226933323</v>
      </c>
      <c r="AG142" s="747"/>
      <c r="AH142" s="757"/>
      <c r="AI142" s="771">
        <v>3757.6856226933323</v>
      </c>
      <c r="AJ142" s="747"/>
      <c r="AK142" s="757"/>
      <c r="AL142" s="771">
        <v>3757.6856226933323</v>
      </c>
      <c r="AM142" s="747"/>
      <c r="AN142" s="757"/>
      <c r="AO142" s="771">
        <v>3757.6856226933323</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6668.0429252885951</v>
      </c>
      <c r="F143" s="747"/>
      <c r="G143" s="757"/>
      <c r="H143" s="771">
        <v>555.6702437740496</v>
      </c>
      <c r="I143" s="747"/>
      <c r="J143" s="757"/>
      <c r="K143" s="771">
        <v>555.6702437740496</v>
      </c>
      <c r="L143" s="747"/>
      <c r="M143" s="757"/>
      <c r="N143" s="771">
        <v>555.6702437740496</v>
      </c>
      <c r="O143" s="747"/>
      <c r="P143" s="757"/>
      <c r="Q143" s="771">
        <v>555.6702437740496</v>
      </c>
      <c r="R143" s="747"/>
      <c r="S143" s="757"/>
      <c r="T143" s="771">
        <v>555.6702437740496</v>
      </c>
      <c r="U143" s="747"/>
      <c r="V143" s="757"/>
      <c r="W143" s="771">
        <v>555.6702437740496</v>
      </c>
      <c r="X143" s="747"/>
      <c r="Y143" s="757"/>
      <c r="Z143" s="771">
        <v>555.6702437740496</v>
      </c>
      <c r="AA143" s="747"/>
      <c r="AB143" s="757"/>
      <c r="AC143" s="771">
        <v>555.6702437740496</v>
      </c>
      <c r="AD143" s="747"/>
      <c r="AE143" s="757"/>
      <c r="AF143" s="771">
        <v>555.6702437740496</v>
      </c>
      <c r="AG143" s="747"/>
      <c r="AH143" s="757"/>
      <c r="AI143" s="771">
        <v>555.6702437740496</v>
      </c>
      <c r="AJ143" s="747"/>
      <c r="AK143" s="757"/>
      <c r="AL143" s="771">
        <v>555.6702437740496</v>
      </c>
      <c r="AM143" s="747"/>
      <c r="AN143" s="757"/>
      <c r="AO143" s="771">
        <v>555.6702437740496</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16786.193568643892</v>
      </c>
      <c r="F144" s="785"/>
      <c r="G144" s="786"/>
      <c r="H144" s="788">
        <v>1398.8494640536576</v>
      </c>
      <c r="I144" s="785"/>
      <c r="J144" s="786"/>
      <c r="K144" s="788">
        <v>1398.8494640536576</v>
      </c>
      <c r="L144" s="785"/>
      <c r="M144" s="786"/>
      <c r="N144" s="788">
        <v>1398.8494640536576</v>
      </c>
      <c r="O144" s="785"/>
      <c r="P144" s="786"/>
      <c r="Q144" s="788">
        <v>1398.8494640536576</v>
      </c>
      <c r="R144" s="785"/>
      <c r="S144" s="786"/>
      <c r="T144" s="788">
        <v>1398.8494640536576</v>
      </c>
      <c r="U144" s="785"/>
      <c r="V144" s="786"/>
      <c r="W144" s="788">
        <v>1398.8494640536576</v>
      </c>
      <c r="X144" s="785"/>
      <c r="Y144" s="786"/>
      <c r="Z144" s="788">
        <v>1398.8494640536576</v>
      </c>
      <c r="AA144" s="785"/>
      <c r="AB144" s="786"/>
      <c r="AC144" s="788">
        <v>1398.8494640536576</v>
      </c>
      <c r="AD144" s="785"/>
      <c r="AE144" s="786"/>
      <c r="AF144" s="788">
        <v>1398.8494640536576</v>
      </c>
      <c r="AG144" s="785"/>
      <c r="AH144" s="786"/>
      <c r="AI144" s="788">
        <v>1398.8494640536576</v>
      </c>
      <c r="AJ144" s="785"/>
      <c r="AK144" s="786"/>
      <c r="AL144" s="788">
        <v>1398.8494640536576</v>
      </c>
      <c r="AM144" s="785"/>
      <c r="AN144" s="786"/>
      <c r="AO144" s="788">
        <v>1398.8494640536576</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1006.6264</v>
      </c>
      <c r="F145" s="747"/>
      <c r="G145" s="757"/>
      <c r="H145" s="771">
        <v>83.885533333333328</v>
      </c>
      <c r="I145" s="747"/>
      <c r="J145" s="757"/>
      <c r="K145" s="771">
        <v>83.885533333333328</v>
      </c>
      <c r="L145" s="747"/>
      <c r="M145" s="757"/>
      <c r="N145" s="771">
        <v>83.885533333333328</v>
      </c>
      <c r="O145" s="747"/>
      <c r="P145" s="757"/>
      <c r="Q145" s="771">
        <v>83.885533333333328</v>
      </c>
      <c r="R145" s="747"/>
      <c r="S145" s="757"/>
      <c r="T145" s="771">
        <v>83.885533333333328</v>
      </c>
      <c r="U145" s="747"/>
      <c r="V145" s="757"/>
      <c r="W145" s="771">
        <v>83.885533333333328</v>
      </c>
      <c r="X145" s="747"/>
      <c r="Y145" s="757"/>
      <c r="Z145" s="771">
        <v>83.885533333333328</v>
      </c>
      <c r="AA145" s="747"/>
      <c r="AB145" s="757"/>
      <c r="AC145" s="771">
        <v>83.885533333333328</v>
      </c>
      <c r="AD145" s="747"/>
      <c r="AE145" s="757"/>
      <c r="AF145" s="771">
        <v>83.885533333333328</v>
      </c>
      <c r="AG145" s="747"/>
      <c r="AH145" s="757"/>
      <c r="AI145" s="771">
        <v>83.885533333333328</v>
      </c>
      <c r="AJ145" s="747"/>
      <c r="AK145" s="757"/>
      <c r="AL145" s="771">
        <v>83.885533333333328</v>
      </c>
      <c r="AM145" s="747"/>
      <c r="AN145" s="757"/>
      <c r="AO145" s="771">
        <v>83.885533333333328</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340</v>
      </c>
      <c r="F146" s="747"/>
      <c r="G146" s="757"/>
      <c r="H146" s="771">
        <v>28.333333333333332</v>
      </c>
      <c r="I146" s="747"/>
      <c r="J146" s="757"/>
      <c r="K146" s="771">
        <v>28.333333333333332</v>
      </c>
      <c r="L146" s="747"/>
      <c r="M146" s="757"/>
      <c r="N146" s="771">
        <v>28.333333333333332</v>
      </c>
      <c r="O146" s="747"/>
      <c r="P146" s="757"/>
      <c r="Q146" s="771">
        <v>28.333333333333332</v>
      </c>
      <c r="R146" s="747"/>
      <c r="S146" s="757"/>
      <c r="T146" s="771">
        <v>28.333333333333332</v>
      </c>
      <c r="U146" s="747"/>
      <c r="V146" s="757"/>
      <c r="W146" s="771">
        <v>28.333333333333332</v>
      </c>
      <c r="X146" s="747"/>
      <c r="Y146" s="757"/>
      <c r="Z146" s="771">
        <v>28.333333333333332</v>
      </c>
      <c r="AA146" s="747"/>
      <c r="AB146" s="757"/>
      <c r="AC146" s="771">
        <v>28.333333333333332</v>
      </c>
      <c r="AD146" s="747"/>
      <c r="AE146" s="757"/>
      <c r="AF146" s="771">
        <v>28.333333333333332</v>
      </c>
      <c r="AG146" s="747"/>
      <c r="AH146" s="757"/>
      <c r="AI146" s="771">
        <v>28.333333333333332</v>
      </c>
      <c r="AJ146" s="747"/>
      <c r="AK146" s="757"/>
      <c r="AL146" s="771">
        <v>28.333333333333332</v>
      </c>
      <c r="AM146" s="747"/>
      <c r="AN146" s="757"/>
      <c r="AO146" s="771">
        <v>28.333333333333332</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3883.4327685110397</v>
      </c>
      <c r="F147" s="747"/>
      <c r="G147" s="757"/>
      <c r="H147" s="771">
        <v>323.61939737591996</v>
      </c>
      <c r="I147" s="747"/>
      <c r="J147" s="757"/>
      <c r="K147" s="771">
        <v>323.61939737591996</v>
      </c>
      <c r="L147" s="747"/>
      <c r="M147" s="757"/>
      <c r="N147" s="771">
        <v>323.61939737591996</v>
      </c>
      <c r="O147" s="747"/>
      <c r="P147" s="757"/>
      <c r="Q147" s="771">
        <v>323.61939737591996</v>
      </c>
      <c r="R147" s="747"/>
      <c r="S147" s="757"/>
      <c r="T147" s="771">
        <v>323.61939737591996</v>
      </c>
      <c r="U147" s="747"/>
      <c r="V147" s="757"/>
      <c r="W147" s="771">
        <v>323.61939737591996</v>
      </c>
      <c r="X147" s="747"/>
      <c r="Y147" s="757"/>
      <c r="Z147" s="771">
        <v>323.61939737591996</v>
      </c>
      <c r="AA147" s="747"/>
      <c r="AB147" s="757"/>
      <c r="AC147" s="771">
        <v>323.61939737591996</v>
      </c>
      <c r="AD147" s="747"/>
      <c r="AE147" s="757"/>
      <c r="AF147" s="771">
        <v>323.61939737591996</v>
      </c>
      <c r="AG147" s="747"/>
      <c r="AH147" s="757"/>
      <c r="AI147" s="771">
        <v>323.61939737591996</v>
      </c>
      <c r="AJ147" s="747"/>
      <c r="AK147" s="757"/>
      <c r="AL147" s="771">
        <v>323.61939737591996</v>
      </c>
      <c r="AM147" s="747"/>
      <c r="AN147" s="757"/>
      <c r="AO147" s="771">
        <v>323.61939737591996</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753.17465813091997</v>
      </c>
      <c r="F148" s="747"/>
      <c r="G148" s="757"/>
      <c r="H148" s="771">
        <v>62.764554844243328</v>
      </c>
      <c r="I148" s="747"/>
      <c r="J148" s="757"/>
      <c r="K148" s="771">
        <v>62.764554844243328</v>
      </c>
      <c r="L148" s="747"/>
      <c r="M148" s="757"/>
      <c r="N148" s="771">
        <v>62.764554844243328</v>
      </c>
      <c r="O148" s="747"/>
      <c r="P148" s="757"/>
      <c r="Q148" s="771">
        <v>62.764554844243328</v>
      </c>
      <c r="R148" s="747"/>
      <c r="S148" s="757"/>
      <c r="T148" s="771">
        <v>62.764554844243328</v>
      </c>
      <c r="U148" s="747"/>
      <c r="V148" s="757"/>
      <c r="W148" s="771">
        <v>62.764554844243328</v>
      </c>
      <c r="X148" s="747"/>
      <c r="Y148" s="757"/>
      <c r="Z148" s="771">
        <v>62.764554844243328</v>
      </c>
      <c r="AA148" s="747"/>
      <c r="AB148" s="757"/>
      <c r="AC148" s="771">
        <v>62.764554844243328</v>
      </c>
      <c r="AD148" s="747"/>
      <c r="AE148" s="757"/>
      <c r="AF148" s="771">
        <v>62.764554844243328</v>
      </c>
      <c r="AG148" s="747"/>
      <c r="AH148" s="757"/>
      <c r="AI148" s="771">
        <v>62.764554844243328</v>
      </c>
      <c r="AJ148" s="747"/>
      <c r="AK148" s="757"/>
      <c r="AL148" s="771">
        <v>62.764554844243328</v>
      </c>
      <c r="AM148" s="747"/>
      <c r="AN148" s="757"/>
      <c r="AO148" s="771">
        <v>62.764554844243328</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578.60212965787991</v>
      </c>
      <c r="F149" s="747"/>
      <c r="G149" s="757"/>
      <c r="H149" s="771">
        <v>48.216844138156659</v>
      </c>
      <c r="I149" s="747"/>
      <c r="J149" s="757"/>
      <c r="K149" s="771">
        <v>48.216844138156659</v>
      </c>
      <c r="L149" s="747"/>
      <c r="M149" s="757"/>
      <c r="N149" s="771">
        <v>48.216844138156659</v>
      </c>
      <c r="O149" s="747"/>
      <c r="P149" s="757"/>
      <c r="Q149" s="771">
        <v>48.216844138156659</v>
      </c>
      <c r="R149" s="747"/>
      <c r="S149" s="757"/>
      <c r="T149" s="771">
        <v>48.216844138156659</v>
      </c>
      <c r="U149" s="747"/>
      <c r="V149" s="757"/>
      <c r="W149" s="771">
        <v>48.216844138156659</v>
      </c>
      <c r="X149" s="747"/>
      <c r="Y149" s="757"/>
      <c r="Z149" s="771">
        <v>48.216844138156659</v>
      </c>
      <c r="AA149" s="747"/>
      <c r="AB149" s="757"/>
      <c r="AC149" s="771">
        <v>48.216844138156659</v>
      </c>
      <c r="AD149" s="747"/>
      <c r="AE149" s="757"/>
      <c r="AF149" s="771">
        <v>48.216844138156659</v>
      </c>
      <c r="AG149" s="747"/>
      <c r="AH149" s="757"/>
      <c r="AI149" s="771">
        <v>48.216844138156659</v>
      </c>
      <c r="AJ149" s="747"/>
      <c r="AK149" s="757"/>
      <c r="AL149" s="771">
        <v>48.216844138156659</v>
      </c>
      <c r="AM149" s="747"/>
      <c r="AN149" s="757"/>
      <c r="AO149" s="771">
        <v>48.216844138156659</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1288.2194092557202</v>
      </c>
      <c r="F150" s="747"/>
      <c r="G150" s="757"/>
      <c r="H150" s="771">
        <v>107.35161743797669</v>
      </c>
      <c r="I150" s="747"/>
      <c r="J150" s="757"/>
      <c r="K150" s="771">
        <v>107.35161743797669</v>
      </c>
      <c r="L150" s="747"/>
      <c r="M150" s="757"/>
      <c r="N150" s="771">
        <v>107.35161743797669</v>
      </c>
      <c r="O150" s="747"/>
      <c r="P150" s="757"/>
      <c r="Q150" s="771">
        <v>107.35161743797669</v>
      </c>
      <c r="R150" s="747"/>
      <c r="S150" s="757"/>
      <c r="T150" s="771">
        <v>107.35161743797669</v>
      </c>
      <c r="U150" s="747"/>
      <c r="V150" s="757"/>
      <c r="W150" s="771">
        <v>107.35161743797669</v>
      </c>
      <c r="X150" s="747"/>
      <c r="Y150" s="757"/>
      <c r="Z150" s="771">
        <v>107.35161743797669</v>
      </c>
      <c r="AA150" s="747"/>
      <c r="AB150" s="757"/>
      <c r="AC150" s="771">
        <v>107.35161743797669</v>
      </c>
      <c r="AD150" s="747"/>
      <c r="AE150" s="757"/>
      <c r="AF150" s="771">
        <v>107.35161743797669</v>
      </c>
      <c r="AG150" s="747"/>
      <c r="AH150" s="757"/>
      <c r="AI150" s="771">
        <v>107.35161743797669</v>
      </c>
      <c r="AJ150" s="747"/>
      <c r="AK150" s="757"/>
      <c r="AL150" s="771">
        <v>107.35161743797669</v>
      </c>
      <c r="AM150" s="747"/>
      <c r="AN150" s="757"/>
      <c r="AO150" s="771">
        <v>107.35161743797669</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2621.5724603638187</v>
      </c>
      <c r="F151" s="747"/>
      <c r="G151" s="757"/>
      <c r="H151" s="771">
        <v>218.46437169698484</v>
      </c>
      <c r="I151" s="747"/>
      <c r="J151" s="757"/>
      <c r="K151" s="771">
        <v>218.46437169698484</v>
      </c>
      <c r="L151" s="747"/>
      <c r="M151" s="757"/>
      <c r="N151" s="771">
        <v>218.46437169698484</v>
      </c>
      <c r="O151" s="747"/>
      <c r="P151" s="757"/>
      <c r="Q151" s="771">
        <v>218.46437169698484</v>
      </c>
      <c r="R151" s="747"/>
      <c r="S151" s="757"/>
      <c r="T151" s="771">
        <v>218.46437169698484</v>
      </c>
      <c r="U151" s="747"/>
      <c r="V151" s="757"/>
      <c r="W151" s="771">
        <v>218.46437169698484</v>
      </c>
      <c r="X151" s="747"/>
      <c r="Y151" s="757"/>
      <c r="Z151" s="771">
        <v>218.46437169698484</v>
      </c>
      <c r="AA151" s="747"/>
      <c r="AB151" s="757"/>
      <c r="AC151" s="771">
        <v>218.46437169698484</v>
      </c>
      <c r="AD151" s="747"/>
      <c r="AE151" s="757"/>
      <c r="AF151" s="771">
        <v>218.46437169698484</v>
      </c>
      <c r="AG151" s="747"/>
      <c r="AH151" s="757"/>
      <c r="AI151" s="771">
        <v>218.46437169698484</v>
      </c>
      <c r="AJ151" s="747"/>
      <c r="AK151" s="757"/>
      <c r="AL151" s="771">
        <v>218.46437169698484</v>
      </c>
      <c r="AM151" s="747"/>
      <c r="AN151" s="757"/>
      <c r="AO151" s="771">
        <v>218.46437169698484</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9723.8520499178303</v>
      </c>
      <c r="F152" s="747"/>
      <c r="G152" s="757"/>
      <c r="H152" s="771">
        <v>634.44651430529916</v>
      </c>
      <c r="I152" s="747"/>
      <c r="J152" s="757"/>
      <c r="K152" s="771">
        <v>611.72291654129151</v>
      </c>
      <c r="L152" s="747"/>
      <c r="M152" s="757"/>
      <c r="N152" s="771">
        <v>647.20571478685497</v>
      </c>
      <c r="O152" s="747"/>
      <c r="P152" s="757"/>
      <c r="Q152" s="771">
        <v>848.05675343487826</v>
      </c>
      <c r="R152" s="747"/>
      <c r="S152" s="757"/>
      <c r="T152" s="771">
        <v>901.5771308274592</v>
      </c>
      <c r="U152" s="747"/>
      <c r="V152" s="757"/>
      <c r="W152" s="771">
        <v>839.8687185306751</v>
      </c>
      <c r="X152" s="747"/>
      <c r="Y152" s="757"/>
      <c r="Z152" s="771">
        <v>820.93352030523874</v>
      </c>
      <c r="AA152" s="747"/>
      <c r="AB152" s="757"/>
      <c r="AC152" s="771">
        <v>887.88079599087973</v>
      </c>
      <c r="AD152" s="747"/>
      <c r="AE152" s="757"/>
      <c r="AF152" s="771">
        <v>722.2072596354127</v>
      </c>
      <c r="AG152" s="747"/>
      <c r="AH152" s="757"/>
      <c r="AI152" s="771">
        <v>975.11430554061235</v>
      </c>
      <c r="AJ152" s="747"/>
      <c r="AK152" s="757"/>
      <c r="AL152" s="771">
        <v>1146.3671308542077</v>
      </c>
      <c r="AM152" s="747"/>
      <c r="AN152" s="757"/>
      <c r="AO152" s="771">
        <v>688.4712891650214</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c r="G155" s="784"/>
      <c r="H155" s="758"/>
      <c r="I155" s="776"/>
      <c r="J155" s="784"/>
      <c r="K155" s="758"/>
      <c r="L155" s="776"/>
      <c r="M155" s="784"/>
      <c r="N155" s="758"/>
      <c r="O155" s="776"/>
      <c r="P155" s="784"/>
      <c r="Q155" s="758"/>
      <c r="R155" s="776"/>
      <c r="S155" s="784"/>
      <c r="T155" s="758"/>
      <c r="U155" s="776"/>
      <c r="V155" s="784"/>
      <c r="W155" s="758"/>
      <c r="X155" s="776"/>
      <c r="Y155" s="784"/>
      <c r="Z155" s="758"/>
      <c r="AA155" s="776"/>
      <c r="AB155" s="784"/>
      <c r="AC155" s="758"/>
      <c r="AD155" s="776"/>
      <c r="AE155" s="784"/>
      <c r="AF155" s="758"/>
      <c r="AG155" s="776"/>
      <c r="AH155" s="784"/>
      <c r="AI155" s="758"/>
      <c r="AJ155" s="776"/>
      <c r="AK155" s="784"/>
      <c r="AL155" s="758"/>
      <c r="AM155" s="776"/>
      <c r="AN155" s="784"/>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7.4050325850519974E-2</v>
      </c>
      <c r="E156" s="779">
        <v>104151.78330875633</v>
      </c>
      <c r="F156" s="777" t="s">
        <v>119</v>
      </c>
      <c r="G156" s="778">
        <v>0.10736667658933301</v>
      </c>
      <c r="H156" s="779">
        <v>8503.4407858751747</v>
      </c>
      <c r="I156" s="777" t="s">
        <v>119</v>
      </c>
      <c r="J156" s="778">
        <v>8.908316374066351E-2</v>
      </c>
      <c r="K156" s="779">
        <v>8480.7171881111663</v>
      </c>
      <c r="L156" s="777" t="s">
        <v>119</v>
      </c>
      <c r="M156" s="778">
        <v>8.3492156728987563E-2</v>
      </c>
      <c r="N156" s="779">
        <v>8516.1999863567307</v>
      </c>
      <c r="O156" s="777" t="s">
        <v>119</v>
      </c>
      <c r="P156" s="778">
        <v>7.946263468554926E-2</v>
      </c>
      <c r="Q156" s="779">
        <v>8717.0510250047537</v>
      </c>
      <c r="R156" s="777" t="s">
        <v>119</v>
      </c>
      <c r="S156" s="778">
        <v>5.7815236667088557E-2</v>
      </c>
      <c r="T156" s="779">
        <v>8770.5714023973342</v>
      </c>
      <c r="U156" s="777" t="s">
        <v>119</v>
      </c>
      <c r="V156" s="778">
        <v>6.120072375334188E-2</v>
      </c>
      <c r="W156" s="779">
        <v>8708.8629901005497</v>
      </c>
      <c r="X156" s="777" t="s">
        <v>119</v>
      </c>
      <c r="Y156" s="778">
        <v>6.75208064636761E-2</v>
      </c>
      <c r="Z156" s="779">
        <v>8689.9277918751141</v>
      </c>
      <c r="AA156" s="777" t="s">
        <v>119</v>
      </c>
      <c r="AB156" s="778">
        <v>7.6949693036562003E-2</v>
      </c>
      <c r="AC156" s="779">
        <v>8756.8750675607553</v>
      </c>
      <c r="AD156" s="777" t="s">
        <v>119</v>
      </c>
      <c r="AE156" s="778">
        <v>9.4305175973713365E-2</v>
      </c>
      <c r="AF156" s="779">
        <v>8591.2015312052881</v>
      </c>
      <c r="AG156" s="777" t="s">
        <v>119</v>
      </c>
      <c r="AH156" s="778">
        <v>5.5728472445560728E-2</v>
      </c>
      <c r="AI156" s="779">
        <v>8844.1085771104881</v>
      </c>
      <c r="AJ156" s="777" t="s">
        <v>119</v>
      </c>
      <c r="AK156" s="778">
        <v>6.7886757548374116E-2</v>
      </c>
      <c r="AL156" s="779">
        <v>9015.3614024240833</v>
      </c>
      <c r="AM156" s="777" t="s">
        <v>119</v>
      </c>
      <c r="AN156" s="778">
        <v>8.4476461606464909E-2</v>
      </c>
      <c r="AO156" s="779">
        <v>8557.4655607348959</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c r="G157" s="784"/>
      <c r="H157" s="774"/>
      <c r="I157" s="776"/>
      <c r="J157" s="784"/>
      <c r="K157" s="774"/>
      <c r="L157" s="776"/>
      <c r="M157" s="784"/>
      <c r="N157" s="774"/>
      <c r="O157" s="776"/>
      <c r="P157" s="784"/>
      <c r="Q157" s="774"/>
      <c r="R157" s="776"/>
      <c r="S157" s="784"/>
      <c r="T157" s="774"/>
      <c r="U157" s="776"/>
      <c r="V157" s="784"/>
      <c r="W157" s="774"/>
      <c r="X157" s="776"/>
      <c r="Y157" s="784"/>
      <c r="Z157" s="774"/>
      <c r="AA157" s="776"/>
      <c r="AB157" s="784"/>
      <c r="AC157" s="774"/>
      <c r="AD157" s="776"/>
      <c r="AE157" s="784"/>
      <c r="AF157" s="774"/>
      <c r="AG157" s="776"/>
      <c r="AH157" s="784"/>
      <c r="AI157" s="774"/>
      <c r="AJ157" s="776"/>
      <c r="AK157" s="784"/>
      <c r="AL157" s="774"/>
      <c r="AM157" s="776"/>
      <c r="AN157" s="784"/>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0.98764300072858591</v>
      </c>
      <c r="E158" s="789">
        <v>1389119.8805247562</v>
      </c>
      <c r="F158" s="777" t="s">
        <v>119</v>
      </c>
      <c r="G158" s="778">
        <v>1.3407471595537754</v>
      </c>
      <c r="H158" s="789">
        <v>106187.17503665901</v>
      </c>
      <c r="I158" s="777" t="s">
        <v>119</v>
      </c>
      <c r="J158" s="778">
        <v>1.0941234401103597</v>
      </c>
      <c r="K158" s="789">
        <v>104160.55149850625</v>
      </c>
      <c r="L158" s="777" t="s">
        <v>119</v>
      </c>
      <c r="M158" s="778">
        <v>1.0646895568737462</v>
      </c>
      <c r="N158" s="789">
        <v>108598.33480112211</v>
      </c>
      <c r="O158" s="777" t="s">
        <v>119</v>
      </c>
      <c r="P158" s="778">
        <v>1.0734529933310657</v>
      </c>
      <c r="Q158" s="789">
        <v>117757.7933684179</v>
      </c>
      <c r="R158" s="777" t="s">
        <v>119</v>
      </c>
      <c r="S158" s="778">
        <v>0.88831241888778634</v>
      </c>
      <c r="T158" s="789">
        <v>134756.99394527718</v>
      </c>
      <c r="U158" s="777" t="s">
        <v>119</v>
      </c>
      <c r="V158" s="778">
        <v>0.85783311479655711</v>
      </c>
      <c r="W158" s="789">
        <v>122069.65223555008</v>
      </c>
      <c r="X158" s="777" t="s">
        <v>119</v>
      </c>
      <c r="Y158" s="778">
        <v>0.89940554489964275</v>
      </c>
      <c r="Z158" s="789">
        <v>115753.49362858402</v>
      </c>
      <c r="AA158" s="777" t="s">
        <v>119</v>
      </c>
      <c r="AB158" s="778">
        <v>1.0422830486161661</v>
      </c>
      <c r="AC158" s="789">
        <v>118611.81093251969</v>
      </c>
      <c r="AD158" s="777" t="s">
        <v>119</v>
      </c>
      <c r="AE158" s="778">
        <v>1.1758209244728102</v>
      </c>
      <c r="AF158" s="789">
        <v>107117.286219473</v>
      </c>
      <c r="AG158" s="777" t="s">
        <v>119</v>
      </c>
      <c r="AH158" s="778">
        <v>0.84114201535650557</v>
      </c>
      <c r="AI158" s="789">
        <v>133489.23783707744</v>
      </c>
      <c r="AJ158" s="777" t="s">
        <v>119</v>
      </c>
      <c r="AK158" s="778">
        <v>0.88947556751854395</v>
      </c>
      <c r="AL158" s="789">
        <v>118122.35536646264</v>
      </c>
      <c r="AM158" s="777" t="s">
        <v>119</v>
      </c>
      <c r="AN158" s="778">
        <v>1.0117985750750942</v>
      </c>
      <c r="AO158" s="789">
        <v>102495.19565510705</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747"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747"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747" t="s">
        <v>160</v>
      </c>
      <c r="C161" s="747"/>
      <c r="D161" s="757"/>
      <c r="E161" s="758">
        <v>0</v>
      </c>
      <c r="F161" s="747"/>
      <c r="G161" s="757"/>
      <c r="H161" s="771">
        <v>0</v>
      </c>
      <c r="I161" s="747"/>
      <c r="J161" s="757"/>
      <c r="K161" s="771">
        <v>0</v>
      </c>
      <c r="L161" s="747"/>
      <c r="M161" s="757"/>
      <c r="N161" s="771">
        <v>0</v>
      </c>
      <c r="O161" s="747"/>
      <c r="P161" s="757"/>
      <c r="Q161" s="771">
        <v>0</v>
      </c>
      <c r="R161" s="747"/>
      <c r="S161" s="757"/>
      <c r="T161" s="771">
        <v>0</v>
      </c>
      <c r="U161" s="747"/>
      <c r="V161" s="757"/>
      <c r="W161" s="771">
        <v>0</v>
      </c>
      <c r="X161" s="747"/>
      <c r="Y161" s="757"/>
      <c r="Z161" s="771">
        <v>0</v>
      </c>
      <c r="AA161" s="747"/>
      <c r="AB161" s="757"/>
      <c r="AC161" s="771">
        <v>0</v>
      </c>
      <c r="AD161" s="747"/>
      <c r="AE161" s="757"/>
      <c r="AF161" s="771">
        <v>0</v>
      </c>
      <c r="AG161" s="747"/>
      <c r="AH161" s="757"/>
      <c r="AI161" s="771">
        <v>0</v>
      </c>
      <c r="AJ161" s="747"/>
      <c r="AK161" s="757"/>
      <c r="AL161" s="771">
        <v>0</v>
      </c>
      <c r="AM161" s="747"/>
      <c r="AN161" s="757"/>
      <c r="AO161" s="771">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747" t="s">
        <v>59</v>
      </c>
      <c r="C162" s="747"/>
      <c r="D162" s="757"/>
      <c r="E162" s="758">
        <v>0</v>
      </c>
      <c r="F162" s="747"/>
      <c r="G162" s="757"/>
      <c r="H162" s="771">
        <v>0</v>
      </c>
      <c r="I162" s="747"/>
      <c r="J162" s="757"/>
      <c r="K162" s="771">
        <v>0</v>
      </c>
      <c r="L162" s="747"/>
      <c r="M162" s="757"/>
      <c r="N162" s="771">
        <v>0</v>
      </c>
      <c r="O162" s="747"/>
      <c r="P162" s="757"/>
      <c r="Q162" s="771">
        <v>0</v>
      </c>
      <c r="R162" s="747"/>
      <c r="S162" s="757"/>
      <c r="T162" s="771">
        <v>0</v>
      </c>
      <c r="U162" s="747"/>
      <c r="V162" s="757"/>
      <c r="W162" s="771">
        <v>0</v>
      </c>
      <c r="X162" s="747"/>
      <c r="Y162" s="757"/>
      <c r="Z162" s="771">
        <v>0</v>
      </c>
      <c r="AA162" s="747"/>
      <c r="AB162" s="757"/>
      <c r="AC162" s="771">
        <v>0</v>
      </c>
      <c r="AD162" s="747"/>
      <c r="AE162" s="757"/>
      <c r="AF162" s="771">
        <v>0</v>
      </c>
      <c r="AG162" s="747"/>
      <c r="AH162" s="757"/>
      <c r="AI162" s="771">
        <v>0</v>
      </c>
      <c r="AJ162" s="747"/>
      <c r="AK162" s="757"/>
      <c r="AL162" s="771">
        <v>0</v>
      </c>
      <c r="AM162" s="747"/>
      <c r="AN162" s="757"/>
      <c r="AO162" s="771">
        <v>0</v>
      </c>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747" t="s">
        <v>59</v>
      </c>
      <c r="C163" s="747"/>
      <c r="D163" s="757"/>
      <c r="E163" s="758">
        <v>0</v>
      </c>
      <c r="F163" s="747"/>
      <c r="G163" s="757"/>
      <c r="H163" s="771">
        <v>0</v>
      </c>
      <c r="I163" s="747"/>
      <c r="J163" s="757"/>
      <c r="K163" s="771">
        <v>0</v>
      </c>
      <c r="L163" s="747"/>
      <c r="M163" s="757"/>
      <c r="N163" s="771">
        <v>0</v>
      </c>
      <c r="O163" s="747"/>
      <c r="P163" s="757"/>
      <c r="Q163" s="771">
        <v>0</v>
      </c>
      <c r="R163" s="747"/>
      <c r="S163" s="757"/>
      <c r="T163" s="771">
        <v>0</v>
      </c>
      <c r="U163" s="747"/>
      <c r="V163" s="757"/>
      <c r="W163" s="771">
        <v>0</v>
      </c>
      <c r="X163" s="747"/>
      <c r="Y163" s="757"/>
      <c r="Z163" s="771">
        <v>0</v>
      </c>
      <c r="AA163" s="747"/>
      <c r="AB163" s="757"/>
      <c r="AC163" s="771">
        <v>0</v>
      </c>
      <c r="AD163" s="747"/>
      <c r="AE163" s="757"/>
      <c r="AF163" s="771">
        <v>0</v>
      </c>
      <c r="AG163" s="747"/>
      <c r="AH163" s="757"/>
      <c r="AI163" s="771">
        <v>0</v>
      </c>
      <c r="AJ163" s="747"/>
      <c r="AK163" s="757"/>
      <c r="AL163" s="771">
        <v>0</v>
      </c>
      <c r="AM163" s="747"/>
      <c r="AN163" s="757"/>
      <c r="AO163" s="771">
        <v>0</v>
      </c>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747" t="s">
        <v>59</v>
      </c>
      <c r="C164" s="747"/>
      <c r="D164" s="757"/>
      <c r="E164" s="758">
        <v>0</v>
      </c>
      <c r="F164" s="747"/>
      <c r="G164" s="757"/>
      <c r="H164" s="771">
        <v>0</v>
      </c>
      <c r="I164" s="747"/>
      <c r="J164" s="757"/>
      <c r="K164" s="771">
        <v>0</v>
      </c>
      <c r="L164" s="747"/>
      <c r="M164" s="757"/>
      <c r="N164" s="771">
        <v>0</v>
      </c>
      <c r="O164" s="747"/>
      <c r="P164" s="757"/>
      <c r="Q164" s="771">
        <v>0</v>
      </c>
      <c r="R164" s="747"/>
      <c r="S164" s="757"/>
      <c r="T164" s="771">
        <v>0</v>
      </c>
      <c r="U164" s="747"/>
      <c r="V164" s="757"/>
      <c r="W164" s="771">
        <v>0</v>
      </c>
      <c r="X164" s="747"/>
      <c r="Y164" s="757"/>
      <c r="Z164" s="771">
        <v>0</v>
      </c>
      <c r="AA164" s="747"/>
      <c r="AB164" s="757"/>
      <c r="AC164" s="771">
        <v>0</v>
      </c>
      <c r="AD164" s="747"/>
      <c r="AE164" s="757"/>
      <c r="AF164" s="771">
        <v>0</v>
      </c>
      <c r="AG164" s="747"/>
      <c r="AH164" s="757"/>
      <c r="AI164" s="771">
        <v>0</v>
      </c>
      <c r="AJ164" s="747"/>
      <c r="AK164" s="757"/>
      <c r="AL164" s="771">
        <v>0</v>
      </c>
      <c r="AM164" s="747"/>
      <c r="AN164" s="757"/>
      <c r="AO164" s="771">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776" t="s">
        <v>149</v>
      </c>
      <c r="C165" s="776"/>
      <c r="D165" s="784"/>
      <c r="E165" s="774">
        <v>140627.54999999999</v>
      </c>
      <c r="F165" s="776"/>
      <c r="G165" s="784"/>
      <c r="H165" s="775">
        <v>7960.0499999999993</v>
      </c>
      <c r="I165" s="776"/>
      <c r="J165" s="784"/>
      <c r="K165" s="775">
        <v>9476.25</v>
      </c>
      <c r="L165" s="776"/>
      <c r="M165" s="784"/>
      <c r="N165" s="775">
        <v>10234.35</v>
      </c>
      <c r="O165" s="776"/>
      <c r="P165" s="784"/>
      <c r="Q165" s="775">
        <v>10992.449999999999</v>
      </c>
      <c r="R165" s="776"/>
      <c r="S165" s="784"/>
      <c r="T165" s="775">
        <v>15162</v>
      </c>
      <c r="U165" s="776"/>
      <c r="V165" s="784"/>
      <c r="W165" s="775">
        <v>14403.9</v>
      </c>
      <c r="X165" s="776"/>
      <c r="Y165" s="784"/>
      <c r="Z165" s="775">
        <v>12887.699999999999</v>
      </c>
      <c r="AA165" s="776"/>
      <c r="AB165" s="784"/>
      <c r="AC165" s="775">
        <v>11371.5</v>
      </c>
      <c r="AD165" s="776"/>
      <c r="AE165" s="784"/>
      <c r="AF165" s="775">
        <v>9097.1999999999989</v>
      </c>
      <c r="AG165" s="776"/>
      <c r="AH165" s="784"/>
      <c r="AI165" s="775">
        <v>15920.099999999999</v>
      </c>
      <c r="AJ165" s="776"/>
      <c r="AK165" s="784"/>
      <c r="AL165" s="775">
        <v>13266.75</v>
      </c>
      <c r="AM165" s="776"/>
      <c r="AN165" s="784"/>
      <c r="AO165" s="775">
        <v>9855.2999999999993</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140627.54999999999</v>
      </c>
      <c r="F166" s="814"/>
      <c r="G166" s="815"/>
      <c r="H166" s="789">
        <v>7960.0499999999993</v>
      </c>
      <c r="I166" s="814"/>
      <c r="J166" s="815"/>
      <c r="K166" s="789">
        <v>9476.25</v>
      </c>
      <c r="L166" s="814"/>
      <c r="M166" s="815"/>
      <c r="N166" s="789">
        <v>10234.35</v>
      </c>
      <c r="O166" s="814"/>
      <c r="P166" s="815"/>
      <c r="Q166" s="789">
        <v>10992.449999999999</v>
      </c>
      <c r="R166" s="814"/>
      <c r="S166" s="815"/>
      <c r="T166" s="789">
        <v>15162</v>
      </c>
      <c r="U166" s="814"/>
      <c r="V166" s="815"/>
      <c r="W166" s="789">
        <v>14403.9</v>
      </c>
      <c r="X166" s="814"/>
      <c r="Y166" s="815"/>
      <c r="Z166" s="789">
        <v>12887.699999999999</v>
      </c>
      <c r="AA166" s="814"/>
      <c r="AB166" s="815"/>
      <c r="AC166" s="789">
        <v>11371.5</v>
      </c>
      <c r="AD166" s="814"/>
      <c r="AE166" s="815"/>
      <c r="AF166" s="789">
        <v>9097.1999999999989</v>
      </c>
      <c r="AG166" s="814"/>
      <c r="AH166" s="815"/>
      <c r="AI166" s="789">
        <v>15920.099999999999</v>
      </c>
      <c r="AJ166" s="814"/>
      <c r="AK166" s="815"/>
      <c r="AL166" s="789">
        <v>13266.75</v>
      </c>
      <c r="AM166" s="814"/>
      <c r="AN166" s="815"/>
      <c r="AO166" s="789">
        <v>9855.2999999999993</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1"/>
        <v>Véhicules usagésPROFIT DÉPARTEMENTAL</v>
      </c>
      <c r="B168" s="57" t="s">
        <v>151</v>
      </c>
      <c r="C168" s="816"/>
      <c r="D168" s="817"/>
      <c r="E168" s="798">
        <v>158007.66947524383</v>
      </c>
      <c r="F168" s="816"/>
      <c r="G168" s="817"/>
      <c r="H168" s="798">
        <v>-19027.125036659014</v>
      </c>
      <c r="I168" s="816"/>
      <c r="J168" s="817"/>
      <c r="K168" s="798">
        <v>515.6985014937527</v>
      </c>
      <c r="L168" s="816"/>
      <c r="M168" s="817"/>
      <c r="N168" s="798">
        <v>3636.0151988778907</v>
      </c>
      <c r="O168" s="816"/>
      <c r="P168" s="817"/>
      <c r="Q168" s="798">
        <v>2934.6566315820983</v>
      </c>
      <c r="R168" s="816"/>
      <c r="S168" s="817"/>
      <c r="T168" s="798">
        <v>32105.00605472282</v>
      </c>
      <c r="U168" s="816"/>
      <c r="V168" s="817"/>
      <c r="W168" s="798">
        <v>34634.247764449923</v>
      </c>
      <c r="X168" s="816"/>
      <c r="Y168" s="817"/>
      <c r="Z168" s="798">
        <v>25834.206371415974</v>
      </c>
      <c r="AA168" s="816"/>
      <c r="AB168" s="817"/>
      <c r="AC168" s="798">
        <v>6559.6890674803144</v>
      </c>
      <c r="AD168" s="816"/>
      <c r="AE168" s="817"/>
      <c r="AF168" s="798">
        <v>-6920.086219472998</v>
      </c>
      <c r="AG168" s="816"/>
      <c r="AH168" s="817"/>
      <c r="AI168" s="798">
        <v>41130.86216292256</v>
      </c>
      <c r="AJ168" s="816"/>
      <c r="AK168" s="817"/>
      <c r="AL168" s="798">
        <v>27944.394633537362</v>
      </c>
      <c r="AM168" s="816"/>
      <c r="AN168" s="817"/>
      <c r="AO168" s="798">
        <v>8660.1043448929522</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3933</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c r="A173" s="39"/>
      <c r="B173" s="40" t="s">
        <v>3</v>
      </c>
      <c r="C173" s="969">
        <v>2025</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20"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5996</v>
      </c>
      <c r="D175" s="770">
        <v>2038640</v>
      </c>
      <c r="E175" s="758">
        <v>1590139.2000000002</v>
      </c>
      <c r="F175" s="820">
        <v>329.78000000000003</v>
      </c>
      <c r="G175" s="821">
        <v>112125.2</v>
      </c>
      <c r="H175" s="771">
        <v>87457.656000000003</v>
      </c>
      <c r="I175" s="820">
        <v>293.80400000000003</v>
      </c>
      <c r="J175" s="821">
        <v>99893.36</v>
      </c>
      <c r="K175" s="771">
        <v>77916.820800000001</v>
      </c>
      <c r="L175" s="820">
        <v>359.76</v>
      </c>
      <c r="M175" s="821">
        <v>122318.39999999999</v>
      </c>
      <c r="N175" s="771">
        <v>95408.351999999999</v>
      </c>
      <c r="O175" s="820">
        <v>653.56399999999996</v>
      </c>
      <c r="P175" s="821">
        <v>222211.76</v>
      </c>
      <c r="Q175" s="771">
        <v>173325.1728</v>
      </c>
      <c r="R175" s="820">
        <v>641.572</v>
      </c>
      <c r="S175" s="821">
        <v>218134.47999999998</v>
      </c>
      <c r="T175" s="771">
        <v>170144.89439999999</v>
      </c>
      <c r="U175" s="820">
        <v>419.72</v>
      </c>
      <c r="V175" s="821">
        <v>142704.80000000002</v>
      </c>
      <c r="W175" s="771">
        <v>111309.74400000002</v>
      </c>
      <c r="X175" s="820">
        <v>419.72</v>
      </c>
      <c r="Y175" s="821">
        <v>142704.80000000002</v>
      </c>
      <c r="Z175" s="771">
        <v>111309.74400000002</v>
      </c>
      <c r="AA175" s="820">
        <v>419.72</v>
      </c>
      <c r="AB175" s="821">
        <v>142704.80000000002</v>
      </c>
      <c r="AC175" s="771">
        <v>111309.74400000002</v>
      </c>
      <c r="AD175" s="820">
        <v>389.74</v>
      </c>
      <c r="AE175" s="821">
        <v>132511.6</v>
      </c>
      <c r="AF175" s="771">
        <v>103359.04800000001</v>
      </c>
      <c r="AG175" s="820">
        <v>659.56000000000006</v>
      </c>
      <c r="AH175" s="821">
        <v>224250.4</v>
      </c>
      <c r="AI175" s="771">
        <v>174915.31200000001</v>
      </c>
      <c r="AJ175" s="820">
        <v>959.36</v>
      </c>
      <c r="AK175" s="821">
        <v>326182.40000000002</v>
      </c>
      <c r="AL175" s="771">
        <v>254422.27200000003</v>
      </c>
      <c r="AM175" s="820">
        <v>449.7</v>
      </c>
      <c r="AN175" s="821">
        <v>152898</v>
      </c>
      <c r="AO175" s="771">
        <v>119260.44</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0.78000000000000014</v>
      </c>
      <c r="F176" s="819"/>
      <c r="G176" s="757"/>
      <c r="H176" s="822">
        <v>0.78</v>
      </c>
      <c r="I176" s="819"/>
      <c r="J176" s="757"/>
      <c r="K176" s="822">
        <v>0.78</v>
      </c>
      <c r="L176" s="819"/>
      <c r="M176" s="757"/>
      <c r="N176" s="822">
        <v>0.78</v>
      </c>
      <c r="O176" s="819"/>
      <c r="P176" s="757"/>
      <c r="Q176" s="822">
        <v>0.77999999999999992</v>
      </c>
      <c r="R176" s="819"/>
      <c r="S176" s="757"/>
      <c r="T176" s="822">
        <v>0.78</v>
      </c>
      <c r="U176" s="819"/>
      <c r="V176" s="757"/>
      <c r="W176" s="822">
        <v>0.78</v>
      </c>
      <c r="X176" s="819"/>
      <c r="Y176" s="757"/>
      <c r="Z176" s="822">
        <v>0.78</v>
      </c>
      <c r="AA176" s="819"/>
      <c r="AB176" s="757"/>
      <c r="AC176" s="822">
        <v>0.78</v>
      </c>
      <c r="AD176" s="819"/>
      <c r="AE176" s="757"/>
      <c r="AF176" s="822">
        <v>0.78</v>
      </c>
      <c r="AG176" s="819"/>
      <c r="AH176" s="757"/>
      <c r="AI176" s="822">
        <v>0.78</v>
      </c>
      <c r="AJ176" s="819"/>
      <c r="AK176" s="757"/>
      <c r="AL176" s="822">
        <v>0.78</v>
      </c>
      <c r="AM176" s="819"/>
      <c r="AN176" s="757"/>
      <c r="AO176" s="822">
        <v>0.78</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340</v>
      </c>
      <c r="E177" s="825"/>
      <c r="F177" s="823"/>
      <c r="G177" s="824">
        <v>339.99999999999994</v>
      </c>
      <c r="H177" s="825"/>
      <c r="I177" s="823"/>
      <c r="J177" s="824">
        <v>339.99999999999994</v>
      </c>
      <c r="K177" s="825"/>
      <c r="L177" s="823"/>
      <c r="M177" s="824">
        <v>340</v>
      </c>
      <c r="N177" s="825"/>
      <c r="O177" s="823"/>
      <c r="P177" s="824">
        <v>340.00000000000006</v>
      </c>
      <c r="Q177" s="825"/>
      <c r="R177" s="823"/>
      <c r="S177" s="824">
        <v>339.99999999999994</v>
      </c>
      <c r="T177" s="825"/>
      <c r="U177" s="823"/>
      <c r="V177" s="824">
        <v>340</v>
      </c>
      <c r="W177" s="825"/>
      <c r="X177" s="823"/>
      <c r="Y177" s="824">
        <v>340</v>
      </c>
      <c r="Z177" s="825"/>
      <c r="AA177" s="823"/>
      <c r="AB177" s="824">
        <v>340</v>
      </c>
      <c r="AC177" s="825"/>
      <c r="AD177" s="823"/>
      <c r="AE177" s="824">
        <v>340</v>
      </c>
      <c r="AF177" s="825"/>
      <c r="AG177" s="823"/>
      <c r="AH177" s="824">
        <v>339.99999999999994</v>
      </c>
      <c r="AI177" s="825"/>
      <c r="AJ177" s="823"/>
      <c r="AK177" s="824">
        <v>340</v>
      </c>
      <c r="AL177" s="825"/>
      <c r="AM177" s="823"/>
      <c r="AN177" s="824">
        <v>340</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1369.9999999999998</v>
      </c>
      <c r="D178" s="827">
        <v>369899.99999999994</v>
      </c>
      <c r="E178" s="782">
        <v>236735.99999999997</v>
      </c>
      <c r="F178" s="828">
        <v>109.60000000000001</v>
      </c>
      <c r="G178" s="829">
        <v>29592</v>
      </c>
      <c r="H178" s="783">
        <v>18938.88</v>
      </c>
      <c r="I178" s="828">
        <v>79.460000000000008</v>
      </c>
      <c r="J178" s="829">
        <v>21454.2</v>
      </c>
      <c r="K178" s="783">
        <v>13730.688</v>
      </c>
      <c r="L178" s="828">
        <v>60.279999999999994</v>
      </c>
      <c r="M178" s="829">
        <v>16275.599999999999</v>
      </c>
      <c r="N178" s="783">
        <v>10416.384</v>
      </c>
      <c r="O178" s="828">
        <v>82.2</v>
      </c>
      <c r="P178" s="829">
        <v>22194</v>
      </c>
      <c r="Q178" s="783">
        <v>14204.16</v>
      </c>
      <c r="R178" s="828">
        <v>123.3</v>
      </c>
      <c r="S178" s="829">
        <v>33291</v>
      </c>
      <c r="T178" s="783">
        <v>21306.240000000002</v>
      </c>
      <c r="U178" s="828">
        <v>127.41</v>
      </c>
      <c r="V178" s="829">
        <v>34400.699999999997</v>
      </c>
      <c r="W178" s="783">
        <v>22016.448</v>
      </c>
      <c r="X178" s="828">
        <v>149.33000000000001</v>
      </c>
      <c r="Y178" s="829">
        <v>40319.1</v>
      </c>
      <c r="Z178" s="783">
        <v>25804.223999999998</v>
      </c>
      <c r="AA178" s="828">
        <v>150.69999999999999</v>
      </c>
      <c r="AB178" s="829">
        <v>40689</v>
      </c>
      <c r="AC178" s="783">
        <v>26040.959999999999</v>
      </c>
      <c r="AD178" s="828">
        <v>143.85</v>
      </c>
      <c r="AE178" s="829">
        <v>38839.5</v>
      </c>
      <c r="AF178" s="783">
        <v>24857.279999999999</v>
      </c>
      <c r="AG178" s="828">
        <v>149.33000000000001</v>
      </c>
      <c r="AH178" s="829">
        <v>40319.1</v>
      </c>
      <c r="AI178" s="783">
        <v>25804.223999999998</v>
      </c>
      <c r="AJ178" s="828">
        <v>113.71000000000001</v>
      </c>
      <c r="AK178" s="829">
        <v>30701.7</v>
      </c>
      <c r="AL178" s="783">
        <v>19649.088</v>
      </c>
      <c r="AM178" s="828">
        <v>80.83</v>
      </c>
      <c r="AN178" s="829">
        <v>21824.1</v>
      </c>
      <c r="AO178" s="783">
        <v>13967.423999999999</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0.64</v>
      </c>
      <c r="F179" s="747"/>
      <c r="G179" s="757"/>
      <c r="H179" s="822">
        <v>0.64</v>
      </c>
      <c r="I179" s="747"/>
      <c r="J179" s="757"/>
      <c r="K179" s="822">
        <v>0.64</v>
      </c>
      <c r="L179" s="747"/>
      <c r="M179" s="757"/>
      <c r="N179" s="822">
        <v>0.64</v>
      </c>
      <c r="O179" s="747"/>
      <c r="P179" s="757"/>
      <c r="Q179" s="822">
        <v>0.64</v>
      </c>
      <c r="R179" s="747"/>
      <c r="S179" s="757"/>
      <c r="T179" s="822">
        <v>0.64</v>
      </c>
      <c r="U179" s="747"/>
      <c r="V179" s="757"/>
      <c r="W179" s="822">
        <v>0.64</v>
      </c>
      <c r="X179" s="747"/>
      <c r="Y179" s="757"/>
      <c r="Z179" s="822">
        <v>0.64</v>
      </c>
      <c r="AA179" s="747"/>
      <c r="AB179" s="757"/>
      <c r="AC179" s="822">
        <v>0.64</v>
      </c>
      <c r="AD179" s="747"/>
      <c r="AE179" s="757"/>
      <c r="AF179" s="822">
        <v>0.64</v>
      </c>
      <c r="AG179" s="747"/>
      <c r="AH179" s="757"/>
      <c r="AI179" s="822">
        <v>0.64</v>
      </c>
      <c r="AJ179" s="747"/>
      <c r="AK179" s="757"/>
      <c r="AL179" s="822">
        <v>0.64</v>
      </c>
      <c r="AM179" s="747"/>
      <c r="AN179" s="757"/>
      <c r="AO179" s="822">
        <v>0.64</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270</v>
      </c>
      <c r="E180" s="825"/>
      <c r="F180" s="776"/>
      <c r="G180" s="824">
        <v>270</v>
      </c>
      <c r="H180" s="825"/>
      <c r="I180" s="776"/>
      <c r="J180" s="824">
        <v>270</v>
      </c>
      <c r="K180" s="825"/>
      <c r="L180" s="776"/>
      <c r="M180" s="824">
        <v>270</v>
      </c>
      <c r="N180" s="825"/>
      <c r="O180" s="776"/>
      <c r="P180" s="824">
        <v>270</v>
      </c>
      <c r="Q180" s="825"/>
      <c r="R180" s="776"/>
      <c r="S180" s="824">
        <v>270</v>
      </c>
      <c r="T180" s="825"/>
      <c r="U180" s="776"/>
      <c r="V180" s="824">
        <v>270</v>
      </c>
      <c r="W180" s="825"/>
      <c r="X180" s="776"/>
      <c r="Y180" s="824">
        <v>269.99999999999994</v>
      </c>
      <c r="Z180" s="825"/>
      <c r="AA180" s="776"/>
      <c r="AB180" s="824">
        <v>270</v>
      </c>
      <c r="AC180" s="825"/>
      <c r="AD180" s="776"/>
      <c r="AE180" s="824">
        <v>270</v>
      </c>
      <c r="AF180" s="825"/>
      <c r="AG180" s="776"/>
      <c r="AH180" s="824">
        <v>269.99999999999994</v>
      </c>
      <c r="AI180" s="825"/>
      <c r="AJ180" s="776"/>
      <c r="AK180" s="824">
        <v>270</v>
      </c>
      <c r="AL180" s="825"/>
      <c r="AM180" s="776"/>
      <c r="AN180" s="824">
        <v>270</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3023.0000000000005</v>
      </c>
      <c r="D181" s="770">
        <v>928121.46000000008</v>
      </c>
      <c r="E181" s="758">
        <v>686809.88040000002</v>
      </c>
      <c r="F181" s="820">
        <v>196.495</v>
      </c>
      <c r="G181" s="821">
        <v>60327.894899999999</v>
      </c>
      <c r="H181" s="771">
        <v>44642.642225999996</v>
      </c>
      <c r="I181" s="820">
        <v>205.56400000000002</v>
      </c>
      <c r="J181" s="821">
        <v>63112.259279999998</v>
      </c>
      <c r="K181" s="771">
        <v>46703.0718672</v>
      </c>
      <c r="L181" s="820">
        <v>226.72499999999999</v>
      </c>
      <c r="M181" s="821">
        <v>69609.109499999991</v>
      </c>
      <c r="N181" s="771">
        <v>51510.74102999999</v>
      </c>
      <c r="O181" s="820">
        <v>226.72499999999999</v>
      </c>
      <c r="P181" s="821">
        <v>69609.109499999991</v>
      </c>
      <c r="Q181" s="771">
        <v>51510.74102999999</v>
      </c>
      <c r="R181" s="820">
        <v>232.77099999999999</v>
      </c>
      <c r="S181" s="821">
        <v>71465.352419999996</v>
      </c>
      <c r="T181" s="771">
        <v>52884.360790799998</v>
      </c>
      <c r="U181" s="820">
        <v>272.07</v>
      </c>
      <c r="V181" s="821">
        <v>83530.931399999987</v>
      </c>
      <c r="W181" s="771">
        <v>61812.889235999988</v>
      </c>
      <c r="X181" s="820">
        <v>272.07</v>
      </c>
      <c r="Y181" s="821">
        <v>83530.931399999987</v>
      </c>
      <c r="Z181" s="771">
        <v>61812.889235999988</v>
      </c>
      <c r="AA181" s="820">
        <v>332.53000000000003</v>
      </c>
      <c r="AB181" s="821">
        <v>102093.3606</v>
      </c>
      <c r="AC181" s="771">
        <v>75549.086844000005</v>
      </c>
      <c r="AD181" s="820">
        <v>241.84</v>
      </c>
      <c r="AE181" s="821">
        <v>74249.716799999995</v>
      </c>
      <c r="AF181" s="771">
        <v>54944.790431999994</v>
      </c>
      <c r="AG181" s="820">
        <v>272.07</v>
      </c>
      <c r="AH181" s="821">
        <v>83530.931399999987</v>
      </c>
      <c r="AI181" s="771">
        <v>61812.889235999988</v>
      </c>
      <c r="AJ181" s="820">
        <v>332.53000000000003</v>
      </c>
      <c r="AK181" s="821">
        <v>102093.3606</v>
      </c>
      <c r="AL181" s="771">
        <v>75549.086844000005</v>
      </c>
      <c r="AM181" s="820">
        <v>211.61</v>
      </c>
      <c r="AN181" s="821">
        <v>64968.502200000003</v>
      </c>
      <c r="AO181" s="771">
        <v>48076.691628</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0.74</v>
      </c>
      <c r="F182" s="819"/>
      <c r="G182" s="830"/>
      <c r="H182" s="822">
        <v>0.74</v>
      </c>
      <c r="I182" s="819"/>
      <c r="J182" s="830"/>
      <c r="K182" s="822">
        <v>0.74</v>
      </c>
      <c r="L182" s="819"/>
      <c r="M182" s="830"/>
      <c r="N182" s="822">
        <v>0.74</v>
      </c>
      <c r="O182" s="819"/>
      <c r="P182" s="830"/>
      <c r="Q182" s="822">
        <v>0.74</v>
      </c>
      <c r="R182" s="819"/>
      <c r="S182" s="830"/>
      <c r="T182" s="822">
        <v>0.74</v>
      </c>
      <c r="U182" s="819"/>
      <c r="V182" s="830"/>
      <c r="W182" s="822">
        <v>0.74</v>
      </c>
      <c r="X182" s="819"/>
      <c r="Y182" s="830"/>
      <c r="Z182" s="822">
        <v>0.74</v>
      </c>
      <c r="AA182" s="819"/>
      <c r="AB182" s="830"/>
      <c r="AC182" s="822">
        <v>0.7400000000000001</v>
      </c>
      <c r="AD182" s="819"/>
      <c r="AE182" s="830"/>
      <c r="AF182" s="822">
        <v>0.74</v>
      </c>
      <c r="AG182" s="819"/>
      <c r="AH182" s="830"/>
      <c r="AI182" s="822">
        <v>0.74</v>
      </c>
      <c r="AJ182" s="819"/>
      <c r="AK182" s="830"/>
      <c r="AL182" s="822">
        <v>0.7400000000000001</v>
      </c>
      <c r="AM182" s="819"/>
      <c r="AN182" s="830"/>
      <c r="AO182" s="822">
        <v>0.74</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307.02</v>
      </c>
      <c r="E183" s="822"/>
      <c r="F183" s="819"/>
      <c r="G183" s="831">
        <v>307.02</v>
      </c>
      <c r="H183" s="822"/>
      <c r="I183" s="819"/>
      <c r="J183" s="831">
        <v>307.02</v>
      </c>
      <c r="K183" s="822"/>
      <c r="L183" s="819"/>
      <c r="M183" s="831">
        <v>307.02</v>
      </c>
      <c r="N183" s="822"/>
      <c r="O183" s="819"/>
      <c r="P183" s="831">
        <v>307.02</v>
      </c>
      <c r="Q183" s="822"/>
      <c r="R183" s="819"/>
      <c r="S183" s="831">
        <v>307.02</v>
      </c>
      <c r="T183" s="822"/>
      <c r="U183" s="819"/>
      <c r="V183" s="831">
        <v>307.02</v>
      </c>
      <c r="W183" s="822"/>
      <c r="X183" s="819"/>
      <c r="Y183" s="831">
        <v>307.02</v>
      </c>
      <c r="Z183" s="822"/>
      <c r="AA183" s="819"/>
      <c r="AB183" s="831">
        <v>307.02</v>
      </c>
      <c r="AC183" s="822"/>
      <c r="AD183" s="819"/>
      <c r="AE183" s="831">
        <v>307.02</v>
      </c>
      <c r="AF183" s="822"/>
      <c r="AG183" s="819"/>
      <c r="AH183" s="831">
        <v>307.02</v>
      </c>
      <c r="AI183" s="822"/>
      <c r="AJ183" s="819"/>
      <c r="AK183" s="831">
        <v>307.02</v>
      </c>
      <c r="AL183" s="822"/>
      <c r="AM183" s="819"/>
      <c r="AN183" s="831">
        <v>307.02</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628.00000000000011</v>
      </c>
      <c r="D184" s="827">
        <v>169560</v>
      </c>
      <c r="E184" s="782">
        <v>127170.00000000001</v>
      </c>
      <c r="F184" s="828">
        <v>23.864000000000001</v>
      </c>
      <c r="G184" s="829">
        <v>6443.28</v>
      </c>
      <c r="H184" s="783">
        <v>4832.46</v>
      </c>
      <c r="I184" s="828">
        <v>22.607999999999997</v>
      </c>
      <c r="J184" s="829">
        <v>6104.16</v>
      </c>
      <c r="K184" s="783">
        <v>4578.12</v>
      </c>
      <c r="L184" s="828">
        <v>55.891999999999996</v>
      </c>
      <c r="M184" s="829">
        <v>15090.84</v>
      </c>
      <c r="N184" s="783">
        <v>11318.130000000001</v>
      </c>
      <c r="O184" s="828">
        <v>124.97200000000001</v>
      </c>
      <c r="P184" s="829">
        <v>33742.44</v>
      </c>
      <c r="Q184" s="783">
        <v>25306.83</v>
      </c>
      <c r="R184" s="828">
        <v>107.38800000000001</v>
      </c>
      <c r="S184" s="829">
        <v>28994.760000000002</v>
      </c>
      <c r="T184" s="783">
        <v>21746.07</v>
      </c>
      <c r="U184" s="828">
        <v>37.68</v>
      </c>
      <c r="V184" s="829">
        <v>10173.6</v>
      </c>
      <c r="W184" s="783">
        <v>7630.2000000000007</v>
      </c>
      <c r="X184" s="828">
        <v>39.564</v>
      </c>
      <c r="Y184" s="829">
        <v>10682.28</v>
      </c>
      <c r="Z184" s="783">
        <v>8011.7100000000009</v>
      </c>
      <c r="AA184" s="828">
        <v>29.516000000000002</v>
      </c>
      <c r="AB184" s="829">
        <v>7969.32</v>
      </c>
      <c r="AC184" s="783">
        <v>5976.99</v>
      </c>
      <c r="AD184" s="828">
        <v>28.259999999999998</v>
      </c>
      <c r="AE184" s="829">
        <v>7630.2</v>
      </c>
      <c r="AF184" s="783">
        <v>5722.65</v>
      </c>
      <c r="AG184" s="828">
        <v>44.587999999999994</v>
      </c>
      <c r="AH184" s="829">
        <v>12038.759999999998</v>
      </c>
      <c r="AI184" s="783">
        <v>9029.07</v>
      </c>
      <c r="AJ184" s="828">
        <v>86.036000000000001</v>
      </c>
      <c r="AK184" s="829">
        <v>23229.72</v>
      </c>
      <c r="AL184" s="783">
        <v>17422.29</v>
      </c>
      <c r="AM184" s="828">
        <v>27.631999999999998</v>
      </c>
      <c r="AN184" s="829">
        <v>7460.6399999999994</v>
      </c>
      <c r="AO184" s="783">
        <v>5595.48</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0.75000000000000011</v>
      </c>
      <c r="F185" s="832"/>
      <c r="G185" s="833">
        <v>0</v>
      </c>
      <c r="H185" s="822">
        <v>0.75</v>
      </c>
      <c r="I185" s="832"/>
      <c r="J185" s="833">
        <v>0</v>
      </c>
      <c r="K185" s="822">
        <v>0.75</v>
      </c>
      <c r="L185" s="832"/>
      <c r="M185" s="833">
        <v>0</v>
      </c>
      <c r="N185" s="822">
        <v>0.75000000000000011</v>
      </c>
      <c r="O185" s="832"/>
      <c r="P185" s="833">
        <v>0</v>
      </c>
      <c r="Q185" s="822">
        <v>0.75</v>
      </c>
      <c r="R185" s="832"/>
      <c r="S185" s="833">
        <v>0</v>
      </c>
      <c r="T185" s="822">
        <v>0.74999999999999989</v>
      </c>
      <c r="U185" s="832"/>
      <c r="V185" s="833">
        <v>0</v>
      </c>
      <c r="W185" s="822">
        <v>0.75</v>
      </c>
      <c r="X185" s="832"/>
      <c r="Y185" s="833">
        <v>0</v>
      </c>
      <c r="Z185" s="822">
        <v>0.75</v>
      </c>
      <c r="AA185" s="832"/>
      <c r="AB185" s="833">
        <v>0</v>
      </c>
      <c r="AC185" s="822">
        <v>0.75</v>
      </c>
      <c r="AD185" s="832"/>
      <c r="AE185" s="833">
        <v>0</v>
      </c>
      <c r="AF185" s="822">
        <v>0.75</v>
      </c>
      <c r="AG185" s="832"/>
      <c r="AH185" s="833">
        <v>0</v>
      </c>
      <c r="AI185" s="822">
        <v>0.75000000000000011</v>
      </c>
      <c r="AJ185" s="832"/>
      <c r="AK185" s="833">
        <v>0</v>
      </c>
      <c r="AL185" s="822">
        <v>0.75</v>
      </c>
      <c r="AM185" s="832"/>
      <c r="AN185" s="833">
        <v>0</v>
      </c>
      <c r="AO185" s="822">
        <v>0.75</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269.99999999999994</v>
      </c>
      <c r="E186" s="825"/>
      <c r="F186" s="834"/>
      <c r="G186" s="835">
        <v>270</v>
      </c>
      <c r="H186" s="825"/>
      <c r="I186" s="834"/>
      <c r="J186" s="835">
        <v>270.00000000000006</v>
      </c>
      <c r="K186" s="825"/>
      <c r="L186" s="834"/>
      <c r="M186" s="835">
        <v>270</v>
      </c>
      <c r="N186" s="825"/>
      <c r="O186" s="834"/>
      <c r="P186" s="835">
        <v>270</v>
      </c>
      <c r="Q186" s="825"/>
      <c r="R186" s="834"/>
      <c r="S186" s="835">
        <v>270</v>
      </c>
      <c r="T186" s="825"/>
      <c r="U186" s="834"/>
      <c r="V186" s="835">
        <v>270</v>
      </c>
      <c r="W186" s="825"/>
      <c r="X186" s="834"/>
      <c r="Y186" s="835">
        <v>270</v>
      </c>
      <c r="Z186" s="825"/>
      <c r="AA186" s="834"/>
      <c r="AB186" s="835">
        <v>270</v>
      </c>
      <c r="AC186" s="825"/>
      <c r="AD186" s="834"/>
      <c r="AE186" s="835">
        <v>270</v>
      </c>
      <c r="AF186" s="825"/>
      <c r="AG186" s="834"/>
      <c r="AH186" s="835">
        <v>270</v>
      </c>
      <c r="AI186" s="825"/>
      <c r="AJ186" s="834"/>
      <c r="AK186" s="835">
        <v>270</v>
      </c>
      <c r="AL186" s="825"/>
      <c r="AM186" s="834"/>
      <c r="AN186" s="835">
        <v>270</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ServiceAjustement M/O</v>
      </c>
      <c r="B187" s="44" t="s">
        <v>169</v>
      </c>
      <c r="C187" s="819"/>
      <c r="D187" s="770"/>
      <c r="E187" s="758">
        <v>-41107.000000000029</v>
      </c>
      <c r="F187" s="820"/>
      <c r="G187" s="821"/>
      <c r="H187" s="771">
        <v>-2499.422493693236</v>
      </c>
      <c r="I187" s="820"/>
      <c r="J187" s="821"/>
      <c r="K187" s="771">
        <v>-2262.7911646411389</v>
      </c>
      <c r="L187" s="820"/>
      <c r="M187" s="821"/>
      <c r="N187" s="771">
        <v>-2595.5486726356412</v>
      </c>
      <c r="O187" s="820"/>
      <c r="P187" s="821"/>
      <c r="Q187" s="771">
        <v>-3962.1963906912711</v>
      </c>
      <c r="R187" s="820"/>
      <c r="S187" s="821"/>
      <c r="T187" s="771">
        <v>-4075.8992150135141</v>
      </c>
      <c r="U187" s="820"/>
      <c r="V187" s="821"/>
      <c r="W187" s="771">
        <v>-3232.1005101727992</v>
      </c>
      <c r="X187" s="820"/>
      <c r="Y187" s="821"/>
      <c r="Z187" s="771">
        <v>-3339.351196293635</v>
      </c>
      <c r="AA187" s="820"/>
      <c r="AB187" s="821"/>
      <c r="AC187" s="771">
        <v>-3542.7164610751106</v>
      </c>
      <c r="AD187" s="820"/>
      <c r="AE187" s="821"/>
      <c r="AF187" s="771">
        <v>-3056.6502247129561</v>
      </c>
      <c r="AG187" s="820"/>
      <c r="AH187" s="821"/>
      <c r="AI187" s="771">
        <v>-4207.6552106133495</v>
      </c>
      <c r="AJ187" s="820"/>
      <c r="AK187" s="821"/>
      <c r="AL187" s="771">
        <v>-5470.5901466453215</v>
      </c>
      <c r="AM187" s="820"/>
      <c r="AN187" s="821"/>
      <c r="AO187" s="771">
        <v>-2862.0783138120501</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2"/>
        <v>ServiceSous-total M/O</v>
      </c>
      <c r="B188" s="49" t="s">
        <v>170</v>
      </c>
      <c r="C188" s="836">
        <v>11017</v>
      </c>
      <c r="D188" s="837">
        <v>3506221.46</v>
      </c>
      <c r="E188" s="838">
        <v>2599748.0804000003</v>
      </c>
      <c r="F188" s="836">
        <v>659.73900000000003</v>
      </c>
      <c r="G188" s="837">
        <v>208488.37490000002</v>
      </c>
      <c r="H188" s="838">
        <v>153372.21573230674</v>
      </c>
      <c r="I188" s="836">
        <v>601.43599999999992</v>
      </c>
      <c r="J188" s="837">
        <v>190563.97928</v>
      </c>
      <c r="K188" s="838">
        <v>140665.90950255885</v>
      </c>
      <c r="L188" s="836">
        <v>702.65699999999993</v>
      </c>
      <c r="M188" s="837">
        <v>223293.94949999999</v>
      </c>
      <c r="N188" s="838">
        <v>166058.05835736438</v>
      </c>
      <c r="O188" s="836">
        <v>1087.461</v>
      </c>
      <c r="P188" s="837">
        <v>347757.30950000003</v>
      </c>
      <c r="Q188" s="838">
        <v>260384.70743930875</v>
      </c>
      <c r="R188" s="836">
        <v>1105.0309999999999</v>
      </c>
      <c r="S188" s="837">
        <v>351885.59242</v>
      </c>
      <c r="T188" s="838">
        <v>262005.66597578648</v>
      </c>
      <c r="U188" s="836">
        <v>856.88</v>
      </c>
      <c r="V188" s="837">
        <v>270810.03139999998</v>
      </c>
      <c r="W188" s="838">
        <v>199537.1807258272</v>
      </c>
      <c r="X188" s="836">
        <v>880.68400000000008</v>
      </c>
      <c r="Y188" s="837">
        <v>277237.11140000005</v>
      </c>
      <c r="Z188" s="838">
        <v>203599.21603970637</v>
      </c>
      <c r="AA188" s="836">
        <v>932.46600000000001</v>
      </c>
      <c r="AB188" s="837">
        <v>293456.48060000001</v>
      </c>
      <c r="AC188" s="838">
        <v>215334.0643829249</v>
      </c>
      <c r="AD188" s="836">
        <v>803.69</v>
      </c>
      <c r="AE188" s="837">
        <v>253231.01680000001</v>
      </c>
      <c r="AF188" s="838">
        <v>185827.11820728701</v>
      </c>
      <c r="AG188" s="836">
        <v>1125.548</v>
      </c>
      <c r="AH188" s="837">
        <v>360139.19140000001</v>
      </c>
      <c r="AI188" s="838">
        <v>267353.84002538666</v>
      </c>
      <c r="AJ188" s="836">
        <v>1491.636</v>
      </c>
      <c r="AK188" s="837">
        <v>482207.18060000008</v>
      </c>
      <c r="AL188" s="838">
        <v>361572.14669735468</v>
      </c>
      <c r="AM188" s="836">
        <v>769.77199999999993</v>
      </c>
      <c r="AN188" s="837">
        <v>247151.24220000004</v>
      </c>
      <c r="AO188" s="838">
        <v>184037.95731418795</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318.25555595897248</v>
      </c>
      <c r="E189" s="841">
        <v>0.74146716345749597</v>
      </c>
      <c r="F189" s="839"/>
      <c r="G189" s="840">
        <v>316.0164472617202</v>
      </c>
      <c r="H189" s="841">
        <v>0.735639173195487</v>
      </c>
      <c r="I189" s="839"/>
      <c r="J189" s="840">
        <v>316.84830851495423</v>
      </c>
      <c r="K189" s="841">
        <v>0.73815581535414532</v>
      </c>
      <c r="L189" s="839"/>
      <c r="M189" s="840">
        <v>317.78513485242445</v>
      </c>
      <c r="N189" s="841">
        <v>0.7436746885851665</v>
      </c>
      <c r="O189" s="839"/>
      <c r="P189" s="840">
        <v>319.78830459207273</v>
      </c>
      <c r="Q189" s="841">
        <v>0.74875408891817619</v>
      </c>
      <c r="R189" s="839"/>
      <c r="S189" s="840">
        <v>318.43956632890843</v>
      </c>
      <c r="T189" s="841">
        <v>0.74457628166561718</v>
      </c>
      <c r="U189" s="839"/>
      <c r="V189" s="840">
        <v>316.04195616655772</v>
      </c>
      <c r="W189" s="841">
        <v>0.73681606140763967</v>
      </c>
      <c r="X189" s="839"/>
      <c r="Y189" s="840">
        <v>314.79748854299618</v>
      </c>
      <c r="Z189" s="841">
        <v>0.73438658703218018</v>
      </c>
      <c r="AA189" s="839"/>
      <c r="AB189" s="840">
        <v>314.7101133982365</v>
      </c>
      <c r="AC189" s="841">
        <v>0.73378534337580037</v>
      </c>
      <c r="AD189" s="839"/>
      <c r="AE189" s="840">
        <v>315.08543941071804</v>
      </c>
      <c r="AF189" s="841">
        <v>0.73382447598846823</v>
      </c>
      <c r="AG189" s="839"/>
      <c r="AH189" s="840">
        <v>319.96786578626592</v>
      </c>
      <c r="AI189" s="841">
        <v>0.74236252651670342</v>
      </c>
      <c r="AJ189" s="839"/>
      <c r="AK189" s="840">
        <v>323.27402972306925</v>
      </c>
      <c r="AL189" s="841">
        <v>0.74982737969073421</v>
      </c>
      <c r="AM189" s="839"/>
      <c r="AN189" s="840">
        <v>321.07070950878972</v>
      </c>
      <c r="AO189" s="841">
        <v>0.7446369910018924</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212148</v>
      </c>
      <c r="E191" s="758">
        <v>37338.047999999988</v>
      </c>
      <c r="F191" s="820">
        <v>0</v>
      </c>
      <c r="G191" s="843">
        <v>13789.62</v>
      </c>
      <c r="H191" s="771">
        <v>2426.9731200000001</v>
      </c>
      <c r="I191" s="820">
        <v>0</v>
      </c>
      <c r="J191" s="843">
        <v>14426.064</v>
      </c>
      <c r="K191" s="771">
        <v>2538.9872639999999</v>
      </c>
      <c r="L191" s="820">
        <v>0</v>
      </c>
      <c r="M191" s="843">
        <v>15911.099999999999</v>
      </c>
      <c r="N191" s="771">
        <v>2800.3535999999995</v>
      </c>
      <c r="O191" s="820">
        <v>0</v>
      </c>
      <c r="P191" s="843">
        <v>15911.099999999999</v>
      </c>
      <c r="Q191" s="771">
        <v>2800.3535999999995</v>
      </c>
      <c r="R191" s="820">
        <v>0</v>
      </c>
      <c r="S191" s="843">
        <v>16335.396000000001</v>
      </c>
      <c r="T191" s="771">
        <v>2875.0296960000001</v>
      </c>
      <c r="U191" s="820">
        <v>0</v>
      </c>
      <c r="V191" s="843">
        <v>19093.32</v>
      </c>
      <c r="W191" s="771">
        <v>3360.4243199999996</v>
      </c>
      <c r="X191" s="820">
        <v>0</v>
      </c>
      <c r="Y191" s="843">
        <v>19093.32</v>
      </c>
      <c r="Z191" s="771">
        <v>3360.4243199999996</v>
      </c>
      <c r="AA191" s="820">
        <v>0</v>
      </c>
      <c r="AB191" s="843">
        <v>23336.28</v>
      </c>
      <c r="AC191" s="771">
        <v>4107.1852799999997</v>
      </c>
      <c r="AD191" s="820">
        <v>0</v>
      </c>
      <c r="AE191" s="843">
        <v>16971.84</v>
      </c>
      <c r="AF191" s="771">
        <v>2987.0438399999998</v>
      </c>
      <c r="AG191" s="820">
        <v>0</v>
      </c>
      <c r="AH191" s="843">
        <v>19093.32</v>
      </c>
      <c r="AI191" s="771">
        <v>3360.4243199999996</v>
      </c>
      <c r="AJ191" s="820">
        <v>0</v>
      </c>
      <c r="AK191" s="843">
        <v>23336.28</v>
      </c>
      <c r="AL191" s="771">
        <v>4107.1852799999997</v>
      </c>
      <c r="AM191" s="820">
        <v>0</v>
      </c>
      <c r="AN191" s="843">
        <v>14850.36</v>
      </c>
      <c r="AO191" s="771">
        <v>2613.66336</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0.17599999999999993</v>
      </c>
      <c r="F192" s="819"/>
      <c r="G192" s="830"/>
      <c r="H192" s="822">
        <v>0.17599999999999999</v>
      </c>
      <c r="I192" s="819"/>
      <c r="J192" s="830"/>
      <c r="K192" s="822">
        <v>0.17599999999999999</v>
      </c>
      <c r="L192" s="819"/>
      <c r="M192" s="830"/>
      <c r="N192" s="822">
        <v>0.17599999999999999</v>
      </c>
      <c r="O192" s="819"/>
      <c r="P192" s="830"/>
      <c r="Q192" s="822">
        <v>0.17599999999999999</v>
      </c>
      <c r="R192" s="819"/>
      <c r="S192" s="830"/>
      <c r="T192" s="822">
        <v>0.17599999999999999</v>
      </c>
      <c r="U192" s="819"/>
      <c r="V192" s="830"/>
      <c r="W192" s="822">
        <v>0.17599999999999999</v>
      </c>
      <c r="X192" s="819"/>
      <c r="Y192" s="830"/>
      <c r="Z192" s="822">
        <v>0.17599999999999999</v>
      </c>
      <c r="AA192" s="819"/>
      <c r="AB192" s="830"/>
      <c r="AC192" s="822">
        <v>0.17599999999999999</v>
      </c>
      <c r="AD192" s="819"/>
      <c r="AE192" s="830"/>
      <c r="AF192" s="822">
        <v>0.17599999999999999</v>
      </c>
      <c r="AG192" s="819"/>
      <c r="AH192" s="830"/>
      <c r="AI192" s="822">
        <v>0.17599999999999999</v>
      </c>
      <c r="AJ192" s="819"/>
      <c r="AK192" s="830"/>
      <c r="AL192" s="822">
        <v>0.17599999999999999</v>
      </c>
      <c r="AM192" s="819"/>
      <c r="AN192" s="830"/>
      <c r="AO192" s="822">
        <v>0.17599999999999999</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0</v>
      </c>
      <c r="D194" s="844">
        <v>130000</v>
      </c>
      <c r="E194" s="782">
        <v>91000</v>
      </c>
      <c r="F194" s="828">
        <v>0</v>
      </c>
      <c r="G194" s="845">
        <v>4940</v>
      </c>
      <c r="H194" s="783">
        <v>3458</v>
      </c>
      <c r="I194" s="828">
        <v>0</v>
      </c>
      <c r="J194" s="845">
        <v>4680</v>
      </c>
      <c r="K194" s="783">
        <v>3276</v>
      </c>
      <c r="L194" s="828">
        <v>0</v>
      </c>
      <c r="M194" s="845">
        <v>11570</v>
      </c>
      <c r="N194" s="783">
        <v>8098.9999999999991</v>
      </c>
      <c r="O194" s="828">
        <v>0</v>
      </c>
      <c r="P194" s="845">
        <v>25870</v>
      </c>
      <c r="Q194" s="783">
        <v>18109</v>
      </c>
      <c r="R194" s="828">
        <v>0</v>
      </c>
      <c r="S194" s="845">
        <v>22230</v>
      </c>
      <c r="T194" s="783">
        <v>15560.999999999998</v>
      </c>
      <c r="U194" s="828">
        <v>0</v>
      </c>
      <c r="V194" s="845">
        <v>7800</v>
      </c>
      <c r="W194" s="783">
        <v>5460</v>
      </c>
      <c r="X194" s="828">
        <v>0</v>
      </c>
      <c r="Y194" s="845">
        <v>8190</v>
      </c>
      <c r="Z194" s="783">
        <v>5733</v>
      </c>
      <c r="AA194" s="828">
        <v>0</v>
      </c>
      <c r="AB194" s="845">
        <v>6110</v>
      </c>
      <c r="AC194" s="783">
        <v>4277</v>
      </c>
      <c r="AD194" s="828">
        <v>0</v>
      </c>
      <c r="AE194" s="845">
        <v>5850</v>
      </c>
      <c r="AF194" s="783">
        <v>4094.9999999999995</v>
      </c>
      <c r="AG194" s="828">
        <v>0</v>
      </c>
      <c r="AH194" s="845">
        <v>9230</v>
      </c>
      <c r="AI194" s="783">
        <v>6461</v>
      </c>
      <c r="AJ194" s="828">
        <v>0</v>
      </c>
      <c r="AK194" s="845">
        <v>17810</v>
      </c>
      <c r="AL194" s="783">
        <v>12467</v>
      </c>
      <c r="AM194" s="828">
        <v>0</v>
      </c>
      <c r="AN194" s="845">
        <v>5720</v>
      </c>
      <c r="AO194" s="783">
        <v>4003.9999999999995</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v>
      </c>
      <c r="F195" s="823"/>
      <c r="G195" s="846"/>
      <c r="H195" s="825">
        <v>0.7</v>
      </c>
      <c r="I195" s="823"/>
      <c r="J195" s="846"/>
      <c r="K195" s="825">
        <v>0.7</v>
      </c>
      <c r="L195" s="823"/>
      <c r="M195" s="846"/>
      <c r="N195" s="825">
        <v>0.7</v>
      </c>
      <c r="O195" s="823"/>
      <c r="P195" s="846"/>
      <c r="Q195" s="825">
        <v>0.7</v>
      </c>
      <c r="R195" s="823"/>
      <c r="S195" s="846"/>
      <c r="T195" s="825">
        <v>0.7</v>
      </c>
      <c r="U195" s="823"/>
      <c r="V195" s="846"/>
      <c r="W195" s="825">
        <v>0.7</v>
      </c>
      <c r="X195" s="823"/>
      <c r="Y195" s="846"/>
      <c r="Z195" s="825">
        <v>0.7</v>
      </c>
      <c r="AA195" s="823"/>
      <c r="AB195" s="846"/>
      <c r="AC195" s="825">
        <v>0.7</v>
      </c>
      <c r="AD195" s="823"/>
      <c r="AE195" s="846"/>
      <c r="AF195" s="825">
        <v>0.7</v>
      </c>
      <c r="AG195" s="823"/>
      <c r="AH195" s="846"/>
      <c r="AI195" s="825">
        <v>0.7</v>
      </c>
      <c r="AJ195" s="823"/>
      <c r="AK195" s="846"/>
      <c r="AL195" s="825">
        <v>0.7</v>
      </c>
      <c r="AM195" s="823"/>
      <c r="AN195" s="846"/>
      <c r="AO195" s="825">
        <v>0.7</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2"/>
        <v>ServiceTotal Mécanique</v>
      </c>
      <c r="B197" s="49" t="s">
        <v>174</v>
      </c>
      <c r="C197" s="759"/>
      <c r="D197" s="850">
        <v>3848369.46</v>
      </c>
      <c r="E197" s="761">
        <v>2728086.1284000003</v>
      </c>
      <c r="F197" s="759"/>
      <c r="G197" s="850">
        <v>227217.99490000002</v>
      </c>
      <c r="H197" s="761">
        <v>159257.18885230675</v>
      </c>
      <c r="I197" s="759"/>
      <c r="J197" s="850">
        <v>209670.04328000001</v>
      </c>
      <c r="K197" s="761">
        <v>146480.89676655884</v>
      </c>
      <c r="L197" s="759"/>
      <c r="M197" s="850">
        <v>250775.04949999999</v>
      </c>
      <c r="N197" s="761">
        <v>176957.41195736438</v>
      </c>
      <c r="O197" s="759"/>
      <c r="P197" s="850">
        <v>389538.40950000001</v>
      </c>
      <c r="Q197" s="761">
        <v>281294.06103930873</v>
      </c>
      <c r="R197" s="759"/>
      <c r="S197" s="850">
        <v>390450.98842000001</v>
      </c>
      <c r="T197" s="761">
        <v>280441.6956717865</v>
      </c>
      <c r="U197" s="759"/>
      <c r="V197" s="850">
        <v>297703.35139999999</v>
      </c>
      <c r="W197" s="761">
        <v>208357.60504582719</v>
      </c>
      <c r="X197" s="759"/>
      <c r="Y197" s="850">
        <v>304520.43140000006</v>
      </c>
      <c r="Z197" s="761">
        <v>212692.64035970636</v>
      </c>
      <c r="AA197" s="759"/>
      <c r="AB197" s="850">
        <v>322902.76060000004</v>
      </c>
      <c r="AC197" s="761">
        <v>223718.24966292491</v>
      </c>
      <c r="AD197" s="759"/>
      <c r="AE197" s="850">
        <v>276052.85680000001</v>
      </c>
      <c r="AF197" s="761">
        <v>192909.16204728701</v>
      </c>
      <c r="AG197" s="759"/>
      <c r="AH197" s="850">
        <v>388462.51140000002</v>
      </c>
      <c r="AI197" s="761">
        <v>277175.26434538665</v>
      </c>
      <c r="AJ197" s="759"/>
      <c r="AK197" s="850">
        <v>523353.46060000011</v>
      </c>
      <c r="AL197" s="761">
        <v>378146.33197735465</v>
      </c>
      <c r="AM197" s="759"/>
      <c r="AN197" s="850">
        <v>267721.60220000002</v>
      </c>
      <c r="AO197" s="761">
        <v>190655.62067418796</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2"/>
        <v>Service</v>
      </c>
      <c r="B198" s="50"/>
      <c r="C198" s="762"/>
      <c r="D198" s="763"/>
      <c r="E198" s="851">
        <v>0.70889402817368796</v>
      </c>
      <c r="F198" s="762"/>
      <c r="G198" s="763"/>
      <c r="H198" s="851">
        <v>0.70090042350033399</v>
      </c>
      <c r="I198" s="762"/>
      <c r="J198" s="763"/>
      <c r="K198" s="851">
        <v>0.69862577636302392</v>
      </c>
      <c r="L198" s="762"/>
      <c r="M198" s="763"/>
      <c r="N198" s="851">
        <v>0.70564201785698133</v>
      </c>
      <c r="O198" s="762"/>
      <c r="P198" s="763"/>
      <c r="Q198" s="851">
        <v>0.72212150119000962</v>
      </c>
      <c r="R198" s="762"/>
      <c r="S198" s="763"/>
      <c r="T198" s="851">
        <v>0.71825069980389245</v>
      </c>
      <c r="U198" s="762"/>
      <c r="V198" s="763"/>
      <c r="W198" s="851">
        <v>0.69988330351670747</v>
      </c>
      <c r="X198" s="762"/>
      <c r="Y198" s="763"/>
      <c r="Z198" s="851">
        <v>0.69845113308776929</v>
      </c>
      <c r="AA198" s="762"/>
      <c r="AB198" s="763"/>
      <c r="AC198" s="851">
        <v>0.69283473838137533</v>
      </c>
      <c r="AD198" s="762"/>
      <c r="AE198" s="763"/>
      <c r="AF198" s="851">
        <v>0.69881240963591795</v>
      </c>
      <c r="AG198" s="762"/>
      <c r="AH198" s="763"/>
      <c r="AI198" s="851">
        <v>0.71351869539858681</v>
      </c>
      <c r="AJ198" s="762"/>
      <c r="AK198" s="763"/>
      <c r="AL198" s="851">
        <v>0.72254481998423725</v>
      </c>
      <c r="AM198" s="762"/>
      <c r="AN198" s="763"/>
      <c r="AO198" s="851">
        <v>0.71214134050998124</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199996.82499999998</v>
      </c>
      <c r="F201" s="747"/>
      <c r="G201" s="757"/>
      <c r="H201" s="771">
        <v>18635.594711538462</v>
      </c>
      <c r="I201" s="747"/>
      <c r="J201" s="757"/>
      <c r="K201" s="771">
        <v>15681.80576923077</v>
      </c>
      <c r="L201" s="747"/>
      <c r="M201" s="757"/>
      <c r="N201" s="771">
        <v>15681.80576923077</v>
      </c>
      <c r="O201" s="747"/>
      <c r="P201" s="757"/>
      <c r="Q201" s="771">
        <v>15681.80576923077</v>
      </c>
      <c r="R201" s="747"/>
      <c r="S201" s="757"/>
      <c r="T201" s="771">
        <v>18635.594711538462</v>
      </c>
      <c r="U201" s="747"/>
      <c r="V201" s="757"/>
      <c r="W201" s="771">
        <v>15681.80576923077</v>
      </c>
      <c r="X201" s="747"/>
      <c r="Y201" s="757"/>
      <c r="Z201" s="771">
        <v>15681.80576923077</v>
      </c>
      <c r="AA201" s="747"/>
      <c r="AB201" s="757"/>
      <c r="AC201" s="771">
        <v>18635.594711538462</v>
      </c>
      <c r="AD201" s="747"/>
      <c r="AE201" s="757"/>
      <c r="AF201" s="771">
        <v>15681.80576923077</v>
      </c>
      <c r="AG201" s="747"/>
      <c r="AH201" s="757"/>
      <c r="AI201" s="771">
        <v>18635.594711538462</v>
      </c>
      <c r="AJ201" s="747"/>
      <c r="AK201" s="757"/>
      <c r="AL201" s="771">
        <v>15681.80576923077</v>
      </c>
      <c r="AM201" s="747"/>
      <c r="AN201" s="757"/>
      <c r="AO201" s="771">
        <v>15681.80576923077</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108536.38240000002</v>
      </c>
      <c r="F202" s="747"/>
      <c r="G202" s="757"/>
      <c r="H202" s="771">
        <v>10418.882923076924</v>
      </c>
      <c r="I202" s="747"/>
      <c r="J202" s="757"/>
      <c r="K202" s="771">
        <v>8357.6063384615391</v>
      </c>
      <c r="L202" s="747"/>
      <c r="M202" s="757"/>
      <c r="N202" s="771">
        <v>8357.6063384615391</v>
      </c>
      <c r="O202" s="747"/>
      <c r="P202" s="757"/>
      <c r="Q202" s="771">
        <v>8357.6063384615391</v>
      </c>
      <c r="R202" s="747"/>
      <c r="S202" s="757"/>
      <c r="T202" s="771">
        <v>10418.882923076924</v>
      </c>
      <c r="U202" s="747"/>
      <c r="V202" s="757"/>
      <c r="W202" s="771">
        <v>8357.6063384615391</v>
      </c>
      <c r="X202" s="747"/>
      <c r="Y202" s="757"/>
      <c r="Z202" s="771">
        <v>8357.6063384615391</v>
      </c>
      <c r="AA202" s="747"/>
      <c r="AB202" s="757"/>
      <c r="AC202" s="771">
        <v>10418.882923076924</v>
      </c>
      <c r="AD202" s="747"/>
      <c r="AE202" s="757"/>
      <c r="AF202" s="771">
        <v>8357.6063384615391</v>
      </c>
      <c r="AG202" s="747"/>
      <c r="AH202" s="757"/>
      <c r="AI202" s="771">
        <v>10418.882923076924</v>
      </c>
      <c r="AJ202" s="747"/>
      <c r="AK202" s="757"/>
      <c r="AL202" s="771">
        <v>8357.6063384615391</v>
      </c>
      <c r="AM202" s="747"/>
      <c r="AN202" s="757"/>
      <c r="AO202" s="771">
        <v>8357.6063384615391</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203681.09999999998</v>
      </c>
      <c r="F203" s="780"/>
      <c r="G203" s="781"/>
      <c r="H203" s="783">
        <v>19584.721153846156</v>
      </c>
      <c r="I203" s="780"/>
      <c r="J203" s="781"/>
      <c r="K203" s="783">
        <v>15667.776923076923</v>
      </c>
      <c r="L203" s="780"/>
      <c r="M203" s="781"/>
      <c r="N203" s="783">
        <v>15667.776923076923</v>
      </c>
      <c r="O203" s="780"/>
      <c r="P203" s="781"/>
      <c r="Q203" s="783">
        <v>15667.776923076923</v>
      </c>
      <c r="R203" s="780"/>
      <c r="S203" s="781"/>
      <c r="T203" s="783">
        <v>19584.721153846156</v>
      </c>
      <c r="U203" s="780"/>
      <c r="V203" s="781"/>
      <c r="W203" s="783">
        <v>15667.776923076923</v>
      </c>
      <c r="X203" s="780"/>
      <c r="Y203" s="781"/>
      <c r="Z203" s="783">
        <v>15667.776923076923</v>
      </c>
      <c r="AA203" s="780"/>
      <c r="AB203" s="781"/>
      <c r="AC203" s="783">
        <v>19584.721153846156</v>
      </c>
      <c r="AD203" s="780"/>
      <c r="AE203" s="781"/>
      <c r="AF203" s="783">
        <v>15667.776923076923</v>
      </c>
      <c r="AG203" s="780"/>
      <c r="AH203" s="781"/>
      <c r="AI203" s="783">
        <v>19584.721153846156</v>
      </c>
      <c r="AJ203" s="780"/>
      <c r="AK203" s="781"/>
      <c r="AL203" s="783">
        <v>15667.776923076923</v>
      </c>
      <c r="AM203" s="780"/>
      <c r="AN203" s="781"/>
      <c r="AO203" s="783">
        <v>15667.776923076923</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364410.51199999993</v>
      </c>
      <c r="F204" s="747"/>
      <c r="G204" s="757"/>
      <c r="H204" s="771">
        <v>27038.791267692308</v>
      </c>
      <c r="I204" s="747"/>
      <c r="J204" s="757"/>
      <c r="K204" s="771">
        <v>22603.078374153847</v>
      </c>
      <c r="L204" s="747"/>
      <c r="M204" s="757"/>
      <c r="N204" s="771">
        <v>24741.578166153842</v>
      </c>
      <c r="O204" s="747"/>
      <c r="P204" s="757"/>
      <c r="Q204" s="771">
        <v>34267.622694153848</v>
      </c>
      <c r="R204" s="747"/>
      <c r="S204" s="757"/>
      <c r="T204" s="771">
        <v>37148.063011692306</v>
      </c>
      <c r="U204" s="747"/>
      <c r="V204" s="757"/>
      <c r="W204" s="771">
        <v>26685.668886153846</v>
      </c>
      <c r="X204" s="747"/>
      <c r="Y204" s="757"/>
      <c r="Z204" s="771">
        <v>26685.668886153846</v>
      </c>
      <c r="AA204" s="747"/>
      <c r="AB204" s="757"/>
      <c r="AC204" s="771">
        <v>29954.927347692312</v>
      </c>
      <c r="AD204" s="747"/>
      <c r="AE204" s="757"/>
      <c r="AF204" s="771">
        <v>25713.623526153846</v>
      </c>
      <c r="AG204" s="747"/>
      <c r="AH204" s="757"/>
      <c r="AI204" s="771">
        <v>37731.290227692305</v>
      </c>
      <c r="AJ204" s="747"/>
      <c r="AK204" s="757"/>
      <c r="AL204" s="771">
        <v>44182.485366153844</v>
      </c>
      <c r="AM204" s="747"/>
      <c r="AN204" s="757"/>
      <c r="AO204" s="771">
        <v>27657.714246153846</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v>0</v>
      </c>
      <c r="I205" s="747"/>
      <c r="J205" s="757"/>
      <c r="K205" s="771">
        <v>0</v>
      </c>
      <c r="L205" s="747"/>
      <c r="M205" s="757"/>
      <c r="N205" s="771">
        <v>0</v>
      </c>
      <c r="O205" s="747"/>
      <c r="P205" s="757"/>
      <c r="Q205" s="771">
        <v>0</v>
      </c>
      <c r="R205" s="747"/>
      <c r="S205" s="757"/>
      <c r="T205" s="771">
        <v>0</v>
      </c>
      <c r="U205" s="747"/>
      <c r="V205" s="757"/>
      <c r="W205" s="771">
        <v>0</v>
      </c>
      <c r="X205" s="747"/>
      <c r="Y205" s="757"/>
      <c r="Z205" s="771">
        <v>0</v>
      </c>
      <c r="AA205" s="747"/>
      <c r="AB205" s="757"/>
      <c r="AC205" s="771">
        <v>0</v>
      </c>
      <c r="AD205" s="747"/>
      <c r="AE205" s="757"/>
      <c r="AF205" s="771">
        <v>0</v>
      </c>
      <c r="AG205" s="747"/>
      <c r="AH205" s="757"/>
      <c r="AI205" s="771">
        <v>0</v>
      </c>
      <c r="AJ205" s="747"/>
      <c r="AK205" s="757"/>
      <c r="AL205" s="771">
        <v>0</v>
      </c>
      <c r="AM205" s="747"/>
      <c r="AN205" s="757"/>
      <c r="AO205" s="771">
        <v>0</v>
      </c>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207134.68508650007</v>
      </c>
      <c r="F208" s="747"/>
      <c r="G208" s="757"/>
      <c r="H208" s="771">
        <v>15292.002898445113</v>
      </c>
      <c r="I208" s="747"/>
      <c r="J208" s="757"/>
      <c r="K208" s="771">
        <v>13106.342726929111</v>
      </c>
      <c r="L208" s="747"/>
      <c r="M208" s="757"/>
      <c r="N208" s="771">
        <v>14181.905178270679</v>
      </c>
      <c r="O208" s="747"/>
      <c r="P208" s="757"/>
      <c r="Q208" s="771">
        <v>18683.627921397998</v>
      </c>
      <c r="R208" s="747"/>
      <c r="S208" s="757"/>
      <c r="T208" s="771">
        <v>20385.092827274158</v>
      </c>
      <c r="U208" s="747"/>
      <c r="V208" s="757"/>
      <c r="W208" s="771">
        <v>15995.75438182015</v>
      </c>
      <c r="X208" s="747"/>
      <c r="Y208" s="757"/>
      <c r="Z208" s="771">
        <v>16264.186953694872</v>
      </c>
      <c r="AA208" s="747"/>
      <c r="AB208" s="757"/>
      <c r="AC208" s="771">
        <v>18234.194518629949</v>
      </c>
      <c r="AD208" s="747"/>
      <c r="AE208" s="757"/>
      <c r="AF208" s="771">
        <v>15446.301172214462</v>
      </c>
      <c r="AG208" s="747"/>
      <c r="AH208" s="757"/>
      <c r="AI208" s="771">
        <v>20781.05484589054</v>
      </c>
      <c r="AJ208" s="747"/>
      <c r="AK208" s="757"/>
      <c r="AL208" s="771">
        <v>23584.250848731794</v>
      </c>
      <c r="AM208" s="747"/>
      <c r="AN208" s="757"/>
      <c r="AO208" s="771">
        <v>15179.970813201213</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251846.5774620001</v>
      </c>
      <c r="F209" s="780"/>
      <c r="G209" s="781"/>
      <c r="H209" s="783">
        <v>18592.919823660137</v>
      </c>
      <c r="I209" s="780"/>
      <c r="J209" s="781"/>
      <c r="K209" s="783">
        <v>15935.46516578165</v>
      </c>
      <c r="L209" s="780"/>
      <c r="M209" s="781"/>
      <c r="N209" s="783">
        <v>17243.197485474484</v>
      </c>
      <c r="O209" s="780"/>
      <c r="P209" s="781"/>
      <c r="Q209" s="783">
        <v>22716.657737030167</v>
      </c>
      <c r="R209" s="780"/>
      <c r="S209" s="781"/>
      <c r="T209" s="783">
        <v>24785.39920849193</v>
      </c>
      <c r="U209" s="780"/>
      <c r="V209" s="781"/>
      <c r="W209" s="783">
        <v>19448.582420186616</v>
      </c>
      <c r="X209" s="780"/>
      <c r="Y209" s="781"/>
      <c r="Z209" s="783">
        <v>19774.9585868713</v>
      </c>
      <c r="AA209" s="780"/>
      <c r="AB209" s="781"/>
      <c r="AC209" s="783">
        <v>22170.210075514828</v>
      </c>
      <c r="AD209" s="780"/>
      <c r="AE209" s="781"/>
      <c r="AF209" s="783">
        <v>18780.524773265162</v>
      </c>
      <c r="AG209" s="780"/>
      <c r="AH209" s="781"/>
      <c r="AI209" s="783">
        <v>25266.833204695107</v>
      </c>
      <c r="AJ209" s="780"/>
      <c r="AK209" s="781"/>
      <c r="AL209" s="783">
        <v>28675.12437995584</v>
      </c>
      <c r="AM209" s="780"/>
      <c r="AN209" s="781"/>
      <c r="AO209" s="783">
        <v>18456.704601072841</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129755.73664890001</v>
      </c>
      <c r="F210" s="747"/>
      <c r="G210" s="757"/>
      <c r="H210" s="771">
        <v>9579.39564827707</v>
      </c>
      <c r="I210" s="747"/>
      <c r="J210" s="757"/>
      <c r="K210" s="771">
        <v>8210.2287919353275</v>
      </c>
      <c r="L210" s="747"/>
      <c r="M210" s="757"/>
      <c r="N210" s="771">
        <v>8883.9952262118532</v>
      </c>
      <c r="O210" s="747"/>
      <c r="P210" s="757"/>
      <c r="Q210" s="771">
        <v>11704.01713842641</v>
      </c>
      <c r="R210" s="747"/>
      <c r="S210" s="757"/>
      <c r="T210" s="771">
        <v>12769.868722636058</v>
      </c>
      <c r="U210" s="747"/>
      <c r="V210" s="757"/>
      <c r="W210" s="771">
        <v>10020.247899096146</v>
      </c>
      <c r="X210" s="747"/>
      <c r="Y210" s="757"/>
      <c r="Z210" s="771">
        <v>10188.402576279343</v>
      </c>
      <c r="AA210" s="747"/>
      <c r="AB210" s="757"/>
      <c r="AC210" s="771">
        <v>11422.477799776116</v>
      </c>
      <c r="AD210" s="747"/>
      <c r="AE210" s="757"/>
      <c r="AF210" s="771">
        <v>9676.0529810083535</v>
      </c>
      <c r="AG210" s="747"/>
      <c r="AH210" s="757"/>
      <c r="AI210" s="771">
        <v>13017.911890245086</v>
      </c>
      <c r="AJ210" s="747"/>
      <c r="AK210" s="757"/>
      <c r="AL210" s="771">
        <v>14773.922778368549</v>
      </c>
      <c r="AM210" s="747"/>
      <c r="AN210" s="757"/>
      <c r="AO210" s="771">
        <v>9509.2151966397014</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56574.231169000021</v>
      </c>
      <c r="F211" s="747"/>
      <c r="G211" s="757"/>
      <c r="H211" s="771">
        <v>4176.6703951700301</v>
      </c>
      <c r="I211" s="747"/>
      <c r="J211" s="757"/>
      <c r="K211" s="771">
        <v>3579.7059430379068</v>
      </c>
      <c r="L211" s="747"/>
      <c r="M211" s="757"/>
      <c r="N211" s="771">
        <v>3873.4718989109342</v>
      </c>
      <c r="O211" s="747"/>
      <c r="P211" s="757"/>
      <c r="Q211" s="771">
        <v>5103.0173177386605</v>
      </c>
      <c r="R211" s="747"/>
      <c r="S211" s="757"/>
      <c r="T211" s="771">
        <v>5567.7346048061572</v>
      </c>
      <c r="U211" s="747"/>
      <c r="V211" s="757"/>
      <c r="W211" s="771">
        <v>4368.8844567085871</v>
      </c>
      <c r="X211" s="747"/>
      <c r="Y211" s="757"/>
      <c r="Z211" s="771">
        <v>4442.2008419783351</v>
      </c>
      <c r="AA211" s="747"/>
      <c r="AB211" s="757"/>
      <c r="AC211" s="771">
        <v>4980.2645821808665</v>
      </c>
      <c r="AD211" s="747"/>
      <c r="AE211" s="757"/>
      <c r="AF211" s="771">
        <v>4218.8135360233337</v>
      </c>
      <c r="AG211" s="747"/>
      <c r="AH211" s="757"/>
      <c r="AI211" s="771">
        <v>5675.8828213445522</v>
      </c>
      <c r="AJ211" s="747"/>
      <c r="AK211" s="757"/>
      <c r="AL211" s="771">
        <v>6441.5134476712383</v>
      </c>
      <c r="AM211" s="747"/>
      <c r="AN211" s="757"/>
      <c r="AO211" s="771">
        <v>4146.0713234294062</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0.55787683311120495</v>
      </c>
      <c r="E213" s="779">
        <v>1521936.0497664001</v>
      </c>
      <c r="F213" s="777" t="s">
        <v>175</v>
      </c>
      <c r="G213" s="778">
        <v>0.77433853825004284</v>
      </c>
      <c r="H213" s="779">
        <v>123318.97882170622</v>
      </c>
      <c r="I213" s="777" t="s">
        <v>175</v>
      </c>
      <c r="J213" s="778">
        <v>0.70413284127404452</v>
      </c>
      <c r="K213" s="779">
        <v>103142.01003260708</v>
      </c>
      <c r="L213" s="777" t="s">
        <v>175</v>
      </c>
      <c r="M213" s="778">
        <v>0.61388407405033896</v>
      </c>
      <c r="N213" s="779">
        <v>108631.33698579101</v>
      </c>
      <c r="O213" s="777" t="s">
        <v>175</v>
      </c>
      <c r="P213" s="778">
        <v>0.46990729683782723</v>
      </c>
      <c r="Q213" s="779">
        <v>132182.13183951634</v>
      </c>
      <c r="R213" s="777" t="s">
        <v>175</v>
      </c>
      <c r="S213" s="778">
        <v>0.53235791776872299</v>
      </c>
      <c r="T213" s="779">
        <v>149295.35716336215</v>
      </c>
      <c r="U213" s="777" t="s">
        <v>175</v>
      </c>
      <c r="V213" s="778">
        <v>0.55782138141380144</v>
      </c>
      <c r="W213" s="779">
        <v>116226.32707473458</v>
      </c>
      <c r="X213" s="777" t="s">
        <v>175</v>
      </c>
      <c r="Y213" s="778">
        <v>0.5503839092775864</v>
      </c>
      <c r="Z213" s="779">
        <v>117062.60687574693</v>
      </c>
      <c r="AA213" s="777" t="s">
        <v>175</v>
      </c>
      <c r="AB213" s="778">
        <v>0.60523123757790875</v>
      </c>
      <c r="AC213" s="779">
        <v>135401.27311225561</v>
      </c>
      <c r="AD213" s="777" t="s">
        <v>175</v>
      </c>
      <c r="AE213" s="778">
        <v>0.58858015769931238</v>
      </c>
      <c r="AF213" s="779">
        <v>113542.50501943439</v>
      </c>
      <c r="AG213" s="777" t="s">
        <v>175</v>
      </c>
      <c r="AH213" s="778">
        <v>0.54518635396710236</v>
      </c>
      <c r="AI213" s="779">
        <v>151112.17177832912</v>
      </c>
      <c r="AJ213" s="777" t="s">
        <v>175</v>
      </c>
      <c r="AK213" s="778">
        <v>0.41614706409759455</v>
      </c>
      <c r="AL213" s="779">
        <v>157364.48585165048</v>
      </c>
      <c r="AM213" s="777" t="s">
        <v>175</v>
      </c>
      <c r="AN213" s="778">
        <v>0.60138203534635759</v>
      </c>
      <c r="AO213" s="779">
        <v>114656.86521126625</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138023</v>
      </c>
      <c r="F214" s="747"/>
      <c r="G214" s="757"/>
      <c r="H214" s="771">
        <v>11228.568621345197</v>
      </c>
      <c r="I214" s="747"/>
      <c r="J214" s="757"/>
      <c r="K214" s="771">
        <v>9736.4003213985779</v>
      </c>
      <c r="L214" s="747"/>
      <c r="M214" s="757"/>
      <c r="N214" s="771">
        <v>10839.431623746961</v>
      </c>
      <c r="O214" s="747"/>
      <c r="P214" s="757"/>
      <c r="Q214" s="771">
        <v>14414.766996886956</v>
      </c>
      <c r="R214" s="747"/>
      <c r="S214" s="757"/>
      <c r="T214" s="771">
        <v>12567.820151081718</v>
      </c>
      <c r="U214" s="747"/>
      <c r="V214" s="757"/>
      <c r="W214" s="771">
        <v>9744.3257822776013</v>
      </c>
      <c r="X214" s="747"/>
      <c r="Y214" s="757"/>
      <c r="Z214" s="771">
        <v>9556.1841615752273</v>
      </c>
      <c r="AA214" s="747"/>
      <c r="AB214" s="757"/>
      <c r="AC214" s="771">
        <v>9545.5303275157585</v>
      </c>
      <c r="AD214" s="747"/>
      <c r="AE214" s="757"/>
      <c r="AF214" s="771">
        <v>10872.379567878703</v>
      </c>
      <c r="AG214" s="747"/>
      <c r="AH214" s="757"/>
      <c r="AI214" s="771">
        <v>12414.998632541719</v>
      </c>
      <c r="AJ214" s="747"/>
      <c r="AK214" s="757"/>
      <c r="AL214" s="771">
        <v>16629.592755232628</v>
      </c>
      <c r="AM214" s="747"/>
      <c r="AN214" s="757"/>
      <c r="AO214" s="771">
        <v>10473.001058518952</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41066.128839884514</v>
      </c>
      <c r="F215" s="747"/>
      <c r="G215" s="757"/>
      <c r="H215" s="771">
        <v>3422.1774033237093</v>
      </c>
      <c r="I215" s="747"/>
      <c r="J215" s="757"/>
      <c r="K215" s="771">
        <v>3422.1774033237093</v>
      </c>
      <c r="L215" s="747"/>
      <c r="M215" s="757"/>
      <c r="N215" s="771">
        <v>3422.1774033237093</v>
      </c>
      <c r="O215" s="747"/>
      <c r="P215" s="757"/>
      <c r="Q215" s="771">
        <v>3422.1774033237093</v>
      </c>
      <c r="R215" s="747"/>
      <c r="S215" s="757"/>
      <c r="T215" s="771">
        <v>3422.1774033237093</v>
      </c>
      <c r="U215" s="747"/>
      <c r="V215" s="757"/>
      <c r="W215" s="771">
        <v>3422.1774033237093</v>
      </c>
      <c r="X215" s="747"/>
      <c r="Y215" s="757"/>
      <c r="Z215" s="771">
        <v>3422.1774033237093</v>
      </c>
      <c r="AA215" s="747"/>
      <c r="AB215" s="757"/>
      <c r="AC215" s="771">
        <v>3422.1774033237093</v>
      </c>
      <c r="AD215" s="747"/>
      <c r="AE215" s="757"/>
      <c r="AF215" s="771">
        <v>3422.1774033237093</v>
      </c>
      <c r="AG215" s="747"/>
      <c r="AH215" s="757"/>
      <c r="AI215" s="771">
        <v>3422.1774033237093</v>
      </c>
      <c r="AJ215" s="747"/>
      <c r="AK215" s="757"/>
      <c r="AL215" s="771">
        <v>3422.1774033237093</v>
      </c>
      <c r="AM215" s="747"/>
      <c r="AN215" s="757"/>
      <c r="AO215" s="771">
        <v>3422.1774033237093</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157004.8722666667</v>
      </c>
      <c r="F216" s="776"/>
      <c r="G216" s="784"/>
      <c r="H216" s="775">
        <v>11083.739355555555</v>
      </c>
      <c r="I216" s="776"/>
      <c r="J216" s="784"/>
      <c r="K216" s="775">
        <v>11083.739355555555</v>
      </c>
      <c r="L216" s="776"/>
      <c r="M216" s="784"/>
      <c r="N216" s="775">
        <v>14083.739355555555</v>
      </c>
      <c r="O216" s="776"/>
      <c r="P216" s="784"/>
      <c r="Q216" s="775">
        <v>16083.739355555555</v>
      </c>
      <c r="R216" s="776"/>
      <c r="S216" s="784"/>
      <c r="T216" s="775">
        <v>16083.739355555555</v>
      </c>
      <c r="U216" s="776"/>
      <c r="V216" s="784"/>
      <c r="W216" s="775">
        <v>11083.739355555555</v>
      </c>
      <c r="X216" s="776"/>
      <c r="Y216" s="784"/>
      <c r="Z216" s="775">
        <v>11083.739355555555</v>
      </c>
      <c r="AA216" s="776"/>
      <c r="AB216" s="784"/>
      <c r="AC216" s="775">
        <v>11083.739355555555</v>
      </c>
      <c r="AD216" s="776"/>
      <c r="AE216" s="784"/>
      <c r="AF216" s="775">
        <v>11083.739355555555</v>
      </c>
      <c r="AG216" s="776"/>
      <c r="AH216" s="784"/>
      <c r="AI216" s="775">
        <v>14083.739355555555</v>
      </c>
      <c r="AJ216" s="776"/>
      <c r="AK216" s="784"/>
      <c r="AL216" s="775">
        <v>19083.739355555554</v>
      </c>
      <c r="AM216" s="776"/>
      <c r="AN216" s="784"/>
      <c r="AO216" s="775">
        <v>11083.739355555555</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57399.793648640007</v>
      </c>
      <c r="F217" s="747"/>
      <c r="G217" s="757"/>
      <c r="H217" s="771">
        <v>4783.316137386666</v>
      </c>
      <c r="I217" s="747"/>
      <c r="J217" s="757"/>
      <c r="K217" s="771">
        <v>4783.316137386666</v>
      </c>
      <c r="L217" s="747"/>
      <c r="M217" s="757"/>
      <c r="N217" s="771">
        <v>4783.316137386666</v>
      </c>
      <c r="O217" s="747"/>
      <c r="P217" s="757"/>
      <c r="Q217" s="771">
        <v>4783.316137386666</v>
      </c>
      <c r="R217" s="747"/>
      <c r="S217" s="757"/>
      <c r="T217" s="771">
        <v>4783.316137386666</v>
      </c>
      <c r="U217" s="747"/>
      <c r="V217" s="757"/>
      <c r="W217" s="771">
        <v>4783.316137386666</v>
      </c>
      <c r="X217" s="747"/>
      <c r="Y217" s="757"/>
      <c r="Z217" s="771">
        <v>4783.316137386666</v>
      </c>
      <c r="AA217" s="747"/>
      <c r="AB217" s="757"/>
      <c r="AC217" s="771">
        <v>4783.316137386666</v>
      </c>
      <c r="AD217" s="747"/>
      <c r="AE217" s="757"/>
      <c r="AF217" s="771">
        <v>4783.316137386666</v>
      </c>
      <c r="AG217" s="747"/>
      <c r="AH217" s="757"/>
      <c r="AI217" s="771">
        <v>4783.316137386666</v>
      </c>
      <c r="AJ217" s="747"/>
      <c r="AK217" s="757"/>
      <c r="AL217" s="771">
        <v>4783.316137386666</v>
      </c>
      <c r="AM217" s="747"/>
      <c r="AN217" s="757"/>
      <c r="AO217" s="771">
        <v>4783.316137386666</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12610.502167124281</v>
      </c>
      <c r="F218" s="747"/>
      <c r="G218" s="757"/>
      <c r="H218" s="771">
        <v>1050.8751805936904</v>
      </c>
      <c r="I218" s="747"/>
      <c r="J218" s="757"/>
      <c r="K218" s="771">
        <v>1050.8751805936904</v>
      </c>
      <c r="L218" s="747"/>
      <c r="M218" s="757"/>
      <c r="N218" s="771">
        <v>1050.8751805936904</v>
      </c>
      <c r="O218" s="747"/>
      <c r="P218" s="757"/>
      <c r="Q218" s="771">
        <v>1050.8751805936904</v>
      </c>
      <c r="R218" s="747"/>
      <c r="S218" s="757"/>
      <c r="T218" s="771">
        <v>1050.8751805936904</v>
      </c>
      <c r="U218" s="747"/>
      <c r="V218" s="757"/>
      <c r="W218" s="771">
        <v>1050.8751805936904</v>
      </c>
      <c r="X218" s="747"/>
      <c r="Y218" s="757"/>
      <c r="Z218" s="771">
        <v>1050.8751805936904</v>
      </c>
      <c r="AA218" s="747"/>
      <c r="AB218" s="757"/>
      <c r="AC218" s="771">
        <v>1050.8751805936904</v>
      </c>
      <c r="AD218" s="747"/>
      <c r="AE218" s="757"/>
      <c r="AF218" s="771">
        <v>1050.8751805936904</v>
      </c>
      <c r="AG218" s="747"/>
      <c r="AH218" s="757"/>
      <c r="AI218" s="771">
        <v>1050.8751805936904</v>
      </c>
      <c r="AJ218" s="747"/>
      <c r="AK218" s="757"/>
      <c r="AL218" s="771">
        <v>1050.8751805936904</v>
      </c>
      <c r="AM218" s="747"/>
      <c r="AN218" s="757"/>
      <c r="AO218" s="771">
        <v>1050.8751805936904</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153538.78146020445</v>
      </c>
      <c r="F219" s="776"/>
      <c r="G219" s="784"/>
      <c r="H219" s="775">
        <v>11128.231788350371</v>
      </c>
      <c r="I219" s="776"/>
      <c r="J219" s="784"/>
      <c r="K219" s="775">
        <v>11128.231788350371</v>
      </c>
      <c r="L219" s="776"/>
      <c r="M219" s="784"/>
      <c r="N219" s="775">
        <v>11128.231788350371</v>
      </c>
      <c r="O219" s="776"/>
      <c r="P219" s="784"/>
      <c r="Q219" s="775">
        <v>15128.231788350371</v>
      </c>
      <c r="R219" s="776"/>
      <c r="S219" s="784"/>
      <c r="T219" s="775">
        <v>15128.231788350371</v>
      </c>
      <c r="U219" s="776"/>
      <c r="V219" s="784"/>
      <c r="W219" s="775">
        <v>11128.231788350371</v>
      </c>
      <c r="X219" s="776"/>
      <c r="Y219" s="784"/>
      <c r="Z219" s="775">
        <v>11128.231788350371</v>
      </c>
      <c r="AA219" s="776"/>
      <c r="AB219" s="784"/>
      <c r="AC219" s="775">
        <v>15128.231788350371</v>
      </c>
      <c r="AD219" s="776"/>
      <c r="AE219" s="784"/>
      <c r="AF219" s="775">
        <v>11128.231788350371</v>
      </c>
      <c r="AG219" s="776"/>
      <c r="AH219" s="784"/>
      <c r="AI219" s="775">
        <v>15128.231788350371</v>
      </c>
      <c r="AJ219" s="776"/>
      <c r="AK219" s="784"/>
      <c r="AL219" s="775">
        <v>15128.231788350371</v>
      </c>
      <c r="AM219" s="776"/>
      <c r="AN219" s="784"/>
      <c r="AO219" s="775">
        <v>11128.231788350371</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ref="A221:A236" si="3">+$C$171&amp;B221</f>
        <v>ServiceFournitures autres</v>
      </c>
      <c r="B221" s="44" t="s">
        <v>135</v>
      </c>
      <c r="C221" s="747"/>
      <c r="D221" s="757"/>
      <c r="E221" s="758">
        <v>57239.045066666695</v>
      </c>
      <c r="F221" s="747"/>
      <c r="G221" s="757"/>
      <c r="H221" s="771">
        <v>4769.9204222222234</v>
      </c>
      <c r="I221" s="747"/>
      <c r="J221" s="757"/>
      <c r="K221" s="771">
        <v>4769.9204222222234</v>
      </c>
      <c r="L221" s="747"/>
      <c r="M221" s="757"/>
      <c r="N221" s="771">
        <v>4769.9204222222234</v>
      </c>
      <c r="O221" s="747"/>
      <c r="P221" s="757"/>
      <c r="Q221" s="771">
        <v>4769.9204222222234</v>
      </c>
      <c r="R221" s="747"/>
      <c r="S221" s="757"/>
      <c r="T221" s="771">
        <v>4769.9204222222234</v>
      </c>
      <c r="U221" s="747"/>
      <c r="V221" s="757"/>
      <c r="W221" s="771">
        <v>4769.9204222222234</v>
      </c>
      <c r="X221" s="747"/>
      <c r="Y221" s="757"/>
      <c r="Z221" s="771">
        <v>4769.9204222222234</v>
      </c>
      <c r="AA221" s="747"/>
      <c r="AB221" s="757"/>
      <c r="AC221" s="771">
        <v>4769.9204222222234</v>
      </c>
      <c r="AD221" s="747"/>
      <c r="AE221" s="757"/>
      <c r="AF221" s="771">
        <v>4769.9204222222234</v>
      </c>
      <c r="AG221" s="747"/>
      <c r="AH221" s="757"/>
      <c r="AI221" s="771">
        <v>4769.9204222222234</v>
      </c>
      <c r="AJ221" s="747"/>
      <c r="AK221" s="757"/>
      <c r="AL221" s="771">
        <v>4769.9204222222234</v>
      </c>
      <c r="AM221" s="747"/>
      <c r="AN221" s="757"/>
      <c r="AO221" s="771">
        <v>4769.9204222222234</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3"/>
        <v>ServiceUniformes</v>
      </c>
      <c r="B222" s="44" t="s">
        <v>136</v>
      </c>
      <c r="C222" s="747"/>
      <c r="D222" s="757"/>
      <c r="E222" s="758">
        <v>14645.584881437009</v>
      </c>
      <c r="F222" s="747"/>
      <c r="G222" s="757"/>
      <c r="H222" s="771">
        <v>1220.4654067864171</v>
      </c>
      <c r="I222" s="747"/>
      <c r="J222" s="757"/>
      <c r="K222" s="771">
        <v>1220.4654067864171</v>
      </c>
      <c r="L222" s="747"/>
      <c r="M222" s="757"/>
      <c r="N222" s="771">
        <v>1220.4654067864171</v>
      </c>
      <c r="O222" s="747"/>
      <c r="P222" s="757"/>
      <c r="Q222" s="771">
        <v>1220.4654067864171</v>
      </c>
      <c r="R222" s="747"/>
      <c r="S222" s="757"/>
      <c r="T222" s="771">
        <v>1220.4654067864171</v>
      </c>
      <c r="U222" s="747"/>
      <c r="V222" s="757"/>
      <c r="W222" s="771">
        <v>1220.4654067864171</v>
      </c>
      <c r="X222" s="747"/>
      <c r="Y222" s="757"/>
      <c r="Z222" s="771">
        <v>1220.4654067864171</v>
      </c>
      <c r="AA222" s="747"/>
      <c r="AB222" s="757"/>
      <c r="AC222" s="771">
        <v>1220.4654067864171</v>
      </c>
      <c r="AD222" s="747"/>
      <c r="AE222" s="757"/>
      <c r="AF222" s="771">
        <v>1220.4654067864171</v>
      </c>
      <c r="AG222" s="747"/>
      <c r="AH222" s="757"/>
      <c r="AI222" s="771">
        <v>1220.4654067864171</v>
      </c>
      <c r="AJ222" s="747"/>
      <c r="AK222" s="757"/>
      <c r="AL222" s="771">
        <v>1220.4654067864171</v>
      </c>
      <c r="AM222" s="747"/>
      <c r="AN222" s="757"/>
      <c r="AO222" s="771">
        <v>1220.4654067864171</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3"/>
        <v>ServicePapeterie</v>
      </c>
      <c r="B223" s="44" t="s">
        <v>137</v>
      </c>
      <c r="C223" s="747"/>
      <c r="D223" s="757"/>
      <c r="E223" s="758">
        <v>9996.6497970220807</v>
      </c>
      <c r="F223" s="747"/>
      <c r="G223" s="757"/>
      <c r="H223" s="771">
        <v>833.0541497518401</v>
      </c>
      <c r="I223" s="747"/>
      <c r="J223" s="757"/>
      <c r="K223" s="771">
        <v>833.0541497518401</v>
      </c>
      <c r="L223" s="747"/>
      <c r="M223" s="757"/>
      <c r="N223" s="771">
        <v>833.0541497518401</v>
      </c>
      <c r="O223" s="747"/>
      <c r="P223" s="757"/>
      <c r="Q223" s="771">
        <v>833.0541497518401</v>
      </c>
      <c r="R223" s="747"/>
      <c r="S223" s="757"/>
      <c r="T223" s="771">
        <v>833.0541497518401</v>
      </c>
      <c r="U223" s="747"/>
      <c r="V223" s="757"/>
      <c r="W223" s="771">
        <v>833.0541497518401</v>
      </c>
      <c r="X223" s="747"/>
      <c r="Y223" s="757"/>
      <c r="Z223" s="771">
        <v>833.0541497518401</v>
      </c>
      <c r="AA223" s="747"/>
      <c r="AB223" s="757"/>
      <c r="AC223" s="771">
        <v>833.0541497518401</v>
      </c>
      <c r="AD223" s="747"/>
      <c r="AE223" s="757"/>
      <c r="AF223" s="771">
        <v>833.0541497518401</v>
      </c>
      <c r="AG223" s="747"/>
      <c r="AH223" s="757"/>
      <c r="AI223" s="771">
        <v>833.0541497518401</v>
      </c>
      <c r="AJ223" s="747"/>
      <c r="AK223" s="757"/>
      <c r="AL223" s="771">
        <v>833.0541497518401</v>
      </c>
      <c r="AM223" s="747"/>
      <c r="AN223" s="757"/>
      <c r="AO223" s="771">
        <v>833.0541497518401</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3"/>
        <v>ServiceTéléphone</v>
      </c>
      <c r="B224" s="44" t="s">
        <v>138</v>
      </c>
      <c r="C224" s="747"/>
      <c r="D224" s="757"/>
      <c r="E224" s="758">
        <v>2150.4540202618405</v>
      </c>
      <c r="F224" s="747"/>
      <c r="G224" s="757"/>
      <c r="H224" s="771">
        <v>179.20450168848672</v>
      </c>
      <c r="I224" s="747"/>
      <c r="J224" s="757"/>
      <c r="K224" s="771">
        <v>179.20450168848672</v>
      </c>
      <c r="L224" s="747"/>
      <c r="M224" s="757"/>
      <c r="N224" s="771">
        <v>179.20450168848672</v>
      </c>
      <c r="O224" s="747"/>
      <c r="P224" s="757"/>
      <c r="Q224" s="771">
        <v>179.20450168848672</v>
      </c>
      <c r="R224" s="747"/>
      <c r="S224" s="757"/>
      <c r="T224" s="771">
        <v>179.20450168848672</v>
      </c>
      <c r="U224" s="747"/>
      <c r="V224" s="757"/>
      <c r="W224" s="771">
        <v>179.20450168848672</v>
      </c>
      <c r="X224" s="747"/>
      <c r="Y224" s="757"/>
      <c r="Z224" s="771">
        <v>179.20450168848672</v>
      </c>
      <c r="AA224" s="747"/>
      <c r="AB224" s="757"/>
      <c r="AC224" s="771">
        <v>179.20450168848672</v>
      </c>
      <c r="AD224" s="747"/>
      <c r="AE224" s="757"/>
      <c r="AF224" s="771">
        <v>179.20450168848672</v>
      </c>
      <c r="AG224" s="747"/>
      <c r="AH224" s="757"/>
      <c r="AI224" s="771">
        <v>179.20450168848672</v>
      </c>
      <c r="AJ224" s="747"/>
      <c r="AK224" s="757"/>
      <c r="AL224" s="771">
        <v>179.20450168848672</v>
      </c>
      <c r="AM224" s="747"/>
      <c r="AN224" s="757"/>
      <c r="AO224" s="771">
        <v>179.20450168848672</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3"/>
        <v>ServiceFrais postaux</v>
      </c>
      <c r="B225" s="44" t="s">
        <v>139</v>
      </c>
      <c r="C225" s="747"/>
      <c r="D225" s="757"/>
      <c r="E225" s="758">
        <v>1113.4868553157601</v>
      </c>
      <c r="F225" s="747"/>
      <c r="G225" s="757"/>
      <c r="H225" s="771">
        <v>92.790571276313315</v>
      </c>
      <c r="I225" s="747"/>
      <c r="J225" s="757"/>
      <c r="K225" s="771">
        <v>92.790571276313315</v>
      </c>
      <c r="L225" s="747"/>
      <c r="M225" s="757"/>
      <c r="N225" s="771">
        <v>92.790571276313315</v>
      </c>
      <c r="O225" s="747"/>
      <c r="P225" s="757"/>
      <c r="Q225" s="771">
        <v>92.790571276313315</v>
      </c>
      <c r="R225" s="747"/>
      <c r="S225" s="757"/>
      <c r="T225" s="771">
        <v>92.790571276313315</v>
      </c>
      <c r="U225" s="747"/>
      <c r="V225" s="757"/>
      <c r="W225" s="771">
        <v>92.790571276313315</v>
      </c>
      <c r="X225" s="747"/>
      <c r="Y225" s="757"/>
      <c r="Z225" s="771">
        <v>92.790571276313315</v>
      </c>
      <c r="AA225" s="747"/>
      <c r="AB225" s="757"/>
      <c r="AC225" s="771">
        <v>92.790571276313315</v>
      </c>
      <c r="AD225" s="747"/>
      <c r="AE225" s="757"/>
      <c r="AF225" s="771">
        <v>92.790571276313315</v>
      </c>
      <c r="AG225" s="747"/>
      <c r="AH225" s="757"/>
      <c r="AI225" s="771">
        <v>92.790571276313315</v>
      </c>
      <c r="AJ225" s="747"/>
      <c r="AK225" s="757"/>
      <c r="AL225" s="771">
        <v>92.790571276313315</v>
      </c>
      <c r="AM225" s="747"/>
      <c r="AN225" s="757"/>
      <c r="AO225" s="771">
        <v>92.790571276313315</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3"/>
        <v>ServiceDivers</v>
      </c>
      <c r="B226" s="44" t="s">
        <v>140</v>
      </c>
      <c r="C226" s="747"/>
      <c r="D226" s="757"/>
      <c r="E226" s="758">
        <v>1829.4114225114397</v>
      </c>
      <c r="F226" s="747"/>
      <c r="G226" s="757"/>
      <c r="H226" s="771">
        <v>152.45095187595334</v>
      </c>
      <c r="I226" s="747"/>
      <c r="J226" s="757"/>
      <c r="K226" s="771">
        <v>152.45095187595334</v>
      </c>
      <c r="L226" s="747"/>
      <c r="M226" s="757"/>
      <c r="N226" s="771">
        <v>152.45095187595334</v>
      </c>
      <c r="O226" s="747"/>
      <c r="P226" s="757"/>
      <c r="Q226" s="771">
        <v>152.45095187595334</v>
      </c>
      <c r="R226" s="747"/>
      <c r="S226" s="757"/>
      <c r="T226" s="771">
        <v>152.45095187595334</v>
      </c>
      <c r="U226" s="747"/>
      <c r="V226" s="757"/>
      <c r="W226" s="771">
        <v>152.45095187595334</v>
      </c>
      <c r="X226" s="747"/>
      <c r="Y226" s="757"/>
      <c r="Z226" s="771">
        <v>152.45095187595334</v>
      </c>
      <c r="AA226" s="747"/>
      <c r="AB226" s="757"/>
      <c r="AC226" s="771">
        <v>152.45095187595334</v>
      </c>
      <c r="AD226" s="747"/>
      <c r="AE226" s="757"/>
      <c r="AF226" s="771">
        <v>152.45095187595334</v>
      </c>
      <c r="AG226" s="747"/>
      <c r="AH226" s="757"/>
      <c r="AI226" s="771">
        <v>152.45095187595334</v>
      </c>
      <c r="AJ226" s="747"/>
      <c r="AK226" s="757"/>
      <c r="AL226" s="771">
        <v>152.45095187595334</v>
      </c>
      <c r="AM226" s="747"/>
      <c r="AN226" s="757"/>
      <c r="AO226" s="771">
        <v>152.45095187595334</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3"/>
        <v>ServiceFormation</v>
      </c>
      <c r="B227" s="44" t="s">
        <v>141</v>
      </c>
      <c r="C227" s="747"/>
      <c r="D227" s="757"/>
      <c r="E227" s="758">
        <v>36798.160786229833</v>
      </c>
      <c r="F227" s="747"/>
      <c r="G227" s="757"/>
      <c r="H227" s="771">
        <v>3066.5133988524863</v>
      </c>
      <c r="I227" s="747"/>
      <c r="J227" s="757"/>
      <c r="K227" s="771">
        <v>3066.5133988524863</v>
      </c>
      <c r="L227" s="747"/>
      <c r="M227" s="757"/>
      <c r="N227" s="771">
        <v>3066.5133988524863</v>
      </c>
      <c r="O227" s="747"/>
      <c r="P227" s="757"/>
      <c r="Q227" s="771">
        <v>3066.5133988524863</v>
      </c>
      <c r="R227" s="747"/>
      <c r="S227" s="757"/>
      <c r="T227" s="771">
        <v>3066.5133988524863</v>
      </c>
      <c r="U227" s="747"/>
      <c r="V227" s="757"/>
      <c r="W227" s="771">
        <v>3066.5133988524863</v>
      </c>
      <c r="X227" s="747"/>
      <c r="Y227" s="757"/>
      <c r="Z227" s="771">
        <v>3066.5133988524863</v>
      </c>
      <c r="AA227" s="747"/>
      <c r="AB227" s="757"/>
      <c r="AC227" s="771">
        <v>3066.5133988524863</v>
      </c>
      <c r="AD227" s="747"/>
      <c r="AE227" s="757"/>
      <c r="AF227" s="771">
        <v>3066.5133988524863</v>
      </c>
      <c r="AG227" s="747"/>
      <c r="AH227" s="757"/>
      <c r="AI227" s="771">
        <v>3066.5133988524863</v>
      </c>
      <c r="AJ227" s="747"/>
      <c r="AK227" s="757"/>
      <c r="AL227" s="771">
        <v>3066.5133988524863</v>
      </c>
      <c r="AM227" s="747"/>
      <c r="AN227" s="757"/>
      <c r="AO227" s="771">
        <v>3066.5133988524863</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3"/>
        <v>ServiceFrais bancaires</v>
      </c>
      <c r="B228" s="44" t="s">
        <v>142</v>
      </c>
      <c r="C228" s="747"/>
      <c r="D228" s="757"/>
      <c r="E228" s="758">
        <v>22449.928263245911</v>
      </c>
      <c r="F228" s="747"/>
      <c r="G228" s="757"/>
      <c r="H228" s="771">
        <v>1464.7774009622808</v>
      </c>
      <c r="I228" s="747"/>
      <c r="J228" s="757"/>
      <c r="K228" s="771">
        <v>1412.3143300449135</v>
      </c>
      <c r="L228" s="747"/>
      <c r="M228" s="757"/>
      <c r="N228" s="771">
        <v>1494.2351851857379</v>
      </c>
      <c r="O228" s="747"/>
      <c r="P228" s="757"/>
      <c r="Q228" s="771">
        <v>1957.9497075888899</v>
      </c>
      <c r="R228" s="747"/>
      <c r="S228" s="757"/>
      <c r="T228" s="771">
        <v>2081.5147954694116</v>
      </c>
      <c r="U228" s="747"/>
      <c r="V228" s="757"/>
      <c r="W228" s="771">
        <v>1939.0455947668659</v>
      </c>
      <c r="X228" s="747"/>
      <c r="Y228" s="757"/>
      <c r="Z228" s="771">
        <v>1895.3289853790277</v>
      </c>
      <c r="AA228" s="747"/>
      <c r="AB228" s="757"/>
      <c r="AC228" s="771">
        <v>2049.8934037645467</v>
      </c>
      <c r="AD228" s="747"/>
      <c r="AE228" s="757"/>
      <c r="AF228" s="771">
        <v>1667.3948849465926</v>
      </c>
      <c r="AG228" s="747"/>
      <c r="AH228" s="757"/>
      <c r="AI228" s="771">
        <v>2251.29363296273</v>
      </c>
      <c r="AJ228" s="747"/>
      <c r="AK228" s="757"/>
      <c r="AL228" s="771">
        <v>2646.6733264660766</v>
      </c>
      <c r="AM228" s="747"/>
      <c r="AN228" s="757"/>
      <c r="AO228" s="771">
        <v>1589.5070157088385</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3"/>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3"/>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3"/>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3"/>
        <v>ServiceTOTAL SEMI-FIXES</v>
      </c>
      <c r="B232" s="53" t="s">
        <v>143</v>
      </c>
      <c r="C232" s="777" t="s">
        <v>175</v>
      </c>
      <c r="D232" s="778">
        <v>0.25874029127122722</v>
      </c>
      <c r="E232" s="779">
        <v>705865.79947521072</v>
      </c>
      <c r="F232" s="777" t="s">
        <v>175</v>
      </c>
      <c r="G232" s="778">
        <v>0.34206358709804729</v>
      </c>
      <c r="H232" s="779">
        <v>54476.085289971197</v>
      </c>
      <c r="I232" s="777" t="s">
        <v>175</v>
      </c>
      <c r="J232" s="778">
        <v>0.36135397234399858</v>
      </c>
      <c r="K232" s="779">
        <v>52931.453919107211</v>
      </c>
      <c r="L232" s="777" t="s">
        <v>175</v>
      </c>
      <c r="M232" s="778">
        <v>0.32276922138959563</v>
      </c>
      <c r="N232" s="779">
        <v>57116.406076596417</v>
      </c>
      <c r="O232" s="777" t="s">
        <v>175</v>
      </c>
      <c r="P232" s="778">
        <v>0.23873755359077806</v>
      </c>
      <c r="Q232" s="779">
        <v>67155.455972139564</v>
      </c>
      <c r="R232" s="777" t="s">
        <v>175</v>
      </c>
      <c r="S232" s="778">
        <v>0.23331792391810716</v>
      </c>
      <c r="T232" s="779">
        <v>65432.074214214845</v>
      </c>
      <c r="U232" s="777" t="s">
        <v>175</v>
      </c>
      <c r="V232" s="778">
        <v>0.25660743524551738</v>
      </c>
      <c r="W232" s="779">
        <v>53466.110644708184</v>
      </c>
      <c r="X232" s="777" t="s">
        <v>175</v>
      </c>
      <c r="Y232" s="778">
        <v>0.25028723290372462</v>
      </c>
      <c r="Z232" s="779">
        <v>53234.252414617971</v>
      </c>
      <c r="AA232" s="777" t="s">
        <v>175</v>
      </c>
      <c r="AB232" s="778">
        <v>0.25647511137511309</v>
      </c>
      <c r="AC232" s="779">
        <v>57378.162998944019</v>
      </c>
      <c r="AD232" s="777" t="s">
        <v>175</v>
      </c>
      <c r="AE232" s="778">
        <v>0.28159633862891992</v>
      </c>
      <c r="AF232" s="779">
        <v>54322.51372048902</v>
      </c>
      <c r="AG232" s="777" t="s">
        <v>175</v>
      </c>
      <c r="AH232" s="778">
        <v>0.22891303696604273</v>
      </c>
      <c r="AI232" s="779">
        <v>63449.031533168163</v>
      </c>
      <c r="AJ232" s="777" t="s">
        <v>175</v>
      </c>
      <c r="AK232" s="778">
        <v>0.19320299886906633</v>
      </c>
      <c r="AL232" s="779">
        <v>73059.005349362429</v>
      </c>
      <c r="AM232" s="777" t="s">
        <v>175</v>
      </c>
      <c r="AN232" s="778">
        <v>0.28242150507541469</v>
      </c>
      <c r="AO232" s="779">
        <v>53845.247341891511</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3"/>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3"/>
        <v>ServiceTOTAL DES DÉPENSES</v>
      </c>
      <c r="B234" s="53" t="s">
        <v>144</v>
      </c>
      <c r="C234" s="777" t="s">
        <v>119</v>
      </c>
      <c r="D234" s="815">
        <v>0.81661712438243206</v>
      </c>
      <c r="E234" s="789">
        <v>2227801.8492416106</v>
      </c>
      <c r="F234" s="777" t="s">
        <v>119</v>
      </c>
      <c r="G234" s="815">
        <v>1.11640212534809</v>
      </c>
      <c r="H234" s="789">
        <v>177795.06411167741</v>
      </c>
      <c r="I234" s="777" t="s">
        <v>119</v>
      </c>
      <c r="J234" s="815">
        <v>1.0654868136180431</v>
      </c>
      <c r="K234" s="789">
        <v>156073.46395171428</v>
      </c>
      <c r="L234" s="777" t="s">
        <v>119</v>
      </c>
      <c r="M234" s="815">
        <v>0.93665329543993447</v>
      </c>
      <c r="N234" s="789">
        <v>165747.74306238742</v>
      </c>
      <c r="O234" s="777" t="s">
        <v>119</v>
      </c>
      <c r="P234" s="815">
        <v>0.70864485042860526</v>
      </c>
      <c r="Q234" s="789">
        <v>199337.58781165589</v>
      </c>
      <c r="R234" s="777" t="s">
        <v>119</v>
      </c>
      <c r="S234" s="815">
        <v>0.76567584168683012</v>
      </c>
      <c r="T234" s="789">
        <v>214727.43137757698</v>
      </c>
      <c r="U234" s="777" t="s">
        <v>119</v>
      </c>
      <c r="V234" s="815">
        <v>0.81442881665931888</v>
      </c>
      <c r="W234" s="789">
        <v>169692.43771944277</v>
      </c>
      <c r="X234" s="777" t="s">
        <v>119</v>
      </c>
      <c r="Y234" s="815">
        <v>0.80067114218131097</v>
      </c>
      <c r="Z234" s="789">
        <v>170296.8592903649</v>
      </c>
      <c r="AA234" s="777" t="s">
        <v>119</v>
      </c>
      <c r="AB234" s="815">
        <v>0.86170634895302189</v>
      </c>
      <c r="AC234" s="789">
        <v>192779.43611119964</v>
      </c>
      <c r="AD234" s="777" t="s">
        <v>119</v>
      </c>
      <c r="AE234" s="815">
        <v>0.87017649632823235</v>
      </c>
      <c r="AF234" s="789">
        <v>167865.01873992343</v>
      </c>
      <c r="AG234" s="777" t="s">
        <v>119</v>
      </c>
      <c r="AH234" s="815">
        <v>0.77409939093314506</v>
      </c>
      <c r="AI234" s="789">
        <v>214561.20331149729</v>
      </c>
      <c r="AJ234" s="777" t="s">
        <v>119</v>
      </c>
      <c r="AK234" s="815">
        <v>0.60935006296666094</v>
      </c>
      <c r="AL234" s="789">
        <v>230423.49120101292</v>
      </c>
      <c r="AM234" s="777" t="s">
        <v>119</v>
      </c>
      <c r="AN234" s="815">
        <v>0.88380354042177223</v>
      </c>
      <c r="AO234" s="789">
        <v>168502.11255315776</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3"/>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3"/>
        <v>ServicePROFIT DÉPARTEMENTAL</v>
      </c>
      <c r="B236" s="57" t="s">
        <v>151</v>
      </c>
      <c r="C236" s="816"/>
      <c r="D236" s="817"/>
      <c r="E236" s="798">
        <v>500284.27915838966</v>
      </c>
      <c r="F236" s="816"/>
      <c r="G236" s="817"/>
      <c r="H236" s="798">
        <v>-18537.875259370659</v>
      </c>
      <c r="I236" s="816"/>
      <c r="J236" s="817"/>
      <c r="K236" s="798">
        <v>-9592.5671851554362</v>
      </c>
      <c r="L236" s="816"/>
      <c r="M236" s="817"/>
      <c r="N236" s="798">
        <v>11209.66889497696</v>
      </c>
      <c r="O236" s="816"/>
      <c r="P236" s="817"/>
      <c r="Q236" s="798">
        <v>81956.473227652838</v>
      </c>
      <c r="R236" s="816"/>
      <c r="S236" s="817"/>
      <c r="T236" s="798">
        <v>65714.264294209512</v>
      </c>
      <c r="U236" s="816"/>
      <c r="V236" s="817"/>
      <c r="W236" s="798">
        <v>38665.167326384428</v>
      </c>
      <c r="X236" s="816"/>
      <c r="Y236" s="817"/>
      <c r="Z236" s="798">
        <v>42395.781069341465</v>
      </c>
      <c r="AA236" s="816"/>
      <c r="AB236" s="817"/>
      <c r="AC236" s="798">
        <v>30938.813551725267</v>
      </c>
      <c r="AD236" s="816"/>
      <c r="AE236" s="817"/>
      <c r="AF236" s="798">
        <v>25044.143307363585</v>
      </c>
      <c r="AG236" s="816"/>
      <c r="AH236" s="817"/>
      <c r="AI236" s="798">
        <v>62614.06103388936</v>
      </c>
      <c r="AJ236" s="816"/>
      <c r="AK236" s="817"/>
      <c r="AL236" s="798">
        <v>147722.84077634173</v>
      </c>
      <c r="AM236" s="816"/>
      <c r="AN236" s="817"/>
      <c r="AO236" s="798">
        <v>22153.508121030201</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3933</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c r="A241" s="39"/>
      <c r="B241" s="40" t="s">
        <v>3</v>
      </c>
      <c r="C241" s="969">
        <v>2025</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76" si="4">+$C$239&amp;B242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
        <v>CarrosserieM/O Sous-traitement</v>
      </c>
      <c r="B244" s="44" t="s">
        <v>177</v>
      </c>
      <c r="C244" s="819">
        <v>0</v>
      </c>
      <c r="D244" s="770">
        <v>600000</v>
      </c>
      <c r="E244" s="758">
        <v>132000</v>
      </c>
      <c r="F244" s="820">
        <v>0</v>
      </c>
      <c r="G244" s="821">
        <v>24000</v>
      </c>
      <c r="H244" s="771">
        <v>5280</v>
      </c>
      <c r="I244" s="820">
        <v>0</v>
      </c>
      <c r="J244" s="821">
        <v>42000.000000000007</v>
      </c>
      <c r="K244" s="771">
        <v>9240.0000000000018</v>
      </c>
      <c r="L244" s="820">
        <v>0</v>
      </c>
      <c r="M244" s="821">
        <v>60000</v>
      </c>
      <c r="N244" s="771">
        <v>13200</v>
      </c>
      <c r="O244" s="820">
        <v>0</v>
      </c>
      <c r="P244" s="821">
        <v>60000</v>
      </c>
      <c r="Q244" s="771">
        <v>13200</v>
      </c>
      <c r="R244" s="820">
        <v>0</v>
      </c>
      <c r="S244" s="821">
        <v>60000</v>
      </c>
      <c r="T244" s="771">
        <v>13200</v>
      </c>
      <c r="U244" s="820">
        <v>0</v>
      </c>
      <c r="V244" s="821">
        <v>66000</v>
      </c>
      <c r="W244" s="771">
        <v>14520</v>
      </c>
      <c r="X244" s="820">
        <v>0</v>
      </c>
      <c r="Y244" s="821">
        <v>48000</v>
      </c>
      <c r="Z244" s="771">
        <v>10560</v>
      </c>
      <c r="AA244" s="820">
        <v>0</v>
      </c>
      <c r="AB244" s="821">
        <v>54000</v>
      </c>
      <c r="AC244" s="771">
        <v>11880</v>
      </c>
      <c r="AD244" s="820">
        <v>0</v>
      </c>
      <c r="AE244" s="821">
        <v>54000</v>
      </c>
      <c r="AF244" s="771">
        <v>11880</v>
      </c>
      <c r="AG244" s="820">
        <v>0</v>
      </c>
      <c r="AH244" s="821">
        <v>54000</v>
      </c>
      <c r="AI244" s="771">
        <v>11880</v>
      </c>
      <c r="AJ244" s="820">
        <v>0</v>
      </c>
      <c r="AK244" s="821">
        <v>48000</v>
      </c>
      <c r="AL244" s="771">
        <v>10560</v>
      </c>
      <c r="AM244" s="820">
        <v>0</v>
      </c>
      <c r="AN244" s="821">
        <v>30000</v>
      </c>
      <c r="AO244" s="771">
        <v>6600</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
        <v>Carrosserie% profit / ventes</v>
      </c>
      <c r="B245" s="44" t="s">
        <v>165</v>
      </c>
      <c r="C245" s="819"/>
      <c r="D245" s="757"/>
      <c r="E245" s="822">
        <v>0.22</v>
      </c>
      <c r="F245" s="819"/>
      <c r="G245" s="757"/>
      <c r="H245" s="822">
        <v>0.22</v>
      </c>
      <c r="I245" s="819"/>
      <c r="J245" s="757"/>
      <c r="K245" s="822">
        <v>0.22</v>
      </c>
      <c r="L245" s="819"/>
      <c r="M245" s="757"/>
      <c r="N245" s="822">
        <v>0.22</v>
      </c>
      <c r="O245" s="819"/>
      <c r="P245" s="757"/>
      <c r="Q245" s="822">
        <v>0.22</v>
      </c>
      <c r="R245" s="819"/>
      <c r="S245" s="757"/>
      <c r="T245" s="822">
        <v>0.22</v>
      </c>
      <c r="U245" s="819"/>
      <c r="V245" s="757"/>
      <c r="W245" s="822">
        <v>0.22</v>
      </c>
      <c r="X245" s="819"/>
      <c r="Y245" s="757"/>
      <c r="Z245" s="822">
        <v>0.22</v>
      </c>
      <c r="AA245" s="819"/>
      <c r="AB245" s="757"/>
      <c r="AC245" s="822">
        <v>0.22</v>
      </c>
      <c r="AD245" s="819"/>
      <c r="AE245" s="757"/>
      <c r="AF245" s="822">
        <v>0.22</v>
      </c>
      <c r="AG245" s="819"/>
      <c r="AH245" s="757"/>
      <c r="AI245" s="822">
        <v>0.22</v>
      </c>
      <c r="AJ245" s="819"/>
      <c r="AK245" s="757"/>
      <c r="AL245" s="822">
        <v>0.22</v>
      </c>
      <c r="AM245" s="819"/>
      <c r="AN245" s="757"/>
      <c r="AO245" s="822">
        <v>0.22</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
        <v>CarrosserieM/O Carrosserie</v>
      </c>
      <c r="B247" s="42" t="s">
        <v>178</v>
      </c>
      <c r="C247" s="826">
        <v>0</v>
      </c>
      <c r="D247" s="827">
        <v>0</v>
      </c>
      <c r="E247" s="782">
        <v>0</v>
      </c>
      <c r="F247" s="828"/>
      <c r="G247" s="829"/>
      <c r="H247" s="783"/>
      <c r="I247" s="828"/>
      <c r="J247" s="829"/>
      <c r="K247" s="783"/>
      <c r="L247" s="828"/>
      <c r="M247" s="829"/>
      <c r="N247" s="783"/>
      <c r="O247" s="828"/>
      <c r="P247" s="829"/>
      <c r="Q247" s="783"/>
      <c r="R247" s="828"/>
      <c r="S247" s="829"/>
      <c r="T247" s="783"/>
      <c r="U247" s="828"/>
      <c r="V247" s="829"/>
      <c r="W247" s="783"/>
      <c r="X247" s="828"/>
      <c r="Y247" s="829"/>
      <c r="Z247" s="783"/>
      <c r="AA247" s="828"/>
      <c r="AB247" s="829"/>
      <c r="AC247" s="783"/>
      <c r="AD247" s="828"/>
      <c r="AE247" s="829"/>
      <c r="AF247" s="783"/>
      <c r="AG247" s="828"/>
      <c r="AH247" s="829"/>
      <c r="AI247" s="783"/>
      <c r="AJ247" s="828"/>
      <c r="AK247" s="829"/>
      <c r="AL247" s="783"/>
      <c r="AM247" s="828"/>
      <c r="AN247" s="829"/>
      <c r="AO247" s="783"/>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
        <v>CarrosserieM/O Esthétique Carr.</v>
      </c>
      <c r="B250" s="42" t="s">
        <v>179</v>
      </c>
      <c r="C250" s="826">
        <v>0</v>
      </c>
      <c r="D250" s="827">
        <v>0</v>
      </c>
      <c r="E250" s="782">
        <v>0</v>
      </c>
      <c r="F250" s="828"/>
      <c r="G250" s="829"/>
      <c r="H250" s="783"/>
      <c r="I250" s="828"/>
      <c r="J250" s="829"/>
      <c r="K250" s="783"/>
      <c r="L250" s="828"/>
      <c r="M250" s="829"/>
      <c r="N250" s="783"/>
      <c r="O250" s="828"/>
      <c r="P250" s="829"/>
      <c r="Q250" s="783"/>
      <c r="R250" s="828"/>
      <c r="S250" s="829"/>
      <c r="T250" s="783"/>
      <c r="U250" s="828"/>
      <c r="V250" s="829"/>
      <c r="W250" s="783"/>
      <c r="X250" s="828"/>
      <c r="Y250" s="829"/>
      <c r="Z250" s="783"/>
      <c r="AA250" s="828"/>
      <c r="AB250" s="829"/>
      <c r="AC250" s="783"/>
      <c r="AD250" s="828"/>
      <c r="AE250" s="829"/>
      <c r="AF250" s="783"/>
      <c r="AG250" s="828"/>
      <c r="AH250" s="829"/>
      <c r="AI250" s="783"/>
      <c r="AJ250" s="828"/>
      <c r="AK250" s="829"/>
      <c r="AL250" s="783"/>
      <c r="AM250" s="828"/>
      <c r="AN250" s="829"/>
      <c r="AO250" s="783"/>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
        <v>CarrosserieTotal Mécanique</v>
      </c>
      <c r="B253" s="49" t="s">
        <v>174</v>
      </c>
      <c r="C253" s="759"/>
      <c r="D253" s="850">
        <v>600000</v>
      </c>
      <c r="E253" s="761">
        <v>132000</v>
      </c>
      <c r="F253" s="759"/>
      <c r="G253" s="850">
        <v>24000</v>
      </c>
      <c r="H253" s="761">
        <v>5280</v>
      </c>
      <c r="I253" s="759"/>
      <c r="J253" s="850">
        <v>42000.000000000007</v>
      </c>
      <c r="K253" s="761">
        <v>9240.0000000000018</v>
      </c>
      <c r="L253" s="759"/>
      <c r="M253" s="850">
        <v>60000</v>
      </c>
      <c r="N253" s="761">
        <v>13200</v>
      </c>
      <c r="O253" s="759"/>
      <c r="P253" s="850">
        <v>60000</v>
      </c>
      <c r="Q253" s="761">
        <v>13200</v>
      </c>
      <c r="R253" s="759"/>
      <c r="S253" s="850">
        <v>60000</v>
      </c>
      <c r="T253" s="761">
        <v>13200</v>
      </c>
      <c r="U253" s="759"/>
      <c r="V253" s="850">
        <v>66000</v>
      </c>
      <c r="W253" s="761">
        <v>14520</v>
      </c>
      <c r="X253" s="759"/>
      <c r="Y253" s="850">
        <v>48000</v>
      </c>
      <c r="Z253" s="761">
        <v>10560</v>
      </c>
      <c r="AA253" s="759"/>
      <c r="AB253" s="850">
        <v>54000</v>
      </c>
      <c r="AC253" s="761">
        <v>11880</v>
      </c>
      <c r="AD253" s="759"/>
      <c r="AE253" s="850">
        <v>54000</v>
      </c>
      <c r="AF253" s="761">
        <v>11880</v>
      </c>
      <c r="AG253" s="759"/>
      <c r="AH253" s="850">
        <v>54000</v>
      </c>
      <c r="AI253" s="761">
        <v>11880</v>
      </c>
      <c r="AJ253" s="759"/>
      <c r="AK253" s="850">
        <v>48000</v>
      </c>
      <c r="AL253" s="761">
        <v>10560</v>
      </c>
      <c r="AM253" s="759"/>
      <c r="AN253" s="850">
        <v>30000</v>
      </c>
      <c r="AO253" s="761">
        <v>6600</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
        <v>Carrosserie</v>
      </c>
      <c r="B254" s="50"/>
      <c r="C254" s="762"/>
      <c r="D254" s="763"/>
      <c r="E254" s="851">
        <v>0.22</v>
      </c>
      <c r="F254" s="762"/>
      <c r="G254" s="763"/>
      <c r="H254" s="851">
        <v>0.22</v>
      </c>
      <c r="I254" s="762"/>
      <c r="J254" s="763"/>
      <c r="K254" s="851">
        <v>0.22</v>
      </c>
      <c r="L254" s="762"/>
      <c r="M254" s="763"/>
      <c r="N254" s="851">
        <v>0.22</v>
      </c>
      <c r="O254" s="762"/>
      <c r="P254" s="763"/>
      <c r="Q254" s="851">
        <v>0.22</v>
      </c>
      <c r="R254" s="762"/>
      <c r="S254" s="763"/>
      <c r="T254" s="851">
        <v>0.22</v>
      </c>
      <c r="U254" s="762"/>
      <c r="V254" s="763"/>
      <c r="W254" s="851">
        <v>0.22</v>
      </c>
      <c r="X254" s="762"/>
      <c r="Y254" s="763"/>
      <c r="Z254" s="851">
        <v>0.22</v>
      </c>
      <c r="AA254" s="762"/>
      <c r="AB254" s="763"/>
      <c r="AC254" s="851">
        <v>0.22</v>
      </c>
      <c r="AD254" s="762"/>
      <c r="AE254" s="763"/>
      <c r="AF254" s="851">
        <v>0.22</v>
      </c>
      <c r="AG254" s="762"/>
      <c r="AH254" s="763"/>
      <c r="AI254" s="851">
        <v>0.22</v>
      </c>
      <c r="AJ254" s="762"/>
      <c r="AK254" s="763"/>
      <c r="AL254" s="851">
        <v>0.22</v>
      </c>
      <c r="AM254" s="762"/>
      <c r="AN254" s="763"/>
      <c r="AO254" s="851">
        <v>0.22</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
        <v>CarrosserieSalaires cadres</v>
      </c>
      <c r="B257" s="54" t="s">
        <v>120</v>
      </c>
      <c r="C257" s="747"/>
      <c r="D257" s="757"/>
      <c r="E257" s="758">
        <v>3865.2249999999995</v>
      </c>
      <c r="F257" s="747"/>
      <c r="G257" s="757"/>
      <c r="H257" s="771">
        <v>371.65625000000006</v>
      </c>
      <c r="I257" s="747"/>
      <c r="J257" s="757"/>
      <c r="K257" s="771">
        <v>297.32500000000005</v>
      </c>
      <c r="L257" s="747"/>
      <c r="M257" s="757"/>
      <c r="N257" s="771">
        <v>297.32500000000005</v>
      </c>
      <c r="O257" s="747"/>
      <c r="P257" s="757"/>
      <c r="Q257" s="771">
        <v>297.32500000000005</v>
      </c>
      <c r="R257" s="747"/>
      <c r="S257" s="757"/>
      <c r="T257" s="771">
        <v>371.65625000000006</v>
      </c>
      <c r="U257" s="747"/>
      <c r="V257" s="757"/>
      <c r="W257" s="771">
        <v>297.32500000000005</v>
      </c>
      <c r="X257" s="747"/>
      <c r="Y257" s="757"/>
      <c r="Z257" s="771">
        <v>297.32500000000005</v>
      </c>
      <c r="AA257" s="747"/>
      <c r="AB257" s="757"/>
      <c r="AC257" s="771">
        <v>371.65625000000006</v>
      </c>
      <c r="AD257" s="747"/>
      <c r="AE257" s="757"/>
      <c r="AF257" s="771">
        <v>297.32500000000005</v>
      </c>
      <c r="AG257" s="747"/>
      <c r="AH257" s="757"/>
      <c r="AI257" s="771">
        <v>371.65625000000006</v>
      </c>
      <c r="AJ257" s="747"/>
      <c r="AK257" s="757"/>
      <c r="AL257" s="771">
        <v>297.32500000000005</v>
      </c>
      <c r="AM257" s="747"/>
      <c r="AN257" s="757"/>
      <c r="AO257" s="771">
        <v>297.32500000000005</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
        <v>CarrosserieSalaires commis</v>
      </c>
      <c r="B258" s="55" t="s">
        <v>121</v>
      </c>
      <c r="C258" s="747"/>
      <c r="D258" s="757"/>
      <c r="E258" s="758">
        <v>62491.959999999992</v>
      </c>
      <c r="F258" s="747"/>
      <c r="G258" s="757"/>
      <c r="H258" s="771">
        <v>5927.3807692307682</v>
      </c>
      <c r="I258" s="747"/>
      <c r="J258" s="757"/>
      <c r="K258" s="771">
        <v>4847.8046153846153</v>
      </c>
      <c r="L258" s="747"/>
      <c r="M258" s="757"/>
      <c r="N258" s="771">
        <v>4847.8046153846153</v>
      </c>
      <c r="O258" s="747"/>
      <c r="P258" s="757"/>
      <c r="Q258" s="771">
        <v>4847.8046153846153</v>
      </c>
      <c r="R258" s="747"/>
      <c r="S258" s="757"/>
      <c r="T258" s="771">
        <v>5927.3807692307682</v>
      </c>
      <c r="U258" s="747"/>
      <c r="V258" s="757"/>
      <c r="W258" s="771">
        <v>4847.8046153846153</v>
      </c>
      <c r="X258" s="747"/>
      <c r="Y258" s="757"/>
      <c r="Z258" s="771">
        <v>4847.8046153846153</v>
      </c>
      <c r="AA258" s="747"/>
      <c r="AB258" s="757"/>
      <c r="AC258" s="771">
        <v>5927.3807692307682</v>
      </c>
      <c r="AD258" s="747"/>
      <c r="AE258" s="757"/>
      <c r="AF258" s="771">
        <v>4847.8046153846153</v>
      </c>
      <c r="AG258" s="747"/>
      <c r="AH258" s="757"/>
      <c r="AI258" s="771">
        <v>5927.3807692307682</v>
      </c>
      <c r="AJ258" s="747"/>
      <c r="AK258" s="757"/>
      <c r="AL258" s="771">
        <v>4847.8046153846153</v>
      </c>
      <c r="AM258" s="747"/>
      <c r="AN258" s="757"/>
      <c r="AO258" s="771">
        <v>4847.8046153846153</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
        <v>CarrosserieSalaires autres</v>
      </c>
      <c r="B259" s="54" t="s">
        <v>122</v>
      </c>
      <c r="C259" s="780"/>
      <c r="D259" s="781"/>
      <c r="E259" s="782">
        <v>227.90000000000006</v>
      </c>
      <c r="F259" s="780"/>
      <c r="G259" s="781"/>
      <c r="H259" s="783">
        <v>21.91346153846154</v>
      </c>
      <c r="I259" s="780"/>
      <c r="J259" s="781"/>
      <c r="K259" s="783">
        <v>17.530769230769231</v>
      </c>
      <c r="L259" s="780"/>
      <c r="M259" s="781"/>
      <c r="N259" s="783">
        <v>17.530769230769231</v>
      </c>
      <c r="O259" s="780"/>
      <c r="P259" s="781"/>
      <c r="Q259" s="783">
        <v>17.530769230769231</v>
      </c>
      <c r="R259" s="780"/>
      <c r="S259" s="781"/>
      <c r="T259" s="783">
        <v>21.91346153846154</v>
      </c>
      <c r="U259" s="780"/>
      <c r="V259" s="781"/>
      <c r="W259" s="783">
        <v>17.530769230769231</v>
      </c>
      <c r="X259" s="780"/>
      <c r="Y259" s="781"/>
      <c r="Z259" s="783">
        <v>17.530769230769231</v>
      </c>
      <c r="AA259" s="780"/>
      <c r="AB259" s="781"/>
      <c r="AC259" s="783">
        <v>21.91346153846154</v>
      </c>
      <c r="AD259" s="780"/>
      <c r="AE259" s="781"/>
      <c r="AF259" s="783">
        <v>17.530769230769231</v>
      </c>
      <c r="AG259" s="780"/>
      <c r="AH259" s="781"/>
      <c r="AI259" s="783">
        <v>21.91346153846154</v>
      </c>
      <c r="AJ259" s="780"/>
      <c r="AK259" s="781"/>
      <c r="AL259" s="783">
        <v>17.530769230769231</v>
      </c>
      <c r="AM259" s="780"/>
      <c r="AN259" s="781"/>
      <c r="AO259" s="783">
        <v>17.530769230769231</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4"/>
        <v>CarrosserieSalaires spécialistes</v>
      </c>
      <c r="B260" s="54" t="s">
        <v>123</v>
      </c>
      <c r="C260" s="747"/>
      <c r="D260" s="757"/>
      <c r="E260" s="758">
        <v>0</v>
      </c>
      <c r="F260" s="747"/>
      <c r="G260" s="757"/>
      <c r="H260" s="771">
        <v>0</v>
      </c>
      <c r="I260" s="747"/>
      <c r="J260" s="757"/>
      <c r="K260" s="771">
        <v>0</v>
      </c>
      <c r="L260" s="747"/>
      <c r="M260" s="757"/>
      <c r="N260" s="771">
        <v>0</v>
      </c>
      <c r="O260" s="747"/>
      <c r="P260" s="757"/>
      <c r="Q260" s="771">
        <v>0</v>
      </c>
      <c r="R260" s="747"/>
      <c r="S260" s="757"/>
      <c r="T260" s="771">
        <v>0</v>
      </c>
      <c r="U260" s="747"/>
      <c r="V260" s="757"/>
      <c r="W260" s="771">
        <v>0</v>
      </c>
      <c r="X260" s="747"/>
      <c r="Y260" s="757"/>
      <c r="Z260" s="771">
        <v>0</v>
      </c>
      <c r="AA260" s="747"/>
      <c r="AB260" s="757"/>
      <c r="AC260" s="771">
        <v>0</v>
      </c>
      <c r="AD260" s="747"/>
      <c r="AE260" s="757"/>
      <c r="AF260" s="771">
        <v>0</v>
      </c>
      <c r="AG260" s="747"/>
      <c r="AH260" s="757"/>
      <c r="AI260" s="771">
        <v>0</v>
      </c>
      <c r="AJ260" s="747"/>
      <c r="AK260" s="757"/>
      <c r="AL260" s="771">
        <v>0</v>
      </c>
      <c r="AM260" s="747"/>
      <c r="AN260" s="757"/>
      <c r="AO260" s="771">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
        <v>Carrosserie[...]</v>
      </c>
      <c r="B261" s="44" t="s">
        <v>59</v>
      </c>
      <c r="C261" s="747"/>
      <c r="D261" s="757"/>
      <c r="E261" s="758">
        <v>0</v>
      </c>
      <c r="F261" s="747"/>
      <c r="G261" s="757"/>
      <c r="H261" s="771">
        <v>0</v>
      </c>
      <c r="I261" s="747"/>
      <c r="J261" s="757"/>
      <c r="K261" s="771">
        <v>0</v>
      </c>
      <c r="L261" s="747"/>
      <c r="M261" s="757"/>
      <c r="N261" s="771">
        <v>0</v>
      </c>
      <c r="O261" s="747"/>
      <c r="P261" s="757"/>
      <c r="Q261" s="771">
        <v>0</v>
      </c>
      <c r="R261" s="747"/>
      <c r="S261" s="757"/>
      <c r="T261" s="771">
        <v>0</v>
      </c>
      <c r="U261" s="747"/>
      <c r="V261" s="757"/>
      <c r="W261" s="771">
        <v>0</v>
      </c>
      <c r="X261" s="747"/>
      <c r="Y261" s="757"/>
      <c r="Z261" s="771">
        <v>0</v>
      </c>
      <c r="AA261" s="747"/>
      <c r="AB261" s="757"/>
      <c r="AC261" s="771">
        <v>0</v>
      </c>
      <c r="AD261" s="747"/>
      <c r="AE261" s="757"/>
      <c r="AF261" s="771">
        <v>0</v>
      </c>
      <c r="AG261" s="747"/>
      <c r="AH261" s="757"/>
      <c r="AI261" s="771">
        <v>0</v>
      </c>
      <c r="AJ261" s="747"/>
      <c r="AK261" s="757"/>
      <c r="AL261" s="771">
        <v>0</v>
      </c>
      <c r="AM261" s="747"/>
      <c r="AN261" s="757"/>
      <c r="AO261" s="771">
        <v>0</v>
      </c>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4"/>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
        <v>CarrosserieSalaires en absences</v>
      </c>
      <c r="B264" s="55" t="s">
        <v>124</v>
      </c>
      <c r="C264" s="747"/>
      <c r="D264" s="757"/>
      <c r="E264" s="758">
        <v>7997.5033974999978</v>
      </c>
      <c r="F264" s="747"/>
      <c r="G264" s="757"/>
      <c r="H264" s="771">
        <v>759.74482668269218</v>
      </c>
      <c r="I264" s="747"/>
      <c r="J264" s="757"/>
      <c r="K264" s="771">
        <v>619.8155113461537</v>
      </c>
      <c r="L264" s="747"/>
      <c r="M264" s="757"/>
      <c r="N264" s="771">
        <v>619.8155113461537</v>
      </c>
      <c r="O264" s="747"/>
      <c r="P264" s="757"/>
      <c r="Q264" s="771">
        <v>619.8155113461537</v>
      </c>
      <c r="R264" s="747"/>
      <c r="S264" s="757"/>
      <c r="T264" s="771">
        <v>759.74482668269218</v>
      </c>
      <c r="U264" s="747"/>
      <c r="V264" s="757"/>
      <c r="W264" s="771">
        <v>619.8155113461537</v>
      </c>
      <c r="X264" s="747"/>
      <c r="Y264" s="757"/>
      <c r="Z264" s="771">
        <v>619.8155113461537</v>
      </c>
      <c r="AA264" s="747"/>
      <c r="AB264" s="757"/>
      <c r="AC264" s="771">
        <v>759.74482668269218</v>
      </c>
      <c r="AD264" s="747"/>
      <c r="AE264" s="757"/>
      <c r="AF264" s="771">
        <v>619.8155113461537</v>
      </c>
      <c r="AG264" s="747"/>
      <c r="AH264" s="757"/>
      <c r="AI264" s="771">
        <v>759.74482668269218</v>
      </c>
      <c r="AJ264" s="747"/>
      <c r="AK264" s="757"/>
      <c r="AL264" s="771">
        <v>619.8155113461537</v>
      </c>
      <c r="AM264" s="747"/>
      <c r="AN264" s="757"/>
      <c r="AO264" s="771">
        <v>619.8155113461537</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
        <v>CarrosserieDéduction à la source</v>
      </c>
      <c r="B265" s="54" t="s">
        <v>125</v>
      </c>
      <c r="C265" s="780"/>
      <c r="D265" s="781"/>
      <c r="E265" s="782">
        <v>9723.8367300000009</v>
      </c>
      <c r="F265" s="780"/>
      <c r="G265" s="781"/>
      <c r="H265" s="783">
        <v>923.7426086538461</v>
      </c>
      <c r="I265" s="780"/>
      <c r="J265" s="781"/>
      <c r="K265" s="783">
        <v>753.60828692307689</v>
      </c>
      <c r="L265" s="780"/>
      <c r="M265" s="781"/>
      <c r="N265" s="783">
        <v>753.60828692307689</v>
      </c>
      <c r="O265" s="780"/>
      <c r="P265" s="781"/>
      <c r="Q265" s="783">
        <v>753.60828692307689</v>
      </c>
      <c r="R265" s="780"/>
      <c r="S265" s="781"/>
      <c r="T265" s="783">
        <v>923.7426086538461</v>
      </c>
      <c r="U265" s="780"/>
      <c r="V265" s="781"/>
      <c r="W265" s="783">
        <v>753.60828692307689</v>
      </c>
      <c r="X265" s="780"/>
      <c r="Y265" s="781"/>
      <c r="Z265" s="783">
        <v>753.60828692307689</v>
      </c>
      <c r="AA265" s="780"/>
      <c r="AB265" s="781"/>
      <c r="AC265" s="783">
        <v>923.7426086538461</v>
      </c>
      <c r="AD265" s="780"/>
      <c r="AE265" s="781"/>
      <c r="AF265" s="783">
        <v>753.60828692307689</v>
      </c>
      <c r="AG265" s="780"/>
      <c r="AH265" s="781"/>
      <c r="AI265" s="783">
        <v>923.7426086538461</v>
      </c>
      <c r="AJ265" s="780"/>
      <c r="AK265" s="781"/>
      <c r="AL265" s="783">
        <v>753.60828692307689</v>
      </c>
      <c r="AM265" s="780"/>
      <c r="AN265" s="781"/>
      <c r="AO265" s="783">
        <v>753.60828692307689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
        <v>CarrosserieBénéfices marginaux</v>
      </c>
      <c r="B266" s="54" t="s">
        <v>126</v>
      </c>
      <c r="C266" s="747"/>
      <c r="D266" s="757"/>
      <c r="E266" s="758">
        <v>5009.8897934999986</v>
      </c>
      <c r="F266" s="747"/>
      <c r="G266" s="757"/>
      <c r="H266" s="771">
        <v>475.92825706730758</v>
      </c>
      <c r="I266" s="747"/>
      <c r="J266" s="757"/>
      <c r="K266" s="771">
        <v>388.27209565384607</v>
      </c>
      <c r="L266" s="747"/>
      <c r="M266" s="757"/>
      <c r="N266" s="771">
        <v>388.27209565384607</v>
      </c>
      <c r="O266" s="747"/>
      <c r="P266" s="757"/>
      <c r="Q266" s="771">
        <v>388.27209565384607</v>
      </c>
      <c r="R266" s="747"/>
      <c r="S266" s="757"/>
      <c r="T266" s="771">
        <v>475.92825706730758</v>
      </c>
      <c r="U266" s="747"/>
      <c r="V266" s="757"/>
      <c r="W266" s="771">
        <v>388.27209565384607</v>
      </c>
      <c r="X266" s="747"/>
      <c r="Y266" s="757"/>
      <c r="Z266" s="771">
        <v>388.27209565384607</v>
      </c>
      <c r="AA266" s="747"/>
      <c r="AB266" s="757"/>
      <c r="AC266" s="771">
        <v>475.92825706730758</v>
      </c>
      <c r="AD266" s="747"/>
      <c r="AE266" s="757"/>
      <c r="AF266" s="771">
        <v>388.27209565384607</v>
      </c>
      <c r="AG266" s="747"/>
      <c r="AH266" s="757"/>
      <c r="AI266" s="771">
        <v>475.92825706730758</v>
      </c>
      <c r="AJ266" s="747"/>
      <c r="AK266" s="757"/>
      <c r="AL266" s="771">
        <v>388.27209565384607</v>
      </c>
      <c r="AM266" s="747"/>
      <c r="AN266" s="757"/>
      <c r="AO266" s="771">
        <v>388.27209565384607</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4"/>
        <v>CarrosserieCsst</v>
      </c>
      <c r="B267" s="54" t="s">
        <v>127</v>
      </c>
      <c r="C267" s="747"/>
      <c r="D267" s="757"/>
      <c r="E267" s="758">
        <v>2184.3401349999995</v>
      </c>
      <c r="F267" s="747"/>
      <c r="G267" s="757"/>
      <c r="H267" s="771">
        <v>207.50739759615382</v>
      </c>
      <c r="I267" s="747"/>
      <c r="J267" s="757"/>
      <c r="K267" s="771">
        <v>169.28881807692304</v>
      </c>
      <c r="L267" s="747"/>
      <c r="M267" s="757"/>
      <c r="N267" s="771">
        <v>169.28881807692304</v>
      </c>
      <c r="O267" s="747"/>
      <c r="P267" s="757"/>
      <c r="Q267" s="771">
        <v>169.28881807692304</v>
      </c>
      <c r="R267" s="747"/>
      <c r="S267" s="757"/>
      <c r="T267" s="771">
        <v>207.50739759615382</v>
      </c>
      <c r="U267" s="747"/>
      <c r="V267" s="757"/>
      <c r="W267" s="771">
        <v>169.28881807692304</v>
      </c>
      <c r="X267" s="747"/>
      <c r="Y267" s="757"/>
      <c r="Z267" s="771">
        <v>169.28881807692304</v>
      </c>
      <c r="AA267" s="747"/>
      <c r="AB267" s="757"/>
      <c r="AC267" s="771">
        <v>207.50739759615382</v>
      </c>
      <c r="AD267" s="747"/>
      <c r="AE267" s="757"/>
      <c r="AF267" s="771">
        <v>169.28881807692304</v>
      </c>
      <c r="AG267" s="747"/>
      <c r="AH267" s="757"/>
      <c r="AI267" s="771">
        <v>207.50739759615382</v>
      </c>
      <c r="AJ267" s="747"/>
      <c r="AK267" s="757"/>
      <c r="AL267" s="771">
        <v>169.28881807692304</v>
      </c>
      <c r="AM267" s="747"/>
      <c r="AN267" s="757"/>
      <c r="AO267" s="771">
        <v>169.28881807692304</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4"/>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
        <v>CarrosserieTOTAL PERSONNEL</v>
      </c>
      <c r="B269" s="53" t="s">
        <v>128</v>
      </c>
      <c r="C269" s="777" t="s">
        <v>119</v>
      </c>
      <c r="D269" s="778">
        <v>0</v>
      </c>
      <c r="E269" s="779">
        <v>91500.655055999989</v>
      </c>
      <c r="F269" s="777" t="s">
        <v>119</v>
      </c>
      <c r="G269" s="778">
        <v>0</v>
      </c>
      <c r="H269" s="779">
        <v>8687.8735707692285</v>
      </c>
      <c r="I269" s="777" t="s">
        <v>119</v>
      </c>
      <c r="J269" s="778">
        <v>0</v>
      </c>
      <c r="K269" s="779">
        <v>7093.6450966153834</v>
      </c>
      <c r="L269" s="777" t="s">
        <v>119</v>
      </c>
      <c r="M269" s="778">
        <v>0</v>
      </c>
      <c r="N269" s="779">
        <v>7093.6450966153834</v>
      </c>
      <c r="O269" s="777" t="s">
        <v>119</v>
      </c>
      <c r="P269" s="778">
        <v>0</v>
      </c>
      <c r="Q269" s="779">
        <v>7093.6450966153834</v>
      </c>
      <c r="R269" s="777" t="s">
        <v>119</v>
      </c>
      <c r="S269" s="778">
        <v>0</v>
      </c>
      <c r="T269" s="779">
        <v>8687.8735707692285</v>
      </c>
      <c r="U269" s="777" t="s">
        <v>119</v>
      </c>
      <c r="V269" s="778">
        <v>0</v>
      </c>
      <c r="W269" s="779">
        <v>7093.6450966153834</v>
      </c>
      <c r="X269" s="777" t="s">
        <v>119</v>
      </c>
      <c r="Y269" s="778">
        <v>0</v>
      </c>
      <c r="Z269" s="779">
        <v>7093.6450966153834</v>
      </c>
      <c r="AA269" s="777" t="s">
        <v>119</v>
      </c>
      <c r="AB269" s="778">
        <v>0</v>
      </c>
      <c r="AC269" s="779">
        <v>8687.8735707692285</v>
      </c>
      <c r="AD269" s="777" t="s">
        <v>119</v>
      </c>
      <c r="AE269" s="778">
        <v>0</v>
      </c>
      <c r="AF269" s="779">
        <v>7093.6450966153834</v>
      </c>
      <c r="AG269" s="777" t="s">
        <v>119</v>
      </c>
      <c r="AH269" s="778">
        <v>0</v>
      </c>
      <c r="AI269" s="779">
        <v>8687.8735707692285</v>
      </c>
      <c r="AJ269" s="777" t="s">
        <v>119</v>
      </c>
      <c r="AK269" s="778">
        <v>0</v>
      </c>
      <c r="AL269" s="779">
        <v>7093.6450966153834</v>
      </c>
      <c r="AM269" s="777" t="s">
        <v>119</v>
      </c>
      <c r="AN269" s="778">
        <v>0</v>
      </c>
      <c r="AO269" s="779">
        <v>7093.6450966153834</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
        <v>CarrosseriePublicité 2</v>
      </c>
      <c r="B270" s="63" t="s">
        <v>129</v>
      </c>
      <c r="C270" s="747"/>
      <c r="D270" s="757"/>
      <c r="E270" s="758">
        <v>580</v>
      </c>
      <c r="F270" s="747"/>
      <c r="G270" s="757"/>
      <c r="H270" s="771">
        <v>48.333333333333336</v>
      </c>
      <c r="I270" s="747"/>
      <c r="J270" s="757"/>
      <c r="K270" s="771">
        <v>48.333333333333336</v>
      </c>
      <c r="L270" s="747"/>
      <c r="M270" s="757"/>
      <c r="N270" s="771">
        <v>48.333333333333336</v>
      </c>
      <c r="O270" s="747"/>
      <c r="P270" s="757"/>
      <c r="Q270" s="771">
        <v>48.333333333333336</v>
      </c>
      <c r="R270" s="747"/>
      <c r="S270" s="757"/>
      <c r="T270" s="771">
        <v>48.333333333333336</v>
      </c>
      <c r="U270" s="747"/>
      <c r="V270" s="757"/>
      <c r="W270" s="771">
        <v>48.333333333333336</v>
      </c>
      <c r="X270" s="747"/>
      <c r="Y270" s="757"/>
      <c r="Z270" s="771">
        <v>48.333333333333336</v>
      </c>
      <c r="AA270" s="747"/>
      <c r="AB270" s="757"/>
      <c r="AC270" s="771">
        <v>48.333333333333336</v>
      </c>
      <c r="AD270" s="747"/>
      <c r="AE270" s="757"/>
      <c r="AF270" s="771">
        <v>48.333333333333336</v>
      </c>
      <c r="AG270" s="747"/>
      <c r="AH270" s="757"/>
      <c r="AI270" s="771">
        <v>48.333333333333336</v>
      </c>
      <c r="AJ270" s="747"/>
      <c r="AK270" s="757"/>
      <c r="AL270" s="771">
        <v>48.333333333333336</v>
      </c>
      <c r="AM270" s="747"/>
      <c r="AN270" s="757"/>
      <c r="AO270" s="771">
        <v>48.333333333333336</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
        <v>CarrosserieService gratuit 2</v>
      </c>
      <c r="B271" s="54" t="s">
        <v>130</v>
      </c>
      <c r="C271" s="747"/>
      <c r="D271" s="757"/>
      <c r="E271" s="758">
        <v>6740.1357753668517</v>
      </c>
      <c r="F271" s="747"/>
      <c r="G271" s="757"/>
      <c r="H271" s="771">
        <v>561.67798128057109</v>
      </c>
      <c r="I271" s="747"/>
      <c r="J271" s="757"/>
      <c r="K271" s="771">
        <v>561.67798128057109</v>
      </c>
      <c r="L271" s="747"/>
      <c r="M271" s="757"/>
      <c r="N271" s="771">
        <v>561.67798128057109</v>
      </c>
      <c r="O271" s="747"/>
      <c r="P271" s="757"/>
      <c r="Q271" s="771">
        <v>561.67798128057109</v>
      </c>
      <c r="R271" s="747"/>
      <c r="S271" s="757"/>
      <c r="T271" s="771">
        <v>561.67798128057109</v>
      </c>
      <c r="U271" s="747"/>
      <c r="V271" s="757"/>
      <c r="W271" s="771">
        <v>561.67798128057109</v>
      </c>
      <c r="X271" s="747"/>
      <c r="Y271" s="757"/>
      <c r="Z271" s="771">
        <v>561.67798128057109</v>
      </c>
      <c r="AA271" s="747"/>
      <c r="AB271" s="757"/>
      <c r="AC271" s="771">
        <v>561.67798128057109</v>
      </c>
      <c r="AD271" s="747"/>
      <c r="AE271" s="757"/>
      <c r="AF271" s="771">
        <v>561.67798128057109</v>
      </c>
      <c r="AG271" s="747"/>
      <c r="AH271" s="757"/>
      <c r="AI271" s="771">
        <v>561.67798128057109</v>
      </c>
      <c r="AJ271" s="747"/>
      <c r="AK271" s="757"/>
      <c r="AL271" s="771">
        <v>561.67798128057109</v>
      </c>
      <c r="AM271" s="747"/>
      <c r="AN271" s="757"/>
      <c r="AO271" s="771">
        <v>561.67798128057109</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
        <v>CarrosserieFrais véhicules de cie</v>
      </c>
      <c r="B272" s="55" t="s">
        <v>131</v>
      </c>
      <c r="C272" s="776"/>
      <c r="D272" s="784"/>
      <c r="E272" s="774">
        <v>1494.0432000000001</v>
      </c>
      <c r="F272" s="776"/>
      <c r="G272" s="784"/>
      <c r="H272" s="775">
        <v>124.50360000000001</v>
      </c>
      <c r="I272" s="776"/>
      <c r="J272" s="784"/>
      <c r="K272" s="775">
        <v>124.50360000000001</v>
      </c>
      <c r="L272" s="776"/>
      <c r="M272" s="784"/>
      <c r="N272" s="775">
        <v>124.50360000000001</v>
      </c>
      <c r="O272" s="776"/>
      <c r="P272" s="784"/>
      <c r="Q272" s="775">
        <v>124.50360000000001</v>
      </c>
      <c r="R272" s="776"/>
      <c r="S272" s="784"/>
      <c r="T272" s="775">
        <v>124.50360000000001</v>
      </c>
      <c r="U272" s="776"/>
      <c r="V272" s="784"/>
      <c r="W272" s="775">
        <v>124.50360000000001</v>
      </c>
      <c r="X272" s="776"/>
      <c r="Y272" s="784"/>
      <c r="Z272" s="775">
        <v>124.50360000000001</v>
      </c>
      <c r="AA272" s="776"/>
      <c r="AB272" s="784"/>
      <c r="AC272" s="775">
        <v>124.50360000000001</v>
      </c>
      <c r="AD272" s="776"/>
      <c r="AE272" s="784"/>
      <c r="AF272" s="775">
        <v>124.50360000000001</v>
      </c>
      <c r="AG272" s="776"/>
      <c r="AH272" s="784"/>
      <c r="AI272" s="775">
        <v>124.50360000000001</v>
      </c>
      <c r="AJ272" s="776"/>
      <c r="AK272" s="784"/>
      <c r="AL272" s="775">
        <v>124.50360000000001</v>
      </c>
      <c r="AM272" s="776"/>
      <c r="AN272" s="784"/>
      <c r="AO272" s="775">
        <v>124.50360000000001</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
        <v>CarrosserieInformatique</v>
      </c>
      <c r="B273" s="54" t="s">
        <v>132</v>
      </c>
      <c r="C273" s="747"/>
      <c r="D273" s="757"/>
      <c r="E273" s="758">
        <v>17405.122634853331</v>
      </c>
      <c r="F273" s="747"/>
      <c r="G273" s="757"/>
      <c r="H273" s="771">
        <v>1450.4268862377776</v>
      </c>
      <c r="I273" s="747"/>
      <c r="J273" s="757"/>
      <c r="K273" s="771">
        <v>1450.4268862377776</v>
      </c>
      <c r="L273" s="747"/>
      <c r="M273" s="757"/>
      <c r="N273" s="771">
        <v>1450.4268862377776</v>
      </c>
      <c r="O273" s="747"/>
      <c r="P273" s="757"/>
      <c r="Q273" s="771">
        <v>1450.4268862377776</v>
      </c>
      <c r="R273" s="747"/>
      <c r="S273" s="757"/>
      <c r="T273" s="771">
        <v>1450.4268862377776</v>
      </c>
      <c r="U273" s="747"/>
      <c r="V273" s="757"/>
      <c r="W273" s="771">
        <v>1450.4268862377776</v>
      </c>
      <c r="X273" s="747"/>
      <c r="Y273" s="757"/>
      <c r="Z273" s="771">
        <v>1450.4268862377776</v>
      </c>
      <c r="AA273" s="747"/>
      <c r="AB273" s="757"/>
      <c r="AC273" s="771">
        <v>1450.4268862377776</v>
      </c>
      <c r="AD273" s="747"/>
      <c r="AE273" s="757"/>
      <c r="AF273" s="771">
        <v>1450.4268862377776</v>
      </c>
      <c r="AG273" s="747"/>
      <c r="AH273" s="757"/>
      <c r="AI273" s="771">
        <v>1450.4268862377776</v>
      </c>
      <c r="AJ273" s="747"/>
      <c r="AK273" s="757"/>
      <c r="AL273" s="771">
        <v>1450.4268862377776</v>
      </c>
      <c r="AM273" s="747"/>
      <c r="AN273" s="757"/>
      <c r="AO273" s="771">
        <v>1450.4268862377776</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
        <v>CarrosserieFrais de déplacement</v>
      </c>
      <c r="B274" s="54" t="s">
        <v>133</v>
      </c>
      <c r="C274" s="747"/>
      <c r="D274" s="757"/>
      <c r="E274" s="758">
        <v>2568.4588605429835</v>
      </c>
      <c r="F274" s="747"/>
      <c r="G274" s="757"/>
      <c r="H274" s="771">
        <v>214.03823837858201</v>
      </c>
      <c r="I274" s="747"/>
      <c r="J274" s="757"/>
      <c r="K274" s="771">
        <v>214.03823837858201</v>
      </c>
      <c r="L274" s="747"/>
      <c r="M274" s="757"/>
      <c r="N274" s="771">
        <v>214.03823837858201</v>
      </c>
      <c r="O274" s="747"/>
      <c r="P274" s="757"/>
      <c r="Q274" s="771">
        <v>214.03823837858201</v>
      </c>
      <c r="R274" s="747"/>
      <c r="S274" s="757"/>
      <c r="T274" s="771">
        <v>214.03823837858201</v>
      </c>
      <c r="U274" s="747"/>
      <c r="V274" s="757"/>
      <c r="W274" s="771">
        <v>214.03823837858201</v>
      </c>
      <c r="X274" s="747"/>
      <c r="Y274" s="757"/>
      <c r="Z274" s="771">
        <v>214.03823837858201</v>
      </c>
      <c r="AA274" s="747"/>
      <c r="AB274" s="757"/>
      <c r="AC274" s="771">
        <v>214.03823837858201</v>
      </c>
      <c r="AD274" s="747"/>
      <c r="AE274" s="757"/>
      <c r="AF274" s="771">
        <v>214.03823837858201</v>
      </c>
      <c r="AG274" s="747"/>
      <c r="AH274" s="757"/>
      <c r="AI274" s="771">
        <v>214.03823837858201</v>
      </c>
      <c r="AJ274" s="747"/>
      <c r="AK274" s="757"/>
      <c r="AL274" s="771">
        <v>214.03823837858201</v>
      </c>
      <c r="AM274" s="747"/>
      <c r="AN274" s="757"/>
      <c r="AO274" s="771">
        <v>214.03823837858201</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4"/>
        <v>CarrosserieServices extérieurs</v>
      </c>
      <c r="B275" s="54" t="s">
        <v>134</v>
      </c>
      <c r="C275" s="776"/>
      <c r="D275" s="784"/>
      <c r="E275" s="774">
        <v>8245.7609322297685</v>
      </c>
      <c r="F275" s="776"/>
      <c r="G275" s="784"/>
      <c r="H275" s="775">
        <v>687.14674435248071</v>
      </c>
      <c r="I275" s="776"/>
      <c r="J275" s="784"/>
      <c r="K275" s="775">
        <v>687.14674435248071</v>
      </c>
      <c r="L275" s="776"/>
      <c r="M275" s="784"/>
      <c r="N275" s="775">
        <v>687.14674435248071</v>
      </c>
      <c r="O275" s="776"/>
      <c r="P275" s="784"/>
      <c r="Q275" s="775">
        <v>687.14674435248071</v>
      </c>
      <c r="R275" s="776"/>
      <c r="S275" s="784"/>
      <c r="T275" s="775">
        <v>687.14674435248071</v>
      </c>
      <c r="U275" s="776"/>
      <c r="V275" s="784"/>
      <c r="W275" s="775">
        <v>687.14674435248071</v>
      </c>
      <c r="X275" s="776"/>
      <c r="Y275" s="784"/>
      <c r="Z275" s="775">
        <v>687.14674435248071</v>
      </c>
      <c r="AA275" s="776"/>
      <c r="AB275" s="784"/>
      <c r="AC275" s="775">
        <v>687.14674435248071</v>
      </c>
      <c r="AD275" s="776"/>
      <c r="AE275" s="784"/>
      <c r="AF275" s="775">
        <v>687.14674435248071</v>
      </c>
      <c r="AG275" s="776"/>
      <c r="AH275" s="784"/>
      <c r="AI275" s="775">
        <v>687.14674435248071</v>
      </c>
      <c r="AJ275" s="776"/>
      <c r="AK275" s="784"/>
      <c r="AL275" s="775">
        <v>687.14674435248071</v>
      </c>
      <c r="AM275" s="776"/>
      <c r="AN275" s="784"/>
      <c r="AO275" s="775">
        <v>687.14674435248071</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4"/>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ref="A277:A292" si="5">+$C$239&amp;B277</f>
        <v>CarrosserieFournitures autres</v>
      </c>
      <c r="B277" s="63" t="s">
        <v>135</v>
      </c>
      <c r="C277" s="747"/>
      <c r="D277" s="757"/>
      <c r="E277" s="758">
        <v>551.41839999999991</v>
      </c>
      <c r="F277" s="747"/>
      <c r="G277" s="757"/>
      <c r="H277" s="771">
        <v>45.951533333333337</v>
      </c>
      <c r="I277" s="747"/>
      <c r="J277" s="757"/>
      <c r="K277" s="771">
        <v>45.951533333333337</v>
      </c>
      <c r="L277" s="747"/>
      <c r="M277" s="757"/>
      <c r="N277" s="771">
        <v>45.951533333333337</v>
      </c>
      <c r="O277" s="747"/>
      <c r="P277" s="757"/>
      <c r="Q277" s="771">
        <v>45.951533333333337</v>
      </c>
      <c r="R277" s="747"/>
      <c r="S277" s="757"/>
      <c r="T277" s="771">
        <v>45.951533333333337</v>
      </c>
      <c r="U277" s="747"/>
      <c r="V277" s="757"/>
      <c r="W277" s="771">
        <v>45.951533333333337</v>
      </c>
      <c r="X277" s="747"/>
      <c r="Y277" s="757"/>
      <c r="Z277" s="771">
        <v>45.951533333333337</v>
      </c>
      <c r="AA277" s="747"/>
      <c r="AB277" s="757"/>
      <c r="AC277" s="771">
        <v>45.951533333333337</v>
      </c>
      <c r="AD277" s="747"/>
      <c r="AE277" s="757"/>
      <c r="AF277" s="771">
        <v>45.951533333333337</v>
      </c>
      <c r="AG277" s="747"/>
      <c r="AH277" s="757"/>
      <c r="AI277" s="771">
        <v>45.951533333333337</v>
      </c>
      <c r="AJ277" s="747"/>
      <c r="AK277" s="757"/>
      <c r="AL277" s="771">
        <v>45.951533333333337</v>
      </c>
      <c r="AM277" s="747"/>
      <c r="AN277" s="757"/>
      <c r="AO277" s="771">
        <v>45.951533333333337</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5"/>
        <v>CarrosserieUniformes</v>
      </c>
      <c r="B278" s="54" t="s">
        <v>136</v>
      </c>
      <c r="C278" s="747"/>
      <c r="D278" s="757"/>
      <c r="E278" s="758">
        <v>340</v>
      </c>
      <c r="F278" s="747"/>
      <c r="G278" s="757"/>
      <c r="H278" s="771">
        <v>28.333333333333332</v>
      </c>
      <c r="I278" s="747"/>
      <c r="J278" s="757"/>
      <c r="K278" s="771">
        <v>28.333333333333332</v>
      </c>
      <c r="L278" s="747"/>
      <c r="M278" s="757"/>
      <c r="N278" s="771">
        <v>28.333333333333332</v>
      </c>
      <c r="O278" s="747"/>
      <c r="P278" s="757"/>
      <c r="Q278" s="771">
        <v>28.333333333333332</v>
      </c>
      <c r="R278" s="747"/>
      <c r="S278" s="757"/>
      <c r="T278" s="771">
        <v>28.333333333333332</v>
      </c>
      <c r="U278" s="747"/>
      <c r="V278" s="757"/>
      <c r="W278" s="771">
        <v>28.333333333333332</v>
      </c>
      <c r="X278" s="747"/>
      <c r="Y278" s="757"/>
      <c r="Z278" s="771">
        <v>28.333333333333332</v>
      </c>
      <c r="AA278" s="747"/>
      <c r="AB278" s="757"/>
      <c r="AC278" s="771">
        <v>28.333333333333332</v>
      </c>
      <c r="AD278" s="747"/>
      <c r="AE278" s="757"/>
      <c r="AF278" s="771">
        <v>28.333333333333332</v>
      </c>
      <c r="AG278" s="747"/>
      <c r="AH278" s="757"/>
      <c r="AI278" s="771">
        <v>28.333333333333332</v>
      </c>
      <c r="AJ278" s="747"/>
      <c r="AK278" s="757"/>
      <c r="AL278" s="771">
        <v>28.333333333333332</v>
      </c>
      <c r="AM278" s="747"/>
      <c r="AN278" s="757"/>
      <c r="AO278" s="771">
        <v>28.333333333333332</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5"/>
        <v>CarrosseriePapeterie</v>
      </c>
      <c r="B279" s="54" t="s">
        <v>137</v>
      </c>
      <c r="C279" s="747"/>
      <c r="D279" s="757"/>
      <c r="E279" s="758">
        <v>1754.8427646314394</v>
      </c>
      <c r="F279" s="747"/>
      <c r="G279" s="757"/>
      <c r="H279" s="771">
        <v>146.23689705261995</v>
      </c>
      <c r="I279" s="747"/>
      <c r="J279" s="757"/>
      <c r="K279" s="771">
        <v>146.23689705261995</v>
      </c>
      <c r="L279" s="747"/>
      <c r="M279" s="757"/>
      <c r="N279" s="771">
        <v>146.23689705261995</v>
      </c>
      <c r="O279" s="747"/>
      <c r="P279" s="757"/>
      <c r="Q279" s="771">
        <v>146.23689705261995</v>
      </c>
      <c r="R279" s="747"/>
      <c r="S279" s="757"/>
      <c r="T279" s="771">
        <v>146.23689705261995</v>
      </c>
      <c r="U279" s="747"/>
      <c r="V279" s="757"/>
      <c r="W279" s="771">
        <v>146.23689705261995</v>
      </c>
      <c r="X279" s="747"/>
      <c r="Y279" s="757"/>
      <c r="Z279" s="771">
        <v>146.23689705261995</v>
      </c>
      <c r="AA279" s="747"/>
      <c r="AB279" s="757"/>
      <c r="AC279" s="771">
        <v>146.23689705261995</v>
      </c>
      <c r="AD279" s="747"/>
      <c r="AE279" s="757"/>
      <c r="AF279" s="771">
        <v>146.23689705261995</v>
      </c>
      <c r="AG279" s="747"/>
      <c r="AH279" s="757"/>
      <c r="AI279" s="771">
        <v>146.23689705261995</v>
      </c>
      <c r="AJ279" s="747"/>
      <c r="AK279" s="757"/>
      <c r="AL279" s="771">
        <v>146.23689705261995</v>
      </c>
      <c r="AM279" s="747"/>
      <c r="AN279" s="757"/>
      <c r="AO279" s="771">
        <v>146.23689705261995</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5"/>
        <v>CarrosserieTéléphone</v>
      </c>
      <c r="B280" s="54" t="s">
        <v>138</v>
      </c>
      <c r="C280" s="747"/>
      <c r="D280" s="757"/>
      <c r="E280" s="758">
        <v>388.42770390970333</v>
      </c>
      <c r="F280" s="747"/>
      <c r="G280" s="757"/>
      <c r="H280" s="771">
        <v>32.368975325808613</v>
      </c>
      <c r="I280" s="747"/>
      <c r="J280" s="757"/>
      <c r="K280" s="771">
        <v>32.368975325808613</v>
      </c>
      <c r="L280" s="747"/>
      <c r="M280" s="757"/>
      <c r="N280" s="771">
        <v>32.368975325808613</v>
      </c>
      <c r="O280" s="747"/>
      <c r="P280" s="757"/>
      <c r="Q280" s="771">
        <v>32.368975325808613</v>
      </c>
      <c r="R280" s="747"/>
      <c r="S280" s="757"/>
      <c r="T280" s="771">
        <v>32.368975325808613</v>
      </c>
      <c r="U280" s="747"/>
      <c r="V280" s="757"/>
      <c r="W280" s="771">
        <v>32.368975325808613</v>
      </c>
      <c r="X280" s="747"/>
      <c r="Y280" s="757"/>
      <c r="Z280" s="771">
        <v>32.368975325808613</v>
      </c>
      <c r="AA280" s="747"/>
      <c r="AB280" s="757"/>
      <c r="AC280" s="771">
        <v>32.368975325808613</v>
      </c>
      <c r="AD280" s="747"/>
      <c r="AE280" s="757"/>
      <c r="AF280" s="771">
        <v>32.368975325808613</v>
      </c>
      <c r="AG280" s="747"/>
      <c r="AH280" s="757"/>
      <c r="AI280" s="771">
        <v>32.368975325808613</v>
      </c>
      <c r="AJ280" s="747"/>
      <c r="AK280" s="757"/>
      <c r="AL280" s="771">
        <v>32.368975325808613</v>
      </c>
      <c r="AM280" s="747"/>
      <c r="AN280" s="757"/>
      <c r="AO280" s="771">
        <v>32.368975325808613</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5"/>
        <v>CarrosserieFrais postaux</v>
      </c>
      <c r="B281" s="54" t="s">
        <v>139</v>
      </c>
      <c r="C281" s="747"/>
      <c r="D281" s="757"/>
      <c r="E281" s="758">
        <v>269.90518596709677</v>
      </c>
      <c r="F281" s="747"/>
      <c r="G281" s="757"/>
      <c r="H281" s="771">
        <v>22.492098830591392</v>
      </c>
      <c r="I281" s="747"/>
      <c r="J281" s="757"/>
      <c r="K281" s="771">
        <v>22.492098830591392</v>
      </c>
      <c r="L281" s="747"/>
      <c r="M281" s="757"/>
      <c r="N281" s="771">
        <v>22.492098830591392</v>
      </c>
      <c r="O281" s="747"/>
      <c r="P281" s="757"/>
      <c r="Q281" s="771">
        <v>22.492098830591392</v>
      </c>
      <c r="R281" s="747"/>
      <c r="S281" s="757"/>
      <c r="T281" s="771">
        <v>22.492098830591392</v>
      </c>
      <c r="U281" s="747"/>
      <c r="V281" s="757"/>
      <c r="W281" s="771">
        <v>22.492098830591392</v>
      </c>
      <c r="X281" s="747"/>
      <c r="Y281" s="757"/>
      <c r="Z281" s="771">
        <v>22.492098830591392</v>
      </c>
      <c r="AA281" s="747"/>
      <c r="AB281" s="757"/>
      <c r="AC281" s="771">
        <v>22.492098830591392</v>
      </c>
      <c r="AD281" s="747"/>
      <c r="AE281" s="757"/>
      <c r="AF281" s="771">
        <v>22.492098830591392</v>
      </c>
      <c r="AG281" s="747"/>
      <c r="AH281" s="757"/>
      <c r="AI281" s="771">
        <v>22.492098830591392</v>
      </c>
      <c r="AJ281" s="747"/>
      <c r="AK281" s="757"/>
      <c r="AL281" s="771">
        <v>22.492098830591392</v>
      </c>
      <c r="AM281" s="747"/>
      <c r="AN281" s="757"/>
      <c r="AO281" s="771">
        <v>22.492098830591392</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5"/>
        <v>CarrosserieDivers</v>
      </c>
      <c r="B282" s="54" t="s">
        <v>140</v>
      </c>
      <c r="C282" s="747"/>
      <c r="D282" s="757"/>
      <c r="E282" s="758">
        <v>1234.8608100658366</v>
      </c>
      <c r="F282" s="747"/>
      <c r="G282" s="757"/>
      <c r="H282" s="771">
        <v>102.90506750548639</v>
      </c>
      <c r="I282" s="747"/>
      <c r="J282" s="757"/>
      <c r="K282" s="771">
        <v>102.90506750548639</v>
      </c>
      <c r="L282" s="747"/>
      <c r="M282" s="757"/>
      <c r="N282" s="771">
        <v>102.90506750548639</v>
      </c>
      <c r="O282" s="747"/>
      <c r="P282" s="757"/>
      <c r="Q282" s="771">
        <v>102.90506750548639</v>
      </c>
      <c r="R282" s="747"/>
      <c r="S282" s="757"/>
      <c r="T282" s="771">
        <v>102.90506750548639</v>
      </c>
      <c r="U282" s="747"/>
      <c r="V282" s="757"/>
      <c r="W282" s="771">
        <v>102.90506750548639</v>
      </c>
      <c r="X282" s="747"/>
      <c r="Y282" s="757"/>
      <c r="Z282" s="771">
        <v>102.90506750548639</v>
      </c>
      <c r="AA282" s="747"/>
      <c r="AB282" s="757"/>
      <c r="AC282" s="771">
        <v>102.90506750548639</v>
      </c>
      <c r="AD282" s="747"/>
      <c r="AE282" s="757"/>
      <c r="AF282" s="771">
        <v>102.90506750548639</v>
      </c>
      <c r="AG282" s="747"/>
      <c r="AH282" s="757"/>
      <c r="AI282" s="771">
        <v>102.90506750548639</v>
      </c>
      <c r="AJ282" s="747"/>
      <c r="AK282" s="757"/>
      <c r="AL282" s="771">
        <v>102.90506750548639</v>
      </c>
      <c r="AM282" s="747"/>
      <c r="AN282" s="757"/>
      <c r="AO282" s="771">
        <v>102.90506750548639</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5"/>
        <v>CarrosserieFormation</v>
      </c>
      <c r="B283" s="54" t="s">
        <v>141</v>
      </c>
      <c r="C283" s="747"/>
      <c r="D283" s="757"/>
      <c r="E283" s="758">
        <v>2105.9844214437908</v>
      </c>
      <c r="F283" s="747"/>
      <c r="G283" s="757"/>
      <c r="H283" s="771">
        <v>175.49870178698256</v>
      </c>
      <c r="I283" s="747"/>
      <c r="J283" s="757"/>
      <c r="K283" s="771">
        <v>175.49870178698256</v>
      </c>
      <c r="L283" s="747"/>
      <c r="M283" s="757"/>
      <c r="N283" s="771">
        <v>175.49870178698256</v>
      </c>
      <c r="O283" s="747"/>
      <c r="P283" s="757"/>
      <c r="Q283" s="771">
        <v>175.49870178698256</v>
      </c>
      <c r="R283" s="747"/>
      <c r="S283" s="757"/>
      <c r="T283" s="771">
        <v>175.49870178698256</v>
      </c>
      <c r="U283" s="747"/>
      <c r="V283" s="757"/>
      <c r="W283" s="771">
        <v>175.49870178698256</v>
      </c>
      <c r="X283" s="747"/>
      <c r="Y283" s="757"/>
      <c r="Z283" s="771">
        <v>175.49870178698256</v>
      </c>
      <c r="AA283" s="747"/>
      <c r="AB283" s="757"/>
      <c r="AC283" s="771">
        <v>175.49870178698256</v>
      </c>
      <c r="AD283" s="747"/>
      <c r="AE283" s="757"/>
      <c r="AF283" s="771">
        <v>175.49870178698256</v>
      </c>
      <c r="AG283" s="747"/>
      <c r="AH283" s="757"/>
      <c r="AI283" s="771">
        <v>175.49870178698256</v>
      </c>
      <c r="AJ283" s="747"/>
      <c r="AK283" s="757"/>
      <c r="AL283" s="771">
        <v>175.49870178698256</v>
      </c>
      <c r="AM283" s="747"/>
      <c r="AN283" s="757"/>
      <c r="AO283" s="771">
        <v>175.49870178698256</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5"/>
        <v>CarrosserieFrais bancaires</v>
      </c>
      <c r="B284" s="54" t="s">
        <v>142</v>
      </c>
      <c r="C284" s="747"/>
      <c r="D284" s="757"/>
      <c r="E284" s="758">
        <v>2448.0878784962492</v>
      </c>
      <c r="F284" s="747"/>
      <c r="G284" s="757"/>
      <c r="H284" s="771">
        <v>159.72896474068884</v>
      </c>
      <c r="I284" s="747"/>
      <c r="J284" s="757"/>
      <c r="K284" s="771">
        <v>154.00804632725394</v>
      </c>
      <c r="L284" s="747"/>
      <c r="M284" s="757"/>
      <c r="N284" s="771">
        <v>162.94123533858055</v>
      </c>
      <c r="O284" s="747"/>
      <c r="P284" s="757"/>
      <c r="Q284" s="771">
        <v>213.50771769284086</v>
      </c>
      <c r="R284" s="747"/>
      <c r="S284" s="757"/>
      <c r="T284" s="771">
        <v>226.98206782432285</v>
      </c>
      <c r="U284" s="747"/>
      <c r="V284" s="757"/>
      <c r="W284" s="771">
        <v>211.44628885838492</v>
      </c>
      <c r="X284" s="747"/>
      <c r="Y284" s="757"/>
      <c r="Z284" s="771">
        <v>206.67914215411085</v>
      </c>
      <c r="AA284" s="747"/>
      <c r="AB284" s="757"/>
      <c r="AC284" s="771">
        <v>223.53386323203486</v>
      </c>
      <c r="AD284" s="747"/>
      <c r="AE284" s="757"/>
      <c r="AF284" s="771">
        <v>181.82370823817581</v>
      </c>
      <c r="AG284" s="747"/>
      <c r="AH284" s="757"/>
      <c r="AI284" s="771">
        <v>245.49586925918246</v>
      </c>
      <c r="AJ284" s="747"/>
      <c r="AK284" s="757"/>
      <c r="AL284" s="771">
        <v>288.61067228747322</v>
      </c>
      <c r="AM284" s="747"/>
      <c r="AN284" s="757"/>
      <c r="AO284" s="771">
        <v>173.33030254320019</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5"/>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5"/>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5"/>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5"/>
        <v>CarrosserieTOTAL SEMI-FIXES</v>
      </c>
      <c r="B288" s="64" t="s">
        <v>143</v>
      </c>
      <c r="C288" s="790" t="s">
        <v>119</v>
      </c>
      <c r="D288" s="791">
        <v>0</v>
      </c>
      <c r="E288" s="792">
        <v>46127.048567507052</v>
      </c>
      <c r="F288" s="790" t="s">
        <v>119</v>
      </c>
      <c r="G288" s="791">
        <v>0</v>
      </c>
      <c r="H288" s="792">
        <v>3799.6423554915891</v>
      </c>
      <c r="I288" s="790" t="s">
        <v>119</v>
      </c>
      <c r="J288" s="791">
        <v>0</v>
      </c>
      <c r="K288" s="792">
        <v>3793.9214370781542</v>
      </c>
      <c r="L288" s="790" t="s">
        <v>119</v>
      </c>
      <c r="M288" s="791">
        <v>0</v>
      </c>
      <c r="N288" s="792">
        <v>3802.8546260894809</v>
      </c>
      <c r="O288" s="790" t="s">
        <v>119</v>
      </c>
      <c r="P288" s="791">
        <v>0</v>
      </c>
      <c r="Q288" s="792">
        <v>3853.4211084437411</v>
      </c>
      <c r="R288" s="790" t="s">
        <v>119</v>
      </c>
      <c r="S288" s="791">
        <v>0</v>
      </c>
      <c r="T288" s="792">
        <v>3866.8954585752231</v>
      </c>
      <c r="U288" s="790" t="s">
        <v>119</v>
      </c>
      <c r="V288" s="791">
        <v>0</v>
      </c>
      <c r="W288" s="792">
        <v>3851.3596796092852</v>
      </c>
      <c r="X288" s="790" t="s">
        <v>119</v>
      </c>
      <c r="Y288" s="791">
        <v>0</v>
      </c>
      <c r="Z288" s="792">
        <v>3846.592532905011</v>
      </c>
      <c r="AA288" s="790" t="s">
        <v>119</v>
      </c>
      <c r="AB288" s="791">
        <v>0</v>
      </c>
      <c r="AC288" s="792">
        <v>3863.4472539829353</v>
      </c>
      <c r="AD288" s="790" t="s">
        <v>119</v>
      </c>
      <c r="AE288" s="791">
        <v>0</v>
      </c>
      <c r="AF288" s="792">
        <v>3821.737098989076</v>
      </c>
      <c r="AG288" s="790" t="s">
        <v>119</v>
      </c>
      <c r="AH288" s="791">
        <v>0</v>
      </c>
      <c r="AI288" s="792">
        <v>3885.409260010083</v>
      </c>
      <c r="AJ288" s="790" t="s">
        <v>119</v>
      </c>
      <c r="AK288" s="791">
        <v>0</v>
      </c>
      <c r="AL288" s="792">
        <v>3928.5240630383737</v>
      </c>
      <c r="AM288" s="790" t="s">
        <v>119</v>
      </c>
      <c r="AN288" s="791">
        <v>0</v>
      </c>
      <c r="AO288" s="792">
        <v>3813.2436932941005</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5"/>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5"/>
        <v>CarrosserieTOTAL DES DÉPENSES</v>
      </c>
      <c r="B290" s="53" t="s">
        <v>144</v>
      </c>
      <c r="C290" s="777" t="s">
        <v>119</v>
      </c>
      <c r="D290" s="815">
        <v>0</v>
      </c>
      <c r="E290" s="789">
        <v>137627.70362350706</v>
      </c>
      <c r="F290" s="777" t="s">
        <v>119</v>
      </c>
      <c r="G290" s="815">
        <v>0</v>
      </c>
      <c r="H290" s="789">
        <v>12487.515926260818</v>
      </c>
      <c r="I290" s="777" t="s">
        <v>119</v>
      </c>
      <c r="J290" s="815">
        <v>0</v>
      </c>
      <c r="K290" s="789">
        <v>10887.566533693538</v>
      </c>
      <c r="L290" s="777" t="s">
        <v>119</v>
      </c>
      <c r="M290" s="815">
        <v>0</v>
      </c>
      <c r="N290" s="789">
        <v>10896.499722704864</v>
      </c>
      <c r="O290" s="777" t="s">
        <v>119</v>
      </c>
      <c r="P290" s="815">
        <v>0</v>
      </c>
      <c r="Q290" s="789">
        <v>10947.066205059124</v>
      </c>
      <c r="R290" s="777" t="s">
        <v>119</v>
      </c>
      <c r="S290" s="815">
        <v>0</v>
      </c>
      <c r="T290" s="789">
        <v>12554.769029344452</v>
      </c>
      <c r="U290" s="777" t="s">
        <v>119</v>
      </c>
      <c r="V290" s="815">
        <v>0</v>
      </c>
      <c r="W290" s="789">
        <v>10945.004776224669</v>
      </c>
      <c r="X290" s="777" t="s">
        <v>119</v>
      </c>
      <c r="Y290" s="815">
        <v>0</v>
      </c>
      <c r="Z290" s="789">
        <v>10940.237629520394</v>
      </c>
      <c r="AA290" s="777" t="s">
        <v>119</v>
      </c>
      <c r="AB290" s="815">
        <v>0</v>
      </c>
      <c r="AC290" s="789">
        <v>12551.320824752163</v>
      </c>
      <c r="AD290" s="777" t="s">
        <v>119</v>
      </c>
      <c r="AE290" s="815">
        <v>0</v>
      </c>
      <c r="AF290" s="789">
        <v>10915.382195604459</v>
      </c>
      <c r="AG290" s="777" t="s">
        <v>119</v>
      </c>
      <c r="AH290" s="815">
        <v>0</v>
      </c>
      <c r="AI290" s="789">
        <v>12573.282830779312</v>
      </c>
      <c r="AJ290" s="777" t="s">
        <v>119</v>
      </c>
      <c r="AK290" s="815">
        <v>0</v>
      </c>
      <c r="AL290" s="789">
        <v>11022.169159653757</v>
      </c>
      <c r="AM290" s="777" t="s">
        <v>119</v>
      </c>
      <c r="AN290" s="815">
        <v>0</v>
      </c>
      <c r="AO290" s="789">
        <v>10906.888789909484</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5"/>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5"/>
        <v>CarrosseriePROFIT DÉPARTEMENTAL</v>
      </c>
      <c r="B292" s="57" t="s">
        <v>151</v>
      </c>
      <c r="C292" s="816"/>
      <c r="D292" s="817"/>
      <c r="E292" s="798">
        <v>-5627.7036235070555</v>
      </c>
      <c r="F292" s="816"/>
      <c r="G292" s="817"/>
      <c r="H292" s="798">
        <v>-7207.5159262608177</v>
      </c>
      <c r="I292" s="816"/>
      <c r="J292" s="817"/>
      <c r="K292" s="798">
        <v>-1647.5665336935363</v>
      </c>
      <c r="L292" s="816"/>
      <c r="M292" s="817"/>
      <c r="N292" s="798">
        <v>2303.5002772951357</v>
      </c>
      <c r="O292" s="816"/>
      <c r="P292" s="817"/>
      <c r="Q292" s="798">
        <v>2252.9337949408764</v>
      </c>
      <c r="R292" s="816"/>
      <c r="S292" s="817"/>
      <c r="T292" s="798">
        <v>645.23097065554794</v>
      </c>
      <c r="U292" s="816"/>
      <c r="V292" s="817"/>
      <c r="W292" s="798">
        <v>3574.9952237753314</v>
      </c>
      <c r="X292" s="816"/>
      <c r="Y292" s="817"/>
      <c r="Z292" s="798">
        <v>-380.23762952039397</v>
      </c>
      <c r="AA292" s="816"/>
      <c r="AB292" s="817"/>
      <c r="AC292" s="798">
        <v>-671.32082475216339</v>
      </c>
      <c r="AD292" s="816"/>
      <c r="AE292" s="817"/>
      <c r="AF292" s="798">
        <v>964.61780439554059</v>
      </c>
      <c r="AG292" s="816"/>
      <c r="AH292" s="817"/>
      <c r="AI292" s="798">
        <v>-693.28283077931155</v>
      </c>
      <c r="AJ292" s="816"/>
      <c r="AK292" s="817"/>
      <c r="AL292" s="798">
        <v>-462.16915965375665</v>
      </c>
      <c r="AM292" s="816"/>
      <c r="AN292" s="817"/>
      <c r="AO292" s="798">
        <v>-4306.8887899094843</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3933</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c r="B296" s="40" t="s">
        <v>3</v>
      </c>
      <c r="C296" s="969">
        <v>2025</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40" si="6">+$C$294&amp;B297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6"/>
        <v>PiècesPièces Ro Clients</v>
      </c>
      <c r="B298" s="44" t="s">
        <v>182</v>
      </c>
      <c r="C298" s="819">
        <v>1158559.112</v>
      </c>
      <c r="D298" s="813">
        <v>0.35699999999999998</v>
      </c>
      <c r="E298" s="758">
        <v>413605.602984</v>
      </c>
      <c r="F298" s="820">
        <v>63720.75116</v>
      </c>
      <c r="G298" s="813">
        <v>0.35699999999999998</v>
      </c>
      <c r="H298" s="771">
        <v>22748.308164120001</v>
      </c>
      <c r="I298" s="820">
        <v>56769.396487999998</v>
      </c>
      <c r="J298" s="813">
        <v>0.35699999999999998</v>
      </c>
      <c r="K298" s="771">
        <v>20266.674546216</v>
      </c>
      <c r="L298" s="820">
        <v>69513.546719999998</v>
      </c>
      <c r="M298" s="813">
        <v>0.35699999999999998</v>
      </c>
      <c r="N298" s="771">
        <v>24816.336179039998</v>
      </c>
      <c r="O298" s="820">
        <v>126282.943208</v>
      </c>
      <c r="P298" s="813">
        <v>0.35699999999999998</v>
      </c>
      <c r="Q298" s="771">
        <v>45083.010725255997</v>
      </c>
      <c r="R298" s="820">
        <v>123965.82498399999</v>
      </c>
      <c r="S298" s="813">
        <v>0.35699999999999998</v>
      </c>
      <c r="T298" s="771">
        <v>44255.799519287997</v>
      </c>
      <c r="U298" s="820">
        <v>81099.13784000001</v>
      </c>
      <c r="V298" s="813">
        <v>0.35699999999999998</v>
      </c>
      <c r="W298" s="771">
        <v>28952.392208880003</v>
      </c>
      <c r="X298" s="820">
        <v>81099.13784000001</v>
      </c>
      <c r="Y298" s="813">
        <v>0.35699999999999998</v>
      </c>
      <c r="Z298" s="771">
        <v>28952.392208880003</v>
      </c>
      <c r="AA298" s="820">
        <v>81099.13784000001</v>
      </c>
      <c r="AB298" s="813">
        <v>0.35699999999999998</v>
      </c>
      <c r="AC298" s="771">
        <v>28952.392208880003</v>
      </c>
      <c r="AD298" s="820">
        <v>75306.342279999997</v>
      </c>
      <c r="AE298" s="813">
        <v>0.35699999999999998</v>
      </c>
      <c r="AF298" s="771">
        <v>26884.364193959998</v>
      </c>
      <c r="AG298" s="820">
        <v>127441.50232</v>
      </c>
      <c r="AH298" s="813">
        <v>0.35699999999999998</v>
      </c>
      <c r="AI298" s="771">
        <v>45496.616328240001</v>
      </c>
      <c r="AJ298" s="820">
        <v>185369.45791999999</v>
      </c>
      <c r="AK298" s="813">
        <v>0.35699999999999998</v>
      </c>
      <c r="AL298" s="771">
        <v>66176.896477439994</v>
      </c>
      <c r="AM298" s="820">
        <v>86891.933399999994</v>
      </c>
      <c r="AN298" s="813">
        <v>0.35699999999999998</v>
      </c>
      <c r="AO298" s="771">
        <v>31020.420223799996</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6"/>
        <v>PiècesPièces Ro Carrosserie</v>
      </c>
      <c r="B299" s="44" t="s">
        <v>183</v>
      </c>
      <c r="C299" s="819">
        <v>360000</v>
      </c>
      <c r="D299" s="813">
        <v>0.248</v>
      </c>
      <c r="E299" s="758">
        <v>89280</v>
      </c>
      <c r="F299" s="820">
        <v>14400</v>
      </c>
      <c r="G299" s="813">
        <v>0.248</v>
      </c>
      <c r="H299" s="771">
        <v>3571.2</v>
      </c>
      <c r="I299" s="820">
        <v>25200.000000000004</v>
      </c>
      <c r="J299" s="813">
        <v>0.24800000000000003</v>
      </c>
      <c r="K299" s="771">
        <v>6249.6000000000013</v>
      </c>
      <c r="L299" s="820">
        <v>36000</v>
      </c>
      <c r="M299" s="813">
        <v>0.248</v>
      </c>
      <c r="N299" s="771">
        <v>8928</v>
      </c>
      <c r="O299" s="820">
        <v>36000</v>
      </c>
      <c r="P299" s="813">
        <v>0.248</v>
      </c>
      <c r="Q299" s="771">
        <v>8928</v>
      </c>
      <c r="R299" s="820">
        <v>36000</v>
      </c>
      <c r="S299" s="813">
        <v>0.248</v>
      </c>
      <c r="T299" s="771">
        <v>8928</v>
      </c>
      <c r="U299" s="820">
        <v>39600</v>
      </c>
      <c r="V299" s="813">
        <v>0.24799999999999997</v>
      </c>
      <c r="W299" s="771">
        <v>9820.7999999999993</v>
      </c>
      <c r="X299" s="820">
        <v>28800</v>
      </c>
      <c r="Y299" s="813">
        <v>0.248</v>
      </c>
      <c r="Z299" s="771">
        <v>7142.4</v>
      </c>
      <c r="AA299" s="820">
        <v>32400</v>
      </c>
      <c r="AB299" s="813">
        <v>0.248</v>
      </c>
      <c r="AC299" s="771">
        <v>8035.2</v>
      </c>
      <c r="AD299" s="820">
        <v>32400</v>
      </c>
      <c r="AE299" s="813">
        <v>0.248</v>
      </c>
      <c r="AF299" s="771">
        <v>8035.2</v>
      </c>
      <c r="AG299" s="820">
        <v>32400</v>
      </c>
      <c r="AH299" s="813">
        <v>0.248</v>
      </c>
      <c r="AI299" s="771">
        <v>8035.2</v>
      </c>
      <c r="AJ299" s="820">
        <v>28800</v>
      </c>
      <c r="AK299" s="813">
        <v>0.248</v>
      </c>
      <c r="AL299" s="771">
        <v>7142.4</v>
      </c>
      <c r="AM299" s="820">
        <v>18000</v>
      </c>
      <c r="AN299" s="813">
        <v>0.248</v>
      </c>
      <c r="AO299" s="771">
        <v>4464</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6"/>
        <v>PiècesP/A Garantie</v>
      </c>
      <c r="B300" s="44" t="s">
        <v>184</v>
      </c>
      <c r="C300" s="819">
        <v>558232.5</v>
      </c>
      <c r="D300" s="813">
        <v>0.23700000000000002</v>
      </c>
      <c r="E300" s="758">
        <v>132301.10250000001</v>
      </c>
      <c r="F300" s="820">
        <v>44658.6</v>
      </c>
      <c r="G300" s="813">
        <v>0.23699999999999996</v>
      </c>
      <c r="H300" s="771">
        <v>10584.088199999998</v>
      </c>
      <c r="I300" s="820">
        <v>32377.485000000001</v>
      </c>
      <c r="J300" s="813">
        <v>0.23699999999999999</v>
      </c>
      <c r="K300" s="771">
        <v>7673.4639449999995</v>
      </c>
      <c r="L300" s="820">
        <v>24562.23</v>
      </c>
      <c r="M300" s="813">
        <v>0.23699999999999999</v>
      </c>
      <c r="N300" s="771">
        <v>5821.2485099999994</v>
      </c>
      <c r="O300" s="820">
        <v>33493.949999999997</v>
      </c>
      <c r="P300" s="813">
        <v>0.23699999999999999</v>
      </c>
      <c r="Q300" s="771">
        <v>7938.0661499999987</v>
      </c>
      <c r="R300" s="820">
        <v>50240.924999999996</v>
      </c>
      <c r="S300" s="813">
        <v>0.23699999999999999</v>
      </c>
      <c r="T300" s="771">
        <v>11907.099224999998</v>
      </c>
      <c r="U300" s="820">
        <v>51915.622499999998</v>
      </c>
      <c r="V300" s="813">
        <v>0.23699999999999999</v>
      </c>
      <c r="W300" s="771">
        <v>12304.002532499999</v>
      </c>
      <c r="X300" s="820">
        <v>60847.342499999999</v>
      </c>
      <c r="Y300" s="813">
        <v>0.23700000000000002</v>
      </c>
      <c r="Z300" s="771">
        <v>14420.8201725</v>
      </c>
      <c r="AA300" s="820">
        <v>61405.574999999997</v>
      </c>
      <c r="AB300" s="813">
        <v>0.23699999999999996</v>
      </c>
      <c r="AC300" s="771">
        <v>14553.121274999998</v>
      </c>
      <c r="AD300" s="820">
        <v>58614.412499999999</v>
      </c>
      <c r="AE300" s="813">
        <v>0.23699999999999999</v>
      </c>
      <c r="AF300" s="771">
        <v>13891.6157625</v>
      </c>
      <c r="AG300" s="820">
        <v>60847.342499999999</v>
      </c>
      <c r="AH300" s="813">
        <v>0.23700000000000002</v>
      </c>
      <c r="AI300" s="771">
        <v>14420.8201725</v>
      </c>
      <c r="AJ300" s="820">
        <v>46333.297500000001</v>
      </c>
      <c r="AK300" s="813">
        <v>0.23699999999999999</v>
      </c>
      <c r="AL300" s="771">
        <v>10980.991507499999</v>
      </c>
      <c r="AM300" s="820">
        <v>32935.717499999999</v>
      </c>
      <c r="AN300" s="813">
        <v>0.23699999999999999</v>
      </c>
      <c r="AO300" s="771">
        <v>7805.7650474999991</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6"/>
        <v>PiècesVentes Internes</v>
      </c>
      <c r="B301" s="44" t="s">
        <v>185</v>
      </c>
      <c r="C301" s="819">
        <v>726102.29999999993</v>
      </c>
      <c r="D301" s="813">
        <v>0.29399999999999998</v>
      </c>
      <c r="E301" s="758">
        <v>213474.07619999998</v>
      </c>
      <c r="F301" s="820">
        <v>47196.6495</v>
      </c>
      <c r="G301" s="813">
        <v>0.29399999999999998</v>
      </c>
      <c r="H301" s="771">
        <v>13875.814952999999</v>
      </c>
      <c r="I301" s="820">
        <v>49374.956399999995</v>
      </c>
      <c r="J301" s="813">
        <v>0.29399999999999998</v>
      </c>
      <c r="K301" s="771">
        <v>14516.237181599998</v>
      </c>
      <c r="L301" s="820">
        <v>54457.672499999993</v>
      </c>
      <c r="M301" s="813">
        <v>0.29399999999999998</v>
      </c>
      <c r="N301" s="771">
        <v>16010.555714999997</v>
      </c>
      <c r="O301" s="820">
        <v>54457.672499999993</v>
      </c>
      <c r="P301" s="813">
        <v>0.29399999999999998</v>
      </c>
      <c r="Q301" s="771">
        <v>16010.555714999997</v>
      </c>
      <c r="R301" s="820">
        <v>55909.877099999991</v>
      </c>
      <c r="S301" s="813">
        <v>0.29399999999999998</v>
      </c>
      <c r="T301" s="771">
        <v>16437.503867399995</v>
      </c>
      <c r="U301" s="820">
        <v>65349.206999999995</v>
      </c>
      <c r="V301" s="813">
        <v>0.29399999999999998</v>
      </c>
      <c r="W301" s="771">
        <v>19212.666857999997</v>
      </c>
      <c r="X301" s="820">
        <v>65349.206999999995</v>
      </c>
      <c r="Y301" s="813">
        <v>0.29399999999999998</v>
      </c>
      <c r="Z301" s="771">
        <v>19212.666857999997</v>
      </c>
      <c r="AA301" s="820">
        <v>79871.252999999997</v>
      </c>
      <c r="AB301" s="813">
        <v>0.29399999999999998</v>
      </c>
      <c r="AC301" s="771">
        <v>23482.148381999999</v>
      </c>
      <c r="AD301" s="820">
        <v>58088.183999999994</v>
      </c>
      <c r="AE301" s="813">
        <v>0.29399999999999993</v>
      </c>
      <c r="AF301" s="771">
        <v>17077.926095999996</v>
      </c>
      <c r="AG301" s="820">
        <v>65349.206999999995</v>
      </c>
      <c r="AH301" s="813">
        <v>0.29399999999999998</v>
      </c>
      <c r="AI301" s="771">
        <v>19212.666857999997</v>
      </c>
      <c r="AJ301" s="820">
        <v>79871.252999999997</v>
      </c>
      <c r="AK301" s="813">
        <v>0.29399999999999998</v>
      </c>
      <c r="AL301" s="771">
        <v>23482.148381999999</v>
      </c>
      <c r="AM301" s="820">
        <v>50827.161</v>
      </c>
      <c r="AN301" s="813">
        <v>0.29399999999999998</v>
      </c>
      <c r="AO301" s="771">
        <v>14943.185334</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6"/>
        <v>PiècesVentes Détails</v>
      </c>
      <c r="B302" s="44" t="s">
        <v>186</v>
      </c>
      <c r="C302" s="819">
        <v>242014</v>
      </c>
      <c r="D302" s="813">
        <v>0.27699999999999997</v>
      </c>
      <c r="E302" s="758">
        <v>67037.877999999997</v>
      </c>
      <c r="F302" s="820">
        <v>14762.853999999999</v>
      </c>
      <c r="G302" s="813">
        <v>0.27700000000000002</v>
      </c>
      <c r="H302" s="771">
        <v>4089.3105580000001</v>
      </c>
      <c r="I302" s="820">
        <v>16940.980000000003</v>
      </c>
      <c r="J302" s="813">
        <v>0.27700000000000002</v>
      </c>
      <c r="K302" s="771">
        <v>4692.651460000001</v>
      </c>
      <c r="L302" s="820">
        <v>14520.84</v>
      </c>
      <c r="M302" s="813">
        <v>0.27700000000000002</v>
      </c>
      <c r="N302" s="771">
        <v>4022.2726800000005</v>
      </c>
      <c r="O302" s="820">
        <v>23233.344000000001</v>
      </c>
      <c r="P302" s="813">
        <v>0.27700000000000002</v>
      </c>
      <c r="Q302" s="771">
        <v>6435.6362880000006</v>
      </c>
      <c r="R302" s="820">
        <v>22507.302</v>
      </c>
      <c r="S302" s="813">
        <v>0.27700000000000002</v>
      </c>
      <c r="T302" s="771">
        <v>6234.5226540000003</v>
      </c>
      <c r="U302" s="820">
        <v>19119.106</v>
      </c>
      <c r="V302" s="813">
        <v>0.27700000000000002</v>
      </c>
      <c r="W302" s="771">
        <v>5295.992362</v>
      </c>
      <c r="X302" s="820">
        <v>17909.036</v>
      </c>
      <c r="Y302" s="813">
        <v>0.27700000000000002</v>
      </c>
      <c r="Z302" s="771">
        <v>4960.8029720000004</v>
      </c>
      <c r="AA302" s="820">
        <v>23233.344000000001</v>
      </c>
      <c r="AB302" s="813">
        <v>0.27700000000000002</v>
      </c>
      <c r="AC302" s="771">
        <v>6435.6362880000006</v>
      </c>
      <c r="AD302" s="820">
        <v>21055.217999999997</v>
      </c>
      <c r="AE302" s="813">
        <v>0.27700000000000002</v>
      </c>
      <c r="AF302" s="771">
        <v>5832.2953859999998</v>
      </c>
      <c r="AG302" s="820">
        <v>21055.217999999997</v>
      </c>
      <c r="AH302" s="813">
        <v>0.27700000000000002</v>
      </c>
      <c r="AI302" s="771">
        <v>5832.2953859999998</v>
      </c>
      <c r="AJ302" s="820">
        <v>34123.973999999995</v>
      </c>
      <c r="AK302" s="813">
        <v>0.27700000000000002</v>
      </c>
      <c r="AL302" s="771">
        <v>9452.3407979999993</v>
      </c>
      <c r="AM302" s="820">
        <v>13552.784</v>
      </c>
      <c r="AN302" s="813">
        <v>0.27700000000000002</v>
      </c>
      <c r="AO302" s="771">
        <v>3754.1211680000001</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6"/>
        <v>PiècesVentes de Gros</v>
      </c>
      <c r="B303" s="44" t="s">
        <v>187</v>
      </c>
      <c r="C303" s="819">
        <v>1997966.9999999998</v>
      </c>
      <c r="D303" s="813">
        <v>0.13500000000000004</v>
      </c>
      <c r="E303" s="758">
        <v>269725.54500000004</v>
      </c>
      <c r="F303" s="820">
        <v>181814.997</v>
      </c>
      <c r="G303" s="813">
        <v>0.13500000000000001</v>
      </c>
      <c r="H303" s="771">
        <v>24545.024595000003</v>
      </c>
      <c r="I303" s="820">
        <v>149847.52499999999</v>
      </c>
      <c r="J303" s="813">
        <v>0.13500000000000001</v>
      </c>
      <c r="K303" s="771">
        <v>20229.415874999999</v>
      </c>
      <c r="L303" s="820">
        <v>133863.78900000002</v>
      </c>
      <c r="M303" s="813">
        <v>0.13500000000000001</v>
      </c>
      <c r="N303" s="771">
        <v>18071.611515000004</v>
      </c>
      <c r="O303" s="820">
        <v>181814.997</v>
      </c>
      <c r="P303" s="813">
        <v>0.13500000000000001</v>
      </c>
      <c r="Q303" s="771">
        <v>24545.024595000003</v>
      </c>
      <c r="R303" s="820">
        <v>153843.459</v>
      </c>
      <c r="S303" s="813">
        <v>0.13500000000000001</v>
      </c>
      <c r="T303" s="771">
        <v>20768.866965000001</v>
      </c>
      <c r="U303" s="820">
        <v>141855.65699999998</v>
      </c>
      <c r="V303" s="813">
        <v>0.13500000000000001</v>
      </c>
      <c r="W303" s="771">
        <v>19150.513694999998</v>
      </c>
      <c r="X303" s="820">
        <v>153843.459</v>
      </c>
      <c r="Y303" s="813">
        <v>0.13500000000000001</v>
      </c>
      <c r="Z303" s="771">
        <v>20768.866965000001</v>
      </c>
      <c r="AA303" s="820">
        <v>165831.261</v>
      </c>
      <c r="AB303" s="813">
        <v>0.13500000000000001</v>
      </c>
      <c r="AC303" s="771">
        <v>22387.220235000001</v>
      </c>
      <c r="AD303" s="820">
        <v>169827.19500000001</v>
      </c>
      <c r="AE303" s="813">
        <v>0.13500000000000001</v>
      </c>
      <c r="AF303" s="771">
        <v>22926.671325000003</v>
      </c>
      <c r="AG303" s="820">
        <v>219776.37</v>
      </c>
      <c r="AH303" s="813">
        <v>0.13500000000000001</v>
      </c>
      <c r="AI303" s="771">
        <v>29669.809950000003</v>
      </c>
      <c r="AJ303" s="820">
        <v>165831.261</v>
      </c>
      <c r="AK303" s="813">
        <v>0.13500000000000001</v>
      </c>
      <c r="AL303" s="771">
        <v>22387.220235000001</v>
      </c>
      <c r="AM303" s="820">
        <v>179817.03</v>
      </c>
      <c r="AN303" s="813">
        <v>0.13500000000000001</v>
      </c>
      <c r="AO303" s="771">
        <v>24275.299050000001</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6"/>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6"/>
        <v>PiècesEscomptes</v>
      </c>
      <c r="B305" s="44" t="s">
        <v>188</v>
      </c>
      <c r="C305" s="819">
        <v>0</v>
      </c>
      <c r="D305" s="813">
        <v>0</v>
      </c>
      <c r="E305" s="758">
        <v>129290.05033304002</v>
      </c>
      <c r="F305" s="820">
        <v>0</v>
      </c>
      <c r="G305" s="813">
        <v>0</v>
      </c>
      <c r="H305" s="771">
        <v>9397.7674953066689</v>
      </c>
      <c r="I305" s="820">
        <v>0</v>
      </c>
      <c r="J305" s="813">
        <v>0</v>
      </c>
      <c r="K305" s="771">
        <v>8473.6781326650998</v>
      </c>
      <c r="L305" s="820">
        <v>0</v>
      </c>
      <c r="M305" s="813">
        <v>0</v>
      </c>
      <c r="N305" s="771">
        <v>8535.4080442126105</v>
      </c>
      <c r="O305" s="820">
        <v>0</v>
      </c>
      <c r="P305" s="813">
        <v>0</v>
      </c>
      <c r="Q305" s="771">
        <v>11672.617495226517</v>
      </c>
      <c r="R305" s="820">
        <v>0</v>
      </c>
      <c r="S305" s="813">
        <v>0</v>
      </c>
      <c r="T305" s="771">
        <v>11344.051136382641</v>
      </c>
      <c r="U305" s="820">
        <v>0</v>
      </c>
      <c r="V305" s="813">
        <v>0</v>
      </c>
      <c r="W305" s="771">
        <v>10228.056302312993</v>
      </c>
      <c r="X305" s="820">
        <v>0</v>
      </c>
      <c r="Y305" s="813">
        <v>0</v>
      </c>
      <c r="Z305" s="771">
        <v>10456.478287315782</v>
      </c>
      <c r="AA305" s="820">
        <v>0</v>
      </c>
      <c r="AB305" s="813">
        <v>0</v>
      </c>
      <c r="AC305" s="771">
        <v>11379.257020077523</v>
      </c>
      <c r="AD305" s="820">
        <v>0</v>
      </c>
      <c r="AE305" s="813">
        <v>0</v>
      </c>
      <c r="AF305" s="771">
        <v>10647.307480648535</v>
      </c>
      <c r="AG305" s="820">
        <v>0</v>
      </c>
      <c r="AH305" s="813">
        <v>0</v>
      </c>
      <c r="AI305" s="771">
        <v>13507.969846561695</v>
      </c>
      <c r="AJ305" s="820">
        <v>0</v>
      </c>
      <c r="AK305" s="813">
        <v>0</v>
      </c>
      <c r="AL305" s="771">
        <v>13853.049361178608</v>
      </c>
      <c r="AM305" s="820">
        <v>0</v>
      </c>
      <c r="AN305" s="813">
        <v>0</v>
      </c>
      <c r="AO305" s="771">
        <v>9794.4097311513451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6"/>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6"/>
        <v>PiècesSous-total Pièces</v>
      </c>
      <c r="B307" s="47" t="s">
        <v>190</v>
      </c>
      <c r="C307" s="853">
        <v>5042874.9119999995</v>
      </c>
      <c r="D307" s="854">
        <v>0.26070729057517422</v>
      </c>
      <c r="E307" s="855">
        <v>1314714.2550170401</v>
      </c>
      <c r="F307" s="853">
        <v>366553.85165999999</v>
      </c>
      <c r="G307" s="854">
        <v>0.2422877663492799</v>
      </c>
      <c r="H307" s="855">
        <v>88811.513965426682</v>
      </c>
      <c r="I307" s="853">
        <v>330510.34288800001</v>
      </c>
      <c r="J307" s="854">
        <v>0.24840893154228125</v>
      </c>
      <c r="K307" s="855">
        <v>82101.721140481095</v>
      </c>
      <c r="L307" s="853">
        <v>332918.07822000002</v>
      </c>
      <c r="M307" s="854">
        <v>0.25893887500541812</v>
      </c>
      <c r="N307" s="855">
        <v>86205.4326432526</v>
      </c>
      <c r="O307" s="853">
        <v>455282.90670799999</v>
      </c>
      <c r="P307" s="854">
        <v>0.26491860158026698</v>
      </c>
      <c r="Q307" s="855">
        <v>120612.91096848251</v>
      </c>
      <c r="R307" s="853">
        <v>442467.38808399998</v>
      </c>
      <c r="S307" s="854">
        <v>0.27092582774555318</v>
      </c>
      <c r="T307" s="855">
        <v>119875.84336707061</v>
      </c>
      <c r="U307" s="853">
        <v>398938.73034000001</v>
      </c>
      <c r="V307" s="854">
        <v>0.26310913425035443</v>
      </c>
      <c r="W307" s="855">
        <v>104964.42395869301</v>
      </c>
      <c r="X307" s="853">
        <v>407848.18234</v>
      </c>
      <c r="Y307" s="854">
        <v>0.25969081646023107</v>
      </c>
      <c r="Z307" s="855">
        <v>105914.42746369579</v>
      </c>
      <c r="AA307" s="853">
        <v>443840.57084</v>
      </c>
      <c r="AB307" s="854">
        <v>0.25960892937499158</v>
      </c>
      <c r="AC307" s="855">
        <v>115224.97540895751</v>
      </c>
      <c r="AD307" s="853">
        <v>415291.35177999997</v>
      </c>
      <c r="AE307" s="854">
        <v>0.25354580535519705</v>
      </c>
      <c r="AF307" s="855">
        <v>105295.38024410853</v>
      </c>
      <c r="AG307" s="853">
        <v>526869.63981999992</v>
      </c>
      <c r="AH307" s="854">
        <v>0.25846123642239993</v>
      </c>
      <c r="AI307" s="855">
        <v>136175.3785413017</v>
      </c>
      <c r="AJ307" s="853">
        <v>540329.24341999996</v>
      </c>
      <c r="AK307" s="854">
        <v>0.28403986759943295</v>
      </c>
      <c r="AL307" s="855">
        <v>153475.04676111857</v>
      </c>
      <c r="AM307" s="853">
        <v>382024.62589999998</v>
      </c>
      <c r="AN307" s="854">
        <v>0.25144243078087741</v>
      </c>
      <c r="AO307" s="855">
        <v>96057.200554451338</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6"/>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6"/>
        <v>Pièces</v>
      </c>
      <c r="B309" s="43"/>
      <c r="C309" s="776"/>
      <c r="D309" s="784"/>
      <c r="E309" s="856"/>
      <c r="F309" s="776"/>
      <c r="G309" s="784"/>
      <c r="H309" s="856"/>
      <c r="I309" s="776"/>
      <c r="J309" s="784"/>
      <c r="K309" s="856"/>
      <c r="L309" s="776"/>
      <c r="M309" s="784"/>
      <c r="N309" s="856"/>
      <c r="O309" s="776"/>
      <c r="P309" s="784"/>
      <c r="Q309" s="856"/>
      <c r="R309" s="776"/>
      <c r="S309" s="784"/>
      <c r="T309" s="856"/>
      <c r="U309" s="776"/>
      <c r="V309" s="784"/>
      <c r="W309" s="856"/>
      <c r="X309" s="776"/>
      <c r="Y309" s="784"/>
      <c r="Z309" s="856"/>
      <c r="AA309" s="776"/>
      <c r="AB309" s="784"/>
      <c r="AC309" s="856"/>
      <c r="AD309" s="776"/>
      <c r="AE309" s="784"/>
      <c r="AF309" s="856"/>
      <c r="AG309" s="776"/>
      <c r="AH309" s="784"/>
      <c r="AI309" s="856"/>
      <c r="AJ309" s="776"/>
      <c r="AK309" s="784"/>
      <c r="AL309" s="856"/>
      <c r="AM309" s="776"/>
      <c r="AN309" s="784"/>
      <c r="AO309" s="856"/>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6"/>
        <v>PiècesVentes Pneus</v>
      </c>
      <c r="B310" s="44" t="s">
        <v>191</v>
      </c>
      <c r="C310" s="819">
        <v>575371</v>
      </c>
      <c r="D310" s="813">
        <v>0.17100000000000001</v>
      </c>
      <c r="E310" s="758">
        <v>98388.441000000006</v>
      </c>
      <c r="F310" s="820">
        <v>51783.39</v>
      </c>
      <c r="G310" s="813">
        <v>0.17099999999999999</v>
      </c>
      <c r="H310" s="771">
        <v>8854.9596899999997</v>
      </c>
      <c r="I310" s="820">
        <v>51783.39</v>
      </c>
      <c r="J310" s="813">
        <v>0.17099999999999999</v>
      </c>
      <c r="K310" s="771">
        <v>8854.9596899999997</v>
      </c>
      <c r="L310" s="820">
        <v>28768.550000000003</v>
      </c>
      <c r="M310" s="813">
        <v>0.17100000000000001</v>
      </c>
      <c r="N310" s="771">
        <v>4919.422050000001</v>
      </c>
      <c r="O310" s="820">
        <v>28768.550000000003</v>
      </c>
      <c r="P310" s="813">
        <v>0.17100000000000001</v>
      </c>
      <c r="Q310" s="771">
        <v>4919.422050000001</v>
      </c>
      <c r="R310" s="820">
        <v>28768.550000000003</v>
      </c>
      <c r="S310" s="813">
        <v>0.17100000000000001</v>
      </c>
      <c r="T310" s="771">
        <v>4919.422050000001</v>
      </c>
      <c r="U310" s="820">
        <v>23014.84</v>
      </c>
      <c r="V310" s="813">
        <v>0.17100000000000001</v>
      </c>
      <c r="W310" s="771">
        <v>3935.5376400000005</v>
      </c>
      <c r="X310" s="820">
        <v>23014.84</v>
      </c>
      <c r="Y310" s="813">
        <v>0.17100000000000001</v>
      </c>
      <c r="Z310" s="771">
        <v>3935.5376400000005</v>
      </c>
      <c r="AA310" s="820">
        <v>28768.550000000003</v>
      </c>
      <c r="AB310" s="813">
        <v>0.17100000000000001</v>
      </c>
      <c r="AC310" s="771">
        <v>4919.422050000001</v>
      </c>
      <c r="AD310" s="820">
        <v>34522.26</v>
      </c>
      <c r="AE310" s="813">
        <v>0.17100000000000001</v>
      </c>
      <c r="AF310" s="771">
        <v>5903.3064600000007</v>
      </c>
      <c r="AG310" s="820">
        <v>80551.94</v>
      </c>
      <c r="AH310" s="813">
        <v>0.17100000000000001</v>
      </c>
      <c r="AI310" s="771">
        <v>13774.381740000001</v>
      </c>
      <c r="AJ310" s="820">
        <v>138089.04</v>
      </c>
      <c r="AK310" s="813">
        <v>0.17100000000000001</v>
      </c>
      <c r="AL310" s="771">
        <v>23613.225840000003</v>
      </c>
      <c r="AM310" s="820">
        <v>57537.100000000006</v>
      </c>
      <c r="AN310" s="813">
        <v>0.17100000000000001</v>
      </c>
      <c r="AO310" s="771">
        <v>9838.8441000000021</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6"/>
        <v>PiècesHuiles et Graisse</v>
      </c>
      <c r="B311" s="43" t="s">
        <v>192</v>
      </c>
      <c r="C311" s="819">
        <v>276829</v>
      </c>
      <c r="D311" s="813">
        <v>0.25599999999999995</v>
      </c>
      <c r="E311" s="758">
        <v>70868.223999999987</v>
      </c>
      <c r="F311" s="820">
        <v>34776.986694943385</v>
      </c>
      <c r="G311" s="813">
        <v>0.25600000000000001</v>
      </c>
      <c r="H311" s="771">
        <v>8902.9085939055076</v>
      </c>
      <c r="I311" s="820">
        <v>19582.513486755135</v>
      </c>
      <c r="J311" s="813">
        <v>0.25600000000000001</v>
      </c>
      <c r="K311" s="771">
        <v>5013.1234526093149</v>
      </c>
      <c r="L311" s="820">
        <v>15028.469555091777</v>
      </c>
      <c r="M311" s="813">
        <v>0.25600000000000001</v>
      </c>
      <c r="N311" s="771">
        <v>3847.2882061034948</v>
      </c>
      <c r="O311" s="820">
        <v>15664.764983377116</v>
      </c>
      <c r="P311" s="813">
        <v>0.25600000000000001</v>
      </c>
      <c r="Q311" s="771">
        <v>4010.1798357445418</v>
      </c>
      <c r="R311" s="820">
        <v>24789.98267957495</v>
      </c>
      <c r="S311" s="813">
        <v>0.25600000000000001</v>
      </c>
      <c r="T311" s="771">
        <v>6346.2355659711875</v>
      </c>
      <c r="U311" s="820">
        <v>36687.118785826395</v>
      </c>
      <c r="V311" s="813">
        <v>0.25600000000000001</v>
      </c>
      <c r="W311" s="771">
        <v>9391.9024091715564</v>
      </c>
      <c r="X311" s="820">
        <v>19997.678345249682</v>
      </c>
      <c r="Y311" s="813">
        <v>0.25600000000000001</v>
      </c>
      <c r="Z311" s="771">
        <v>5119.4056563839185</v>
      </c>
      <c r="AA311" s="820">
        <v>17871.087457177095</v>
      </c>
      <c r="AB311" s="813">
        <v>0.25600000000000001</v>
      </c>
      <c r="AC311" s="771">
        <v>4574.998389037336</v>
      </c>
      <c r="AD311" s="820">
        <v>25072.157744688273</v>
      </c>
      <c r="AE311" s="813">
        <v>0.25600000000000001</v>
      </c>
      <c r="AF311" s="771">
        <v>6418.4723826401978</v>
      </c>
      <c r="AG311" s="820">
        <v>25352.464100761106</v>
      </c>
      <c r="AH311" s="813">
        <v>0.25600000000000001</v>
      </c>
      <c r="AI311" s="771">
        <v>6490.2308097948435</v>
      </c>
      <c r="AJ311" s="820">
        <v>18945.283703949553</v>
      </c>
      <c r="AK311" s="813">
        <v>0.25600000000000001</v>
      </c>
      <c r="AL311" s="771">
        <v>4849.9926282110855</v>
      </c>
      <c r="AM311" s="820">
        <v>23060.492462605547</v>
      </c>
      <c r="AN311" s="813">
        <v>0.25600000000000001</v>
      </c>
      <c r="AO311" s="771">
        <v>5903.4860704270204</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6"/>
        <v>PiècesSous-total Pièces et Acc.</v>
      </c>
      <c r="B312" s="47" t="s">
        <v>193</v>
      </c>
      <c r="C312" s="853">
        <v>5895074.9119999995</v>
      </c>
      <c r="D312" s="854">
        <v>0.25173062974929677</v>
      </c>
      <c r="E312" s="855">
        <v>1483970.9200170401</v>
      </c>
      <c r="F312" s="853">
        <v>453114.22835494339</v>
      </c>
      <c r="G312" s="854">
        <v>0.23519319319598131</v>
      </c>
      <c r="H312" s="855">
        <v>106569.38224933219</v>
      </c>
      <c r="I312" s="853">
        <v>401876.24637475517</v>
      </c>
      <c r="J312" s="854">
        <v>0.23880437111875791</v>
      </c>
      <c r="K312" s="855">
        <v>95969.804283090416</v>
      </c>
      <c r="L312" s="853">
        <v>376715.09777509177</v>
      </c>
      <c r="M312" s="854">
        <v>0.25210601714735842</v>
      </c>
      <c r="N312" s="855">
        <v>94972.142899356084</v>
      </c>
      <c r="O312" s="853">
        <v>499716.22169137711</v>
      </c>
      <c r="P312" s="854">
        <v>0.25923215463321908</v>
      </c>
      <c r="Q312" s="855">
        <v>129542.51285422705</v>
      </c>
      <c r="R312" s="853">
        <v>496025.92076357489</v>
      </c>
      <c r="S312" s="854">
        <v>0.26438437084329086</v>
      </c>
      <c r="T312" s="855">
        <v>131141.5009830418</v>
      </c>
      <c r="U312" s="853">
        <v>458640.68912582641</v>
      </c>
      <c r="V312" s="854">
        <v>0.25791838101702225</v>
      </c>
      <c r="W312" s="855">
        <v>118291.86400786455</v>
      </c>
      <c r="X312" s="853">
        <v>450860.7006852497</v>
      </c>
      <c r="Y312" s="854">
        <v>0.25499976064744873</v>
      </c>
      <c r="Z312" s="855">
        <v>114969.37076007971</v>
      </c>
      <c r="AA312" s="853">
        <v>490480.2082971771</v>
      </c>
      <c r="AB312" s="854">
        <v>0.25428018039910105</v>
      </c>
      <c r="AC312" s="855">
        <v>124719.39584799485</v>
      </c>
      <c r="AD312" s="853">
        <v>474885.76952468825</v>
      </c>
      <c r="AE312" s="854">
        <v>0.24767463384820185</v>
      </c>
      <c r="AF312" s="855">
        <v>117617.15908674874</v>
      </c>
      <c r="AG312" s="853">
        <v>632774.04392076097</v>
      </c>
      <c r="AH312" s="854">
        <v>0.24722883720351643</v>
      </c>
      <c r="AI312" s="855">
        <v>156439.99109109657</v>
      </c>
      <c r="AJ312" s="853">
        <v>697363.56712394953</v>
      </c>
      <c r="AK312" s="854">
        <v>0.26089442266058605</v>
      </c>
      <c r="AL312" s="855">
        <v>181938.26522932967</v>
      </c>
      <c r="AM312" s="853">
        <v>462622.21836260549</v>
      </c>
      <c r="AN312" s="854">
        <v>0.24166485371277469</v>
      </c>
      <c r="AO312" s="855">
        <v>111799.53072487836</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6"/>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6"/>
        <v>PiècesPièces recond. MCPA</v>
      </c>
      <c r="B314" s="44" t="s">
        <v>3860</v>
      </c>
      <c r="C314" s="819">
        <v>0</v>
      </c>
      <c r="D314" s="813">
        <v>0</v>
      </c>
      <c r="E314" s="758">
        <v>0</v>
      </c>
      <c r="F314" s="747">
        <v>0</v>
      </c>
      <c r="G314" s="857">
        <v>0</v>
      </c>
      <c r="H314" s="748">
        <v>0</v>
      </c>
      <c r="I314" s="747">
        <v>0</v>
      </c>
      <c r="J314" s="857">
        <v>0</v>
      </c>
      <c r="K314" s="748">
        <v>0</v>
      </c>
      <c r="L314" s="747">
        <v>0</v>
      </c>
      <c r="M314" s="857">
        <v>0</v>
      </c>
      <c r="N314" s="748">
        <v>0</v>
      </c>
      <c r="O314" s="747">
        <v>0</v>
      </c>
      <c r="P314" s="857">
        <v>0</v>
      </c>
      <c r="Q314" s="748">
        <v>0</v>
      </c>
      <c r="R314" s="747">
        <v>0</v>
      </c>
      <c r="S314" s="857">
        <v>0</v>
      </c>
      <c r="T314" s="748">
        <v>0</v>
      </c>
      <c r="U314" s="747">
        <v>0</v>
      </c>
      <c r="V314" s="857">
        <v>0</v>
      </c>
      <c r="W314" s="748">
        <v>0</v>
      </c>
      <c r="X314" s="747">
        <v>0</v>
      </c>
      <c r="Y314" s="857">
        <v>0</v>
      </c>
      <c r="Z314" s="748">
        <v>0</v>
      </c>
      <c r="AA314" s="747">
        <v>0</v>
      </c>
      <c r="AB314" s="857">
        <v>0</v>
      </c>
      <c r="AC314" s="748">
        <v>0</v>
      </c>
      <c r="AD314" s="747">
        <v>0</v>
      </c>
      <c r="AE314" s="857">
        <v>0</v>
      </c>
      <c r="AF314" s="748">
        <v>0</v>
      </c>
      <c r="AG314" s="747">
        <v>0</v>
      </c>
      <c r="AH314" s="857">
        <v>0</v>
      </c>
      <c r="AI314" s="748">
        <v>0</v>
      </c>
      <c r="AJ314" s="747">
        <v>0</v>
      </c>
      <c r="AK314" s="857">
        <v>0</v>
      </c>
      <c r="AL314" s="748">
        <v>0</v>
      </c>
      <c r="AM314" s="747">
        <v>0</v>
      </c>
      <c r="AN314" s="857">
        <v>0</v>
      </c>
      <c r="AO314" s="748">
        <v>0</v>
      </c>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6"/>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6"/>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6"/>
        <v>PiècesTotal Dépt. Pièces</v>
      </c>
      <c r="B317" s="49" t="s">
        <v>195</v>
      </c>
      <c r="C317" s="759">
        <v>5895074.9119999995</v>
      </c>
      <c r="D317" s="861">
        <v>0.25173062974929677</v>
      </c>
      <c r="E317" s="761">
        <v>1483970.9200170401</v>
      </c>
      <c r="F317" s="759">
        <v>453114.22835494339</v>
      </c>
      <c r="G317" s="861">
        <v>0.23519319319598131</v>
      </c>
      <c r="H317" s="761">
        <v>106569.38224933219</v>
      </c>
      <c r="I317" s="759">
        <v>401876.24637475517</v>
      </c>
      <c r="J317" s="861">
        <v>0.23880437111875791</v>
      </c>
      <c r="K317" s="761">
        <v>95969.804283090416</v>
      </c>
      <c r="L317" s="759">
        <v>376715.09777509177</v>
      </c>
      <c r="M317" s="861">
        <v>0.25210601714735842</v>
      </c>
      <c r="N317" s="761">
        <v>94972.142899356084</v>
      </c>
      <c r="O317" s="759">
        <v>499716.22169137711</v>
      </c>
      <c r="P317" s="861">
        <v>0.25923215463321908</v>
      </c>
      <c r="Q317" s="761">
        <v>129542.51285422705</v>
      </c>
      <c r="R317" s="759">
        <v>496025.92076357489</v>
      </c>
      <c r="S317" s="861">
        <v>0.26438437084329086</v>
      </c>
      <c r="T317" s="761">
        <v>131141.5009830418</v>
      </c>
      <c r="U317" s="759">
        <v>458640.68912582641</v>
      </c>
      <c r="V317" s="861">
        <v>0.25791838101702225</v>
      </c>
      <c r="W317" s="761">
        <v>118291.86400786455</v>
      </c>
      <c r="X317" s="759">
        <v>450860.7006852497</v>
      </c>
      <c r="Y317" s="861">
        <v>0.25499976064744873</v>
      </c>
      <c r="Z317" s="761">
        <v>114969.37076007971</v>
      </c>
      <c r="AA317" s="759">
        <v>490480.2082971771</v>
      </c>
      <c r="AB317" s="861">
        <v>0.25428018039910105</v>
      </c>
      <c r="AC317" s="761">
        <v>124719.39584799485</v>
      </c>
      <c r="AD317" s="759">
        <v>474885.76952468825</v>
      </c>
      <c r="AE317" s="861">
        <v>0.24767463384820185</v>
      </c>
      <c r="AF317" s="761">
        <v>117617.15908674874</v>
      </c>
      <c r="AG317" s="759">
        <v>632774.04392076097</v>
      </c>
      <c r="AH317" s="861">
        <v>0.24722883720351643</v>
      </c>
      <c r="AI317" s="761">
        <v>156439.99109109657</v>
      </c>
      <c r="AJ317" s="759">
        <v>697363.56712394953</v>
      </c>
      <c r="AK317" s="861">
        <v>0.26089442266058605</v>
      </c>
      <c r="AL317" s="761">
        <v>181938.26522932967</v>
      </c>
      <c r="AM317" s="759">
        <v>462622.21836260549</v>
      </c>
      <c r="AN317" s="861">
        <v>0.24166485371277469</v>
      </c>
      <c r="AO317" s="761">
        <v>111799.53072487836</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6"/>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6"/>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6"/>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6"/>
        <v>PiècesSalaires cadres</v>
      </c>
      <c r="B321" s="54" t="s">
        <v>120</v>
      </c>
      <c r="C321" s="747"/>
      <c r="D321" s="757"/>
      <c r="E321" s="758">
        <v>88255</v>
      </c>
      <c r="F321" s="747"/>
      <c r="G321" s="757"/>
      <c r="H321" s="771">
        <v>8192.0423076923089</v>
      </c>
      <c r="I321" s="747"/>
      <c r="J321" s="757"/>
      <c r="K321" s="771">
        <v>6935.8538461538465</v>
      </c>
      <c r="L321" s="747"/>
      <c r="M321" s="757"/>
      <c r="N321" s="771">
        <v>6935.8538461538465</v>
      </c>
      <c r="O321" s="747"/>
      <c r="P321" s="757"/>
      <c r="Q321" s="771">
        <v>6935.8538461538465</v>
      </c>
      <c r="R321" s="747"/>
      <c r="S321" s="757"/>
      <c r="T321" s="771">
        <v>8192.0423076923089</v>
      </c>
      <c r="U321" s="747"/>
      <c r="V321" s="757"/>
      <c r="W321" s="771">
        <v>6935.8538461538465</v>
      </c>
      <c r="X321" s="747"/>
      <c r="Y321" s="757"/>
      <c r="Z321" s="771">
        <v>6935.8538461538465</v>
      </c>
      <c r="AA321" s="747"/>
      <c r="AB321" s="757"/>
      <c r="AC321" s="771">
        <v>8192.0423076923089</v>
      </c>
      <c r="AD321" s="747"/>
      <c r="AE321" s="757"/>
      <c r="AF321" s="771">
        <v>6935.8538461538465</v>
      </c>
      <c r="AG321" s="747"/>
      <c r="AH321" s="757"/>
      <c r="AI321" s="771">
        <v>8192.0423076923089</v>
      </c>
      <c r="AJ321" s="747"/>
      <c r="AK321" s="757"/>
      <c r="AL321" s="771">
        <v>6935.8538461538465</v>
      </c>
      <c r="AM321" s="747"/>
      <c r="AN321" s="757"/>
      <c r="AO321" s="771">
        <v>6935.8538461538465</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6"/>
        <v>PiècesSalaires commis</v>
      </c>
      <c r="B322" s="55" t="s">
        <v>121</v>
      </c>
      <c r="C322" s="747"/>
      <c r="D322" s="757"/>
      <c r="E322" s="758">
        <v>341351.51360000006</v>
      </c>
      <c r="F322" s="747"/>
      <c r="G322" s="757"/>
      <c r="H322" s="771">
        <v>32608.030153846154</v>
      </c>
      <c r="I322" s="747"/>
      <c r="J322" s="757"/>
      <c r="K322" s="771">
        <v>26364.924123076926</v>
      </c>
      <c r="L322" s="747"/>
      <c r="M322" s="757"/>
      <c r="N322" s="771">
        <v>26364.924123076926</v>
      </c>
      <c r="O322" s="747"/>
      <c r="P322" s="757"/>
      <c r="Q322" s="771">
        <v>26364.924123076926</v>
      </c>
      <c r="R322" s="747"/>
      <c r="S322" s="757"/>
      <c r="T322" s="771">
        <v>32608.030153846154</v>
      </c>
      <c r="U322" s="747"/>
      <c r="V322" s="757"/>
      <c r="W322" s="771">
        <v>26364.924123076926</v>
      </c>
      <c r="X322" s="747"/>
      <c r="Y322" s="757"/>
      <c r="Z322" s="771">
        <v>26364.924123076926</v>
      </c>
      <c r="AA322" s="747"/>
      <c r="AB322" s="757"/>
      <c r="AC322" s="771">
        <v>32608.030153846154</v>
      </c>
      <c r="AD322" s="747"/>
      <c r="AE322" s="757"/>
      <c r="AF322" s="771">
        <v>26364.924123076926</v>
      </c>
      <c r="AG322" s="747"/>
      <c r="AH322" s="757"/>
      <c r="AI322" s="771">
        <v>32608.030153846154</v>
      </c>
      <c r="AJ322" s="747"/>
      <c r="AK322" s="757"/>
      <c r="AL322" s="771">
        <v>26364.924123076926</v>
      </c>
      <c r="AM322" s="747"/>
      <c r="AN322" s="757"/>
      <c r="AO322" s="771">
        <v>26364.924123076926</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6"/>
        <v>PiècesSalaires autres</v>
      </c>
      <c r="B323" s="54" t="s">
        <v>122</v>
      </c>
      <c r="C323" s="780"/>
      <c r="D323" s="781"/>
      <c r="E323" s="782">
        <v>1823.2000000000005</v>
      </c>
      <c r="F323" s="780"/>
      <c r="G323" s="781"/>
      <c r="H323" s="783">
        <v>175.30769230769232</v>
      </c>
      <c r="I323" s="780"/>
      <c r="J323" s="781"/>
      <c r="K323" s="783">
        <v>140.24615384615385</v>
      </c>
      <c r="L323" s="780"/>
      <c r="M323" s="781"/>
      <c r="N323" s="783">
        <v>140.24615384615385</v>
      </c>
      <c r="O323" s="780"/>
      <c r="P323" s="781"/>
      <c r="Q323" s="783">
        <v>140.24615384615385</v>
      </c>
      <c r="R323" s="780"/>
      <c r="S323" s="781"/>
      <c r="T323" s="783">
        <v>175.30769230769232</v>
      </c>
      <c r="U323" s="780"/>
      <c r="V323" s="781"/>
      <c r="W323" s="783">
        <v>140.24615384615385</v>
      </c>
      <c r="X323" s="780"/>
      <c r="Y323" s="781"/>
      <c r="Z323" s="783">
        <v>140.24615384615385</v>
      </c>
      <c r="AA323" s="780"/>
      <c r="AB323" s="781"/>
      <c r="AC323" s="783">
        <v>175.30769230769232</v>
      </c>
      <c r="AD323" s="780"/>
      <c r="AE323" s="781"/>
      <c r="AF323" s="783">
        <v>140.24615384615385</v>
      </c>
      <c r="AG323" s="780"/>
      <c r="AH323" s="781"/>
      <c r="AI323" s="783">
        <v>175.30769230769232</v>
      </c>
      <c r="AJ323" s="780"/>
      <c r="AK323" s="781"/>
      <c r="AL323" s="783">
        <v>140.24615384615385</v>
      </c>
      <c r="AM323" s="780"/>
      <c r="AN323" s="781"/>
      <c r="AO323" s="783">
        <v>140.24615384615385</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6"/>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6"/>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6"/>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6"/>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6"/>
        <v>PiècesSalaires en absences</v>
      </c>
      <c r="B328" s="55" t="s">
        <v>124</v>
      </c>
      <c r="C328" s="747"/>
      <c r="D328" s="757"/>
      <c r="E328" s="758">
        <v>53192.196493600008</v>
      </c>
      <c r="F328" s="747"/>
      <c r="G328" s="757"/>
      <c r="H328" s="771">
        <v>5047.9207243846158</v>
      </c>
      <c r="I328" s="747"/>
      <c r="J328" s="757"/>
      <c r="K328" s="771">
        <v>4125.0641995076921</v>
      </c>
      <c r="L328" s="747"/>
      <c r="M328" s="757"/>
      <c r="N328" s="771">
        <v>4125.0641995076921</v>
      </c>
      <c r="O328" s="747"/>
      <c r="P328" s="757"/>
      <c r="Q328" s="771">
        <v>4125.0641995076921</v>
      </c>
      <c r="R328" s="747"/>
      <c r="S328" s="757"/>
      <c r="T328" s="771">
        <v>5047.9207243846158</v>
      </c>
      <c r="U328" s="747"/>
      <c r="V328" s="757"/>
      <c r="W328" s="771">
        <v>4125.0641995076921</v>
      </c>
      <c r="X328" s="747"/>
      <c r="Y328" s="757"/>
      <c r="Z328" s="771">
        <v>4125.0641995076921</v>
      </c>
      <c r="AA328" s="747"/>
      <c r="AB328" s="757"/>
      <c r="AC328" s="771">
        <v>5047.9207243846158</v>
      </c>
      <c r="AD328" s="747"/>
      <c r="AE328" s="757"/>
      <c r="AF328" s="771">
        <v>4125.0641995076921</v>
      </c>
      <c r="AG328" s="747"/>
      <c r="AH328" s="757"/>
      <c r="AI328" s="771">
        <v>5047.9207243846158</v>
      </c>
      <c r="AJ328" s="747"/>
      <c r="AK328" s="757"/>
      <c r="AL328" s="771">
        <v>4125.0641995076921</v>
      </c>
      <c r="AM328" s="747"/>
      <c r="AN328" s="757"/>
      <c r="AO328" s="771">
        <v>4125.0641995076921</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6"/>
        <v>PiècesDéduction à la source</v>
      </c>
      <c r="B329" s="54" t="s">
        <v>125</v>
      </c>
      <c r="C329" s="780"/>
      <c r="D329" s="781"/>
      <c r="E329" s="782">
        <v>64674.212476800007</v>
      </c>
      <c r="F329" s="780"/>
      <c r="G329" s="781"/>
      <c r="H329" s="783">
        <v>6137.5599996923083</v>
      </c>
      <c r="I329" s="780"/>
      <c r="J329" s="781"/>
      <c r="K329" s="783">
        <v>5015.4965597538467</v>
      </c>
      <c r="L329" s="780"/>
      <c r="M329" s="781"/>
      <c r="N329" s="783">
        <v>5015.4965597538467</v>
      </c>
      <c r="O329" s="780"/>
      <c r="P329" s="781"/>
      <c r="Q329" s="783">
        <v>5015.4965597538467</v>
      </c>
      <c r="R329" s="780"/>
      <c r="S329" s="781"/>
      <c r="T329" s="783">
        <v>6137.5599996923083</v>
      </c>
      <c r="U329" s="780"/>
      <c r="V329" s="781"/>
      <c r="W329" s="783">
        <v>5015.4965597538467</v>
      </c>
      <c r="X329" s="780"/>
      <c r="Y329" s="781"/>
      <c r="Z329" s="783">
        <v>5015.4965597538467</v>
      </c>
      <c r="AA329" s="780"/>
      <c r="AB329" s="781"/>
      <c r="AC329" s="783">
        <v>6137.5599996923083</v>
      </c>
      <c r="AD329" s="780"/>
      <c r="AE329" s="781"/>
      <c r="AF329" s="783">
        <v>5015.4965597538467</v>
      </c>
      <c r="AG329" s="780"/>
      <c r="AH329" s="781"/>
      <c r="AI329" s="783">
        <v>6137.5599996923083</v>
      </c>
      <c r="AJ329" s="780"/>
      <c r="AK329" s="781"/>
      <c r="AL329" s="783">
        <v>5015.4965597538467</v>
      </c>
      <c r="AM329" s="780"/>
      <c r="AN329" s="781"/>
      <c r="AO329" s="783">
        <v>5015.4965597538467</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6"/>
        <v>PiècesBénéfices marginaux</v>
      </c>
      <c r="B330" s="54" t="s">
        <v>126</v>
      </c>
      <c r="C330" s="747"/>
      <c r="D330" s="757"/>
      <c r="E330" s="758">
        <v>33321.279036959997</v>
      </c>
      <c r="F330" s="747"/>
      <c r="G330" s="757"/>
      <c r="H330" s="771">
        <v>3162.1776520153844</v>
      </c>
      <c r="I330" s="747"/>
      <c r="J330" s="757"/>
      <c r="K330" s="771">
        <v>2584.0710536123074</v>
      </c>
      <c r="L330" s="747"/>
      <c r="M330" s="757"/>
      <c r="N330" s="771">
        <v>2584.0710536123074</v>
      </c>
      <c r="O330" s="747"/>
      <c r="P330" s="757"/>
      <c r="Q330" s="771">
        <v>2584.0710536123074</v>
      </c>
      <c r="R330" s="747"/>
      <c r="S330" s="757"/>
      <c r="T330" s="771">
        <v>3162.1776520153844</v>
      </c>
      <c r="U330" s="747"/>
      <c r="V330" s="757"/>
      <c r="W330" s="771">
        <v>2584.0710536123074</v>
      </c>
      <c r="X330" s="747"/>
      <c r="Y330" s="757"/>
      <c r="Z330" s="771">
        <v>2584.0710536123074</v>
      </c>
      <c r="AA330" s="747"/>
      <c r="AB330" s="757"/>
      <c r="AC330" s="771">
        <v>3162.1776520153844</v>
      </c>
      <c r="AD330" s="747"/>
      <c r="AE330" s="757"/>
      <c r="AF330" s="771">
        <v>2584.0710536123074</v>
      </c>
      <c r="AG330" s="747"/>
      <c r="AH330" s="757"/>
      <c r="AI330" s="771">
        <v>3162.1776520153844</v>
      </c>
      <c r="AJ330" s="747"/>
      <c r="AK330" s="757"/>
      <c r="AL330" s="771">
        <v>2584.0710536123074</v>
      </c>
      <c r="AM330" s="747"/>
      <c r="AN330" s="757"/>
      <c r="AO330" s="771">
        <v>2584.0710536123074</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6"/>
        <v>PiècesCsst</v>
      </c>
      <c r="B331" s="54" t="s">
        <v>127</v>
      </c>
      <c r="C331" s="747"/>
      <c r="D331" s="757"/>
      <c r="E331" s="758">
        <v>14528.265121599996</v>
      </c>
      <c r="F331" s="747"/>
      <c r="G331" s="757"/>
      <c r="H331" s="771">
        <v>1378.7272463076922</v>
      </c>
      <c r="I331" s="747"/>
      <c r="J331" s="757"/>
      <c r="K331" s="771">
        <v>1126.6695170461537</v>
      </c>
      <c r="L331" s="747"/>
      <c r="M331" s="757"/>
      <c r="N331" s="771">
        <v>1126.6695170461537</v>
      </c>
      <c r="O331" s="747"/>
      <c r="P331" s="757"/>
      <c r="Q331" s="771">
        <v>1126.6695170461537</v>
      </c>
      <c r="R331" s="747"/>
      <c r="S331" s="757"/>
      <c r="T331" s="771">
        <v>1378.7272463076922</v>
      </c>
      <c r="U331" s="747"/>
      <c r="V331" s="757"/>
      <c r="W331" s="771">
        <v>1126.6695170461537</v>
      </c>
      <c r="X331" s="747"/>
      <c r="Y331" s="757"/>
      <c r="Z331" s="771">
        <v>1126.6695170461537</v>
      </c>
      <c r="AA331" s="747"/>
      <c r="AB331" s="757"/>
      <c r="AC331" s="771">
        <v>1378.7272463076922</v>
      </c>
      <c r="AD331" s="747"/>
      <c r="AE331" s="757"/>
      <c r="AF331" s="771">
        <v>1126.6695170461537</v>
      </c>
      <c r="AG331" s="747"/>
      <c r="AH331" s="757"/>
      <c r="AI331" s="771">
        <v>1378.7272463076922</v>
      </c>
      <c r="AJ331" s="747"/>
      <c r="AK331" s="757"/>
      <c r="AL331" s="771">
        <v>1126.6695170461537</v>
      </c>
      <c r="AM331" s="747"/>
      <c r="AN331" s="757"/>
      <c r="AO331" s="771">
        <v>1126.6695170461537</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6"/>
        <v>Pièces[...]</v>
      </c>
      <c r="B332" s="44" t="s">
        <v>59</v>
      </c>
      <c r="C332" s="776"/>
      <c r="D332" s="784"/>
      <c r="E332" s="774">
        <v>0</v>
      </c>
      <c r="F332" s="776"/>
      <c r="G332" s="784"/>
      <c r="H332" s="774">
        <v>0</v>
      </c>
      <c r="I332" s="776"/>
      <c r="J332" s="784"/>
      <c r="K332" s="774">
        <v>0</v>
      </c>
      <c r="L332" s="776"/>
      <c r="M332" s="784"/>
      <c r="N332" s="774">
        <v>0</v>
      </c>
      <c r="O332" s="776"/>
      <c r="P332" s="784"/>
      <c r="Q332" s="774">
        <v>0</v>
      </c>
      <c r="R332" s="776"/>
      <c r="S332" s="784"/>
      <c r="T332" s="774">
        <v>0</v>
      </c>
      <c r="U332" s="776"/>
      <c r="V332" s="784"/>
      <c r="W332" s="774">
        <v>0</v>
      </c>
      <c r="X332" s="776"/>
      <c r="Y332" s="784"/>
      <c r="Z332" s="774">
        <v>0</v>
      </c>
      <c r="AA332" s="776"/>
      <c r="AB332" s="784"/>
      <c r="AC332" s="774">
        <v>0</v>
      </c>
      <c r="AD332" s="776"/>
      <c r="AE332" s="784"/>
      <c r="AF332" s="774">
        <v>0</v>
      </c>
      <c r="AG332" s="776"/>
      <c r="AH332" s="784"/>
      <c r="AI332" s="774">
        <v>0</v>
      </c>
      <c r="AJ332" s="776"/>
      <c r="AK332" s="784"/>
      <c r="AL332" s="774">
        <v>0</v>
      </c>
      <c r="AM332" s="776"/>
      <c r="AN332" s="784"/>
      <c r="AO332" s="774">
        <v>0</v>
      </c>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6"/>
        <v>PiècesTOTAL PERSONNEL</v>
      </c>
      <c r="B333" s="53" t="s">
        <v>128</v>
      </c>
      <c r="C333" s="777" t="s">
        <v>119</v>
      </c>
      <c r="D333" s="778">
        <v>0.40239714853853281</v>
      </c>
      <c r="E333" s="779">
        <v>597145.66672896012</v>
      </c>
      <c r="F333" s="777" t="s">
        <v>119</v>
      </c>
      <c r="G333" s="778">
        <v>0.53206431884521399</v>
      </c>
      <c r="H333" s="779">
        <v>56701.765776246168</v>
      </c>
      <c r="I333" s="777" t="s">
        <v>119</v>
      </c>
      <c r="J333" s="778">
        <v>0.48236344544836685</v>
      </c>
      <c r="K333" s="779">
        <v>46292.325452996927</v>
      </c>
      <c r="L333" s="777" t="s">
        <v>119</v>
      </c>
      <c r="M333" s="778">
        <v>0.48743056689848357</v>
      </c>
      <c r="N333" s="779">
        <v>46292.325452996927</v>
      </c>
      <c r="O333" s="777" t="s">
        <v>119</v>
      </c>
      <c r="P333" s="778">
        <v>0.35735238133823477</v>
      </c>
      <c r="Q333" s="779">
        <v>46292.325452996927</v>
      </c>
      <c r="R333" s="777" t="s">
        <v>119</v>
      </c>
      <c r="S333" s="778">
        <v>0.43237087688647396</v>
      </c>
      <c r="T333" s="779">
        <v>56701.765776246168</v>
      </c>
      <c r="U333" s="777" t="s">
        <v>119</v>
      </c>
      <c r="V333" s="778">
        <v>0.39133989341751529</v>
      </c>
      <c r="W333" s="779">
        <v>46292.325452996927</v>
      </c>
      <c r="X333" s="777" t="s">
        <v>119</v>
      </c>
      <c r="Y333" s="778">
        <v>0.40264920253934972</v>
      </c>
      <c r="Z333" s="779">
        <v>46292.325452996927</v>
      </c>
      <c r="AA333" s="777" t="s">
        <v>119</v>
      </c>
      <c r="AB333" s="778">
        <v>0.45463470529758648</v>
      </c>
      <c r="AC333" s="779">
        <v>56701.765776246168</v>
      </c>
      <c r="AD333" s="777" t="s">
        <v>119</v>
      </c>
      <c r="AE333" s="778">
        <v>0.39358479504554217</v>
      </c>
      <c r="AF333" s="779">
        <v>46292.325452996927</v>
      </c>
      <c r="AG333" s="777" t="s">
        <v>119</v>
      </c>
      <c r="AH333" s="778">
        <v>0.36245058172643441</v>
      </c>
      <c r="AI333" s="779">
        <v>56701.765776246168</v>
      </c>
      <c r="AJ333" s="777" t="s">
        <v>119</v>
      </c>
      <c r="AK333" s="778">
        <v>0.25443974303397004</v>
      </c>
      <c r="AL333" s="779">
        <v>46292.325452996927</v>
      </c>
      <c r="AM333" s="777" t="s">
        <v>119</v>
      </c>
      <c r="AN333" s="778">
        <v>0.41406547194652632</v>
      </c>
      <c r="AO333" s="779">
        <v>46292.325452996927</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6"/>
        <v>PiècesPublicité 2</v>
      </c>
      <c r="B334" s="63" t="s">
        <v>129</v>
      </c>
      <c r="C334" s="747"/>
      <c r="D334" s="757"/>
      <c r="E334" s="758">
        <v>54824.000000000007</v>
      </c>
      <c r="F334" s="747"/>
      <c r="G334" s="757"/>
      <c r="H334" s="771">
        <v>4290.4720568014109</v>
      </c>
      <c r="I334" s="747"/>
      <c r="J334" s="757"/>
      <c r="K334" s="771">
        <v>2771.8470468118267</v>
      </c>
      <c r="L334" s="747"/>
      <c r="M334" s="757"/>
      <c r="N334" s="771">
        <v>3894.4355126085893</v>
      </c>
      <c r="O334" s="747"/>
      <c r="P334" s="757"/>
      <c r="Q334" s="771">
        <v>7533.1629382917936</v>
      </c>
      <c r="R334" s="747"/>
      <c r="S334" s="757"/>
      <c r="T334" s="771">
        <v>5653.4690242329343</v>
      </c>
      <c r="U334" s="747"/>
      <c r="V334" s="757"/>
      <c r="W334" s="771">
        <v>2779.9130291189213</v>
      </c>
      <c r="X334" s="747"/>
      <c r="Y334" s="757"/>
      <c r="Z334" s="771">
        <v>2588.4355861060794</v>
      </c>
      <c r="AA334" s="747"/>
      <c r="AB334" s="757"/>
      <c r="AC334" s="771">
        <v>2577.5928555269834</v>
      </c>
      <c r="AD334" s="747"/>
      <c r="AE334" s="757"/>
      <c r="AF334" s="771">
        <v>3927.9676362892696</v>
      </c>
      <c r="AG334" s="747"/>
      <c r="AH334" s="757"/>
      <c r="AI334" s="771">
        <v>5497.9379221932159</v>
      </c>
      <c r="AJ334" s="747"/>
      <c r="AK334" s="757"/>
      <c r="AL334" s="771">
        <v>9787.2583975729049</v>
      </c>
      <c r="AM334" s="747"/>
      <c r="AN334" s="757"/>
      <c r="AO334" s="771">
        <v>3521.5079944460713</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6"/>
        <v>PiècesService gratuit 2</v>
      </c>
      <c r="B335" s="54" t="s">
        <v>130</v>
      </c>
      <c r="C335" s="747"/>
      <c r="D335" s="757"/>
      <c r="E335" s="758">
        <v>6738.3093384171261</v>
      </c>
      <c r="F335" s="747"/>
      <c r="G335" s="757"/>
      <c r="H335" s="771">
        <v>561.52577820142733</v>
      </c>
      <c r="I335" s="747"/>
      <c r="J335" s="757"/>
      <c r="K335" s="771">
        <v>561.52577820142733</v>
      </c>
      <c r="L335" s="747"/>
      <c r="M335" s="757"/>
      <c r="N335" s="771">
        <v>561.52577820142733</v>
      </c>
      <c r="O335" s="747"/>
      <c r="P335" s="757"/>
      <c r="Q335" s="771">
        <v>561.52577820142733</v>
      </c>
      <c r="R335" s="747"/>
      <c r="S335" s="757"/>
      <c r="T335" s="771">
        <v>561.52577820142733</v>
      </c>
      <c r="U335" s="747"/>
      <c r="V335" s="757"/>
      <c r="W335" s="771">
        <v>561.52577820142733</v>
      </c>
      <c r="X335" s="747"/>
      <c r="Y335" s="757"/>
      <c r="Z335" s="771">
        <v>561.52577820142733</v>
      </c>
      <c r="AA335" s="747"/>
      <c r="AB335" s="757"/>
      <c r="AC335" s="771">
        <v>561.52577820142733</v>
      </c>
      <c r="AD335" s="747"/>
      <c r="AE335" s="757"/>
      <c r="AF335" s="771">
        <v>561.52577820142733</v>
      </c>
      <c r="AG335" s="747"/>
      <c r="AH335" s="757"/>
      <c r="AI335" s="771">
        <v>561.52577820142733</v>
      </c>
      <c r="AJ335" s="747"/>
      <c r="AK335" s="757"/>
      <c r="AL335" s="771">
        <v>561.52577820142733</v>
      </c>
      <c r="AM335" s="747"/>
      <c r="AN335" s="757"/>
      <c r="AO335" s="771">
        <v>561.52577820142733</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6"/>
        <v>PiècesFrais véhicules de cie</v>
      </c>
      <c r="B336" s="55" t="s">
        <v>131</v>
      </c>
      <c r="C336" s="776"/>
      <c r="D336" s="784"/>
      <c r="E336" s="774">
        <v>15171.845866666668</v>
      </c>
      <c r="F336" s="776"/>
      <c r="G336" s="784"/>
      <c r="H336" s="775">
        <v>1264.3204888888893</v>
      </c>
      <c r="I336" s="776"/>
      <c r="J336" s="784"/>
      <c r="K336" s="775">
        <v>1264.3204888888893</v>
      </c>
      <c r="L336" s="776"/>
      <c r="M336" s="784"/>
      <c r="N336" s="775">
        <v>1264.3204888888893</v>
      </c>
      <c r="O336" s="776"/>
      <c r="P336" s="784"/>
      <c r="Q336" s="775">
        <v>1264.3204888888893</v>
      </c>
      <c r="R336" s="776"/>
      <c r="S336" s="784"/>
      <c r="T336" s="775">
        <v>1264.3204888888893</v>
      </c>
      <c r="U336" s="776"/>
      <c r="V336" s="784"/>
      <c r="W336" s="775">
        <v>1264.3204888888893</v>
      </c>
      <c r="X336" s="776"/>
      <c r="Y336" s="784"/>
      <c r="Z336" s="775">
        <v>1264.3204888888893</v>
      </c>
      <c r="AA336" s="776"/>
      <c r="AB336" s="784"/>
      <c r="AC336" s="775">
        <v>1264.3204888888893</v>
      </c>
      <c r="AD336" s="776"/>
      <c r="AE336" s="784"/>
      <c r="AF336" s="775">
        <v>1264.3204888888893</v>
      </c>
      <c r="AG336" s="776"/>
      <c r="AH336" s="784"/>
      <c r="AI336" s="775">
        <v>1264.3204888888893</v>
      </c>
      <c r="AJ336" s="776"/>
      <c r="AK336" s="784"/>
      <c r="AL336" s="775">
        <v>1264.3204888888893</v>
      </c>
      <c r="AM336" s="776"/>
      <c r="AN336" s="784"/>
      <c r="AO336" s="775">
        <v>1264.3204888888893</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6"/>
        <v>PiècesInformatique</v>
      </c>
      <c r="B337" s="54" t="s">
        <v>132</v>
      </c>
      <c r="C337" s="747"/>
      <c r="D337" s="757"/>
      <c r="E337" s="758">
        <v>53395.880867333348</v>
      </c>
      <c r="F337" s="747"/>
      <c r="G337" s="757"/>
      <c r="H337" s="771">
        <v>4449.6567389444454</v>
      </c>
      <c r="I337" s="747"/>
      <c r="J337" s="757"/>
      <c r="K337" s="771">
        <v>4449.6567389444454</v>
      </c>
      <c r="L337" s="747"/>
      <c r="M337" s="757"/>
      <c r="N337" s="771">
        <v>4449.6567389444454</v>
      </c>
      <c r="O337" s="747"/>
      <c r="P337" s="757"/>
      <c r="Q337" s="771">
        <v>4449.6567389444454</v>
      </c>
      <c r="R337" s="747"/>
      <c r="S337" s="757"/>
      <c r="T337" s="771">
        <v>4449.6567389444454</v>
      </c>
      <c r="U337" s="747"/>
      <c r="V337" s="757"/>
      <c r="W337" s="771">
        <v>4449.6567389444454</v>
      </c>
      <c r="X337" s="747"/>
      <c r="Y337" s="757"/>
      <c r="Z337" s="771">
        <v>4449.6567389444454</v>
      </c>
      <c r="AA337" s="747"/>
      <c r="AB337" s="757"/>
      <c r="AC337" s="771">
        <v>4449.6567389444454</v>
      </c>
      <c r="AD337" s="747"/>
      <c r="AE337" s="757"/>
      <c r="AF337" s="771">
        <v>4449.6567389444454</v>
      </c>
      <c r="AG337" s="747"/>
      <c r="AH337" s="757"/>
      <c r="AI337" s="771">
        <v>4449.6567389444454</v>
      </c>
      <c r="AJ337" s="747"/>
      <c r="AK337" s="757"/>
      <c r="AL337" s="771">
        <v>4449.6567389444454</v>
      </c>
      <c r="AM337" s="747"/>
      <c r="AN337" s="757"/>
      <c r="AO337" s="771">
        <v>4449.6567389444454</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6"/>
        <v>PiècesFrais de déplacement</v>
      </c>
      <c r="B338" s="54" t="s">
        <v>133</v>
      </c>
      <c r="C338" s="747"/>
      <c r="D338" s="757"/>
      <c r="E338" s="758">
        <v>9819.3176265217098</v>
      </c>
      <c r="F338" s="747"/>
      <c r="G338" s="757"/>
      <c r="H338" s="771">
        <v>818.27646887680896</v>
      </c>
      <c r="I338" s="747"/>
      <c r="J338" s="757"/>
      <c r="K338" s="771">
        <v>818.27646887680896</v>
      </c>
      <c r="L338" s="747"/>
      <c r="M338" s="757"/>
      <c r="N338" s="771">
        <v>818.27646887680896</v>
      </c>
      <c r="O338" s="747"/>
      <c r="P338" s="757"/>
      <c r="Q338" s="771">
        <v>818.27646887680896</v>
      </c>
      <c r="R338" s="747"/>
      <c r="S338" s="757"/>
      <c r="T338" s="771">
        <v>818.27646887680896</v>
      </c>
      <c r="U338" s="747"/>
      <c r="V338" s="757"/>
      <c r="W338" s="771">
        <v>818.27646887680896</v>
      </c>
      <c r="X338" s="747"/>
      <c r="Y338" s="757"/>
      <c r="Z338" s="771">
        <v>818.27646887680896</v>
      </c>
      <c r="AA338" s="747"/>
      <c r="AB338" s="757"/>
      <c r="AC338" s="771">
        <v>818.27646887680896</v>
      </c>
      <c r="AD338" s="747"/>
      <c r="AE338" s="757"/>
      <c r="AF338" s="771">
        <v>818.27646887680896</v>
      </c>
      <c r="AG338" s="747"/>
      <c r="AH338" s="757"/>
      <c r="AI338" s="771">
        <v>818.27646887680896</v>
      </c>
      <c r="AJ338" s="747"/>
      <c r="AK338" s="757"/>
      <c r="AL338" s="771">
        <v>818.27646887680896</v>
      </c>
      <c r="AM338" s="747"/>
      <c r="AN338" s="757"/>
      <c r="AO338" s="771">
        <v>818.27646887680896</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6"/>
        <v>PiècesServices extérieurs</v>
      </c>
      <c r="B339" s="54" t="s">
        <v>134</v>
      </c>
      <c r="C339" s="776"/>
      <c r="D339" s="784"/>
      <c r="E339" s="774">
        <v>149857.03052718291</v>
      </c>
      <c r="F339" s="776"/>
      <c r="G339" s="784"/>
      <c r="H339" s="775">
        <v>12488.085877265243</v>
      </c>
      <c r="I339" s="776"/>
      <c r="J339" s="784"/>
      <c r="K339" s="775">
        <v>12488.085877265243</v>
      </c>
      <c r="L339" s="776"/>
      <c r="M339" s="784"/>
      <c r="N339" s="775">
        <v>12488.085877265243</v>
      </c>
      <c r="O339" s="776"/>
      <c r="P339" s="784"/>
      <c r="Q339" s="775">
        <v>12488.085877265243</v>
      </c>
      <c r="R339" s="776"/>
      <c r="S339" s="784"/>
      <c r="T339" s="775">
        <v>12488.085877265243</v>
      </c>
      <c r="U339" s="776"/>
      <c r="V339" s="784"/>
      <c r="W339" s="775">
        <v>12488.085877265243</v>
      </c>
      <c r="X339" s="776"/>
      <c r="Y339" s="784"/>
      <c r="Z339" s="775">
        <v>12488.085877265243</v>
      </c>
      <c r="AA339" s="776"/>
      <c r="AB339" s="784"/>
      <c r="AC339" s="775">
        <v>12488.085877265243</v>
      </c>
      <c r="AD339" s="776"/>
      <c r="AE339" s="784"/>
      <c r="AF339" s="775">
        <v>12488.085877265243</v>
      </c>
      <c r="AG339" s="776"/>
      <c r="AH339" s="784"/>
      <c r="AI339" s="775">
        <v>12488.085877265243</v>
      </c>
      <c r="AJ339" s="776"/>
      <c r="AK339" s="784"/>
      <c r="AL339" s="775">
        <v>12488.085877265243</v>
      </c>
      <c r="AM339" s="776"/>
      <c r="AN339" s="784"/>
      <c r="AO339" s="775">
        <v>12488.085877265243</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6"/>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ref="A341:A356" si="7">+$C$294&amp;B341</f>
        <v>PiècesFournitures autres</v>
      </c>
      <c r="B341" s="63" t="s">
        <v>135</v>
      </c>
      <c r="C341" s="747"/>
      <c r="D341" s="757"/>
      <c r="E341" s="758">
        <v>3068.1039999999994</v>
      </c>
      <c r="F341" s="747"/>
      <c r="G341" s="757"/>
      <c r="H341" s="771">
        <v>255.67533333333333</v>
      </c>
      <c r="I341" s="747"/>
      <c r="J341" s="757"/>
      <c r="K341" s="771">
        <v>255.67533333333333</v>
      </c>
      <c r="L341" s="747"/>
      <c r="M341" s="757"/>
      <c r="N341" s="771">
        <v>255.67533333333333</v>
      </c>
      <c r="O341" s="747"/>
      <c r="P341" s="757"/>
      <c r="Q341" s="771">
        <v>255.67533333333333</v>
      </c>
      <c r="R341" s="747"/>
      <c r="S341" s="757"/>
      <c r="T341" s="771">
        <v>255.67533333333333</v>
      </c>
      <c r="U341" s="747"/>
      <c r="V341" s="757"/>
      <c r="W341" s="771">
        <v>255.67533333333333</v>
      </c>
      <c r="X341" s="747"/>
      <c r="Y341" s="757"/>
      <c r="Z341" s="771">
        <v>255.67533333333333</v>
      </c>
      <c r="AA341" s="747"/>
      <c r="AB341" s="757"/>
      <c r="AC341" s="771">
        <v>255.67533333333333</v>
      </c>
      <c r="AD341" s="747"/>
      <c r="AE341" s="757"/>
      <c r="AF341" s="771">
        <v>255.67533333333333</v>
      </c>
      <c r="AG341" s="747"/>
      <c r="AH341" s="757"/>
      <c r="AI341" s="771">
        <v>255.67533333333333</v>
      </c>
      <c r="AJ341" s="747"/>
      <c r="AK341" s="757"/>
      <c r="AL341" s="771">
        <v>255.67533333333333</v>
      </c>
      <c r="AM341" s="747"/>
      <c r="AN341" s="757"/>
      <c r="AO341" s="771">
        <v>255.67533333333333</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7"/>
        <v>PiècesUniformes</v>
      </c>
      <c r="B342" s="54" t="s">
        <v>136</v>
      </c>
      <c r="C342" s="747"/>
      <c r="D342" s="757"/>
      <c r="E342" s="758">
        <v>340</v>
      </c>
      <c r="F342" s="747"/>
      <c r="G342" s="757"/>
      <c r="H342" s="771">
        <v>28.333333333333332</v>
      </c>
      <c r="I342" s="747"/>
      <c r="J342" s="757"/>
      <c r="K342" s="771">
        <v>28.333333333333332</v>
      </c>
      <c r="L342" s="747"/>
      <c r="M342" s="757"/>
      <c r="N342" s="771">
        <v>28.333333333333332</v>
      </c>
      <c r="O342" s="747"/>
      <c r="P342" s="757"/>
      <c r="Q342" s="771">
        <v>28.333333333333332</v>
      </c>
      <c r="R342" s="747"/>
      <c r="S342" s="757"/>
      <c r="T342" s="771">
        <v>28.333333333333332</v>
      </c>
      <c r="U342" s="747"/>
      <c r="V342" s="757"/>
      <c r="W342" s="771">
        <v>28.333333333333332</v>
      </c>
      <c r="X342" s="747"/>
      <c r="Y342" s="757"/>
      <c r="Z342" s="771">
        <v>28.333333333333332</v>
      </c>
      <c r="AA342" s="747"/>
      <c r="AB342" s="757"/>
      <c r="AC342" s="771">
        <v>28.333333333333332</v>
      </c>
      <c r="AD342" s="747"/>
      <c r="AE342" s="757"/>
      <c r="AF342" s="771">
        <v>28.333333333333332</v>
      </c>
      <c r="AG342" s="747"/>
      <c r="AH342" s="757"/>
      <c r="AI342" s="771">
        <v>28.333333333333332</v>
      </c>
      <c r="AJ342" s="747"/>
      <c r="AK342" s="757"/>
      <c r="AL342" s="771">
        <v>28.333333333333332</v>
      </c>
      <c r="AM342" s="747"/>
      <c r="AN342" s="757"/>
      <c r="AO342" s="771">
        <v>28.333333333333332</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7"/>
        <v>PiècesPapeterie</v>
      </c>
      <c r="B343" s="54" t="s">
        <v>137</v>
      </c>
      <c r="C343" s="747"/>
      <c r="D343" s="757"/>
      <c r="E343" s="758">
        <v>8596.9085593979999</v>
      </c>
      <c r="F343" s="747"/>
      <c r="G343" s="757"/>
      <c r="H343" s="771">
        <v>716.40904661649995</v>
      </c>
      <c r="I343" s="747"/>
      <c r="J343" s="757"/>
      <c r="K343" s="771">
        <v>716.40904661649995</v>
      </c>
      <c r="L343" s="747"/>
      <c r="M343" s="757"/>
      <c r="N343" s="771">
        <v>716.40904661649995</v>
      </c>
      <c r="O343" s="747"/>
      <c r="P343" s="757"/>
      <c r="Q343" s="771">
        <v>716.40904661649995</v>
      </c>
      <c r="R343" s="747"/>
      <c r="S343" s="757"/>
      <c r="T343" s="771">
        <v>716.40904661649995</v>
      </c>
      <c r="U343" s="747"/>
      <c r="V343" s="757"/>
      <c r="W343" s="771">
        <v>716.40904661649995</v>
      </c>
      <c r="X343" s="747"/>
      <c r="Y343" s="757"/>
      <c r="Z343" s="771">
        <v>716.40904661649995</v>
      </c>
      <c r="AA343" s="747"/>
      <c r="AB343" s="757"/>
      <c r="AC343" s="771">
        <v>716.40904661649995</v>
      </c>
      <c r="AD343" s="747"/>
      <c r="AE343" s="757"/>
      <c r="AF343" s="771">
        <v>716.40904661649995</v>
      </c>
      <c r="AG343" s="747"/>
      <c r="AH343" s="757"/>
      <c r="AI343" s="771">
        <v>716.40904661649995</v>
      </c>
      <c r="AJ343" s="747"/>
      <c r="AK343" s="757"/>
      <c r="AL343" s="771">
        <v>716.40904661649995</v>
      </c>
      <c r="AM343" s="747"/>
      <c r="AN343" s="757"/>
      <c r="AO343" s="771">
        <v>716.40904661649995</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7"/>
        <v>PiècesTéléphone</v>
      </c>
      <c r="B344" s="54" t="s">
        <v>138</v>
      </c>
      <c r="C344" s="747"/>
      <c r="D344" s="757"/>
      <c r="E344" s="758">
        <v>1386.4889231060836</v>
      </c>
      <c r="F344" s="747"/>
      <c r="G344" s="757"/>
      <c r="H344" s="771">
        <v>115.54074359217363</v>
      </c>
      <c r="I344" s="747"/>
      <c r="J344" s="757"/>
      <c r="K344" s="771">
        <v>115.54074359217363</v>
      </c>
      <c r="L344" s="747"/>
      <c r="M344" s="757"/>
      <c r="N344" s="771">
        <v>115.54074359217363</v>
      </c>
      <c r="O344" s="747"/>
      <c r="P344" s="757"/>
      <c r="Q344" s="771">
        <v>115.54074359217363</v>
      </c>
      <c r="R344" s="747"/>
      <c r="S344" s="757"/>
      <c r="T344" s="771">
        <v>115.54074359217363</v>
      </c>
      <c r="U344" s="747"/>
      <c r="V344" s="757"/>
      <c r="W344" s="771">
        <v>115.54074359217363</v>
      </c>
      <c r="X344" s="747"/>
      <c r="Y344" s="757"/>
      <c r="Z344" s="771">
        <v>115.54074359217363</v>
      </c>
      <c r="AA344" s="747"/>
      <c r="AB344" s="757"/>
      <c r="AC344" s="771">
        <v>115.54074359217363</v>
      </c>
      <c r="AD344" s="747"/>
      <c r="AE344" s="757"/>
      <c r="AF344" s="771">
        <v>115.54074359217363</v>
      </c>
      <c r="AG344" s="747"/>
      <c r="AH344" s="757"/>
      <c r="AI344" s="771">
        <v>115.54074359217363</v>
      </c>
      <c r="AJ344" s="747"/>
      <c r="AK344" s="757"/>
      <c r="AL344" s="771">
        <v>115.54074359217363</v>
      </c>
      <c r="AM344" s="747"/>
      <c r="AN344" s="757"/>
      <c r="AO344" s="771">
        <v>115.54074359217363</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7"/>
        <v>PiècesFrais postaux</v>
      </c>
      <c r="B345" s="54" t="s">
        <v>139</v>
      </c>
      <c r="C345" s="747"/>
      <c r="D345" s="757"/>
      <c r="E345" s="758">
        <v>-373.32416954608357</v>
      </c>
      <c r="F345" s="747"/>
      <c r="G345" s="757"/>
      <c r="H345" s="771">
        <v>-31.110347462173621</v>
      </c>
      <c r="I345" s="747"/>
      <c r="J345" s="757"/>
      <c r="K345" s="771">
        <v>-31.110347462173621</v>
      </c>
      <c r="L345" s="747"/>
      <c r="M345" s="757"/>
      <c r="N345" s="771">
        <v>-31.110347462173621</v>
      </c>
      <c r="O345" s="747"/>
      <c r="P345" s="757"/>
      <c r="Q345" s="771">
        <v>-31.110347462173621</v>
      </c>
      <c r="R345" s="747"/>
      <c r="S345" s="757"/>
      <c r="T345" s="771">
        <v>-31.110347462173621</v>
      </c>
      <c r="U345" s="747"/>
      <c r="V345" s="757"/>
      <c r="W345" s="771">
        <v>-31.110347462173621</v>
      </c>
      <c r="X345" s="747"/>
      <c r="Y345" s="757"/>
      <c r="Z345" s="771">
        <v>-31.110347462173621</v>
      </c>
      <c r="AA345" s="747"/>
      <c r="AB345" s="757"/>
      <c r="AC345" s="771">
        <v>-31.110347462173621</v>
      </c>
      <c r="AD345" s="747"/>
      <c r="AE345" s="757"/>
      <c r="AF345" s="771">
        <v>-31.110347462173621</v>
      </c>
      <c r="AG345" s="747"/>
      <c r="AH345" s="757"/>
      <c r="AI345" s="771">
        <v>-31.110347462173621</v>
      </c>
      <c r="AJ345" s="747"/>
      <c r="AK345" s="757"/>
      <c r="AL345" s="771">
        <v>-31.110347462173621</v>
      </c>
      <c r="AM345" s="747"/>
      <c r="AN345" s="757"/>
      <c r="AO345" s="771">
        <v>-31.110347462173621</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7"/>
        <v>PiècesDivers</v>
      </c>
      <c r="B346" s="54" t="s">
        <v>140</v>
      </c>
      <c r="C346" s="747"/>
      <c r="D346" s="757"/>
      <c r="E346" s="758">
        <v>1878.134119949417</v>
      </c>
      <c r="F346" s="747"/>
      <c r="G346" s="757"/>
      <c r="H346" s="771">
        <v>156.51117666245145</v>
      </c>
      <c r="I346" s="747"/>
      <c r="J346" s="757"/>
      <c r="K346" s="771">
        <v>156.51117666245145</v>
      </c>
      <c r="L346" s="747"/>
      <c r="M346" s="757"/>
      <c r="N346" s="771">
        <v>156.51117666245145</v>
      </c>
      <c r="O346" s="747"/>
      <c r="P346" s="757"/>
      <c r="Q346" s="771">
        <v>156.51117666245145</v>
      </c>
      <c r="R346" s="747"/>
      <c r="S346" s="757"/>
      <c r="T346" s="771">
        <v>156.51117666245145</v>
      </c>
      <c r="U346" s="747"/>
      <c r="V346" s="757"/>
      <c r="W346" s="771">
        <v>156.51117666245145</v>
      </c>
      <c r="X346" s="747"/>
      <c r="Y346" s="757"/>
      <c r="Z346" s="771">
        <v>156.51117666245145</v>
      </c>
      <c r="AA346" s="747"/>
      <c r="AB346" s="757"/>
      <c r="AC346" s="771">
        <v>156.51117666245145</v>
      </c>
      <c r="AD346" s="747"/>
      <c r="AE346" s="757"/>
      <c r="AF346" s="771">
        <v>156.51117666245145</v>
      </c>
      <c r="AG346" s="747"/>
      <c r="AH346" s="757"/>
      <c r="AI346" s="771">
        <v>156.51117666245145</v>
      </c>
      <c r="AJ346" s="747"/>
      <c r="AK346" s="757"/>
      <c r="AL346" s="771">
        <v>156.51117666245145</v>
      </c>
      <c r="AM346" s="747"/>
      <c r="AN346" s="757"/>
      <c r="AO346" s="771">
        <v>156.51117666245145</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7"/>
        <v>PiècesFormation</v>
      </c>
      <c r="B347" s="54" t="s">
        <v>141</v>
      </c>
      <c r="C347" s="747"/>
      <c r="D347" s="757"/>
      <c r="E347" s="758">
        <v>4547.4518545717601</v>
      </c>
      <c r="F347" s="747"/>
      <c r="G347" s="757"/>
      <c r="H347" s="771">
        <v>378.95432121431327</v>
      </c>
      <c r="I347" s="747"/>
      <c r="J347" s="757"/>
      <c r="K347" s="771">
        <v>378.95432121431327</v>
      </c>
      <c r="L347" s="747"/>
      <c r="M347" s="757"/>
      <c r="N347" s="771">
        <v>378.95432121431327</v>
      </c>
      <c r="O347" s="747"/>
      <c r="P347" s="757"/>
      <c r="Q347" s="771">
        <v>378.95432121431327</v>
      </c>
      <c r="R347" s="747"/>
      <c r="S347" s="757"/>
      <c r="T347" s="771">
        <v>378.95432121431327</v>
      </c>
      <c r="U347" s="747"/>
      <c r="V347" s="757"/>
      <c r="W347" s="771">
        <v>378.95432121431327</v>
      </c>
      <c r="X347" s="747"/>
      <c r="Y347" s="757"/>
      <c r="Z347" s="771">
        <v>378.95432121431327</v>
      </c>
      <c r="AA347" s="747"/>
      <c r="AB347" s="757"/>
      <c r="AC347" s="771">
        <v>378.95432121431327</v>
      </c>
      <c r="AD347" s="747"/>
      <c r="AE347" s="757"/>
      <c r="AF347" s="771">
        <v>378.95432121431327</v>
      </c>
      <c r="AG347" s="747"/>
      <c r="AH347" s="757"/>
      <c r="AI347" s="771">
        <v>378.95432121431327</v>
      </c>
      <c r="AJ347" s="747"/>
      <c r="AK347" s="757"/>
      <c r="AL347" s="771">
        <v>378.95432121431327</v>
      </c>
      <c r="AM347" s="747"/>
      <c r="AN347" s="757"/>
      <c r="AO347" s="771">
        <v>378.95432121431327</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7"/>
        <v>PiècesFrais bancaires</v>
      </c>
      <c r="B348" s="54" t="s">
        <v>142</v>
      </c>
      <c r="C348" s="747"/>
      <c r="D348" s="757"/>
      <c r="E348" s="758">
        <v>18920.901463836952</v>
      </c>
      <c r="F348" s="747"/>
      <c r="G348" s="757"/>
      <c r="H348" s="771">
        <v>1234.521043679066</v>
      </c>
      <c r="I348" s="747"/>
      <c r="J348" s="757"/>
      <c r="K348" s="771">
        <v>1190.304929325466</v>
      </c>
      <c r="L348" s="747"/>
      <c r="M348" s="757"/>
      <c r="N348" s="771">
        <v>1259.3481979621156</v>
      </c>
      <c r="O348" s="747"/>
      <c r="P348" s="757"/>
      <c r="Q348" s="771">
        <v>1650.1689027259927</v>
      </c>
      <c r="R348" s="747"/>
      <c r="S348" s="757"/>
      <c r="T348" s="771">
        <v>1754.3101197821436</v>
      </c>
      <c r="U348" s="747"/>
      <c r="V348" s="757"/>
      <c r="W348" s="771">
        <v>1634.2364306141619</v>
      </c>
      <c r="X348" s="747"/>
      <c r="Y348" s="757"/>
      <c r="Z348" s="771">
        <v>1597.3918737469346</v>
      </c>
      <c r="AA348" s="747"/>
      <c r="AB348" s="757"/>
      <c r="AC348" s="771">
        <v>1727.6594672908991</v>
      </c>
      <c r="AD348" s="747"/>
      <c r="AE348" s="757"/>
      <c r="AF348" s="771">
        <v>1405.2879790725349</v>
      </c>
      <c r="AG348" s="747"/>
      <c r="AH348" s="757"/>
      <c r="AI348" s="771">
        <v>1897.4004948242332</v>
      </c>
      <c r="AJ348" s="747"/>
      <c r="AK348" s="757"/>
      <c r="AL348" s="771">
        <v>2230.6282955484949</v>
      </c>
      <c r="AM348" s="747"/>
      <c r="AN348" s="757"/>
      <c r="AO348" s="771">
        <v>1339.6437292649105</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7"/>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7"/>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7"/>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7"/>
        <v>PiècesTOTAL SEMI-FIXES</v>
      </c>
      <c r="B352" s="53" t="s">
        <v>143</v>
      </c>
      <c r="C352" s="777" t="s">
        <v>119</v>
      </c>
      <c r="D352" s="778">
        <v>0.22114385433756997</v>
      </c>
      <c r="E352" s="779">
        <v>328171.04897743801</v>
      </c>
      <c r="F352" s="777" t="s">
        <v>119</v>
      </c>
      <c r="G352" s="778">
        <v>0.25079597437672768</v>
      </c>
      <c r="H352" s="779">
        <v>26727.172059947217</v>
      </c>
      <c r="I352" s="777" t="s">
        <v>119</v>
      </c>
      <c r="J352" s="778">
        <v>0.26221092273330721</v>
      </c>
      <c r="K352" s="779">
        <v>25164.330935604034</v>
      </c>
      <c r="L352" s="777" t="s">
        <v>119</v>
      </c>
      <c r="M352" s="778">
        <v>0.27751256174105077</v>
      </c>
      <c r="N352" s="779">
        <v>26355.96267003745</v>
      </c>
      <c r="O352" s="777" t="s">
        <v>119</v>
      </c>
      <c r="P352" s="778">
        <v>0.23456014655727001</v>
      </c>
      <c r="Q352" s="779">
        <v>30385.510800484532</v>
      </c>
      <c r="R352" s="777" t="s">
        <v>119</v>
      </c>
      <c r="S352" s="778">
        <v>0.21816097794382755</v>
      </c>
      <c r="T352" s="779">
        <v>28609.958103481822</v>
      </c>
      <c r="U352" s="777" t="s">
        <v>119</v>
      </c>
      <c r="V352" s="778">
        <v>0.21655190434311475</v>
      </c>
      <c r="W352" s="779">
        <v>25616.328419199825</v>
      </c>
      <c r="X352" s="777" t="s">
        <v>119</v>
      </c>
      <c r="Y352" s="778">
        <v>0.22082408776768847</v>
      </c>
      <c r="Z352" s="779">
        <v>25388.006419319758</v>
      </c>
      <c r="AA352" s="777" t="s">
        <v>119</v>
      </c>
      <c r="AB352" s="778">
        <v>0.20451856031577079</v>
      </c>
      <c r="AC352" s="779">
        <v>25507.431282284626</v>
      </c>
      <c r="AD352" s="777" t="s">
        <v>119</v>
      </c>
      <c r="AE352" s="778">
        <v>0.22560853178962853</v>
      </c>
      <c r="AF352" s="779">
        <v>26535.434574828549</v>
      </c>
      <c r="AG352" s="777" t="s">
        <v>119</v>
      </c>
      <c r="AH352" s="778">
        <v>0.1828018346014324</v>
      </c>
      <c r="AI352" s="779">
        <v>28597.517376484193</v>
      </c>
      <c r="AJ352" s="777" t="s">
        <v>119</v>
      </c>
      <c r="AK352" s="778">
        <v>0.18258976807718205</v>
      </c>
      <c r="AL352" s="779">
        <v>33220.065652588142</v>
      </c>
      <c r="AM352" s="777" t="s">
        <v>119</v>
      </c>
      <c r="AN352" s="778">
        <v>0.2331255821396569</v>
      </c>
      <c r="AO352" s="779">
        <v>26063.330683177726</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7"/>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7"/>
        <v>PiècesTOTAL DES DÉPENSES</v>
      </c>
      <c r="B354" s="53" t="s">
        <v>144</v>
      </c>
      <c r="C354" s="777" t="s">
        <v>119</v>
      </c>
      <c r="D354" s="815">
        <v>0.62354100287610281</v>
      </c>
      <c r="E354" s="789">
        <v>925316.71570639813</v>
      </c>
      <c r="F354" s="777" t="s">
        <v>119</v>
      </c>
      <c r="G354" s="815">
        <v>0.78286029322194173</v>
      </c>
      <c r="H354" s="789">
        <v>83428.937836193392</v>
      </c>
      <c r="I354" s="777" t="s">
        <v>119</v>
      </c>
      <c r="J354" s="815">
        <v>0.74457436818167411</v>
      </c>
      <c r="K354" s="789">
        <v>71456.656388600968</v>
      </c>
      <c r="L354" s="777" t="s">
        <v>119</v>
      </c>
      <c r="M354" s="815">
        <v>0.76494312863953429</v>
      </c>
      <c r="N354" s="789">
        <v>72648.288123034377</v>
      </c>
      <c r="O354" s="777" t="s">
        <v>119</v>
      </c>
      <c r="P354" s="815">
        <v>0.59191252789550475</v>
      </c>
      <c r="Q354" s="789">
        <v>76677.836253481451</v>
      </c>
      <c r="R354" s="777" t="s">
        <v>119</v>
      </c>
      <c r="S354" s="815">
        <v>0.65053185483030151</v>
      </c>
      <c r="T354" s="789">
        <v>85311.723879727986</v>
      </c>
      <c r="U354" s="777" t="s">
        <v>119</v>
      </c>
      <c r="V354" s="815">
        <v>0.60789179776063007</v>
      </c>
      <c r="W354" s="789">
        <v>71908.653872196752</v>
      </c>
      <c r="X354" s="777" t="s">
        <v>119</v>
      </c>
      <c r="Y354" s="815">
        <v>0.62347329030703824</v>
      </c>
      <c r="Z354" s="789">
        <v>71680.331872316689</v>
      </c>
      <c r="AA354" s="777" t="s">
        <v>119</v>
      </c>
      <c r="AB354" s="815">
        <v>0.65915326561335719</v>
      </c>
      <c r="AC354" s="789">
        <v>82209.197058530786</v>
      </c>
      <c r="AD354" s="777" t="s">
        <v>119</v>
      </c>
      <c r="AE354" s="815">
        <v>0.6191933268351707</v>
      </c>
      <c r="AF354" s="789">
        <v>72827.760027825483</v>
      </c>
      <c r="AG354" s="777" t="s">
        <v>119</v>
      </c>
      <c r="AH354" s="815">
        <v>0.54525241632786681</v>
      </c>
      <c r="AI354" s="789">
        <v>85299.283152730364</v>
      </c>
      <c r="AJ354" s="777" t="s">
        <v>119</v>
      </c>
      <c r="AK354" s="815">
        <v>0.43702951111115207</v>
      </c>
      <c r="AL354" s="789">
        <v>79512.391105585062</v>
      </c>
      <c r="AM354" s="777" t="s">
        <v>119</v>
      </c>
      <c r="AN354" s="815">
        <v>0.64719105408618327</v>
      </c>
      <c r="AO354" s="789">
        <v>72355.656136174657</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7"/>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7"/>
        <v>PiècesPROFIT DÉPARTEMENTAL</v>
      </c>
      <c r="B356" s="57" t="s">
        <v>151</v>
      </c>
      <c r="C356" s="816"/>
      <c r="D356" s="817"/>
      <c r="E356" s="798">
        <v>558654.20431064197</v>
      </c>
      <c r="F356" s="816"/>
      <c r="G356" s="817"/>
      <c r="H356" s="798">
        <v>23140.444413138801</v>
      </c>
      <c r="I356" s="816"/>
      <c r="J356" s="817"/>
      <c r="K356" s="798">
        <v>24513.147894489448</v>
      </c>
      <c r="L356" s="816"/>
      <c r="M356" s="817"/>
      <c r="N356" s="798">
        <v>22323.854776321707</v>
      </c>
      <c r="O356" s="816"/>
      <c r="P356" s="817"/>
      <c r="Q356" s="798">
        <v>52864.676600745603</v>
      </c>
      <c r="R356" s="816"/>
      <c r="S356" s="817"/>
      <c r="T356" s="798">
        <v>45829.777103313812</v>
      </c>
      <c r="U356" s="816"/>
      <c r="V356" s="817"/>
      <c r="W356" s="798">
        <v>46383.210135667803</v>
      </c>
      <c r="X356" s="816"/>
      <c r="Y356" s="817"/>
      <c r="Z356" s="798">
        <v>43289.038887763018</v>
      </c>
      <c r="AA356" s="816"/>
      <c r="AB356" s="817"/>
      <c r="AC356" s="798">
        <v>42510.198789464062</v>
      </c>
      <c r="AD356" s="816"/>
      <c r="AE356" s="817"/>
      <c r="AF356" s="798">
        <v>44789.399058923256</v>
      </c>
      <c r="AG356" s="816"/>
      <c r="AH356" s="817"/>
      <c r="AI356" s="798">
        <v>71140.707938366206</v>
      </c>
      <c r="AJ356" s="816"/>
      <c r="AK356" s="817"/>
      <c r="AL356" s="798">
        <v>102425.87412374461</v>
      </c>
      <c r="AM356" s="816"/>
      <c r="AN356" s="817"/>
      <c r="AO356" s="798">
        <v>39443.874588703708</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3933</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40" t="s">
        <v>3</v>
      </c>
      <c r="C361" s="969">
        <v>2025</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ref="A363:A402" si="8">+$C$359&amp;B363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8"/>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8"/>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8"/>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8"/>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8"/>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8"/>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8"/>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8"/>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8"/>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8"/>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8"/>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8"/>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8"/>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8"/>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8"/>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8"/>
        <v>Boutique[...]</v>
      </c>
      <c r="B379" s="44" t="s">
        <v>59</v>
      </c>
      <c r="C379" s="776"/>
      <c r="D379" s="784"/>
      <c r="E379" s="774">
        <v>0</v>
      </c>
      <c r="F379" s="776"/>
      <c r="G379" s="784"/>
      <c r="H379" s="774">
        <v>0</v>
      </c>
      <c r="I379" s="776"/>
      <c r="J379" s="784"/>
      <c r="K379" s="774">
        <v>0</v>
      </c>
      <c r="L379" s="776"/>
      <c r="M379" s="784"/>
      <c r="N379" s="774">
        <v>0</v>
      </c>
      <c r="O379" s="776"/>
      <c r="P379" s="784"/>
      <c r="Q379" s="774">
        <v>0</v>
      </c>
      <c r="R379" s="776"/>
      <c r="S379" s="784"/>
      <c r="T379" s="774">
        <v>0</v>
      </c>
      <c r="U379" s="776"/>
      <c r="V379" s="784"/>
      <c r="W379" s="774">
        <v>0</v>
      </c>
      <c r="X379" s="776"/>
      <c r="Y379" s="784"/>
      <c r="Z379" s="774">
        <v>0</v>
      </c>
      <c r="AA379" s="776"/>
      <c r="AB379" s="784"/>
      <c r="AC379" s="774">
        <v>0</v>
      </c>
      <c r="AD379" s="776"/>
      <c r="AE379" s="784"/>
      <c r="AF379" s="774">
        <v>0</v>
      </c>
      <c r="AG379" s="776"/>
      <c r="AH379" s="784"/>
      <c r="AI379" s="774">
        <v>0</v>
      </c>
      <c r="AJ379" s="776"/>
      <c r="AK379" s="784"/>
      <c r="AL379" s="774">
        <v>0</v>
      </c>
      <c r="AM379" s="776"/>
      <c r="AN379" s="784"/>
      <c r="AO379" s="774">
        <v>0</v>
      </c>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8"/>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8"/>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8"/>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8"/>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8"/>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8"/>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8"/>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8"/>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8"/>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8"/>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8"/>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8"/>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8"/>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8"/>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8"/>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8"/>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8"/>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8"/>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8"/>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8"/>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8"/>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8"/>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t="str">
        <f t="shared" si="8"/>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v>0</v>
      </c>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3933</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67"/>
      <c r="C406" s="872"/>
      <c r="D406" s="872"/>
      <c r="E406" s="872"/>
      <c r="F406" s="873"/>
      <c r="G406" s="873"/>
      <c r="H406" s="874">
        <v>4482053.3331780229</v>
      </c>
      <c r="I406" s="873"/>
      <c r="J406" s="873"/>
      <c r="K406" s="874">
        <v>4829966.1848414261</v>
      </c>
      <c r="L406" s="873"/>
      <c r="M406" s="873"/>
      <c r="N406" s="874">
        <v>5153195.4550734181</v>
      </c>
      <c r="O406" s="873"/>
      <c r="P406" s="873"/>
      <c r="Q406" s="874">
        <v>5517580.6656092349</v>
      </c>
      <c r="R406" s="873"/>
      <c r="S406" s="873"/>
      <c r="T406" s="874">
        <v>6218544.1428936739</v>
      </c>
      <c r="U406" s="873"/>
      <c r="V406" s="873"/>
      <c r="W406" s="874">
        <v>6347743.5724750683</v>
      </c>
      <c r="X406" s="873"/>
      <c r="Y406" s="873"/>
      <c r="Z406" s="874">
        <v>6284852.3733866792</v>
      </c>
      <c r="AA406" s="873"/>
      <c r="AB406" s="873"/>
      <c r="AC406" s="874">
        <v>6998856.7929928433</v>
      </c>
      <c r="AD406" s="873"/>
      <c r="AE406" s="873"/>
      <c r="AF406" s="874">
        <v>5391184.2165118074</v>
      </c>
      <c r="AG406" s="873"/>
      <c r="AH406" s="873"/>
      <c r="AI406" s="874">
        <v>7025011.4297198504</v>
      </c>
      <c r="AJ406" s="873"/>
      <c r="AK406" s="873"/>
      <c r="AL406" s="874">
        <v>7681153.0316782119</v>
      </c>
      <c r="AM406" s="873"/>
      <c r="AN406" s="873"/>
      <c r="AO406" s="874">
        <v>5294550.2992112022</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40" t="s">
        <v>3</v>
      </c>
      <c r="C407" s="969">
        <v>2025</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9">B409</f>
        <v>Ventes nettes</v>
      </c>
      <c r="B409" s="55" t="s">
        <v>96</v>
      </c>
      <c r="C409" s="878"/>
      <c r="D409" s="879"/>
      <c r="E409" s="880">
        <v>71224691.497571439</v>
      </c>
      <c r="F409" s="878"/>
      <c r="G409" s="879"/>
      <c r="H409" s="880">
        <v>4482053.3331780229</v>
      </c>
      <c r="I409" s="878"/>
      <c r="J409" s="879"/>
      <c r="K409" s="880">
        <v>4829966.1848414261</v>
      </c>
      <c r="L409" s="878"/>
      <c r="M409" s="879"/>
      <c r="N409" s="880">
        <v>5153195.4550734181</v>
      </c>
      <c r="O409" s="878"/>
      <c r="P409" s="879"/>
      <c r="Q409" s="880">
        <v>5517580.6656092349</v>
      </c>
      <c r="R409" s="878"/>
      <c r="S409" s="879"/>
      <c r="T409" s="880">
        <v>6218544.1428936739</v>
      </c>
      <c r="U409" s="878"/>
      <c r="V409" s="879"/>
      <c r="W409" s="880">
        <v>6347743.5724750683</v>
      </c>
      <c r="X409" s="878"/>
      <c r="Y409" s="879"/>
      <c r="Z409" s="880">
        <v>6284852.3733866792</v>
      </c>
      <c r="AA409" s="878"/>
      <c r="AB409" s="879"/>
      <c r="AC409" s="880">
        <v>6998856.7929928433</v>
      </c>
      <c r="AD409" s="878"/>
      <c r="AE409" s="879"/>
      <c r="AF409" s="880">
        <v>5391184.2165118074</v>
      </c>
      <c r="AG409" s="878"/>
      <c r="AH409" s="879"/>
      <c r="AI409" s="880">
        <v>7025011.4297198504</v>
      </c>
      <c r="AJ409" s="878"/>
      <c r="AK409" s="879"/>
      <c r="AL409" s="880">
        <v>7681153.0316782119</v>
      </c>
      <c r="AM409" s="878"/>
      <c r="AN409" s="879"/>
      <c r="AO409" s="880">
        <v>5294550.2992112022</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9"/>
        <v>Profit brut</v>
      </c>
      <c r="B410" s="68" t="s">
        <v>202</v>
      </c>
      <c r="C410" s="881"/>
      <c r="D410" s="882"/>
      <c r="E410" s="883">
        <v>8497668.2491439786</v>
      </c>
      <c r="F410" s="881"/>
      <c r="G410" s="882"/>
      <c r="H410" s="883">
        <v>554442.41363563016</v>
      </c>
      <c r="I410" s="881"/>
      <c r="J410" s="882"/>
      <c r="K410" s="883">
        <v>534584.27570487466</v>
      </c>
      <c r="L410" s="881"/>
      <c r="M410" s="882"/>
      <c r="N410" s="883">
        <v>565592.67098837288</v>
      </c>
      <c r="O410" s="881"/>
      <c r="P410" s="882"/>
      <c r="Q410" s="883">
        <v>741116.26854674181</v>
      </c>
      <c r="R410" s="881"/>
      <c r="S410" s="882"/>
      <c r="T410" s="883">
        <v>787887.69301066932</v>
      </c>
      <c r="U410" s="881"/>
      <c r="V410" s="882"/>
      <c r="W410" s="883">
        <v>733960.74994453136</v>
      </c>
      <c r="X410" s="881"/>
      <c r="Y410" s="882"/>
      <c r="Z410" s="883">
        <v>717413.29201062571</v>
      </c>
      <c r="AA410" s="881"/>
      <c r="AB410" s="882"/>
      <c r="AC410" s="883">
        <v>775918.47452884051</v>
      </c>
      <c r="AD410" s="881"/>
      <c r="AE410" s="882"/>
      <c r="AF410" s="883">
        <v>631136.47431081475</v>
      </c>
      <c r="AG410" s="881"/>
      <c r="AH410" s="882"/>
      <c r="AI410" s="883">
        <v>852151.78418398125</v>
      </c>
      <c r="AJ410" s="881"/>
      <c r="AK410" s="882"/>
      <c r="AL410" s="883">
        <v>1001809.5215470088</v>
      </c>
      <c r="AM410" s="881"/>
      <c r="AN410" s="882"/>
      <c r="AO410" s="883">
        <v>601654.63073188812</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9"/>
        <v>DÉPENSES</v>
      </c>
      <c r="B411" s="69" t="s">
        <v>203</v>
      </c>
      <c r="C411" s="884"/>
      <c r="D411" s="885"/>
      <c r="E411" s="886"/>
      <c r="F411" s="884"/>
      <c r="G411" s="885"/>
      <c r="H411" s="886"/>
      <c r="I411" s="884"/>
      <c r="J411" s="885"/>
      <c r="K411" s="886"/>
      <c r="L411" s="884"/>
      <c r="M411" s="885"/>
      <c r="N411" s="886"/>
      <c r="O411" s="884"/>
      <c r="P411" s="885"/>
      <c r="Q411" s="886"/>
      <c r="R411" s="884"/>
      <c r="S411" s="885"/>
      <c r="T411" s="886"/>
      <c r="U411" s="884"/>
      <c r="V411" s="885"/>
      <c r="W411" s="886"/>
      <c r="X411" s="884"/>
      <c r="Y411" s="885"/>
      <c r="Z411" s="886"/>
      <c r="AA411" s="884"/>
      <c r="AB411" s="885"/>
      <c r="AC411" s="886"/>
      <c r="AD411" s="884"/>
      <c r="AE411" s="885"/>
      <c r="AF411" s="886"/>
      <c r="AG411" s="884"/>
      <c r="AH411" s="885"/>
      <c r="AI411" s="886"/>
      <c r="AJ411" s="884"/>
      <c r="AK411" s="885"/>
      <c r="AL411" s="886"/>
      <c r="AM411" s="884"/>
      <c r="AN411" s="885"/>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9"/>
        <v>Comm. vendeurs</v>
      </c>
      <c r="B412" s="54" t="s">
        <v>111</v>
      </c>
      <c r="C412" s="887">
        <v>0.32790033729050083</v>
      </c>
      <c r="D412" s="888">
        <v>660.78696242911201</v>
      </c>
      <c r="E412" s="886">
        <v>786997.27225307235</v>
      </c>
      <c r="F412" s="889"/>
      <c r="G412" s="888">
        <v>749.76904232426602</v>
      </c>
      <c r="H412" s="886">
        <v>58481.985301292749</v>
      </c>
      <c r="I412" s="889"/>
      <c r="J412" s="888">
        <v>709.38726538167566</v>
      </c>
      <c r="K412" s="886">
        <v>54622.819434389028</v>
      </c>
      <c r="L412" s="889"/>
      <c r="M412" s="888">
        <v>703.93622103083999</v>
      </c>
      <c r="N412" s="886">
        <v>53499.152798343835</v>
      </c>
      <c r="O412" s="889"/>
      <c r="P412" s="888">
        <v>698.06389563417122</v>
      </c>
      <c r="Q412" s="886">
        <v>60033.495024538723</v>
      </c>
      <c r="R412" s="889"/>
      <c r="S412" s="888">
        <v>679.50765774804984</v>
      </c>
      <c r="T412" s="886">
        <v>67271.258117056932</v>
      </c>
      <c r="U412" s="889"/>
      <c r="V412" s="888">
        <v>671.85449906338499</v>
      </c>
      <c r="W412" s="886">
        <v>71888.431399782188</v>
      </c>
      <c r="X412" s="889"/>
      <c r="Y412" s="888">
        <v>682.58990525002469</v>
      </c>
      <c r="Z412" s="886">
        <v>70306.760240752541</v>
      </c>
      <c r="AA412" s="889"/>
      <c r="AB412" s="888">
        <v>706.55789613616662</v>
      </c>
      <c r="AC412" s="886">
        <v>80547.60015952299</v>
      </c>
      <c r="AD412" s="889"/>
      <c r="AE412" s="888">
        <v>713.93938442037711</v>
      </c>
      <c r="AF412" s="886">
        <v>59970.90829131168</v>
      </c>
      <c r="AG412" s="889"/>
      <c r="AH412" s="888">
        <v>676.41383021283934</v>
      </c>
      <c r="AI412" s="886">
        <v>75081.935153625163</v>
      </c>
      <c r="AJ412" s="889"/>
      <c r="AK412" s="888">
        <v>674.88577714511337</v>
      </c>
      <c r="AL412" s="886">
        <v>79636.521703123377</v>
      </c>
      <c r="AM412" s="889"/>
      <c r="AN412" s="888">
        <v>704.51145100421672</v>
      </c>
      <c r="AO412" s="886">
        <v>55656.404629333119</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9"/>
        <v>Comm. F&amp;I</v>
      </c>
      <c r="B413" s="55" t="s">
        <v>112</v>
      </c>
      <c r="C413" s="890">
        <v>0.28936806432321083</v>
      </c>
      <c r="D413" s="891">
        <v>384.69081272084804</v>
      </c>
      <c r="E413" s="880">
        <v>435470</v>
      </c>
      <c r="F413" s="892"/>
      <c r="G413" s="891">
        <v>368.84615384615387</v>
      </c>
      <c r="H413" s="880">
        <v>28770</v>
      </c>
      <c r="I413" s="892"/>
      <c r="J413" s="891">
        <v>385.06493506493507</v>
      </c>
      <c r="K413" s="880">
        <v>29650</v>
      </c>
      <c r="L413" s="892"/>
      <c r="M413" s="891">
        <v>394.07894736842104</v>
      </c>
      <c r="N413" s="880">
        <v>29950</v>
      </c>
      <c r="O413" s="892"/>
      <c r="P413" s="891">
        <v>387.55813953488371</v>
      </c>
      <c r="Q413" s="880">
        <v>33330</v>
      </c>
      <c r="R413" s="892"/>
      <c r="S413" s="891">
        <v>402.82828282828285</v>
      </c>
      <c r="T413" s="880">
        <v>39880</v>
      </c>
      <c r="U413" s="892"/>
      <c r="V413" s="891">
        <v>393.45794392523362</v>
      </c>
      <c r="W413" s="880">
        <v>42100</v>
      </c>
      <c r="X413" s="892"/>
      <c r="Y413" s="891">
        <v>386.60194174757282</v>
      </c>
      <c r="Z413" s="880">
        <v>39820</v>
      </c>
      <c r="AA413" s="892"/>
      <c r="AB413" s="891">
        <v>366.14035087719299</v>
      </c>
      <c r="AC413" s="880">
        <v>41740</v>
      </c>
      <c r="AD413" s="892"/>
      <c r="AE413" s="891">
        <v>372.85714285714283</v>
      </c>
      <c r="AF413" s="880">
        <v>31320</v>
      </c>
      <c r="AG413" s="892"/>
      <c r="AH413" s="891">
        <v>397.29729729729729</v>
      </c>
      <c r="AI413" s="880">
        <v>44100</v>
      </c>
      <c r="AJ413" s="892"/>
      <c r="AK413" s="891">
        <v>375.50847457627117</v>
      </c>
      <c r="AL413" s="880">
        <v>44310</v>
      </c>
      <c r="AM413" s="892"/>
      <c r="AN413" s="891">
        <v>386.07594936708858</v>
      </c>
      <c r="AO413" s="880">
        <v>30500</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9"/>
        <v>Frais de livraison</v>
      </c>
      <c r="B414" s="54" t="s">
        <v>113</v>
      </c>
      <c r="C414" s="889"/>
      <c r="D414" s="888">
        <v>83.89399293286219</v>
      </c>
      <c r="E414" s="886">
        <v>94968</v>
      </c>
      <c r="F414" s="889"/>
      <c r="G414" s="888">
        <v>90.615384615384613</v>
      </c>
      <c r="H414" s="886">
        <v>7068</v>
      </c>
      <c r="I414" s="889"/>
      <c r="J414" s="888">
        <v>84.740259740259745</v>
      </c>
      <c r="K414" s="886">
        <v>6525</v>
      </c>
      <c r="L414" s="889"/>
      <c r="M414" s="888">
        <v>81.526315789473685</v>
      </c>
      <c r="N414" s="886">
        <v>6196</v>
      </c>
      <c r="O414" s="889"/>
      <c r="P414" s="888">
        <v>82.930232558139537</v>
      </c>
      <c r="Q414" s="886">
        <v>7132</v>
      </c>
      <c r="R414" s="889"/>
      <c r="S414" s="888">
        <v>74.090909090909093</v>
      </c>
      <c r="T414" s="886">
        <v>7335</v>
      </c>
      <c r="U414" s="889"/>
      <c r="V414" s="888">
        <v>81.299065420560751</v>
      </c>
      <c r="W414" s="886">
        <v>8699</v>
      </c>
      <c r="X414" s="889"/>
      <c r="Y414" s="888">
        <v>84.145631067961162</v>
      </c>
      <c r="Z414" s="886">
        <v>8667</v>
      </c>
      <c r="AA414" s="889"/>
      <c r="AB414" s="888">
        <v>90.877192982456137</v>
      </c>
      <c r="AC414" s="886">
        <v>10360</v>
      </c>
      <c r="AD414" s="889"/>
      <c r="AE414" s="888">
        <v>88.535714285714292</v>
      </c>
      <c r="AF414" s="886">
        <v>7437</v>
      </c>
      <c r="AG414" s="889"/>
      <c r="AH414" s="888">
        <v>77.621621621621628</v>
      </c>
      <c r="AI414" s="886">
        <v>8616</v>
      </c>
      <c r="AJ414" s="889"/>
      <c r="AK414" s="888">
        <v>87.16101694915254</v>
      </c>
      <c r="AL414" s="886">
        <v>10285</v>
      </c>
      <c r="AM414" s="889"/>
      <c r="AN414" s="888">
        <v>84.151898734177209</v>
      </c>
      <c r="AO414" s="886">
        <v>6648</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9"/>
        <v>Service gratuit 1</v>
      </c>
      <c r="B415" s="54" t="s">
        <v>114</v>
      </c>
      <c r="C415" s="889"/>
      <c r="D415" s="888">
        <v>21.815371024734983</v>
      </c>
      <c r="E415" s="886">
        <v>24695</v>
      </c>
      <c r="F415" s="889"/>
      <c r="G415" s="888">
        <v>19.807692307692307</v>
      </c>
      <c r="H415" s="886">
        <v>1545</v>
      </c>
      <c r="I415" s="889"/>
      <c r="J415" s="888">
        <v>21.753246753246753</v>
      </c>
      <c r="K415" s="886">
        <v>1675</v>
      </c>
      <c r="L415" s="889"/>
      <c r="M415" s="888">
        <v>22.828947368421051</v>
      </c>
      <c r="N415" s="886">
        <v>1735</v>
      </c>
      <c r="O415" s="889"/>
      <c r="P415" s="888">
        <v>22.151162790697676</v>
      </c>
      <c r="Q415" s="886">
        <v>1905</v>
      </c>
      <c r="R415" s="889"/>
      <c r="S415" s="888">
        <v>24.343434343434343</v>
      </c>
      <c r="T415" s="886">
        <v>2410</v>
      </c>
      <c r="U415" s="889"/>
      <c r="V415" s="888">
        <v>22.803738317757009</v>
      </c>
      <c r="W415" s="886">
        <v>2440</v>
      </c>
      <c r="X415" s="889"/>
      <c r="Y415" s="888">
        <v>21.941747572815533</v>
      </c>
      <c r="Z415" s="886">
        <v>2260</v>
      </c>
      <c r="AA415" s="889"/>
      <c r="AB415" s="888">
        <v>19.561403508771932</v>
      </c>
      <c r="AC415" s="886">
        <v>2230</v>
      </c>
      <c r="AD415" s="889"/>
      <c r="AE415" s="888">
        <v>20.357142857142858</v>
      </c>
      <c r="AF415" s="886">
        <v>1710</v>
      </c>
      <c r="AG415" s="889"/>
      <c r="AH415" s="888">
        <v>23.513513513513512</v>
      </c>
      <c r="AI415" s="886">
        <v>2610</v>
      </c>
      <c r="AJ415" s="889"/>
      <c r="AK415" s="888">
        <v>20.720338983050848</v>
      </c>
      <c r="AL415" s="886">
        <v>2445</v>
      </c>
      <c r="AM415" s="889"/>
      <c r="AN415" s="888">
        <v>21.898734177215189</v>
      </c>
      <c r="AO415" s="886">
        <v>1730</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9"/>
        <v>Entretien stock</v>
      </c>
      <c r="B416" s="55" t="s">
        <v>115</v>
      </c>
      <c r="C416" s="892"/>
      <c r="D416" s="891">
        <v>137.77385159010601</v>
      </c>
      <c r="E416" s="880">
        <v>155960</v>
      </c>
      <c r="F416" s="892"/>
      <c r="G416" s="891">
        <v>135.96153846153845</v>
      </c>
      <c r="H416" s="880">
        <v>10605</v>
      </c>
      <c r="I416" s="892"/>
      <c r="J416" s="891">
        <v>138.19805194805195</v>
      </c>
      <c r="K416" s="880">
        <v>10641.25</v>
      </c>
      <c r="L416" s="892"/>
      <c r="M416" s="891">
        <v>139.46052631578948</v>
      </c>
      <c r="N416" s="880">
        <v>10599</v>
      </c>
      <c r="O416" s="892"/>
      <c r="P416" s="891">
        <v>138.19767441860466</v>
      </c>
      <c r="Q416" s="880">
        <v>11885</v>
      </c>
      <c r="R416" s="892"/>
      <c r="S416" s="891">
        <v>139.04797979797979</v>
      </c>
      <c r="T416" s="880">
        <v>13765.75</v>
      </c>
      <c r="U416" s="892"/>
      <c r="V416" s="891">
        <v>139.20327102803739</v>
      </c>
      <c r="W416" s="880">
        <v>14894.75</v>
      </c>
      <c r="X416" s="892"/>
      <c r="Y416" s="891">
        <v>138.39563106796118</v>
      </c>
      <c r="Z416" s="880">
        <v>14254.75</v>
      </c>
      <c r="AA416" s="892"/>
      <c r="AB416" s="891">
        <v>135.31578947368422</v>
      </c>
      <c r="AC416" s="880">
        <v>15426</v>
      </c>
      <c r="AD416" s="892"/>
      <c r="AE416" s="891">
        <v>136.27678571428572</v>
      </c>
      <c r="AF416" s="880">
        <v>11447.25</v>
      </c>
      <c r="AG416" s="892"/>
      <c r="AH416" s="891">
        <v>138.86486486486487</v>
      </c>
      <c r="AI416" s="880">
        <v>15414</v>
      </c>
      <c r="AJ416" s="892"/>
      <c r="AK416" s="891">
        <v>136.48516949152543</v>
      </c>
      <c r="AL416" s="880">
        <v>16105.25</v>
      </c>
      <c r="AM416" s="892"/>
      <c r="AN416" s="891">
        <v>138.25316455696202</v>
      </c>
      <c r="AO416" s="880">
        <v>10922</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9"/>
        <v>Publicité 1</v>
      </c>
      <c r="B417" s="54" t="s">
        <v>116</v>
      </c>
      <c r="C417" s="889"/>
      <c r="D417" s="888">
        <v>201.26148409893992</v>
      </c>
      <c r="E417" s="886">
        <v>227828</v>
      </c>
      <c r="F417" s="889"/>
      <c r="G417" s="888">
        <v>239.02564102564102</v>
      </c>
      <c r="H417" s="886">
        <v>18644</v>
      </c>
      <c r="I417" s="889"/>
      <c r="J417" s="888">
        <v>243.42857142857142</v>
      </c>
      <c r="K417" s="886">
        <v>18744</v>
      </c>
      <c r="L417" s="889"/>
      <c r="M417" s="888">
        <v>405.84210526315792</v>
      </c>
      <c r="N417" s="886">
        <v>30844</v>
      </c>
      <c r="O417" s="889"/>
      <c r="P417" s="888">
        <v>207.48837209302326</v>
      </c>
      <c r="Q417" s="886">
        <v>17844</v>
      </c>
      <c r="R417" s="889"/>
      <c r="S417" s="888">
        <v>168.12121212121212</v>
      </c>
      <c r="T417" s="886">
        <v>16644</v>
      </c>
      <c r="U417" s="889"/>
      <c r="V417" s="888">
        <v>146.20560747663552</v>
      </c>
      <c r="W417" s="886">
        <v>15644</v>
      </c>
      <c r="X417" s="889"/>
      <c r="Y417" s="888">
        <v>155.76699029126215</v>
      </c>
      <c r="Z417" s="886">
        <v>16044</v>
      </c>
      <c r="AA417" s="889"/>
      <c r="AB417" s="888">
        <v>131.08771929824562</v>
      </c>
      <c r="AC417" s="886">
        <v>14944</v>
      </c>
      <c r="AD417" s="889"/>
      <c r="AE417" s="888">
        <v>214.8095238095238</v>
      </c>
      <c r="AF417" s="886">
        <v>18044</v>
      </c>
      <c r="AG417" s="889"/>
      <c r="AH417" s="888">
        <v>246.34234234234233</v>
      </c>
      <c r="AI417" s="886">
        <v>27344</v>
      </c>
      <c r="AJ417" s="889"/>
      <c r="AK417" s="888">
        <v>123.2542372881356</v>
      </c>
      <c r="AL417" s="886">
        <v>14544</v>
      </c>
      <c r="AM417" s="889"/>
      <c r="AN417" s="888">
        <v>234.73417721518987</v>
      </c>
      <c r="AO417" s="886">
        <v>18544</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9"/>
        <v>Intérêt de gros</v>
      </c>
      <c r="B418" s="54" t="s">
        <v>117</v>
      </c>
      <c r="C418" s="889"/>
      <c r="D418" s="888">
        <v>469.84717314487631</v>
      </c>
      <c r="E418" s="886">
        <v>531867</v>
      </c>
      <c r="F418" s="889"/>
      <c r="G418" s="888">
        <v>531.77094680005905</v>
      </c>
      <c r="H418" s="886">
        <v>41478.133850404607</v>
      </c>
      <c r="I418" s="889"/>
      <c r="J418" s="888">
        <v>533.38128849956968</v>
      </c>
      <c r="K418" s="886">
        <v>41070.359214466866</v>
      </c>
      <c r="L418" s="889"/>
      <c r="M418" s="888">
        <v>564.90309782130043</v>
      </c>
      <c r="N418" s="886">
        <v>42932.635434418837</v>
      </c>
      <c r="O418" s="889"/>
      <c r="P418" s="888">
        <v>519.12375212798781</v>
      </c>
      <c r="Q418" s="886">
        <v>44644.642683006954</v>
      </c>
      <c r="R418" s="889"/>
      <c r="S418" s="888">
        <v>467.4317295632116</v>
      </c>
      <c r="T418" s="886">
        <v>46275.741226757949</v>
      </c>
      <c r="U418" s="889"/>
      <c r="V418" s="888">
        <v>429.49780439895875</v>
      </c>
      <c r="W418" s="886">
        <v>45956.265070688583</v>
      </c>
      <c r="X418" s="889"/>
      <c r="Y418" s="888">
        <v>467.21290012432121</v>
      </c>
      <c r="Z418" s="886">
        <v>48122.928712805086</v>
      </c>
      <c r="AA418" s="889"/>
      <c r="AB418" s="888">
        <v>376.25564431455683</v>
      </c>
      <c r="AC418" s="886">
        <v>42893.143451859476</v>
      </c>
      <c r="AD418" s="889"/>
      <c r="AE418" s="888">
        <v>557.14365560304032</v>
      </c>
      <c r="AF418" s="886">
        <v>46800.067070655386</v>
      </c>
      <c r="AG418" s="889"/>
      <c r="AH418" s="888">
        <v>438.2635545648875</v>
      </c>
      <c r="AI418" s="886">
        <v>48647.254556702515</v>
      </c>
      <c r="AJ418" s="889"/>
      <c r="AK418" s="888">
        <v>356.812899731838</v>
      </c>
      <c r="AL418" s="886">
        <v>42103.922168356883</v>
      </c>
      <c r="AM418" s="889"/>
      <c r="AN418" s="888">
        <v>518.25198177059281</v>
      </c>
      <c r="AO418" s="886">
        <v>40941.906559876836</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9"/>
        <v>[...]</v>
      </c>
      <c r="B419" s="44" t="s">
        <v>59</v>
      </c>
      <c r="C419" s="889"/>
      <c r="D419" s="888"/>
      <c r="E419" s="886">
        <v>0</v>
      </c>
      <c r="F419" s="889"/>
      <c r="G419" s="888"/>
      <c r="H419" s="886">
        <v>0</v>
      </c>
      <c r="I419" s="889"/>
      <c r="J419" s="888"/>
      <c r="K419" s="886">
        <v>0</v>
      </c>
      <c r="L419" s="889"/>
      <c r="M419" s="888"/>
      <c r="N419" s="886">
        <v>0</v>
      </c>
      <c r="O419" s="889"/>
      <c r="P419" s="888"/>
      <c r="Q419" s="886">
        <v>0</v>
      </c>
      <c r="R419" s="889"/>
      <c r="S419" s="888"/>
      <c r="T419" s="886">
        <v>0</v>
      </c>
      <c r="U419" s="889"/>
      <c r="V419" s="888"/>
      <c r="W419" s="886">
        <v>0</v>
      </c>
      <c r="X419" s="889"/>
      <c r="Y419" s="888"/>
      <c r="Z419" s="886">
        <v>0</v>
      </c>
      <c r="AA419" s="889"/>
      <c r="AB419" s="888"/>
      <c r="AC419" s="886">
        <v>0</v>
      </c>
      <c r="AD419" s="889"/>
      <c r="AE419" s="888"/>
      <c r="AF419" s="886">
        <v>0</v>
      </c>
      <c r="AG419" s="889"/>
      <c r="AH419" s="888"/>
      <c r="AI419" s="886">
        <v>0</v>
      </c>
      <c r="AJ419" s="889"/>
      <c r="AK419" s="888"/>
      <c r="AL419" s="886">
        <v>0</v>
      </c>
      <c r="AM419" s="889"/>
      <c r="AN419" s="888"/>
      <c r="AO419" s="886">
        <v>0</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9"/>
        <v>[...]</v>
      </c>
      <c r="B420" s="44" t="s">
        <v>59</v>
      </c>
      <c r="C420" s="889"/>
      <c r="D420" s="888"/>
      <c r="E420" s="886">
        <v>0</v>
      </c>
      <c r="F420" s="889"/>
      <c r="G420" s="888"/>
      <c r="H420" s="886">
        <v>0</v>
      </c>
      <c r="I420" s="889"/>
      <c r="J420" s="888"/>
      <c r="K420" s="886">
        <v>0</v>
      </c>
      <c r="L420" s="889"/>
      <c r="M420" s="888"/>
      <c r="N420" s="886">
        <v>0</v>
      </c>
      <c r="O420" s="889"/>
      <c r="P420" s="888"/>
      <c r="Q420" s="886">
        <v>0</v>
      </c>
      <c r="R420" s="889"/>
      <c r="S420" s="888"/>
      <c r="T420" s="886">
        <v>0</v>
      </c>
      <c r="U420" s="889"/>
      <c r="V420" s="888"/>
      <c r="W420" s="886">
        <v>0</v>
      </c>
      <c r="X420" s="889"/>
      <c r="Y420" s="888"/>
      <c r="Z420" s="886">
        <v>0</v>
      </c>
      <c r="AA420" s="889"/>
      <c r="AB420" s="888"/>
      <c r="AC420" s="886">
        <v>0</v>
      </c>
      <c r="AD420" s="889"/>
      <c r="AE420" s="888"/>
      <c r="AF420" s="886">
        <v>0</v>
      </c>
      <c r="AG420" s="889"/>
      <c r="AH420" s="888"/>
      <c r="AI420" s="886">
        <v>0</v>
      </c>
      <c r="AJ420" s="889"/>
      <c r="AK420" s="888"/>
      <c r="AL420" s="886">
        <v>0</v>
      </c>
      <c r="AM420" s="889"/>
      <c r="AN420" s="888"/>
      <c r="AO420" s="886">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9"/>
        <v>[...]</v>
      </c>
      <c r="B421" s="43" t="s">
        <v>59</v>
      </c>
      <c r="C421" s="889"/>
      <c r="D421" s="888"/>
      <c r="E421" s="886">
        <v>0</v>
      </c>
      <c r="F421" s="889"/>
      <c r="G421" s="888"/>
      <c r="H421" s="886">
        <v>0</v>
      </c>
      <c r="I421" s="889"/>
      <c r="J421" s="888"/>
      <c r="K421" s="886">
        <v>0</v>
      </c>
      <c r="L421" s="889"/>
      <c r="M421" s="888"/>
      <c r="N421" s="886">
        <v>0</v>
      </c>
      <c r="O421" s="889"/>
      <c r="P421" s="888"/>
      <c r="Q421" s="886">
        <v>0</v>
      </c>
      <c r="R421" s="889"/>
      <c r="S421" s="888"/>
      <c r="T421" s="886">
        <v>0</v>
      </c>
      <c r="U421" s="889"/>
      <c r="V421" s="888"/>
      <c r="W421" s="886">
        <v>0</v>
      </c>
      <c r="X421" s="889"/>
      <c r="Y421" s="888"/>
      <c r="Z421" s="886">
        <v>0</v>
      </c>
      <c r="AA421" s="889"/>
      <c r="AB421" s="888"/>
      <c r="AC421" s="886">
        <v>0</v>
      </c>
      <c r="AD421" s="889"/>
      <c r="AE421" s="888"/>
      <c r="AF421" s="886">
        <v>0</v>
      </c>
      <c r="AG421" s="889"/>
      <c r="AH421" s="888"/>
      <c r="AI421" s="886">
        <v>0</v>
      </c>
      <c r="AJ421" s="889"/>
      <c r="AK421" s="888"/>
      <c r="AL421" s="886">
        <v>0</v>
      </c>
      <c r="AM421" s="889"/>
      <c r="AN421" s="888"/>
      <c r="AO421" s="886">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9"/>
        <v>TOTAL VARIABLES</v>
      </c>
      <c r="B422" s="70" t="s">
        <v>118</v>
      </c>
      <c r="C422" s="893">
        <v>0.26569468306561778</v>
      </c>
      <c r="D422" s="894">
        <v>1960.0696479414794</v>
      </c>
      <c r="E422" s="895">
        <v>2257785.2722530724</v>
      </c>
      <c r="F422" s="893">
        <v>0.30046784851704866</v>
      </c>
      <c r="G422" s="896"/>
      <c r="H422" s="895">
        <v>166592.11915169735</v>
      </c>
      <c r="I422" s="893">
        <v>0.30477594656899898</v>
      </c>
      <c r="J422" s="896"/>
      <c r="K422" s="895">
        <v>162928.42864885589</v>
      </c>
      <c r="L422" s="893">
        <v>0.31074622647713862</v>
      </c>
      <c r="M422" s="896"/>
      <c r="N422" s="895">
        <v>175755.78823276266</v>
      </c>
      <c r="O422" s="893">
        <v>0.23852416309006796</v>
      </c>
      <c r="P422" s="896"/>
      <c r="Q422" s="895">
        <v>176774.13770754565</v>
      </c>
      <c r="R422" s="893">
        <v>0.24569713559568626</v>
      </c>
      <c r="S422" s="896"/>
      <c r="T422" s="895">
        <v>193581.74934381485</v>
      </c>
      <c r="U422" s="893">
        <v>0.27470467117718256</v>
      </c>
      <c r="V422" s="896"/>
      <c r="W422" s="895">
        <v>201622.44647047078</v>
      </c>
      <c r="X422" s="893">
        <v>0.27804815045244963</v>
      </c>
      <c r="Y422" s="896"/>
      <c r="Z422" s="895">
        <v>199475.43895355763</v>
      </c>
      <c r="AA422" s="893">
        <v>0.26825078979820832</v>
      </c>
      <c r="AB422" s="896"/>
      <c r="AC422" s="895">
        <v>208140.74361138247</v>
      </c>
      <c r="AD422" s="893">
        <v>0.28001744876961981</v>
      </c>
      <c r="AE422" s="896"/>
      <c r="AF422" s="895">
        <v>176729.22536196705</v>
      </c>
      <c r="AG422" s="893">
        <v>0.2602977472173405</v>
      </c>
      <c r="AH422" s="896"/>
      <c r="AI422" s="895">
        <v>221813.18971032766</v>
      </c>
      <c r="AJ422" s="893">
        <v>0.20905141083913428</v>
      </c>
      <c r="AK422" s="896"/>
      <c r="AL422" s="895">
        <v>209429.69387148027</v>
      </c>
      <c r="AM422" s="893">
        <v>0.27414782960876477</v>
      </c>
      <c r="AN422" s="896"/>
      <c r="AO422" s="895">
        <v>164942.31118920996</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9"/>
        <v>Salaires propriétaire</v>
      </c>
      <c r="B423" s="54" t="s">
        <v>204</v>
      </c>
      <c r="C423" s="889"/>
      <c r="D423" s="888"/>
      <c r="E423" s="886">
        <v>185344.49999999997</v>
      </c>
      <c r="F423" s="889"/>
      <c r="G423" s="888"/>
      <c r="H423" s="897">
        <v>17433.836538461539</v>
      </c>
      <c r="I423" s="889"/>
      <c r="J423" s="888"/>
      <c r="K423" s="897">
        <v>14451.14423076923</v>
      </c>
      <c r="L423" s="889"/>
      <c r="M423" s="888"/>
      <c r="N423" s="897">
        <v>14451.14423076923</v>
      </c>
      <c r="O423" s="889"/>
      <c r="P423" s="888"/>
      <c r="Q423" s="897">
        <v>14451.14423076923</v>
      </c>
      <c r="R423" s="889"/>
      <c r="S423" s="888"/>
      <c r="T423" s="897">
        <v>17433.836538461539</v>
      </c>
      <c r="U423" s="889"/>
      <c r="V423" s="888"/>
      <c r="W423" s="897">
        <v>14451.14423076923</v>
      </c>
      <c r="X423" s="889"/>
      <c r="Y423" s="888"/>
      <c r="Z423" s="897">
        <v>14451.14423076923</v>
      </c>
      <c r="AA423" s="889"/>
      <c r="AB423" s="888"/>
      <c r="AC423" s="897">
        <v>17433.836538461539</v>
      </c>
      <c r="AD423" s="889"/>
      <c r="AE423" s="888"/>
      <c r="AF423" s="897">
        <v>14451.14423076923</v>
      </c>
      <c r="AG423" s="889"/>
      <c r="AH423" s="888"/>
      <c r="AI423" s="897">
        <v>17433.836538461539</v>
      </c>
      <c r="AJ423" s="889"/>
      <c r="AK423" s="888"/>
      <c r="AL423" s="897">
        <v>14451.14423076923</v>
      </c>
      <c r="AM423" s="889"/>
      <c r="AN423" s="888"/>
      <c r="AO423" s="897">
        <v>14451.14423076923</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9"/>
        <v>Salaires cadres</v>
      </c>
      <c r="B424" s="54" t="s">
        <v>120</v>
      </c>
      <c r="C424" s="889"/>
      <c r="D424" s="888"/>
      <c r="E424" s="886">
        <v>717152</v>
      </c>
      <c r="F424" s="889"/>
      <c r="G424" s="888"/>
      <c r="H424" s="886">
        <v>66080.858974358984</v>
      </c>
      <c r="I424" s="889"/>
      <c r="J424" s="888"/>
      <c r="K424" s="886">
        <v>56603.570512820515</v>
      </c>
      <c r="L424" s="889"/>
      <c r="M424" s="888"/>
      <c r="N424" s="886">
        <v>56603.570512820515</v>
      </c>
      <c r="O424" s="889"/>
      <c r="P424" s="888"/>
      <c r="Q424" s="886">
        <v>56603.570512820515</v>
      </c>
      <c r="R424" s="889"/>
      <c r="S424" s="888"/>
      <c r="T424" s="886">
        <v>66080.858974358984</v>
      </c>
      <c r="U424" s="889"/>
      <c r="V424" s="888"/>
      <c r="W424" s="886">
        <v>56603.570512820515</v>
      </c>
      <c r="X424" s="889"/>
      <c r="Y424" s="888"/>
      <c r="Z424" s="886">
        <v>56603.570512820515</v>
      </c>
      <c r="AA424" s="889"/>
      <c r="AB424" s="888"/>
      <c r="AC424" s="886">
        <v>66080.858974358984</v>
      </c>
      <c r="AD424" s="889"/>
      <c r="AE424" s="888"/>
      <c r="AF424" s="886">
        <v>56603.570512820515</v>
      </c>
      <c r="AG424" s="889"/>
      <c r="AH424" s="888"/>
      <c r="AI424" s="886">
        <v>66080.858974358984</v>
      </c>
      <c r="AJ424" s="889"/>
      <c r="AK424" s="888"/>
      <c r="AL424" s="886">
        <v>56603.570512820515</v>
      </c>
      <c r="AM424" s="889"/>
      <c r="AN424" s="888"/>
      <c r="AO424" s="886">
        <v>56603.570512820515</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9"/>
        <v>Salaires commis</v>
      </c>
      <c r="B425" s="55" t="s">
        <v>121</v>
      </c>
      <c r="C425" s="892"/>
      <c r="D425" s="891"/>
      <c r="E425" s="880">
        <v>802495.26399999997</v>
      </c>
      <c r="F425" s="892"/>
      <c r="G425" s="891"/>
      <c r="H425" s="880">
        <v>76615.390769230769</v>
      </c>
      <c r="I425" s="892"/>
      <c r="J425" s="891"/>
      <c r="K425" s="880">
        <v>62004.212615384618</v>
      </c>
      <c r="L425" s="892"/>
      <c r="M425" s="891"/>
      <c r="N425" s="880">
        <v>62004.212615384618</v>
      </c>
      <c r="O425" s="892"/>
      <c r="P425" s="891"/>
      <c r="Q425" s="880">
        <v>62004.212615384618</v>
      </c>
      <c r="R425" s="892"/>
      <c r="S425" s="891"/>
      <c r="T425" s="880">
        <v>76615.390769230769</v>
      </c>
      <c r="U425" s="892"/>
      <c r="V425" s="891"/>
      <c r="W425" s="880">
        <v>62004.212615384618</v>
      </c>
      <c r="X425" s="892"/>
      <c r="Y425" s="891"/>
      <c r="Z425" s="880">
        <v>62004.212615384618</v>
      </c>
      <c r="AA425" s="892"/>
      <c r="AB425" s="891"/>
      <c r="AC425" s="880">
        <v>76615.390769230769</v>
      </c>
      <c r="AD425" s="892"/>
      <c r="AE425" s="891"/>
      <c r="AF425" s="880">
        <v>62004.212615384618</v>
      </c>
      <c r="AG425" s="892"/>
      <c r="AH425" s="891"/>
      <c r="AI425" s="880">
        <v>76615.390769230769</v>
      </c>
      <c r="AJ425" s="892"/>
      <c r="AK425" s="891"/>
      <c r="AL425" s="880">
        <v>62004.212615384618</v>
      </c>
      <c r="AM425" s="892"/>
      <c r="AN425" s="891"/>
      <c r="AO425" s="880">
        <v>62004.212615384618</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9"/>
        <v>Salaires autres</v>
      </c>
      <c r="B426" s="54" t="s">
        <v>122</v>
      </c>
      <c r="C426" s="889"/>
      <c r="D426" s="888"/>
      <c r="E426" s="886">
        <v>253318</v>
      </c>
      <c r="F426" s="889"/>
      <c r="G426" s="888"/>
      <c r="H426" s="886">
        <v>24357.5</v>
      </c>
      <c r="I426" s="889"/>
      <c r="J426" s="888"/>
      <c r="K426" s="886">
        <v>19486</v>
      </c>
      <c r="L426" s="889"/>
      <c r="M426" s="888"/>
      <c r="N426" s="886">
        <v>19486</v>
      </c>
      <c r="O426" s="889"/>
      <c r="P426" s="888"/>
      <c r="Q426" s="886">
        <v>19486</v>
      </c>
      <c r="R426" s="889"/>
      <c r="S426" s="888"/>
      <c r="T426" s="886">
        <v>24357.5</v>
      </c>
      <c r="U426" s="889"/>
      <c r="V426" s="888"/>
      <c r="W426" s="886">
        <v>19486</v>
      </c>
      <c r="X426" s="889"/>
      <c r="Y426" s="888"/>
      <c r="Z426" s="886">
        <v>19486</v>
      </c>
      <c r="AA426" s="889"/>
      <c r="AB426" s="888"/>
      <c r="AC426" s="886">
        <v>24357.5</v>
      </c>
      <c r="AD426" s="889"/>
      <c r="AE426" s="888"/>
      <c r="AF426" s="886">
        <v>19486</v>
      </c>
      <c r="AG426" s="889"/>
      <c r="AH426" s="888"/>
      <c r="AI426" s="886">
        <v>24357.5</v>
      </c>
      <c r="AJ426" s="889"/>
      <c r="AK426" s="888"/>
      <c r="AL426" s="886">
        <v>19486</v>
      </c>
      <c r="AM426" s="889"/>
      <c r="AN426" s="888"/>
      <c r="AO426" s="886">
        <v>19486</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9"/>
        <v>Salaires spécialistes</v>
      </c>
      <c r="B427" s="54" t="s">
        <v>123</v>
      </c>
      <c r="C427" s="889"/>
      <c r="D427" s="888"/>
      <c r="E427" s="886">
        <v>364410.51199999993</v>
      </c>
      <c r="F427" s="889"/>
      <c r="G427" s="888"/>
      <c r="H427" s="886">
        <v>27038.791267692308</v>
      </c>
      <c r="I427" s="889"/>
      <c r="J427" s="888"/>
      <c r="K427" s="886">
        <v>22603.078374153847</v>
      </c>
      <c r="L427" s="889"/>
      <c r="M427" s="888"/>
      <c r="N427" s="886">
        <v>24741.578166153842</v>
      </c>
      <c r="O427" s="889"/>
      <c r="P427" s="888"/>
      <c r="Q427" s="886">
        <v>34267.622694153848</v>
      </c>
      <c r="R427" s="889"/>
      <c r="S427" s="888"/>
      <c r="T427" s="886">
        <v>37148.063011692306</v>
      </c>
      <c r="U427" s="889"/>
      <c r="V427" s="888"/>
      <c r="W427" s="886">
        <v>26685.668886153846</v>
      </c>
      <c r="X427" s="889"/>
      <c r="Y427" s="888"/>
      <c r="Z427" s="886">
        <v>26685.668886153846</v>
      </c>
      <c r="AA427" s="889"/>
      <c r="AB427" s="888"/>
      <c r="AC427" s="886">
        <v>29954.927347692312</v>
      </c>
      <c r="AD427" s="889"/>
      <c r="AE427" s="888"/>
      <c r="AF427" s="886">
        <v>25713.623526153846</v>
      </c>
      <c r="AG427" s="889"/>
      <c r="AH427" s="888"/>
      <c r="AI427" s="886">
        <v>37731.290227692305</v>
      </c>
      <c r="AJ427" s="889"/>
      <c r="AK427" s="888"/>
      <c r="AL427" s="886">
        <v>44182.485366153844</v>
      </c>
      <c r="AM427" s="889"/>
      <c r="AN427" s="888"/>
      <c r="AO427" s="886">
        <v>27657.714246153846</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9"/>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9"/>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9"/>
        <v>[...]</v>
      </c>
      <c r="B430" s="44" t="s">
        <v>59</v>
      </c>
      <c r="C430" s="889"/>
      <c r="D430" s="888"/>
      <c r="E430" s="886">
        <v>0</v>
      </c>
      <c r="F430" s="889"/>
      <c r="G430" s="888"/>
      <c r="H430" s="886">
        <v>0</v>
      </c>
      <c r="I430" s="889"/>
      <c r="J430" s="888"/>
      <c r="K430" s="886">
        <v>0</v>
      </c>
      <c r="L430" s="889"/>
      <c r="M430" s="888"/>
      <c r="N430" s="886">
        <v>0</v>
      </c>
      <c r="O430" s="889"/>
      <c r="P430" s="888"/>
      <c r="Q430" s="886">
        <v>0</v>
      </c>
      <c r="R430" s="889"/>
      <c r="S430" s="888"/>
      <c r="T430" s="886">
        <v>0</v>
      </c>
      <c r="U430" s="889"/>
      <c r="V430" s="888"/>
      <c r="W430" s="886">
        <v>0</v>
      </c>
      <c r="X430" s="889"/>
      <c r="Y430" s="888"/>
      <c r="Z430" s="886">
        <v>0</v>
      </c>
      <c r="AA430" s="889"/>
      <c r="AB430" s="888"/>
      <c r="AC430" s="886">
        <v>0</v>
      </c>
      <c r="AD430" s="889"/>
      <c r="AE430" s="888"/>
      <c r="AF430" s="886">
        <v>0</v>
      </c>
      <c r="AG430" s="889"/>
      <c r="AH430" s="888"/>
      <c r="AI430" s="886">
        <v>0</v>
      </c>
      <c r="AJ430" s="889"/>
      <c r="AK430" s="888"/>
      <c r="AL430" s="886">
        <v>0</v>
      </c>
      <c r="AM430" s="889"/>
      <c r="AN430" s="888"/>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9"/>
        <v>Salaires en absences</v>
      </c>
      <c r="B431" s="55" t="s">
        <v>124</v>
      </c>
      <c r="C431" s="892"/>
      <c r="D431" s="898">
        <v>0.11014736401195369</v>
      </c>
      <c r="E431" s="880">
        <v>513889.31929034612</v>
      </c>
      <c r="F431" s="892"/>
      <c r="G431" s="898">
        <v>0.11138984223223725</v>
      </c>
      <c r="H431" s="880">
        <v>40851.018164011308</v>
      </c>
      <c r="I431" s="892"/>
      <c r="J431" s="898">
        <v>0.10776608722725012</v>
      </c>
      <c r="K431" s="880">
        <v>34766.414348550854</v>
      </c>
      <c r="L431" s="892"/>
      <c r="M431" s="898">
        <v>0.11779448414357888</v>
      </c>
      <c r="N431" s="880">
        <v>39408.532905082262</v>
      </c>
      <c r="O431" s="892"/>
      <c r="P431" s="898">
        <v>0.1188317984089961</v>
      </c>
      <c r="Q431" s="880">
        <v>46156.693902893116</v>
      </c>
      <c r="R431" s="892"/>
      <c r="S431" s="898">
        <v>0.1159399880390808</v>
      </c>
      <c r="T431" s="880">
        <v>50874.026198030195</v>
      </c>
      <c r="U431" s="892"/>
      <c r="V431" s="898">
        <v>0.10562290300567331</v>
      </c>
      <c r="W431" s="880">
        <v>40407.6020174925</v>
      </c>
      <c r="X431" s="892"/>
      <c r="Y431" s="898">
        <v>0.10593139520165165</v>
      </c>
      <c r="Z431" s="880">
        <v>40379.47450759507</v>
      </c>
      <c r="AA431" s="892"/>
      <c r="AB431" s="898">
        <v>0.10464298644455408</v>
      </c>
      <c r="AC431" s="880">
        <v>45615.408166221452</v>
      </c>
      <c r="AD431" s="892"/>
      <c r="AE431" s="898">
        <v>0.1140491263140605</v>
      </c>
      <c r="AF431" s="880">
        <v>40224.346062570352</v>
      </c>
      <c r="AG431" s="892"/>
      <c r="AH431" s="898">
        <v>0.10901049043239308</v>
      </c>
      <c r="AI431" s="880">
        <v>49347.747293735192</v>
      </c>
      <c r="AJ431" s="892"/>
      <c r="AK431" s="898">
        <v>0.10668796274517099</v>
      </c>
      <c r="AL431" s="880">
        <v>49703.901498454761</v>
      </c>
      <c r="AM431" s="892"/>
      <c r="AN431" s="898">
        <v>0.1052752458418561</v>
      </c>
      <c r="AO431" s="880">
        <v>36154.154225709033</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9"/>
        <v>Déduction à la source</v>
      </c>
      <c r="B432" s="54" t="s">
        <v>125</v>
      </c>
      <c r="C432" s="889"/>
      <c r="D432" s="899">
        <v>0.13392366725682472</v>
      </c>
      <c r="E432" s="886">
        <v>624816.96970984805</v>
      </c>
      <c r="F432" s="889"/>
      <c r="G432" s="899">
        <v>0.1354343456215748</v>
      </c>
      <c r="H432" s="886">
        <v>49669.079353599649</v>
      </c>
      <c r="I432" s="889"/>
      <c r="J432" s="899">
        <v>0.13102837037322038</v>
      </c>
      <c r="K432" s="886">
        <v>42271.058855506759</v>
      </c>
      <c r="L432" s="889"/>
      <c r="M432" s="899">
        <v>0.1432214873287567</v>
      </c>
      <c r="N432" s="886">
        <v>47915.220624681511</v>
      </c>
      <c r="O432" s="889"/>
      <c r="P432" s="899">
        <v>0.14448271524618028</v>
      </c>
      <c r="Q432" s="886">
        <v>56120.03311541189</v>
      </c>
      <c r="R432" s="889"/>
      <c r="S432" s="899">
        <v>0.14096668149245067</v>
      </c>
      <c r="T432" s="886">
        <v>61855.644187913364</v>
      </c>
      <c r="U432" s="889"/>
      <c r="V432" s="899">
        <v>0.12842256048266887</v>
      </c>
      <c r="W432" s="886">
        <v>49129.947827435812</v>
      </c>
      <c r="X432" s="889"/>
      <c r="Y432" s="899">
        <v>0.12879764350509187</v>
      </c>
      <c r="Z432" s="886">
        <v>49095.74874051207</v>
      </c>
      <c r="AA432" s="889"/>
      <c r="AB432" s="899">
        <v>0.12723112008236531</v>
      </c>
      <c r="AC432" s="886">
        <v>55461.905964216392</v>
      </c>
      <c r="AD432" s="889"/>
      <c r="AE432" s="899">
        <v>0.13866766018802068</v>
      </c>
      <c r="AF432" s="886">
        <v>48907.134419689057</v>
      </c>
      <c r="AG432" s="889"/>
      <c r="AH432" s="899">
        <v>0.132541389248196</v>
      </c>
      <c r="AI432" s="886">
        <v>59999.904198550284</v>
      </c>
      <c r="AJ432" s="889"/>
      <c r="AK432" s="899">
        <v>0.12971752298531802</v>
      </c>
      <c r="AL432" s="886">
        <v>60432.937504729132</v>
      </c>
      <c r="AM432" s="889"/>
      <c r="AN432" s="899">
        <v>0.12799985838040653</v>
      </c>
      <c r="AO432" s="886">
        <v>43958.35491760217</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9"/>
        <v>Bénéfices marginaux</v>
      </c>
      <c r="B433" s="54" t="s">
        <v>126</v>
      </c>
      <c r="C433" s="889"/>
      <c r="D433" s="899">
        <v>6.8999802477972744E-2</v>
      </c>
      <c r="E433" s="886">
        <v>321916.56917659566</v>
      </c>
      <c r="F433" s="889"/>
      <c r="G433" s="899">
        <v>6.9778130244159187E-2</v>
      </c>
      <c r="H433" s="886">
        <v>25590.373493050251</v>
      </c>
      <c r="I433" s="889"/>
      <c r="J433" s="899">
        <v>6.7508095170550494E-2</v>
      </c>
      <c r="K433" s="886">
        <v>21778.78467120674</v>
      </c>
      <c r="L433" s="889"/>
      <c r="M433" s="899">
        <v>7.3790201080250722E-2</v>
      </c>
      <c r="N433" s="886">
        <v>24686.754974020692</v>
      </c>
      <c r="O433" s="889"/>
      <c r="P433" s="899">
        <v>7.4440007637705932E-2</v>
      </c>
      <c r="Q433" s="886">
        <v>28914.017061636128</v>
      </c>
      <c r="R433" s="889"/>
      <c r="S433" s="899">
        <v>7.2628485899371306E-2</v>
      </c>
      <c r="T433" s="886">
        <v>31869.10363594666</v>
      </c>
      <c r="U433" s="889"/>
      <c r="V433" s="899">
        <v>6.6165536596505481E-2</v>
      </c>
      <c r="W433" s="886">
        <v>25312.603554570189</v>
      </c>
      <c r="X433" s="889"/>
      <c r="Y433" s="899">
        <v>6.6358785892840819E-2</v>
      </c>
      <c r="Z433" s="886">
        <v>25294.983590220349</v>
      </c>
      <c r="AA433" s="889"/>
      <c r="AB433" s="899">
        <v>6.5551685781566463E-2</v>
      </c>
      <c r="AC433" s="886">
        <v>28574.938507650611</v>
      </c>
      <c r="AD433" s="889"/>
      <c r="AE433" s="899">
        <v>7.1443990140349786E-2</v>
      </c>
      <c r="AF433" s="886">
        <v>25197.806211883275</v>
      </c>
      <c r="AG433" s="889"/>
      <c r="AH433" s="899">
        <v>6.8287628808309672E-2</v>
      </c>
      <c r="AI433" s="886">
        <v>30912.994119687857</v>
      </c>
      <c r="AJ433" s="889"/>
      <c r="AK433" s="899">
        <v>6.6832723798957328E-2</v>
      </c>
      <c r="AL433" s="886">
        <v>31136.100410045223</v>
      </c>
      <c r="AM433" s="889"/>
      <c r="AN433" s="899">
        <v>6.5947753122079011E-2</v>
      </c>
      <c r="AO433" s="886">
        <v>22648.108946677639</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9"/>
        <v>Csst</v>
      </c>
      <c r="B434" s="54" t="s">
        <v>127</v>
      </c>
      <c r="C434" s="889"/>
      <c r="D434" s="899">
        <v>3.0084302064938881E-2</v>
      </c>
      <c r="E434" s="886">
        <v>140357.43522467598</v>
      </c>
      <c r="F434" s="889"/>
      <c r="G434" s="899">
        <v>3.0423657349774043E-2</v>
      </c>
      <c r="H434" s="886">
        <v>11157.54681131586</v>
      </c>
      <c r="I434" s="889"/>
      <c r="J434" s="899">
        <v>2.9433909286737909E-2</v>
      </c>
      <c r="K434" s="886">
        <v>9495.6726414544155</v>
      </c>
      <c r="L434" s="889"/>
      <c r="M434" s="899">
        <v>3.217294280573519E-2</v>
      </c>
      <c r="N434" s="886">
        <v>10763.564053370483</v>
      </c>
      <c r="O434" s="889"/>
      <c r="P434" s="899">
        <v>3.2456262120518754E-2</v>
      </c>
      <c r="Q434" s="886">
        <v>12606.674105636004</v>
      </c>
      <c r="R434" s="889"/>
      <c r="S434" s="899">
        <v>3.1666428451202683E-2</v>
      </c>
      <c r="T434" s="886">
        <v>13895.108476995028</v>
      </c>
      <c r="U434" s="889"/>
      <c r="V434" s="899">
        <v>2.8848546195382137E-2</v>
      </c>
      <c r="W434" s="886">
        <v>11036.437555438479</v>
      </c>
      <c r="X434" s="889"/>
      <c r="Y434" s="899">
        <v>2.8932803975781504E-2</v>
      </c>
      <c r="Z434" s="886">
        <v>11028.755151854159</v>
      </c>
      <c r="AA434" s="889"/>
      <c r="AB434" s="899">
        <v>2.8580903786618286E-2</v>
      </c>
      <c r="AC434" s="886">
        <v>12458.833948483389</v>
      </c>
      <c r="AD434" s="889"/>
      <c r="AE434" s="899">
        <v>3.1149981636439426E-2</v>
      </c>
      <c r="AF434" s="886">
        <v>10986.385268191019</v>
      </c>
      <c r="AG434" s="889"/>
      <c r="AH434" s="899">
        <v>2.9773790338362863E-2</v>
      </c>
      <c r="AI434" s="886">
        <v>13478.239348949697</v>
      </c>
      <c r="AJ434" s="889"/>
      <c r="AK434" s="899">
        <v>2.9139443569165639E-2</v>
      </c>
      <c r="AL434" s="886">
        <v>13575.514946714513</v>
      </c>
      <c r="AM434" s="889"/>
      <c r="AN434" s="899">
        <v>2.8753591375308703E-2</v>
      </c>
      <c r="AO434" s="886">
        <v>9874.7029162729486</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9"/>
        <v>[...]</v>
      </c>
      <c r="B435" s="44" t="s">
        <v>59</v>
      </c>
      <c r="C435" s="889"/>
      <c r="D435" s="888"/>
      <c r="E435" s="886">
        <v>0</v>
      </c>
      <c r="F435" s="889"/>
      <c r="G435" s="888"/>
      <c r="H435" s="886">
        <v>0</v>
      </c>
      <c r="I435" s="889"/>
      <c r="J435" s="888"/>
      <c r="K435" s="886">
        <v>0</v>
      </c>
      <c r="L435" s="889"/>
      <c r="M435" s="888"/>
      <c r="N435" s="886">
        <v>0</v>
      </c>
      <c r="O435" s="889"/>
      <c r="P435" s="888"/>
      <c r="Q435" s="886">
        <v>0</v>
      </c>
      <c r="R435" s="889"/>
      <c r="S435" s="888"/>
      <c r="T435" s="886">
        <v>0</v>
      </c>
      <c r="U435" s="889"/>
      <c r="V435" s="888"/>
      <c r="W435" s="886">
        <v>0</v>
      </c>
      <c r="X435" s="889"/>
      <c r="Y435" s="888"/>
      <c r="Z435" s="886">
        <v>0</v>
      </c>
      <c r="AA435" s="889"/>
      <c r="AB435" s="888"/>
      <c r="AC435" s="886">
        <v>0</v>
      </c>
      <c r="AD435" s="889"/>
      <c r="AE435" s="888"/>
      <c r="AF435" s="886">
        <v>0</v>
      </c>
      <c r="AG435" s="889"/>
      <c r="AH435" s="888"/>
      <c r="AI435" s="886">
        <v>0</v>
      </c>
      <c r="AJ435" s="889"/>
      <c r="AK435" s="888"/>
      <c r="AL435" s="886">
        <v>0</v>
      </c>
      <c r="AM435" s="889"/>
      <c r="AN435" s="888"/>
      <c r="AO435" s="886">
        <v>0</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9"/>
        <v>TOTAL PERSONNEL</v>
      </c>
      <c r="B436" s="70" t="s">
        <v>128</v>
      </c>
      <c r="C436" s="893">
        <v>0.46173849747508372</v>
      </c>
      <c r="D436" s="900"/>
      <c r="E436" s="895">
        <v>3923700.5694014658</v>
      </c>
      <c r="F436" s="893">
        <v>0.61105425385867107</v>
      </c>
      <c r="G436" s="900"/>
      <c r="H436" s="895">
        <v>338794.39537172066</v>
      </c>
      <c r="I436" s="893">
        <v>0.53024368491963525</v>
      </c>
      <c r="J436" s="900"/>
      <c r="K436" s="895">
        <v>283459.936249847</v>
      </c>
      <c r="L436" s="893">
        <v>0.53052416248238765</v>
      </c>
      <c r="M436" s="900"/>
      <c r="N436" s="895">
        <v>300060.57808228314</v>
      </c>
      <c r="O436" s="893">
        <v>0.44609730250153584</v>
      </c>
      <c r="P436" s="900"/>
      <c r="Q436" s="895">
        <v>330609.96823870536</v>
      </c>
      <c r="R436" s="893">
        <v>0.48246664488447749</v>
      </c>
      <c r="S436" s="900"/>
      <c r="T436" s="895">
        <v>380129.53179262881</v>
      </c>
      <c r="U436" s="893">
        <v>0.41571322066353578</v>
      </c>
      <c r="V436" s="900"/>
      <c r="W436" s="895">
        <v>305117.18720006518</v>
      </c>
      <c r="X436" s="893">
        <v>0.42517968600837125</v>
      </c>
      <c r="Y436" s="900"/>
      <c r="Z436" s="895">
        <v>305029.55823530979</v>
      </c>
      <c r="AA436" s="893">
        <v>0.45952456594466945</v>
      </c>
      <c r="AB436" s="900"/>
      <c r="AC436" s="895">
        <v>356553.60021631548</v>
      </c>
      <c r="AD436" s="893">
        <v>0.48099616359355135</v>
      </c>
      <c r="AE436" s="900"/>
      <c r="AF436" s="895">
        <v>303574.22284746188</v>
      </c>
      <c r="AG436" s="893">
        <v>0.44118638069939969</v>
      </c>
      <c r="AH436" s="900"/>
      <c r="AI436" s="895">
        <v>375957.76147066662</v>
      </c>
      <c r="AJ436" s="893">
        <v>0.35094083208768401</v>
      </c>
      <c r="AK436" s="900"/>
      <c r="AL436" s="895">
        <v>351575.86708507186</v>
      </c>
      <c r="AM436" s="893">
        <v>0.48672103172407172</v>
      </c>
      <c r="AN436" s="900"/>
      <c r="AO436" s="895">
        <v>292837.96261138999</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9"/>
        <v>Publicité 2</v>
      </c>
      <c r="B437" s="63" t="s">
        <v>129</v>
      </c>
      <c r="C437" s="901"/>
      <c r="D437" s="902"/>
      <c r="E437" s="903">
        <v>193427</v>
      </c>
      <c r="F437" s="901"/>
      <c r="G437" s="902"/>
      <c r="H437" s="903">
        <v>15567.374011479942</v>
      </c>
      <c r="I437" s="901"/>
      <c r="J437" s="902"/>
      <c r="K437" s="903">
        <v>12556.580701543739</v>
      </c>
      <c r="L437" s="901"/>
      <c r="M437" s="902"/>
      <c r="N437" s="903">
        <v>14782.200469688883</v>
      </c>
      <c r="O437" s="901"/>
      <c r="P437" s="902"/>
      <c r="Q437" s="903">
        <v>21996.263268512084</v>
      </c>
      <c r="R437" s="901"/>
      <c r="S437" s="902"/>
      <c r="T437" s="903">
        <v>18269.622508647986</v>
      </c>
      <c r="U437" s="901"/>
      <c r="V437" s="902"/>
      <c r="W437" s="903">
        <v>12572.572144729857</v>
      </c>
      <c r="X437" s="901"/>
      <c r="Y437" s="902"/>
      <c r="Z437" s="903">
        <v>12192.953081014641</v>
      </c>
      <c r="AA437" s="901"/>
      <c r="AB437" s="902"/>
      <c r="AC437" s="903">
        <v>12171.456516376076</v>
      </c>
      <c r="AD437" s="901"/>
      <c r="AE437" s="902"/>
      <c r="AF437" s="903">
        <v>14848.680537501306</v>
      </c>
      <c r="AG437" s="901"/>
      <c r="AH437" s="902"/>
      <c r="AI437" s="903">
        <v>17961.269888068269</v>
      </c>
      <c r="AJ437" s="901"/>
      <c r="AK437" s="902"/>
      <c r="AL437" s="903">
        <v>26465.184486138867</v>
      </c>
      <c r="AM437" s="901"/>
      <c r="AN437" s="902"/>
      <c r="AO437" s="903">
        <v>14042.842386298358</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9"/>
        <v>Service gratuit 2</v>
      </c>
      <c r="B438" s="54" t="s">
        <v>130</v>
      </c>
      <c r="C438" s="889"/>
      <c r="D438" s="888"/>
      <c r="E438" s="886">
        <v>54544.5739536685</v>
      </c>
      <c r="F438" s="889"/>
      <c r="G438" s="888"/>
      <c r="H438" s="886">
        <v>4545.3811628057083</v>
      </c>
      <c r="I438" s="889"/>
      <c r="J438" s="888"/>
      <c r="K438" s="886">
        <v>4545.3811628057083</v>
      </c>
      <c r="L438" s="889"/>
      <c r="M438" s="888"/>
      <c r="N438" s="886">
        <v>4545.3811628057083</v>
      </c>
      <c r="O438" s="889"/>
      <c r="P438" s="888"/>
      <c r="Q438" s="886">
        <v>4545.3811628057083</v>
      </c>
      <c r="R438" s="889"/>
      <c r="S438" s="888"/>
      <c r="T438" s="886">
        <v>4545.3811628057083</v>
      </c>
      <c r="U438" s="889"/>
      <c r="V438" s="888"/>
      <c r="W438" s="886">
        <v>4545.3811628057083</v>
      </c>
      <c r="X438" s="889"/>
      <c r="Y438" s="888"/>
      <c r="Z438" s="886">
        <v>4545.3811628057083</v>
      </c>
      <c r="AA438" s="889"/>
      <c r="AB438" s="888"/>
      <c r="AC438" s="886">
        <v>4545.3811628057083</v>
      </c>
      <c r="AD438" s="889"/>
      <c r="AE438" s="888"/>
      <c r="AF438" s="886">
        <v>4545.3811628057083</v>
      </c>
      <c r="AG438" s="889"/>
      <c r="AH438" s="888"/>
      <c r="AI438" s="886">
        <v>4545.3811628057083</v>
      </c>
      <c r="AJ438" s="889"/>
      <c r="AK438" s="888"/>
      <c r="AL438" s="886">
        <v>4545.3811628057083</v>
      </c>
      <c r="AM438" s="889"/>
      <c r="AN438" s="888"/>
      <c r="AO438" s="886">
        <v>4545.3811628057083</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9"/>
        <v>Frais véhicules de cie</v>
      </c>
      <c r="B439" s="55" t="s">
        <v>131</v>
      </c>
      <c r="C439" s="892"/>
      <c r="D439" s="891"/>
      <c r="E439" s="880">
        <v>296511.17600000009</v>
      </c>
      <c r="F439" s="892"/>
      <c r="G439" s="891"/>
      <c r="H439" s="880">
        <v>22709.26466666667</v>
      </c>
      <c r="I439" s="892"/>
      <c r="J439" s="891"/>
      <c r="K439" s="880">
        <v>22709.26466666667</v>
      </c>
      <c r="L439" s="892"/>
      <c r="M439" s="891"/>
      <c r="N439" s="880">
        <v>25709.26466666667</v>
      </c>
      <c r="O439" s="892"/>
      <c r="P439" s="891"/>
      <c r="Q439" s="880">
        <v>27709.26466666667</v>
      </c>
      <c r="R439" s="892"/>
      <c r="S439" s="891"/>
      <c r="T439" s="880">
        <v>27709.26466666667</v>
      </c>
      <c r="U439" s="892"/>
      <c r="V439" s="891"/>
      <c r="W439" s="880">
        <v>22709.26466666667</v>
      </c>
      <c r="X439" s="892"/>
      <c r="Y439" s="891"/>
      <c r="Z439" s="880">
        <v>22709.26466666667</v>
      </c>
      <c r="AA439" s="892"/>
      <c r="AB439" s="891"/>
      <c r="AC439" s="880">
        <v>22709.26466666667</v>
      </c>
      <c r="AD439" s="892"/>
      <c r="AE439" s="891"/>
      <c r="AF439" s="880">
        <v>22709.26466666667</v>
      </c>
      <c r="AG439" s="892"/>
      <c r="AH439" s="891"/>
      <c r="AI439" s="880">
        <v>25709.26466666667</v>
      </c>
      <c r="AJ439" s="892"/>
      <c r="AK439" s="891"/>
      <c r="AL439" s="880">
        <v>30709.264666666666</v>
      </c>
      <c r="AM439" s="892"/>
      <c r="AN439" s="891"/>
      <c r="AO439" s="880">
        <v>22709.26466666667</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9"/>
        <v>Informatique</v>
      </c>
      <c r="B440" s="54" t="s">
        <v>132</v>
      </c>
      <c r="C440" s="889"/>
      <c r="D440" s="888"/>
      <c r="E440" s="886">
        <v>268824.9617253333</v>
      </c>
      <c r="F440" s="889"/>
      <c r="G440" s="888"/>
      <c r="H440" s="886">
        <v>22402.080143777777</v>
      </c>
      <c r="I440" s="889"/>
      <c r="J440" s="888"/>
      <c r="K440" s="886">
        <v>22402.080143777777</v>
      </c>
      <c r="L440" s="889"/>
      <c r="M440" s="888"/>
      <c r="N440" s="886">
        <v>22402.080143777777</v>
      </c>
      <c r="O440" s="889"/>
      <c r="P440" s="888"/>
      <c r="Q440" s="886">
        <v>22402.080143777777</v>
      </c>
      <c r="R440" s="889"/>
      <c r="S440" s="888"/>
      <c r="T440" s="886">
        <v>22402.080143777777</v>
      </c>
      <c r="U440" s="889"/>
      <c r="V440" s="888"/>
      <c r="W440" s="886">
        <v>22402.080143777777</v>
      </c>
      <c r="X440" s="889"/>
      <c r="Y440" s="888"/>
      <c r="Z440" s="886">
        <v>22402.080143777777</v>
      </c>
      <c r="AA440" s="889"/>
      <c r="AB440" s="888"/>
      <c r="AC440" s="886">
        <v>22402.080143777777</v>
      </c>
      <c r="AD440" s="889"/>
      <c r="AE440" s="888"/>
      <c r="AF440" s="886">
        <v>22402.080143777777</v>
      </c>
      <c r="AG440" s="889"/>
      <c r="AH440" s="888"/>
      <c r="AI440" s="886">
        <v>22402.080143777777</v>
      </c>
      <c r="AJ440" s="889"/>
      <c r="AK440" s="888"/>
      <c r="AL440" s="886">
        <v>22402.080143777777</v>
      </c>
      <c r="AM440" s="889"/>
      <c r="AN440" s="888"/>
      <c r="AO440" s="886">
        <v>22402.080143777777</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9"/>
        <v>Frais de déplacement</v>
      </c>
      <c r="B441" s="54" t="s">
        <v>133</v>
      </c>
      <c r="C441" s="889"/>
      <c r="D441" s="888"/>
      <c r="E441" s="886">
        <v>46866.691589833332</v>
      </c>
      <c r="F441" s="889"/>
      <c r="G441" s="888"/>
      <c r="H441" s="886">
        <v>3905.5576324861113</v>
      </c>
      <c r="I441" s="889"/>
      <c r="J441" s="888"/>
      <c r="K441" s="886">
        <v>3905.5576324861113</v>
      </c>
      <c r="L441" s="889"/>
      <c r="M441" s="888"/>
      <c r="N441" s="886">
        <v>3905.5576324861113</v>
      </c>
      <c r="O441" s="889"/>
      <c r="P441" s="888"/>
      <c r="Q441" s="886">
        <v>3905.5576324861113</v>
      </c>
      <c r="R441" s="889"/>
      <c r="S441" s="888"/>
      <c r="T441" s="886">
        <v>3905.5576324861113</v>
      </c>
      <c r="U441" s="889"/>
      <c r="V441" s="888"/>
      <c r="W441" s="886">
        <v>3905.5576324861113</v>
      </c>
      <c r="X441" s="889"/>
      <c r="Y441" s="888"/>
      <c r="Z441" s="886">
        <v>3905.5576324861113</v>
      </c>
      <c r="AA441" s="889"/>
      <c r="AB441" s="888"/>
      <c r="AC441" s="886">
        <v>3905.5576324861113</v>
      </c>
      <c r="AD441" s="889"/>
      <c r="AE441" s="888"/>
      <c r="AF441" s="886">
        <v>3905.5576324861113</v>
      </c>
      <c r="AG441" s="889"/>
      <c r="AH441" s="888"/>
      <c r="AI441" s="886">
        <v>3905.5576324861113</v>
      </c>
      <c r="AJ441" s="889"/>
      <c r="AK441" s="888"/>
      <c r="AL441" s="886">
        <v>3905.5576324861113</v>
      </c>
      <c r="AM441" s="889"/>
      <c r="AN441" s="888"/>
      <c r="AO441" s="886">
        <v>3905.5576324861113</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9"/>
        <v>Services extérieurs</v>
      </c>
      <c r="B442" s="54" t="s">
        <v>134</v>
      </c>
      <c r="C442" s="904"/>
      <c r="D442" s="905"/>
      <c r="E442" s="906">
        <v>415016.65517131129</v>
      </c>
      <c r="F442" s="904"/>
      <c r="G442" s="905"/>
      <c r="H442" s="906">
        <v>32918.054597609284</v>
      </c>
      <c r="I442" s="904"/>
      <c r="J442" s="905"/>
      <c r="K442" s="906">
        <v>32918.054597609284</v>
      </c>
      <c r="L442" s="904"/>
      <c r="M442" s="905"/>
      <c r="N442" s="906">
        <v>32918.054597609284</v>
      </c>
      <c r="O442" s="904"/>
      <c r="P442" s="905"/>
      <c r="Q442" s="906">
        <v>36918.054597609284</v>
      </c>
      <c r="R442" s="904"/>
      <c r="S442" s="905"/>
      <c r="T442" s="906">
        <v>36918.054597609284</v>
      </c>
      <c r="U442" s="904"/>
      <c r="V442" s="905"/>
      <c r="W442" s="906">
        <v>32918.054597609284</v>
      </c>
      <c r="X442" s="904"/>
      <c r="Y442" s="905"/>
      <c r="Z442" s="906">
        <v>32918.054597609284</v>
      </c>
      <c r="AA442" s="904"/>
      <c r="AB442" s="905"/>
      <c r="AC442" s="906">
        <v>36918.054597609284</v>
      </c>
      <c r="AD442" s="904"/>
      <c r="AE442" s="905"/>
      <c r="AF442" s="906">
        <v>32918.054597609284</v>
      </c>
      <c r="AG442" s="904"/>
      <c r="AH442" s="905"/>
      <c r="AI442" s="906">
        <v>36918.054597609284</v>
      </c>
      <c r="AJ442" s="904"/>
      <c r="AK442" s="905"/>
      <c r="AL442" s="906">
        <v>36918.054597609284</v>
      </c>
      <c r="AM442" s="904"/>
      <c r="AN442" s="905"/>
      <c r="AO442" s="906">
        <v>32918.054597609284</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10">B444</f>
        <v>Fournitures autres</v>
      </c>
      <c r="B444" s="63" t="s">
        <v>135</v>
      </c>
      <c r="C444" s="889"/>
      <c r="D444" s="888"/>
      <c r="E444" s="886">
        <v>63032.281866666694</v>
      </c>
      <c r="F444" s="889"/>
      <c r="G444" s="888"/>
      <c r="H444" s="886">
        <v>5252.6901555555569</v>
      </c>
      <c r="I444" s="889"/>
      <c r="J444" s="888"/>
      <c r="K444" s="886">
        <v>5252.6901555555569</v>
      </c>
      <c r="L444" s="889"/>
      <c r="M444" s="888"/>
      <c r="N444" s="886">
        <v>5252.6901555555569</v>
      </c>
      <c r="O444" s="889"/>
      <c r="P444" s="888"/>
      <c r="Q444" s="886">
        <v>5252.6901555555569</v>
      </c>
      <c r="R444" s="889"/>
      <c r="S444" s="888"/>
      <c r="T444" s="886">
        <v>5252.6901555555569</v>
      </c>
      <c r="U444" s="889"/>
      <c r="V444" s="888"/>
      <c r="W444" s="886">
        <v>5252.6901555555569</v>
      </c>
      <c r="X444" s="889"/>
      <c r="Y444" s="888"/>
      <c r="Z444" s="886">
        <v>5252.6901555555569</v>
      </c>
      <c r="AA444" s="889"/>
      <c r="AB444" s="888"/>
      <c r="AC444" s="886">
        <v>5252.6901555555569</v>
      </c>
      <c r="AD444" s="889"/>
      <c r="AE444" s="888"/>
      <c r="AF444" s="886">
        <v>5252.6901555555569</v>
      </c>
      <c r="AG444" s="889"/>
      <c r="AH444" s="888"/>
      <c r="AI444" s="886">
        <v>5252.6901555555569</v>
      </c>
      <c r="AJ444" s="889"/>
      <c r="AK444" s="888"/>
      <c r="AL444" s="886">
        <v>5252.6901555555569</v>
      </c>
      <c r="AM444" s="889"/>
      <c r="AN444" s="888"/>
      <c r="AO444" s="886">
        <v>5252.6901555555569</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0"/>
        <v>Uniformes</v>
      </c>
      <c r="B445" s="54" t="s">
        <v>136</v>
      </c>
      <c r="C445" s="889"/>
      <c r="D445" s="888"/>
      <c r="E445" s="886">
        <v>16005.584881437002</v>
      </c>
      <c r="F445" s="889"/>
      <c r="G445" s="888"/>
      <c r="H445" s="886">
        <v>1333.7987401197504</v>
      </c>
      <c r="I445" s="889"/>
      <c r="J445" s="888"/>
      <c r="K445" s="886">
        <v>1333.7987401197504</v>
      </c>
      <c r="L445" s="889"/>
      <c r="M445" s="888"/>
      <c r="N445" s="886">
        <v>1333.7987401197504</v>
      </c>
      <c r="O445" s="889"/>
      <c r="P445" s="888"/>
      <c r="Q445" s="886">
        <v>1333.7987401197504</v>
      </c>
      <c r="R445" s="889"/>
      <c r="S445" s="888"/>
      <c r="T445" s="886">
        <v>1333.7987401197504</v>
      </c>
      <c r="U445" s="889"/>
      <c r="V445" s="888"/>
      <c r="W445" s="886">
        <v>1333.7987401197504</v>
      </c>
      <c r="X445" s="889"/>
      <c r="Y445" s="888"/>
      <c r="Z445" s="886">
        <v>1333.7987401197504</v>
      </c>
      <c r="AA445" s="889"/>
      <c r="AB445" s="888"/>
      <c r="AC445" s="886">
        <v>1333.7987401197504</v>
      </c>
      <c r="AD445" s="889"/>
      <c r="AE445" s="888"/>
      <c r="AF445" s="886">
        <v>1333.7987401197504</v>
      </c>
      <c r="AG445" s="889"/>
      <c r="AH445" s="888"/>
      <c r="AI445" s="886">
        <v>1333.7987401197504</v>
      </c>
      <c r="AJ445" s="889"/>
      <c r="AK445" s="888"/>
      <c r="AL445" s="886">
        <v>1333.7987401197504</v>
      </c>
      <c r="AM445" s="889"/>
      <c r="AN445" s="888"/>
      <c r="AO445" s="886">
        <v>1333.7987401197504</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0"/>
        <v>Papeterie</v>
      </c>
      <c r="B446" s="54" t="s">
        <v>137</v>
      </c>
      <c r="C446" s="889"/>
      <c r="D446" s="888"/>
      <c r="E446" s="886">
        <v>33129.004625591995</v>
      </c>
      <c r="F446" s="889"/>
      <c r="G446" s="888"/>
      <c r="H446" s="886">
        <v>2760.7503854659999</v>
      </c>
      <c r="I446" s="889"/>
      <c r="J446" s="888"/>
      <c r="K446" s="886">
        <v>2760.7503854659999</v>
      </c>
      <c r="L446" s="889"/>
      <c r="M446" s="888"/>
      <c r="N446" s="886">
        <v>2760.7503854659999</v>
      </c>
      <c r="O446" s="889"/>
      <c r="P446" s="888"/>
      <c r="Q446" s="886">
        <v>2760.7503854659999</v>
      </c>
      <c r="R446" s="889"/>
      <c r="S446" s="888"/>
      <c r="T446" s="886">
        <v>2760.7503854659999</v>
      </c>
      <c r="U446" s="889"/>
      <c r="V446" s="888"/>
      <c r="W446" s="886">
        <v>2760.7503854659999</v>
      </c>
      <c r="X446" s="889"/>
      <c r="Y446" s="888"/>
      <c r="Z446" s="886">
        <v>2760.7503854659999</v>
      </c>
      <c r="AA446" s="889"/>
      <c r="AB446" s="888"/>
      <c r="AC446" s="886">
        <v>2760.7503854659999</v>
      </c>
      <c r="AD446" s="889"/>
      <c r="AE446" s="888"/>
      <c r="AF446" s="886">
        <v>2760.7503854659999</v>
      </c>
      <c r="AG446" s="889"/>
      <c r="AH446" s="888"/>
      <c r="AI446" s="886">
        <v>2760.7503854659999</v>
      </c>
      <c r="AJ446" s="889"/>
      <c r="AK446" s="888"/>
      <c r="AL446" s="886">
        <v>2760.7503854659999</v>
      </c>
      <c r="AM446" s="889"/>
      <c r="AN446" s="888"/>
      <c r="AO446" s="886">
        <v>2760.7503854659999</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0"/>
        <v>Téléphone</v>
      </c>
      <c r="B447" s="54" t="s">
        <v>138</v>
      </c>
      <c r="C447" s="889"/>
      <c r="D447" s="888"/>
      <c r="E447" s="886">
        <v>8816.1691244243357</v>
      </c>
      <c r="F447" s="889"/>
      <c r="G447" s="888"/>
      <c r="H447" s="886">
        <v>734.68076036869445</v>
      </c>
      <c r="I447" s="889"/>
      <c r="J447" s="888"/>
      <c r="K447" s="886">
        <v>734.68076036869445</v>
      </c>
      <c r="L447" s="889"/>
      <c r="M447" s="888"/>
      <c r="N447" s="886">
        <v>734.68076036869445</v>
      </c>
      <c r="O447" s="889"/>
      <c r="P447" s="888"/>
      <c r="Q447" s="886">
        <v>734.68076036869445</v>
      </c>
      <c r="R447" s="889"/>
      <c r="S447" s="888"/>
      <c r="T447" s="886">
        <v>734.68076036869445</v>
      </c>
      <c r="U447" s="889"/>
      <c r="V447" s="888"/>
      <c r="W447" s="886">
        <v>734.68076036869445</v>
      </c>
      <c r="X447" s="889"/>
      <c r="Y447" s="888"/>
      <c r="Z447" s="886">
        <v>734.68076036869445</v>
      </c>
      <c r="AA447" s="889"/>
      <c r="AB447" s="888"/>
      <c r="AC447" s="886">
        <v>734.68076036869445</v>
      </c>
      <c r="AD447" s="889"/>
      <c r="AE447" s="888"/>
      <c r="AF447" s="886">
        <v>734.68076036869445</v>
      </c>
      <c r="AG447" s="889"/>
      <c r="AH447" s="888"/>
      <c r="AI447" s="886">
        <v>734.68076036869445</v>
      </c>
      <c r="AJ447" s="889"/>
      <c r="AK447" s="888"/>
      <c r="AL447" s="886">
        <v>734.68076036869445</v>
      </c>
      <c r="AM447" s="889"/>
      <c r="AN447" s="888"/>
      <c r="AO447" s="886">
        <v>734.68076036869445</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0"/>
        <v>Frais postaux</v>
      </c>
      <c r="B448" s="54" t="s">
        <v>139</v>
      </c>
      <c r="C448" s="889"/>
      <c r="D448" s="888"/>
      <c r="E448" s="886">
        <v>2822.5387458156652</v>
      </c>
      <c r="F448" s="889"/>
      <c r="G448" s="888"/>
      <c r="H448" s="886">
        <v>235.21156215130546</v>
      </c>
      <c r="I448" s="889"/>
      <c r="J448" s="888"/>
      <c r="K448" s="886">
        <v>235.21156215130546</v>
      </c>
      <c r="L448" s="889"/>
      <c r="M448" s="888"/>
      <c r="N448" s="886">
        <v>235.21156215130546</v>
      </c>
      <c r="O448" s="889"/>
      <c r="P448" s="888"/>
      <c r="Q448" s="886">
        <v>235.21156215130546</v>
      </c>
      <c r="R448" s="889"/>
      <c r="S448" s="888"/>
      <c r="T448" s="886">
        <v>235.21156215130546</v>
      </c>
      <c r="U448" s="889"/>
      <c r="V448" s="888"/>
      <c r="W448" s="886">
        <v>235.21156215130546</v>
      </c>
      <c r="X448" s="889"/>
      <c r="Y448" s="888"/>
      <c r="Z448" s="886">
        <v>235.21156215130546</v>
      </c>
      <c r="AA448" s="889"/>
      <c r="AB448" s="888"/>
      <c r="AC448" s="886">
        <v>235.21156215130546</v>
      </c>
      <c r="AD448" s="889"/>
      <c r="AE448" s="888"/>
      <c r="AF448" s="886">
        <v>235.21156215130546</v>
      </c>
      <c r="AG448" s="889"/>
      <c r="AH448" s="888"/>
      <c r="AI448" s="886">
        <v>235.21156215130546</v>
      </c>
      <c r="AJ448" s="889"/>
      <c r="AK448" s="888"/>
      <c r="AL448" s="886">
        <v>235.21156215130546</v>
      </c>
      <c r="AM448" s="889"/>
      <c r="AN448" s="888"/>
      <c r="AO448" s="886">
        <v>235.21156215130546</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0"/>
        <v>Divers</v>
      </c>
      <c r="B449" s="54" t="s">
        <v>140</v>
      </c>
      <c r="C449" s="889"/>
      <c r="D449" s="888"/>
      <c r="E449" s="886">
        <v>8644.6703837976675</v>
      </c>
      <c r="F449" s="889"/>
      <c r="G449" s="888"/>
      <c r="H449" s="886">
        <v>720.38919864980562</v>
      </c>
      <c r="I449" s="889"/>
      <c r="J449" s="888"/>
      <c r="K449" s="886">
        <v>720.38919864980562</v>
      </c>
      <c r="L449" s="889"/>
      <c r="M449" s="888"/>
      <c r="N449" s="886">
        <v>720.38919864980562</v>
      </c>
      <c r="O449" s="889"/>
      <c r="P449" s="888"/>
      <c r="Q449" s="886">
        <v>720.38919864980562</v>
      </c>
      <c r="R449" s="889"/>
      <c r="S449" s="888"/>
      <c r="T449" s="886">
        <v>720.38919864980562</v>
      </c>
      <c r="U449" s="889"/>
      <c r="V449" s="888"/>
      <c r="W449" s="886">
        <v>720.38919864980562</v>
      </c>
      <c r="X449" s="889"/>
      <c r="Y449" s="888"/>
      <c r="Z449" s="886">
        <v>720.38919864980562</v>
      </c>
      <c r="AA449" s="889"/>
      <c r="AB449" s="888"/>
      <c r="AC449" s="886">
        <v>720.38919864980562</v>
      </c>
      <c r="AD449" s="889"/>
      <c r="AE449" s="888"/>
      <c r="AF449" s="886">
        <v>720.38919864980562</v>
      </c>
      <c r="AG449" s="889"/>
      <c r="AH449" s="888"/>
      <c r="AI449" s="886">
        <v>720.38919864980562</v>
      </c>
      <c r="AJ449" s="889"/>
      <c r="AK449" s="888"/>
      <c r="AL449" s="886">
        <v>720.38919864980562</v>
      </c>
      <c r="AM449" s="889"/>
      <c r="AN449" s="888"/>
      <c r="AO449" s="886">
        <v>720.38919864980562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0"/>
        <v>Formation</v>
      </c>
      <c r="B450" s="54" t="s">
        <v>141</v>
      </c>
      <c r="C450" s="889"/>
      <c r="D450" s="888"/>
      <c r="E450" s="886">
        <v>69289.644522609175</v>
      </c>
      <c r="F450" s="889"/>
      <c r="G450" s="888"/>
      <c r="H450" s="886">
        <v>5774.1370435507661</v>
      </c>
      <c r="I450" s="889"/>
      <c r="J450" s="888"/>
      <c r="K450" s="886">
        <v>5774.1370435507661</v>
      </c>
      <c r="L450" s="889"/>
      <c r="M450" s="888"/>
      <c r="N450" s="886">
        <v>5774.1370435507661</v>
      </c>
      <c r="O450" s="889"/>
      <c r="P450" s="888"/>
      <c r="Q450" s="886">
        <v>5774.1370435507661</v>
      </c>
      <c r="R450" s="889"/>
      <c r="S450" s="888"/>
      <c r="T450" s="886">
        <v>5774.1370435507661</v>
      </c>
      <c r="U450" s="889"/>
      <c r="V450" s="888"/>
      <c r="W450" s="886">
        <v>5774.1370435507661</v>
      </c>
      <c r="X450" s="889"/>
      <c r="Y450" s="888"/>
      <c r="Z450" s="886">
        <v>5774.1370435507661</v>
      </c>
      <c r="AA450" s="889"/>
      <c r="AB450" s="888"/>
      <c r="AC450" s="886">
        <v>5774.1370435507661</v>
      </c>
      <c r="AD450" s="889"/>
      <c r="AE450" s="888"/>
      <c r="AF450" s="886">
        <v>5774.1370435507661</v>
      </c>
      <c r="AG450" s="889"/>
      <c r="AH450" s="888"/>
      <c r="AI450" s="886">
        <v>5774.1370435507661</v>
      </c>
      <c r="AJ450" s="889"/>
      <c r="AK450" s="888"/>
      <c r="AL450" s="886">
        <v>5774.1370435507661</v>
      </c>
      <c r="AM450" s="889"/>
      <c r="AN450" s="888"/>
      <c r="AO450" s="886">
        <v>5774.1370435507661</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0"/>
        <v>Frais bancaires</v>
      </c>
      <c r="B451" s="54" t="s">
        <v>142</v>
      </c>
      <c r="C451" s="889"/>
      <c r="D451" s="888"/>
      <c r="E451" s="886">
        <v>96253.947445854821</v>
      </c>
      <c r="F451" s="889"/>
      <c r="G451" s="888"/>
      <c r="H451" s="886">
        <v>6280.2252781770867</v>
      </c>
      <c r="I451" s="889"/>
      <c r="J451" s="888"/>
      <c r="K451" s="886">
        <v>6055.2901420058188</v>
      </c>
      <c r="L451" s="889"/>
      <c r="M451" s="888"/>
      <c r="N451" s="886">
        <v>6406.525370599119</v>
      </c>
      <c r="O451" s="889"/>
      <c r="P451" s="888"/>
      <c r="Q451" s="886">
        <v>8394.6989070975033</v>
      </c>
      <c r="R451" s="889"/>
      <c r="S451" s="888"/>
      <c r="T451" s="886">
        <v>8924.4835609961956</v>
      </c>
      <c r="U451" s="889"/>
      <c r="V451" s="888"/>
      <c r="W451" s="886">
        <v>8313.6476244054084</v>
      </c>
      <c r="X451" s="889"/>
      <c r="Y451" s="888"/>
      <c r="Z451" s="886">
        <v>8126.212895296856</v>
      </c>
      <c r="AA451" s="889"/>
      <c r="AB451" s="888"/>
      <c r="AC451" s="886">
        <v>8788.9070130609471</v>
      </c>
      <c r="AD451" s="889"/>
      <c r="AE451" s="888"/>
      <c r="AF451" s="886">
        <v>7148.9466578781667</v>
      </c>
      <c r="AG451" s="889"/>
      <c r="AH451" s="888"/>
      <c r="AI451" s="886">
        <v>9652.4094193720739</v>
      </c>
      <c r="AJ451" s="889"/>
      <c r="AK451" s="888"/>
      <c r="AL451" s="886">
        <v>11347.597742175512</v>
      </c>
      <c r="AM451" s="889"/>
      <c r="AN451" s="888"/>
      <c r="AO451" s="886">
        <v>6815.0028347901361</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0"/>
        <v>[...]</v>
      </c>
      <c r="B452" s="54" t="s">
        <v>59</v>
      </c>
      <c r="C452" s="889"/>
      <c r="D452" s="888"/>
      <c r="E452" s="886">
        <v>0</v>
      </c>
      <c r="F452" s="889"/>
      <c r="G452" s="888"/>
      <c r="H452" s="886">
        <v>0</v>
      </c>
      <c r="I452" s="889"/>
      <c r="J452" s="888"/>
      <c r="K452" s="886">
        <v>0</v>
      </c>
      <c r="L452" s="889"/>
      <c r="M452" s="888"/>
      <c r="N452" s="886">
        <v>0</v>
      </c>
      <c r="O452" s="889"/>
      <c r="P452" s="888"/>
      <c r="Q452" s="886">
        <v>0</v>
      </c>
      <c r="R452" s="889"/>
      <c r="S452" s="888"/>
      <c r="T452" s="886">
        <v>0</v>
      </c>
      <c r="U452" s="889"/>
      <c r="V452" s="888"/>
      <c r="W452" s="886">
        <v>0</v>
      </c>
      <c r="X452" s="889"/>
      <c r="Y452" s="888"/>
      <c r="Z452" s="886">
        <v>0</v>
      </c>
      <c r="AA452" s="889"/>
      <c r="AB452" s="888"/>
      <c r="AC452" s="886">
        <v>0</v>
      </c>
      <c r="AD452" s="889"/>
      <c r="AE452" s="888"/>
      <c r="AF452" s="886">
        <v>0</v>
      </c>
      <c r="AG452" s="889"/>
      <c r="AH452" s="888"/>
      <c r="AI452" s="886">
        <v>0</v>
      </c>
      <c r="AJ452" s="889"/>
      <c r="AK452" s="888"/>
      <c r="AL452" s="886">
        <v>0</v>
      </c>
      <c r="AM452" s="889"/>
      <c r="AN452" s="888"/>
      <c r="AO452" s="886">
        <v>0</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0"/>
        <v>[...]</v>
      </c>
      <c r="B453" s="54" t="s">
        <v>59</v>
      </c>
      <c r="C453" s="889"/>
      <c r="D453" s="888"/>
      <c r="E453" s="886">
        <v>0</v>
      </c>
      <c r="F453" s="889"/>
      <c r="G453" s="888"/>
      <c r="H453" s="886">
        <v>0</v>
      </c>
      <c r="I453" s="889"/>
      <c r="J453" s="888"/>
      <c r="K453" s="886">
        <v>0</v>
      </c>
      <c r="L453" s="889"/>
      <c r="M453" s="888"/>
      <c r="N453" s="886">
        <v>0</v>
      </c>
      <c r="O453" s="889"/>
      <c r="P453" s="888"/>
      <c r="Q453" s="886">
        <v>0</v>
      </c>
      <c r="R453" s="889"/>
      <c r="S453" s="888"/>
      <c r="T453" s="886">
        <v>0</v>
      </c>
      <c r="U453" s="889"/>
      <c r="V453" s="888"/>
      <c r="W453" s="886">
        <v>0</v>
      </c>
      <c r="X453" s="889"/>
      <c r="Y453" s="888"/>
      <c r="Z453" s="886">
        <v>0</v>
      </c>
      <c r="AA453" s="889"/>
      <c r="AB453" s="888"/>
      <c r="AC453" s="886">
        <v>0</v>
      </c>
      <c r="AD453" s="889"/>
      <c r="AE453" s="888"/>
      <c r="AF453" s="886">
        <v>0</v>
      </c>
      <c r="AG453" s="889"/>
      <c r="AH453" s="888"/>
      <c r="AI453" s="886">
        <v>0</v>
      </c>
      <c r="AJ453" s="889"/>
      <c r="AK453" s="888"/>
      <c r="AL453" s="886">
        <v>0</v>
      </c>
      <c r="AM453" s="889"/>
      <c r="AN453" s="888"/>
      <c r="AO453" s="886">
        <v>0</v>
      </c>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0"/>
        <v>[...]</v>
      </c>
      <c r="B454" s="54" t="s">
        <v>59</v>
      </c>
      <c r="C454" s="889"/>
      <c r="D454" s="888"/>
      <c r="E454" s="886">
        <v>0</v>
      </c>
      <c r="F454" s="889"/>
      <c r="G454" s="888"/>
      <c r="H454" s="886">
        <v>0</v>
      </c>
      <c r="I454" s="889"/>
      <c r="J454" s="888"/>
      <c r="K454" s="886">
        <v>0</v>
      </c>
      <c r="L454" s="889"/>
      <c r="M454" s="888"/>
      <c r="N454" s="886">
        <v>0</v>
      </c>
      <c r="O454" s="889"/>
      <c r="P454" s="888"/>
      <c r="Q454" s="886">
        <v>0</v>
      </c>
      <c r="R454" s="889"/>
      <c r="S454" s="888"/>
      <c r="T454" s="886">
        <v>0</v>
      </c>
      <c r="U454" s="889"/>
      <c r="V454" s="888"/>
      <c r="W454" s="886">
        <v>0</v>
      </c>
      <c r="X454" s="889"/>
      <c r="Y454" s="888"/>
      <c r="Z454" s="886">
        <v>0</v>
      </c>
      <c r="AA454" s="889"/>
      <c r="AB454" s="888"/>
      <c r="AC454" s="886">
        <v>0</v>
      </c>
      <c r="AD454" s="889"/>
      <c r="AE454" s="888"/>
      <c r="AF454" s="886">
        <v>0</v>
      </c>
      <c r="AG454" s="889"/>
      <c r="AH454" s="888"/>
      <c r="AI454" s="886">
        <v>0</v>
      </c>
      <c r="AJ454" s="889"/>
      <c r="AK454" s="888"/>
      <c r="AL454" s="886">
        <v>0</v>
      </c>
      <c r="AM454" s="889"/>
      <c r="AN454" s="888"/>
      <c r="AO454" s="886">
        <v>0</v>
      </c>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0"/>
        <v>TOTAL SEMI-FIXES</v>
      </c>
      <c r="B455" s="70" t="s">
        <v>143</v>
      </c>
      <c r="C455" s="893">
        <v>0.18513136238224173</v>
      </c>
      <c r="D455" s="896"/>
      <c r="E455" s="895">
        <v>1573184.9000363436</v>
      </c>
      <c r="F455" s="893">
        <v>0.22570350366648537</v>
      </c>
      <c r="G455" s="896"/>
      <c r="H455" s="895">
        <v>125139.59533886446</v>
      </c>
      <c r="I455" s="893">
        <v>0.22803489072330263</v>
      </c>
      <c r="J455" s="896"/>
      <c r="K455" s="895">
        <v>121903.86689275698</v>
      </c>
      <c r="L455" s="893">
        <v>0.22539316442471388</v>
      </c>
      <c r="M455" s="896"/>
      <c r="N455" s="895">
        <v>127480.72188949543</v>
      </c>
      <c r="O455" s="893">
        <v>0.19252439094962071</v>
      </c>
      <c r="P455" s="896"/>
      <c r="Q455" s="895">
        <v>142682.958224817</v>
      </c>
      <c r="R455" s="893">
        <v>0.17703805168709844</v>
      </c>
      <c r="S455" s="896"/>
      <c r="T455" s="895">
        <v>139486.10211885162</v>
      </c>
      <c r="U455" s="893">
        <v>0.16918917779694267</v>
      </c>
      <c r="V455" s="896"/>
      <c r="W455" s="895">
        <v>124178.21581834269</v>
      </c>
      <c r="X455" s="893">
        <v>0.17230118733803457</v>
      </c>
      <c r="Y455" s="896"/>
      <c r="Z455" s="895">
        <v>123611.16202551892</v>
      </c>
      <c r="AA455" s="893">
        <v>0.16529102449393654</v>
      </c>
      <c r="AB455" s="896"/>
      <c r="AC455" s="895">
        <v>128252.35957864445</v>
      </c>
      <c r="AD455" s="893">
        <v>0.19851431242569215</v>
      </c>
      <c r="AE455" s="896"/>
      <c r="AF455" s="895">
        <v>125289.62324458691</v>
      </c>
      <c r="AG455" s="893">
        <v>0.16183229081507583</v>
      </c>
      <c r="AH455" s="896"/>
      <c r="AI455" s="895">
        <v>137905.67535664779</v>
      </c>
      <c r="AJ455" s="893">
        <v>0.15282823229818698</v>
      </c>
      <c r="AK455" s="896"/>
      <c r="AL455" s="895">
        <v>153104.77827752181</v>
      </c>
      <c r="AM455" s="893">
        <v>0.20634735432730358</v>
      </c>
      <c r="AN455" s="896"/>
      <c r="AO455" s="895">
        <v>124149.84127029592</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0"/>
        <v>Loyer</v>
      </c>
      <c r="B456" s="54" t="s">
        <v>205</v>
      </c>
      <c r="C456" s="889"/>
      <c r="D456" s="888"/>
      <c r="E456" s="886">
        <v>432000</v>
      </c>
      <c r="F456" s="889"/>
      <c r="G456" s="888"/>
      <c r="H456" s="897">
        <v>36000</v>
      </c>
      <c r="I456" s="889"/>
      <c r="J456" s="888"/>
      <c r="K456" s="897">
        <v>36000</v>
      </c>
      <c r="L456" s="889"/>
      <c r="M456" s="888"/>
      <c r="N456" s="897">
        <v>36000</v>
      </c>
      <c r="O456" s="889"/>
      <c r="P456" s="888"/>
      <c r="Q456" s="897">
        <v>36000</v>
      </c>
      <c r="R456" s="889"/>
      <c r="S456" s="888"/>
      <c r="T456" s="897">
        <v>36000</v>
      </c>
      <c r="U456" s="889"/>
      <c r="V456" s="888"/>
      <c r="W456" s="897">
        <v>36000</v>
      </c>
      <c r="X456" s="889"/>
      <c r="Y456" s="888"/>
      <c r="Z456" s="897">
        <v>36000</v>
      </c>
      <c r="AA456" s="889"/>
      <c r="AB456" s="888"/>
      <c r="AC456" s="897">
        <v>36000</v>
      </c>
      <c r="AD456" s="889"/>
      <c r="AE456" s="888"/>
      <c r="AF456" s="897">
        <v>36000</v>
      </c>
      <c r="AG456" s="889"/>
      <c r="AH456" s="888"/>
      <c r="AI456" s="897">
        <v>36000</v>
      </c>
      <c r="AJ456" s="889"/>
      <c r="AK456" s="888"/>
      <c r="AL456" s="897">
        <v>36000</v>
      </c>
      <c r="AM456" s="889"/>
      <c r="AN456" s="888"/>
      <c r="AO456" s="897">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0"/>
        <v>Taxes foncières</v>
      </c>
      <c r="B457" s="54" t="s">
        <v>206</v>
      </c>
      <c r="C457" s="889"/>
      <c r="D457" s="888"/>
      <c r="E457" s="886">
        <v>65081.280000000021</v>
      </c>
      <c r="F457" s="889"/>
      <c r="G457" s="888"/>
      <c r="H457" s="897">
        <v>5423.4400000000005</v>
      </c>
      <c r="I457" s="889"/>
      <c r="J457" s="888"/>
      <c r="K457" s="897">
        <v>5423.4400000000005</v>
      </c>
      <c r="L457" s="889"/>
      <c r="M457" s="888"/>
      <c r="N457" s="897">
        <v>5423.4400000000005</v>
      </c>
      <c r="O457" s="889"/>
      <c r="P457" s="888"/>
      <c r="Q457" s="897">
        <v>5423.4400000000005</v>
      </c>
      <c r="R457" s="889"/>
      <c r="S457" s="888"/>
      <c r="T457" s="897">
        <v>5423.4400000000005</v>
      </c>
      <c r="U457" s="889"/>
      <c r="V457" s="888"/>
      <c r="W457" s="897">
        <v>5423.4400000000005</v>
      </c>
      <c r="X457" s="889"/>
      <c r="Y457" s="888"/>
      <c r="Z457" s="897">
        <v>5423.4400000000005</v>
      </c>
      <c r="AA457" s="889"/>
      <c r="AB457" s="888"/>
      <c r="AC457" s="897">
        <v>5423.4400000000005</v>
      </c>
      <c r="AD457" s="889"/>
      <c r="AE457" s="888"/>
      <c r="AF457" s="897">
        <v>5423.4400000000005</v>
      </c>
      <c r="AG457" s="889"/>
      <c r="AH457" s="888"/>
      <c r="AI457" s="897">
        <v>5423.4400000000005</v>
      </c>
      <c r="AJ457" s="889"/>
      <c r="AK457" s="888"/>
      <c r="AL457" s="897">
        <v>5423.4400000000005</v>
      </c>
      <c r="AM457" s="889"/>
      <c r="AN457" s="888"/>
      <c r="AO457" s="897">
        <v>5423.4400000000005</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0"/>
        <v>Taxes d`affaires</v>
      </c>
      <c r="B458" s="55" t="s">
        <v>207</v>
      </c>
      <c r="C458" s="892"/>
      <c r="D458" s="891"/>
      <c r="E458" s="880">
        <v>43306.559999999998</v>
      </c>
      <c r="F458" s="892"/>
      <c r="G458" s="891"/>
      <c r="H458" s="909">
        <v>3608.8800000000006</v>
      </c>
      <c r="I458" s="892"/>
      <c r="J458" s="891"/>
      <c r="K458" s="909">
        <v>3608.8800000000006</v>
      </c>
      <c r="L458" s="892"/>
      <c r="M458" s="891"/>
      <c r="N458" s="909">
        <v>3608.8800000000006</v>
      </c>
      <c r="O458" s="892"/>
      <c r="P458" s="891"/>
      <c r="Q458" s="909">
        <v>3608.8800000000006</v>
      </c>
      <c r="R458" s="892"/>
      <c r="S458" s="891"/>
      <c r="T458" s="909">
        <v>3608.8800000000006</v>
      </c>
      <c r="U458" s="892"/>
      <c r="V458" s="891"/>
      <c r="W458" s="909">
        <v>3608.8800000000006</v>
      </c>
      <c r="X458" s="892"/>
      <c r="Y458" s="891"/>
      <c r="Z458" s="909">
        <v>3608.8800000000006</v>
      </c>
      <c r="AA458" s="892"/>
      <c r="AB458" s="891"/>
      <c r="AC458" s="909">
        <v>3608.8800000000006</v>
      </c>
      <c r="AD458" s="892"/>
      <c r="AE458" s="891"/>
      <c r="AF458" s="909">
        <v>3608.8800000000006</v>
      </c>
      <c r="AG458" s="892"/>
      <c r="AH458" s="891"/>
      <c r="AI458" s="909">
        <v>3608.8800000000006</v>
      </c>
      <c r="AJ458" s="892"/>
      <c r="AK458" s="891"/>
      <c r="AL458" s="909">
        <v>3608.8800000000006</v>
      </c>
      <c r="AM458" s="892"/>
      <c r="AN458" s="891"/>
      <c r="AO458" s="909">
        <v>3608.8800000000006</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0"/>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0"/>
        <v>Assurances</v>
      </c>
      <c r="B460" s="55" t="s">
        <v>209</v>
      </c>
      <c r="C460" s="892"/>
      <c r="D460" s="891"/>
      <c r="E460" s="880">
        <v>52131</v>
      </c>
      <c r="F460" s="892"/>
      <c r="G460" s="891"/>
      <c r="H460" s="909">
        <v>4344.25</v>
      </c>
      <c r="I460" s="892"/>
      <c r="J460" s="891"/>
      <c r="K460" s="909">
        <v>4344.25</v>
      </c>
      <c r="L460" s="892"/>
      <c r="M460" s="891"/>
      <c r="N460" s="909">
        <v>4344.25</v>
      </c>
      <c r="O460" s="892"/>
      <c r="P460" s="891"/>
      <c r="Q460" s="909">
        <v>4344.25</v>
      </c>
      <c r="R460" s="892"/>
      <c r="S460" s="891"/>
      <c r="T460" s="909">
        <v>4344.25</v>
      </c>
      <c r="U460" s="892"/>
      <c r="V460" s="891"/>
      <c r="W460" s="909">
        <v>4344.25</v>
      </c>
      <c r="X460" s="892"/>
      <c r="Y460" s="891"/>
      <c r="Z460" s="909">
        <v>4344.25</v>
      </c>
      <c r="AA460" s="892"/>
      <c r="AB460" s="891"/>
      <c r="AC460" s="909">
        <v>4344.25</v>
      </c>
      <c r="AD460" s="892"/>
      <c r="AE460" s="891"/>
      <c r="AF460" s="909">
        <v>4344.25</v>
      </c>
      <c r="AG460" s="892"/>
      <c r="AH460" s="891"/>
      <c r="AI460" s="909">
        <v>4344.25</v>
      </c>
      <c r="AJ460" s="892"/>
      <c r="AK460" s="891"/>
      <c r="AL460" s="909">
        <v>4344.25</v>
      </c>
      <c r="AM460" s="892"/>
      <c r="AN460" s="891"/>
      <c r="AO460" s="909">
        <v>4344.25</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0"/>
        <v>Chauffage, éclairage</v>
      </c>
      <c r="B461" s="54" t="s">
        <v>210</v>
      </c>
      <c r="C461" s="889"/>
      <c r="D461" s="888"/>
      <c r="E461" s="886">
        <v>44400</v>
      </c>
      <c r="F461" s="889"/>
      <c r="G461" s="888"/>
      <c r="H461" s="897">
        <v>3700</v>
      </c>
      <c r="I461" s="889"/>
      <c r="J461" s="888"/>
      <c r="K461" s="897">
        <v>3700</v>
      </c>
      <c r="L461" s="889"/>
      <c r="M461" s="888"/>
      <c r="N461" s="897">
        <v>3700</v>
      </c>
      <c r="O461" s="889"/>
      <c r="P461" s="888"/>
      <c r="Q461" s="897">
        <v>3700</v>
      </c>
      <c r="R461" s="889"/>
      <c r="S461" s="888"/>
      <c r="T461" s="897">
        <v>3700</v>
      </c>
      <c r="U461" s="889"/>
      <c r="V461" s="888"/>
      <c r="W461" s="897">
        <v>3700</v>
      </c>
      <c r="X461" s="889"/>
      <c r="Y461" s="888"/>
      <c r="Z461" s="897">
        <v>3700</v>
      </c>
      <c r="AA461" s="889"/>
      <c r="AB461" s="888"/>
      <c r="AC461" s="897">
        <v>3700</v>
      </c>
      <c r="AD461" s="889"/>
      <c r="AE461" s="888"/>
      <c r="AF461" s="897">
        <v>3700</v>
      </c>
      <c r="AG461" s="889"/>
      <c r="AH461" s="888"/>
      <c r="AI461" s="897">
        <v>3700</v>
      </c>
      <c r="AJ461" s="889"/>
      <c r="AK461" s="888"/>
      <c r="AL461" s="897">
        <v>3700</v>
      </c>
      <c r="AM461" s="889"/>
      <c r="AN461" s="888"/>
      <c r="AO461" s="897">
        <v>3700</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0"/>
        <v>Honoraires</v>
      </c>
      <c r="B462" s="54" t="s">
        <v>211</v>
      </c>
      <c r="C462" s="889"/>
      <c r="D462" s="888"/>
      <c r="E462" s="886">
        <v>81408.60000000002</v>
      </c>
      <c r="F462" s="889"/>
      <c r="G462" s="888"/>
      <c r="H462" s="897">
        <v>6784.05</v>
      </c>
      <c r="I462" s="889"/>
      <c r="J462" s="888"/>
      <c r="K462" s="897">
        <v>6784.05</v>
      </c>
      <c r="L462" s="889"/>
      <c r="M462" s="888"/>
      <c r="N462" s="897">
        <v>6784.05</v>
      </c>
      <c r="O462" s="889"/>
      <c r="P462" s="888"/>
      <c r="Q462" s="897">
        <v>6784.05</v>
      </c>
      <c r="R462" s="889"/>
      <c r="S462" s="888"/>
      <c r="T462" s="897">
        <v>6784.05</v>
      </c>
      <c r="U462" s="889"/>
      <c r="V462" s="888"/>
      <c r="W462" s="897">
        <v>6784.05</v>
      </c>
      <c r="X462" s="889"/>
      <c r="Y462" s="888"/>
      <c r="Z462" s="897">
        <v>6784.05</v>
      </c>
      <c r="AA462" s="889"/>
      <c r="AB462" s="888"/>
      <c r="AC462" s="897">
        <v>6784.05</v>
      </c>
      <c r="AD462" s="889"/>
      <c r="AE462" s="888"/>
      <c r="AF462" s="897">
        <v>6784.05</v>
      </c>
      <c r="AG462" s="889"/>
      <c r="AH462" s="888"/>
      <c r="AI462" s="897">
        <v>6784.05</v>
      </c>
      <c r="AJ462" s="889"/>
      <c r="AK462" s="888"/>
      <c r="AL462" s="897">
        <v>6784.05</v>
      </c>
      <c r="AM462" s="889"/>
      <c r="AN462" s="888"/>
      <c r="AO462" s="897">
        <v>6784.05</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0"/>
        <v>Réparation équipement</v>
      </c>
      <c r="B463" s="55" t="s">
        <v>212</v>
      </c>
      <c r="C463" s="892"/>
      <c r="D463" s="891"/>
      <c r="E463" s="880">
        <v>16374.74808917444</v>
      </c>
      <c r="F463" s="892"/>
      <c r="G463" s="891"/>
      <c r="H463" s="909">
        <v>1364.5623407645369</v>
      </c>
      <c r="I463" s="892"/>
      <c r="J463" s="891"/>
      <c r="K463" s="909">
        <v>1364.5623407645369</v>
      </c>
      <c r="L463" s="892"/>
      <c r="M463" s="891"/>
      <c r="N463" s="909">
        <v>1364.5623407645369</v>
      </c>
      <c r="O463" s="892"/>
      <c r="P463" s="891"/>
      <c r="Q463" s="909">
        <v>1364.5623407645369</v>
      </c>
      <c r="R463" s="892"/>
      <c r="S463" s="891"/>
      <c r="T463" s="909">
        <v>1364.5623407645369</v>
      </c>
      <c r="U463" s="892"/>
      <c r="V463" s="891"/>
      <c r="W463" s="909">
        <v>1364.5623407645369</v>
      </c>
      <c r="X463" s="892"/>
      <c r="Y463" s="891"/>
      <c r="Z463" s="909">
        <v>1364.5623407645369</v>
      </c>
      <c r="AA463" s="892"/>
      <c r="AB463" s="891"/>
      <c r="AC463" s="909">
        <v>1364.5623407645369</v>
      </c>
      <c r="AD463" s="892"/>
      <c r="AE463" s="891"/>
      <c r="AF463" s="909">
        <v>1364.5623407645369</v>
      </c>
      <c r="AG463" s="892"/>
      <c r="AH463" s="891"/>
      <c r="AI463" s="909">
        <v>1364.5623407645369</v>
      </c>
      <c r="AJ463" s="892"/>
      <c r="AK463" s="891"/>
      <c r="AL463" s="909">
        <v>1364.5623407645369</v>
      </c>
      <c r="AM463" s="892"/>
      <c r="AN463" s="891"/>
      <c r="AO463" s="909">
        <v>1364.5623407645369</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0"/>
        <v>Location équipement</v>
      </c>
      <c r="B464" s="54" t="s">
        <v>213</v>
      </c>
      <c r="C464" s="889"/>
      <c r="D464" s="888"/>
      <c r="E464" s="886">
        <v>12000</v>
      </c>
      <c r="F464" s="889"/>
      <c r="G464" s="888"/>
      <c r="H464" s="897">
        <v>1000</v>
      </c>
      <c r="I464" s="889"/>
      <c r="J464" s="888"/>
      <c r="K464" s="897">
        <v>1000</v>
      </c>
      <c r="L464" s="889"/>
      <c r="M464" s="888"/>
      <c r="N464" s="897">
        <v>1000</v>
      </c>
      <c r="O464" s="889"/>
      <c r="P464" s="888"/>
      <c r="Q464" s="897">
        <v>1000</v>
      </c>
      <c r="R464" s="889"/>
      <c r="S464" s="888"/>
      <c r="T464" s="897">
        <v>1000</v>
      </c>
      <c r="U464" s="889"/>
      <c r="V464" s="888"/>
      <c r="W464" s="897">
        <v>1000</v>
      </c>
      <c r="X464" s="889"/>
      <c r="Y464" s="888"/>
      <c r="Z464" s="897">
        <v>1000</v>
      </c>
      <c r="AA464" s="889"/>
      <c r="AB464" s="888"/>
      <c r="AC464" s="897">
        <v>1000</v>
      </c>
      <c r="AD464" s="889"/>
      <c r="AE464" s="888"/>
      <c r="AF464" s="897">
        <v>1000</v>
      </c>
      <c r="AG464" s="889"/>
      <c r="AH464" s="888"/>
      <c r="AI464" s="897">
        <v>1000</v>
      </c>
      <c r="AJ464" s="889"/>
      <c r="AK464" s="888"/>
      <c r="AL464" s="897">
        <v>1000</v>
      </c>
      <c r="AM464" s="889"/>
      <c r="AN464" s="888"/>
      <c r="AO464" s="897">
        <v>1000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0"/>
        <v>Dons</v>
      </c>
      <c r="B465" s="54" t="s">
        <v>214</v>
      </c>
      <c r="C465" s="889"/>
      <c r="D465" s="888"/>
      <c r="E465" s="886">
        <v>0</v>
      </c>
      <c r="F465" s="889"/>
      <c r="G465" s="888"/>
      <c r="H465" s="897">
        <v>0</v>
      </c>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0"/>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0"/>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0"/>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10"/>
        <v>TOTAL DÉPENSES FIXES</v>
      </c>
      <c r="B469" s="70" t="s">
        <v>215</v>
      </c>
      <c r="C469" s="893">
        <v>8.7871421453102061E-2</v>
      </c>
      <c r="D469" s="896"/>
      <c r="E469" s="895">
        <v>746702.18808917445</v>
      </c>
      <c r="F469" s="893">
        <v>0.1122301988636422</v>
      </c>
      <c r="G469" s="896"/>
      <c r="H469" s="895">
        <v>62225.182340764542</v>
      </c>
      <c r="I469" s="893">
        <v>0.11639920059137111</v>
      </c>
      <c r="J469" s="896"/>
      <c r="K469" s="895">
        <v>62225.182340764542</v>
      </c>
      <c r="L469" s="893">
        <v>0.11001766029256721</v>
      </c>
      <c r="M469" s="896"/>
      <c r="N469" s="895">
        <v>62225.182340764542</v>
      </c>
      <c r="O469" s="893">
        <v>8.3961430859940747E-2</v>
      </c>
      <c r="P469" s="896"/>
      <c r="Q469" s="895">
        <v>62225.182340764542</v>
      </c>
      <c r="R469" s="893">
        <v>7.8977223394606208E-2</v>
      </c>
      <c r="S469" s="896"/>
      <c r="T469" s="895">
        <v>62225.182340764542</v>
      </c>
      <c r="U469" s="893">
        <v>8.4779986321430911E-2</v>
      </c>
      <c r="V469" s="896"/>
      <c r="W469" s="895">
        <v>62225.182340764542</v>
      </c>
      <c r="X469" s="893">
        <v>8.6735474563583798E-2</v>
      </c>
      <c r="Y469" s="896"/>
      <c r="Z469" s="895">
        <v>62225.182340764542</v>
      </c>
      <c r="AA469" s="893">
        <v>8.0195515873686882E-2</v>
      </c>
      <c r="AB469" s="896"/>
      <c r="AC469" s="895">
        <v>62225.182340764542</v>
      </c>
      <c r="AD469" s="893">
        <v>9.8592277381390273E-2</v>
      </c>
      <c r="AE469" s="896"/>
      <c r="AF469" s="895">
        <v>62225.182340764542</v>
      </c>
      <c r="AG469" s="893">
        <v>7.3021242806351971E-2</v>
      </c>
      <c r="AH469" s="896"/>
      <c r="AI469" s="895">
        <v>62225.182340764542</v>
      </c>
      <c r="AJ469" s="893">
        <v>6.2112787912691737E-2</v>
      </c>
      <c r="AK469" s="896"/>
      <c r="AL469" s="895">
        <v>62225.182340764542</v>
      </c>
      <c r="AM469" s="893">
        <v>0.10342342460668867</v>
      </c>
      <c r="AN469" s="896"/>
      <c r="AO469" s="895">
        <v>62225.182340764542</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10"/>
        <v>0</v>
      </c>
      <c r="B470" s="54"/>
      <c r="C470" s="910"/>
      <c r="D470" s="911"/>
      <c r="E470" s="912">
        <v>344860.53318603075</v>
      </c>
      <c r="F470" s="910"/>
      <c r="G470" s="911"/>
      <c r="H470" s="912">
        <v>26997.440756525077</v>
      </c>
      <c r="I470" s="910"/>
      <c r="J470" s="911"/>
      <c r="K470" s="912">
        <v>26772.505620353808</v>
      </c>
      <c r="L470" s="910"/>
      <c r="M470" s="911"/>
      <c r="N470" s="912">
        <v>27123.740848947109</v>
      </c>
      <c r="O470" s="910"/>
      <c r="P470" s="911"/>
      <c r="Q470" s="912">
        <v>29111.914385445492</v>
      </c>
      <c r="R470" s="910"/>
      <c r="S470" s="911"/>
      <c r="T470" s="912">
        <v>29641.699039344185</v>
      </c>
      <c r="U470" s="910"/>
      <c r="V470" s="911"/>
      <c r="W470" s="912">
        <v>29030.863102753399</v>
      </c>
      <c r="X470" s="910"/>
      <c r="Y470" s="911"/>
      <c r="Z470" s="912">
        <v>28843.428373644845</v>
      </c>
      <c r="AA470" s="910"/>
      <c r="AB470" s="911"/>
      <c r="AC470" s="912">
        <v>29506.122491408936</v>
      </c>
      <c r="AD470" s="910"/>
      <c r="AE470" s="911"/>
      <c r="AF470" s="912">
        <v>27866.162136226158</v>
      </c>
      <c r="AG470" s="910"/>
      <c r="AH470" s="911"/>
      <c r="AI470" s="912">
        <v>30369.624897720063</v>
      </c>
      <c r="AJ470" s="910"/>
      <c r="AK470" s="911"/>
      <c r="AL470" s="912">
        <v>32064.813220523502</v>
      </c>
      <c r="AM470" s="910"/>
      <c r="AN470" s="911"/>
      <c r="AO470" s="912">
        <v>27532.218313138124</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10"/>
        <v>TOTAL DES DÉPENSES</v>
      </c>
      <c r="B471" s="70" t="s">
        <v>144</v>
      </c>
      <c r="C471" s="893">
        <v>1.0004359643760452</v>
      </c>
      <c r="D471" s="896"/>
      <c r="E471" s="895">
        <v>8501372.9297800567</v>
      </c>
      <c r="F471" s="893">
        <v>1.2494558049058475</v>
      </c>
      <c r="G471" s="896"/>
      <c r="H471" s="895">
        <v>692751.29220304708</v>
      </c>
      <c r="I471" s="893">
        <v>1.179453722803308</v>
      </c>
      <c r="J471" s="896"/>
      <c r="K471" s="895">
        <v>630517.4141322244</v>
      </c>
      <c r="L471" s="893">
        <v>1.1766812136768074</v>
      </c>
      <c r="M471" s="896"/>
      <c r="N471" s="895">
        <v>665522.2705453058</v>
      </c>
      <c r="O471" s="893">
        <v>0.96110728740116524</v>
      </c>
      <c r="P471" s="896"/>
      <c r="Q471" s="895">
        <v>712292.24651183258</v>
      </c>
      <c r="R471" s="893">
        <v>0.98417905556186835</v>
      </c>
      <c r="S471" s="896"/>
      <c r="T471" s="895">
        <v>775422.56559605978</v>
      </c>
      <c r="U471" s="893">
        <v>0.94438705595909189</v>
      </c>
      <c r="V471" s="896"/>
      <c r="W471" s="895">
        <v>693143.03182964318</v>
      </c>
      <c r="X471" s="893">
        <v>0.96226449836243932</v>
      </c>
      <c r="Y471" s="896"/>
      <c r="Z471" s="895">
        <v>690341.34155515092</v>
      </c>
      <c r="AA471" s="893">
        <v>0.97326189611050107</v>
      </c>
      <c r="AB471" s="896"/>
      <c r="AC471" s="895">
        <v>755171.88574710686</v>
      </c>
      <c r="AD471" s="893">
        <v>1.0581202021702536</v>
      </c>
      <c r="AE471" s="896"/>
      <c r="AF471" s="895">
        <v>667818.25379478035</v>
      </c>
      <c r="AG471" s="893">
        <v>0.936337661538168</v>
      </c>
      <c r="AH471" s="896"/>
      <c r="AI471" s="895">
        <v>797901.80887840665</v>
      </c>
      <c r="AJ471" s="893">
        <v>0.77493326313769706</v>
      </c>
      <c r="AK471" s="896"/>
      <c r="AL471" s="895">
        <v>776335.52157483855</v>
      </c>
      <c r="AM471" s="893">
        <v>1.0706396402668288</v>
      </c>
      <c r="AN471" s="896"/>
      <c r="AO471" s="895">
        <v>644155.29741166043</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0"/>
        <v>Revenus autres</v>
      </c>
      <c r="B472" s="54" t="s">
        <v>216</v>
      </c>
      <c r="C472" s="913"/>
      <c r="D472" s="914"/>
      <c r="E472" s="915">
        <v>120000</v>
      </c>
      <c r="F472" s="913"/>
      <c r="G472" s="914"/>
      <c r="H472" s="915">
        <v>0</v>
      </c>
      <c r="I472" s="913"/>
      <c r="J472" s="914"/>
      <c r="K472" s="915">
        <v>0</v>
      </c>
      <c r="L472" s="913"/>
      <c r="M472" s="914"/>
      <c r="N472" s="915">
        <v>30000</v>
      </c>
      <c r="O472" s="913"/>
      <c r="P472" s="914"/>
      <c r="Q472" s="915">
        <v>0</v>
      </c>
      <c r="R472" s="913"/>
      <c r="S472" s="914"/>
      <c r="T472" s="915">
        <v>0</v>
      </c>
      <c r="U472" s="913"/>
      <c r="V472" s="914"/>
      <c r="W472" s="915">
        <v>30000</v>
      </c>
      <c r="X472" s="913"/>
      <c r="Y472" s="914"/>
      <c r="Z472" s="915">
        <v>0</v>
      </c>
      <c r="AA472" s="913"/>
      <c r="AB472" s="914"/>
      <c r="AC472" s="915">
        <v>0</v>
      </c>
      <c r="AD472" s="913"/>
      <c r="AE472" s="914"/>
      <c r="AF472" s="915">
        <v>30000</v>
      </c>
      <c r="AG472" s="913"/>
      <c r="AH472" s="914"/>
      <c r="AI472" s="915">
        <v>0</v>
      </c>
      <c r="AJ472" s="913"/>
      <c r="AK472" s="914"/>
      <c r="AL472" s="915">
        <v>0</v>
      </c>
      <c r="AM472" s="913"/>
      <c r="AN472" s="914"/>
      <c r="AO472" s="915">
        <v>30000</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0"/>
        <v>Holdbacks</v>
      </c>
      <c r="B473" s="54" t="s">
        <v>148</v>
      </c>
      <c r="C473" s="916"/>
      <c r="D473" s="917"/>
      <c r="E473" s="886">
        <v>1145900.2452170278</v>
      </c>
      <c r="F473" s="916"/>
      <c r="G473" s="917"/>
      <c r="H473" s="886">
        <v>84434.754910728356</v>
      </c>
      <c r="I473" s="916"/>
      <c r="J473" s="917"/>
      <c r="K473" s="886">
        <v>76895.937507984767</v>
      </c>
      <c r="L473" s="916"/>
      <c r="M473" s="917"/>
      <c r="N473" s="886">
        <v>72372.647066338584</v>
      </c>
      <c r="O473" s="916"/>
      <c r="P473" s="917"/>
      <c r="Q473" s="886">
        <v>85942.518391277088</v>
      </c>
      <c r="R473" s="916"/>
      <c r="S473" s="917"/>
      <c r="T473" s="886">
        <v>87450.281871825806</v>
      </c>
      <c r="U473" s="916"/>
      <c r="V473" s="917"/>
      <c r="W473" s="886">
        <v>105543.44363841046</v>
      </c>
      <c r="X473" s="916"/>
      <c r="Y473" s="917"/>
      <c r="Z473" s="886">
        <v>105543.44363841046</v>
      </c>
      <c r="AA473" s="916"/>
      <c r="AB473" s="917"/>
      <c r="AC473" s="886">
        <v>128159.89584664126</v>
      </c>
      <c r="AD473" s="916"/>
      <c r="AE473" s="917"/>
      <c r="AF473" s="886">
        <v>90465.808832923241</v>
      </c>
      <c r="AG473" s="916"/>
      <c r="AH473" s="917"/>
      <c r="AI473" s="886">
        <v>104035.68015786173</v>
      </c>
      <c r="AJ473" s="916"/>
      <c r="AK473" s="917"/>
      <c r="AL473" s="886">
        <v>126652.13236609256</v>
      </c>
      <c r="AM473" s="916"/>
      <c r="AN473" s="917"/>
      <c r="AO473" s="886">
        <v>78403.70098853347</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0"/>
        <v>Programme neuf 1</v>
      </c>
      <c r="B474" s="54" t="s">
        <v>145</v>
      </c>
      <c r="C474" s="916"/>
      <c r="D474" s="917"/>
      <c r="E474" s="886">
        <v>100000</v>
      </c>
      <c r="F474" s="916"/>
      <c r="G474" s="917"/>
      <c r="H474" s="886">
        <v>0</v>
      </c>
      <c r="I474" s="916"/>
      <c r="J474" s="917"/>
      <c r="K474" s="886">
        <v>0</v>
      </c>
      <c r="L474" s="916"/>
      <c r="M474" s="917"/>
      <c r="N474" s="886">
        <v>25000</v>
      </c>
      <c r="O474" s="916"/>
      <c r="P474" s="917"/>
      <c r="Q474" s="886">
        <v>0</v>
      </c>
      <c r="R474" s="916"/>
      <c r="S474" s="917"/>
      <c r="T474" s="886">
        <v>0</v>
      </c>
      <c r="U474" s="916"/>
      <c r="V474" s="917"/>
      <c r="W474" s="886">
        <v>25000</v>
      </c>
      <c r="X474" s="916"/>
      <c r="Y474" s="917"/>
      <c r="Z474" s="886">
        <v>0</v>
      </c>
      <c r="AA474" s="916"/>
      <c r="AB474" s="917"/>
      <c r="AC474" s="886">
        <v>0</v>
      </c>
      <c r="AD474" s="916"/>
      <c r="AE474" s="917"/>
      <c r="AF474" s="886">
        <v>25000</v>
      </c>
      <c r="AG474" s="916"/>
      <c r="AH474" s="917"/>
      <c r="AI474" s="886">
        <v>0</v>
      </c>
      <c r="AJ474" s="916"/>
      <c r="AK474" s="917"/>
      <c r="AL474" s="886">
        <v>0</v>
      </c>
      <c r="AM474" s="916"/>
      <c r="AN474" s="917"/>
      <c r="AO474" s="886">
        <v>25000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0"/>
        <v>Programme neuf 2</v>
      </c>
      <c r="B475" s="54" t="s">
        <v>146</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0"/>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0"/>
        <v>Programme used 1</v>
      </c>
      <c r="B477" s="54" t="s">
        <v>158</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0"/>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0"/>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0"/>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0"/>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0"/>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10"/>
        <v>Frais administration</v>
      </c>
      <c r="B483" s="55" t="s">
        <v>149</v>
      </c>
      <c r="C483" s="918"/>
      <c r="D483" s="917"/>
      <c r="E483" s="886">
        <v>519867.54999999987</v>
      </c>
      <c r="F483" s="918"/>
      <c r="G483" s="917"/>
      <c r="H483" s="886">
        <v>36403.049999999996</v>
      </c>
      <c r="I483" s="918"/>
      <c r="J483" s="917"/>
      <c r="K483" s="886">
        <v>35549</v>
      </c>
      <c r="L483" s="918"/>
      <c r="M483" s="917"/>
      <c r="N483" s="886">
        <v>34884.949999999997</v>
      </c>
      <c r="O483" s="918"/>
      <c r="P483" s="917"/>
      <c r="Q483" s="886">
        <v>39435.449999999997</v>
      </c>
      <c r="R483" s="918"/>
      <c r="S483" s="917"/>
      <c r="T483" s="886">
        <v>44079.049999999996</v>
      </c>
      <c r="U483" s="918"/>
      <c r="V483" s="917"/>
      <c r="W483" s="886">
        <v>49009.549999999996</v>
      </c>
      <c r="X483" s="918"/>
      <c r="Y483" s="917"/>
      <c r="Z483" s="886">
        <v>47493.349999999991</v>
      </c>
      <c r="AA483" s="918"/>
      <c r="AB483" s="917"/>
      <c r="AC483" s="886">
        <v>53087.899999999994</v>
      </c>
      <c r="AD483" s="918"/>
      <c r="AE483" s="917"/>
      <c r="AF483" s="886">
        <v>38962.35</v>
      </c>
      <c r="AG483" s="918"/>
      <c r="AH483" s="917"/>
      <c r="AI483" s="886">
        <v>50051.7</v>
      </c>
      <c r="AJ483" s="918"/>
      <c r="AK483" s="917"/>
      <c r="AL483" s="886">
        <v>54509.1</v>
      </c>
      <c r="AM483" s="918"/>
      <c r="AN483" s="917"/>
      <c r="AO483" s="886">
        <v>36402.099999999991</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10"/>
        <v>TOTAL AUTRES REVENUS</v>
      </c>
      <c r="B484" s="70" t="s">
        <v>217</v>
      </c>
      <c r="C484" s="893">
        <v>0.22191591150984183</v>
      </c>
      <c r="D484" s="919"/>
      <c r="E484" s="895">
        <v>1885767.7952170277</v>
      </c>
      <c r="F484" s="893">
        <v>0.21794473499666431</v>
      </c>
      <c r="G484" s="919"/>
      <c r="H484" s="895">
        <v>120837.80491072836</v>
      </c>
      <c r="I484" s="893">
        <v>0.21034089968269418</v>
      </c>
      <c r="J484" s="919"/>
      <c r="K484" s="895">
        <v>112444.93750798477</v>
      </c>
      <c r="L484" s="893">
        <v>0.28688065703325599</v>
      </c>
      <c r="M484" s="919"/>
      <c r="N484" s="895">
        <v>162257.59706633858</v>
      </c>
      <c r="O484" s="893">
        <v>0.16917449219827721</v>
      </c>
      <c r="P484" s="919"/>
      <c r="Q484" s="895">
        <v>125377.96839127709</v>
      </c>
      <c r="R484" s="893">
        <v>0.16693918820996823</v>
      </c>
      <c r="S484" s="919"/>
      <c r="T484" s="895">
        <v>131529.33187182579</v>
      </c>
      <c r="U484" s="893">
        <v>0.28550980914748819</v>
      </c>
      <c r="V484" s="919"/>
      <c r="W484" s="895">
        <v>209552.99363841047</v>
      </c>
      <c r="X484" s="893">
        <v>0.21331747730726991</v>
      </c>
      <c r="Y484" s="919"/>
      <c r="Z484" s="895">
        <v>153036.79363841045</v>
      </c>
      <c r="AA484" s="893">
        <v>0.23359128799800777</v>
      </c>
      <c r="AB484" s="919"/>
      <c r="AC484" s="895">
        <v>181247.79584664124</v>
      </c>
      <c r="AD484" s="893">
        <v>0.2922159728358501</v>
      </c>
      <c r="AE484" s="919"/>
      <c r="AF484" s="895">
        <v>184428.15883292325</v>
      </c>
      <c r="AG484" s="893">
        <v>0.1808215191445213</v>
      </c>
      <c r="AH484" s="919"/>
      <c r="AI484" s="895">
        <v>154087.38015786174</v>
      </c>
      <c r="AJ484" s="893">
        <v>0.18083400932977833</v>
      </c>
      <c r="AK484" s="919"/>
      <c r="AL484" s="895">
        <v>181161.23236609256</v>
      </c>
      <c r="AM484" s="893">
        <v>0.28223135386155296</v>
      </c>
      <c r="AN484" s="919"/>
      <c r="AO484" s="895">
        <v>169805.80098853348</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f t="shared" si="10"/>
        <v>0</v>
      </c>
      <c r="B485" s="71"/>
      <c r="C485" s="920"/>
      <c r="D485" s="921"/>
      <c r="E485" s="922">
        <v>233293.58808917447</v>
      </c>
      <c r="F485" s="920"/>
      <c r="G485" s="921"/>
      <c r="H485" s="922">
        <v>19441.13234076454</v>
      </c>
      <c r="I485" s="920"/>
      <c r="J485" s="921"/>
      <c r="K485" s="922">
        <v>19441.13234076454</v>
      </c>
      <c r="L485" s="920"/>
      <c r="M485" s="921"/>
      <c r="N485" s="922">
        <v>19441.13234076454</v>
      </c>
      <c r="O485" s="920"/>
      <c r="P485" s="921"/>
      <c r="Q485" s="922">
        <v>19441.13234076454</v>
      </c>
      <c r="R485" s="920"/>
      <c r="S485" s="921"/>
      <c r="T485" s="922">
        <v>19441.13234076454</v>
      </c>
      <c r="U485" s="920"/>
      <c r="V485" s="921"/>
      <c r="W485" s="922">
        <v>19441.13234076454</v>
      </c>
      <c r="X485" s="920"/>
      <c r="Y485" s="921"/>
      <c r="Z485" s="922">
        <v>19441.13234076454</v>
      </c>
      <c r="AA485" s="920"/>
      <c r="AB485" s="921"/>
      <c r="AC485" s="922">
        <v>19441.13234076454</v>
      </c>
      <c r="AD485" s="920"/>
      <c r="AE485" s="921"/>
      <c r="AF485" s="922">
        <v>19441.13234076454</v>
      </c>
      <c r="AG485" s="920"/>
      <c r="AH485" s="921"/>
      <c r="AI485" s="922">
        <v>19441.13234076454</v>
      </c>
      <c r="AJ485" s="920"/>
      <c r="AK485" s="921"/>
      <c r="AL485" s="922">
        <v>19441.13234076454</v>
      </c>
      <c r="AM485" s="920"/>
      <c r="AN485" s="921"/>
      <c r="AO485" s="922">
        <v>19441.13234076454</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t="str">
        <f t="shared" si="10"/>
        <v>BAIIA OPÉRATIONNEL</v>
      </c>
      <c r="B486" s="72" t="s">
        <v>218</v>
      </c>
      <c r="C486" s="923" t="s">
        <v>219</v>
      </c>
      <c r="D486" s="924">
        <v>2.6424307006582437E-2</v>
      </c>
      <c r="E486" s="925">
        <v>1882063.1145809495</v>
      </c>
      <c r="F486" s="926" t="s">
        <v>219</v>
      </c>
      <c r="G486" s="927">
        <v>-3.8980066406975587E-3</v>
      </c>
      <c r="H486" s="928">
        <v>-17471.073656688561</v>
      </c>
      <c r="I486" s="926" t="s">
        <v>219</v>
      </c>
      <c r="J486" s="927">
        <v>3.4186158761227705E-3</v>
      </c>
      <c r="K486" s="928">
        <v>16511.799080635028</v>
      </c>
      <c r="L486" s="926" t="s">
        <v>219</v>
      </c>
      <c r="M486" s="927">
        <v>1.2095019110529287E-2</v>
      </c>
      <c r="N486" s="928">
        <v>62327.997509405657</v>
      </c>
      <c r="O486" s="926" t="s">
        <v>219</v>
      </c>
      <c r="P486" s="927">
        <v>2.7947392121934617E-2</v>
      </c>
      <c r="Q486" s="928">
        <v>154201.9904261863</v>
      </c>
      <c r="R486" s="926" t="s">
        <v>219</v>
      </c>
      <c r="S486" s="927">
        <v>2.3155654438987455E-2</v>
      </c>
      <c r="T486" s="928">
        <v>143994.45928643533</v>
      </c>
      <c r="U486" s="926" t="s">
        <v>219</v>
      </c>
      <c r="V486" s="927">
        <v>3.9442474147656191E-2</v>
      </c>
      <c r="W486" s="928">
        <v>250370.71175329864</v>
      </c>
      <c r="X486" s="926" t="s">
        <v>219</v>
      </c>
      <c r="Y486" s="927">
        <v>2.8657593431559183E-2</v>
      </c>
      <c r="Z486" s="928">
        <v>180108.74409388524</v>
      </c>
      <c r="AA486" s="926" t="s">
        <v>219</v>
      </c>
      <c r="AB486" s="927">
        <v>2.886105411252432E-2</v>
      </c>
      <c r="AC486" s="928">
        <v>201994.38462837489</v>
      </c>
      <c r="AD486" s="926" t="s">
        <v>219</v>
      </c>
      <c r="AE486" s="927">
        <v>2.740518101689951E-2</v>
      </c>
      <c r="AF486" s="928">
        <v>147746.37934895765</v>
      </c>
      <c r="AG486" s="926" t="s">
        <v>219</v>
      </c>
      <c r="AH486" s="927">
        <v>2.9656514803954506E-2</v>
      </c>
      <c r="AI486" s="928">
        <v>208337.35546343634</v>
      </c>
      <c r="AJ486" s="926" t="s">
        <v>219</v>
      </c>
      <c r="AK486" s="927">
        <v>5.2939347863691678E-2</v>
      </c>
      <c r="AL486" s="928">
        <v>406635.23233826278</v>
      </c>
      <c r="AM486" s="926" t="s">
        <v>219</v>
      </c>
      <c r="AN486" s="927">
        <v>2.40445603713931E-2</v>
      </c>
      <c r="AO486" s="928">
        <v>127305.13430876116</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3933</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61"/>
      <c r="C491" s="757"/>
      <c r="D491" s="757"/>
      <c r="E491" s="929"/>
      <c r="F491" s="757"/>
      <c r="G491" s="757"/>
      <c r="H491" s="929"/>
      <c r="I491" s="757"/>
      <c r="J491" s="757"/>
      <c r="K491" s="929"/>
      <c r="L491" s="757"/>
      <c r="M491" s="757"/>
      <c r="N491" s="929"/>
      <c r="O491" s="757"/>
      <c r="P491" s="757"/>
      <c r="Q491" s="929"/>
      <c r="R491" s="757"/>
      <c r="S491" s="757"/>
      <c r="T491" s="929"/>
      <c r="U491" s="757"/>
      <c r="V491" s="757"/>
      <c r="W491" s="929"/>
      <c r="X491" s="757"/>
      <c r="Y491" s="757"/>
      <c r="Z491" s="929"/>
      <c r="AA491" s="757"/>
      <c r="AB491" s="757"/>
      <c r="AC491" s="929"/>
      <c r="AD491" s="757"/>
      <c r="AE491" s="757"/>
      <c r="AF491" s="929"/>
      <c r="AG491" s="757"/>
      <c r="AH491" s="757"/>
      <c r="AI491" s="929"/>
      <c r="AJ491" s="757"/>
      <c r="AK491" s="757"/>
      <c r="AL491" s="929"/>
      <c r="AM491" s="757"/>
      <c r="AN491" s="757"/>
      <c r="AO491" s="929"/>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73" t="s">
        <v>218</v>
      </c>
      <c r="C492" s="930" t="s">
        <v>219</v>
      </c>
      <c r="D492" s="931">
        <v>2.6424307006582437E-2</v>
      </c>
      <c r="E492" s="932">
        <v>1882063.1145809495</v>
      </c>
      <c r="F492" s="933" t="s">
        <v>219</v>
      </c>
      <c r="G492" s="931">
        <v>-3.8980066406975587E-3</v>
      </c>
      <c r="H492" s="934">
        <v>-17471.073656688561</v>
      </c>
      <c r="I492" s="933" t="s">
        <v>219</v>
      </c>
      <c r="J492" s="931">
        <v>3.4186158761227705E-3</v>
      </c>
      <c r="K492" s="934">
        <v>16511.799080635028</v>
      </c>
      <c r="L492" s="933" t="s">
        <v>219</v>
      </c>
      <c r="M492" s="931">
        <v>1.2095019110529287E-2</v>
      </c>
      <c r="N492" s="934">
        <v>62327.997509405657</v>
      </c>
      <c r="O492" s="933" t="s">
        <v>219</v>
      </c>
      <c r="P492" s="931">
        <v>2.7947392121934617E-2</v>
      </c>
      <c r="Q492" s="934">
        <v>154201.9904261863</v>
      </c>
      <c r="R492" s="933" t="s">
        <v>219</v>
      </c>
      <c r="S492" s="931">
        <v>2.3155654438987455E-2</v>
      </c>
      <c r="T492" s="934">
        <v>143994.45928643533</v>
      </c>
      <c r="U492" s="933" t="s">
        <v>219</v>
      </c>
      <c r="V492" s="931">
        <v>3.9442474147656191E-2</v>
      </c>
      <c r="W492" s="934">
        <v>250370.71175329864</v>
      </c>
      <c r="X492" s="933" t="s">
        <v>219</v>
      </c>
      <c r="Y492" s="931">
        <v>2.8657593431559183E-2</v>
      </c>
      <c r="Z492" s="934">
        <v>180108.74409388524</v>
      </c>
      <c r="AA492" s="933" t="s">
        <v>219</v>
      </c>
      <c r="AB492" s="931">
        <v>2.886105411252432E-2</v>
      </c>
      <c r="AC492" s="934">
        <v>201994.38462837489</v>
      </c>
      <c r="AD492" s="933" t="s">
        <v>219</v>
      </c>
      <c r="AE492" s="931">
        <v>2.740518101689951E-2</v>
      </c>
      <c r="AF492" s="934">
        <v>147746.37934895765</v>
      </c>
      <c r="AG492" s="933" t="s">
        <v>219</v>
      </c>
      <c r="AH492" s="931">
        <v>2.9656514803954506E-2</v>
      </c>
      <c r="AI492" s="934">
        <v>208337.35546343634</v>
      </c>
      <c r="AJ492" s="933" t="s">
        <v>219</v>
      </c>
      <c r="AK492" s="931">
        <v>5.2939347863691678E-2</v>
      </c>
      <c r="AL492" s="934">
        <v>406635.23233826278</v>
      </c>
      <c r="AM492" s="933" t="s">
        <v>219</v>
      </c>
      <c r="AN492" s="931">
        <v>2.40445603713931E-2</v>
      </c>
      <c r="AO492" s="934">
        <v>127305.13430876116</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11">B494</f>
        <v>Amortissement</v>
      </c>
      <c r="B494" s="75" t="s">
        <v>221</v>
      </c>
      <c r="C494" s="885"/>
      <c r="D494" s="888"/>
      <c r="E494" s="938">
        <v>517776</v>
      </c>
      <c r="F494" s="889"/>
      <c r="G494" s="888"/>
      <c r="H494" s="897">
        <v>42648</v>
      </c>
      <c r="I494" s="889"/>
      <c r="J494" s="888"/>
      <c r="K494" s="897">
        <v>42648</v>
      </c>
      <c r="L494" s="889"/>
      <c r="M494" s="888"/>
      <c r="N494" s="897">
        <v>42648</v>
      </c>
      <c r="O494" s="889"/>
      <c r="P494" s="888"/>
      <c r="Q494" s="897">
        <v>42648</v>
      </c>
      <c r="R494" s="889"/>
      <c r="S494" s="888"/>
      <c r="T494" s="897">
        <v>42648</v>
      </c>
      <c r="U494" s="889"/>
      <c r="V494" s="888"/>
      <c r="W494" s="897">
        <v>42648</v>
      </c>
      <c r="X494" s="889"/>
      <c r="Y494" s="888"/>
      <c r="Z494" s="897">
        <v>43648</v>
      </c>
      <c r="AA494" s="889"/>
      <c r="AB494" s="888"/>
      <c r="AC494" s="897">
        <v>43648</v>
      </c>
      <c r="AD494" s="889"/>
      <c r="AE494" s="888"/>
      <c r="AF494" s="897">
        <v>43648</v>
      </c>
      <c r="AG494" s="889"/>
      <c r="AH494" s="888"/>
      <c r="AI494" s="897">
        <v>43648</v>
      </c>
      <c r="AJ494" s="889"/>
      <c r="AK494" s="888"/>
      <c r="AL494" s="897">
        <v>43648</v>
      </c>
      <c r="AM494" s="889"/>
      <c r="AN494" s="888"/>
      <c r="AO494" s="897">
        <v>43648</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1"/>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1"/>
        <v>Intérêts sur prêt</v>
      </c>
      <c r="B496" s="75" t="s">
        <v>223</v>
      </c>
      <c r="C496" s="757"/>
      <c r="D496" s="757"/>
      <c r="E496" s="938">
        <v>0</v>
      </c>
      <c r="F496" s="940"/>
      <c r="G496" s="757"/>
      <c r="H496" s="897">
        <v>0</v>
      </c>
      <c r="I496" s="940"/>
      <c r="J496" s="757"/>
      <c r="K496" s="897">
        <v>0</v>
      </c>
      <c r="L496" s="940"/>
      <c r="M496" s="757"/>
      <c r="N496" s="897">
        <v>0</v>
      </c>
      <c r="O496" s="940"/>
      <c r="P496" s="757"/>
      <c r="Q496" s="897">
        <v>0</v>
      </c>
      <c r="R496" s="940"/>
      <c r="S496" s="757"/>
      <c r="T496" s="897">
        <v>0</v>
      </c>
      <c r="U496" s="940"/>
      <c r="V496" s="757"/>
      <c r="W496" s="897">
        <v>0</v>
      </c>
      <c r="X496" s="940"/>
      <c r="Y496" s="757"/>
      <c r="Z496" s="897">
        <v>0</v>
      </c>
      <c r="AA496" s="940"/>
      <c r="AB496" s="757"/>
      <c r="AC496" s="897">
        <v>0</v>
      </c>
      <c r="AD496" s="940"/>
      <c r="AE496" s="757"/>
      <c r="AF496" s="897">
        <v>0</v>
      </c>
      <c r="AG496" s="940"/>
      <c r="AH496" s="757"/>
      <c r="AI496" s="897">
        <v>0</v>
      </c>
      <c r="AJ496" s="940"/>
      <c r="AK496" s="757"/>
      <c r="AL496" s="897">
        <v>0</v>
      </c>
      <c r="AM496" s="940"/>
      <c r="AN496" s="757"/>
      <c r="AO496" s="89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1"/>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1"/>
        <v>Intérêts sur hypothèque</v>
      </c>
      <c r="B498" s="76" t="s">
        <v>3934</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1"/>
        <v>Revenus d'intérêts Floor plan</v>
      </c>
      <c r="B499" s="76" t="s">
        <v>3936</v>
      </c>
      <c r="C499" s="810"/>
      <c r="D499" s="810"/>
      <c r="E499" s="938">
        <v>-12949.999999999998</v>
      </c>
      <c r="F499" s="941"/>
      <c r="G499" s="810"/>
      <c r="H499" s="886">
        <v>-1079.1666666666667</v>
      </c>
      <c r="I499" s="941"/>
      <c r="J499" s="810"/>
      <c r="K499" s="886">
        <v>-1079.1666666666667</v>
      </c>
      <c r="L499" s="941"/>
      <c r="M499" s="810"/>
      <c r="N499" s="886">
        <v>-1079.1666666666667</v>
      </c>
      <c r="O499" s="941"/>
      <c r="P499" s="810"/>
      <c r="Q499" s="886">
        <v>-1079.1666666666667</v>
      </c>
      <c r="R499" s="941"/>
      <c r="S499" s="810"/>
      <c r="T499" s="886">
        <v>-1079.1666666666667</v>
      </c>
      <c r="U499" s="941"/>
      <c r="V499" s="810"/>
      <c r="W499" s="886">
        <v>-1079.1666666666667</v>
      </c>
      <c r="X499" s="941"/>
      <c r="Y499" s="810"/>
      <c r="Z499" s="886">
        <v>-1079.1666666666667</v>
      </c>
      <c r="AA499" s="941"/>
      <c r="AB499" s="810"/>
      <c r="AC499" s="886">
        <v>-1079.1666666666667</v>
      </c>
      <c r="AD499" s="941"/>
      <c r="AE499" s="810"/>
      <c r="AF499" s="886">
        <v>-1079.1666666666667</v>
      </c>
      <c r="AG499" s="941"/>
      <c r="AH499" s="810"/>
      <c r="AI499" s="886">
        <v>-1079.1666666666667</v>
      </c>
      <c r="AJ499" s="941"/>
      <c r="AK499" s="810"/>
      <c r="AL499" s="886">
        <v>-1079.1666666666667</v>
      </c>
      <c r="AM499" s="941"/>
      <c r="AN499" s="810"/>
      <c r="AO499" s="886">
        <v>-1079.1666666666667</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11"/>
        <v>[...]</v>
      </c>
      <c r="B500" s="77" t="s">
        <v>59</v>
      </c>
      <c r="C500" s="810"/>
      <c r="D500" s="810"/>
      <c r="E500" s="938"/>
      <c r="F500" s="941"/>
      <c r="G500" s="810"/>
      <c r="H500" s="886"/>
      <c r="I500" s="941"/>
      <c r="J500" s="810"/>
      <c r="K500" s="886"/>
      <c r="L500" s="941"/>
      <c r="M500" s="810"/>
      <c r="N500" s="886"/>
      <c r="O500" s="941"/>
      <c r="P500" s="810"/>
      <c r="Q500" s="886"/>
      <c r="R500" s="941"/>
      <c r="S500" s="810"/>
      <c r="T500" s="886"/>
      <c r="U500" s="941"/>
      <c r="V500" s="810"/>
      <c r="W500" s="886"/>
      <c r="X500" s="941"/>
      <c r="Y500" s="810"/>
      <c r="Z500" s="886"/>
      <c r="AA500" s="941"/>
      <c r="AB500" s="810"/>
      <c r="AC500" s="886"/>
      <c r="AD500" s="941"/>
      <c r="AE500" s="810"/>
      <c r="AF500" s="886"/>
      <c r="AG500" s="941"/>
      <c r="AH500" s="810"/>
      <c r="AI500" s="886"/>
      <c r="AJ500" s="941"/>
      <c r="AK500" s="810"/>
      <c r="AL500" s="886"/>
      <c r="AM500" s="941"/>
      <c r="AN500" s="810"/>
      <c r="AO500" s="886"/>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78" t="s">
        <v>225</v>
      </c>
      <c r="C501" s="942" t="s">
        <v>219</v>
      </c>
      <c r="D501" s="943">
        <v>1.9336512178896689E-2</v>
      </c>
      <c r="E501" s="944">
        <v>1377237.1145809495</v>
      </c>
      <c r="F501" s="945" t="s">
        <v>219</v>
      </c>
      <c r="G501" s="943">
        <v>-1.3172513265958696E-2</v>
      </c>
      <c r="H501" s="946">
        <v>-59039.906990021896</v>
      </c>
      <c r="I501" s="945" t="s">
        <v>219</v>
      </c>
      <c r="J501" s="943">
        <v>-5.1878280910823719E-3</v>
      </c>
      <c r="K501" s="946">
        <v>-25057.034252698304</v>
      </c>
      <c r="L501" s="945" t="s">
        <v>219</v>
      </c>
      <c r="M501" s="943">
        <v>4.0284061330595443E-3</v>
      </c>
      <c r="N501" s="946">
        <v>20759.164176072325</v>
      </c>
      <c r="O501" s="945" t="s">
        <v>219</v>
      </c>
      <c r="P501" s="943">
        <v>2.0413504381528846E-2</v>
      </c>
      <c r="Q501" s="946">
        <v>112633.15709285297</v>
      </c>
      <c r="R501" s="945" t="s">
        <v>219</v>
      </c>
      <c r="S501" s="943">
        <v>1.6470997648243807E-2</v>
      </c>
      <c r="T501" s="946">
        <v>102425.625953102</v>
      </c>
      <c r="U501" s="945" t="s">
        <v>219</v>
      </c>
      <c r="V501" s="943">
        <v>3.2893874183161233E-2</v>
      </c>
      <c r="W501" s="946">
        <v>208801.8784199653</v>
      </c>
      <c r="X501" s="945" t="s">
        <v>219</v>
      </c>
      <c r="Y501" s="943">
        <v>2.1884350274155542E-2</v>
      </c>
      <c r="Z501" s="946">
        <v>137539.91076055189</v>
      </c>
      <c r="AA501" s="945" t="s">
        <v>219</v>
      </c>
      <c r="AB501" s="943">
        <v>2.2778798882505519E-2</v>
      </c>
      <c r="AC501" s="946">
        <v>159425.55129504154</v>
      </c>
      <c r="AD501" s="945" t="s">
        <v>219</v>
      </c>
      <c r="AE501" s="943">
        <v>1.9509173085477699E-2</v>
      </c>
      <c r="AF501" s="946">
        <v>105177.54601562432</v>
      </c>
      <c r="AG501" s="945" t="s">
        <v>219</v>
      </c>
      <c r="AH501" s="943">
        <v>2.3596904259658075E-2</v>
      </c>
      <c r="AI501" s="946">
        <v>165768.522130103</v>
      </c>
      <c r="AJ501" s="945" t="s">
        <v>219</v>
      </c>
      <c r="AK501" s="943">
        <v>4.7397363065605616E-2</v>
      </c>
      <c r="AL501" s="946">
        <v>364066.39900492947</v>
      </c>
      <c r="AM501" s="945" t="s">
        <v>219</v>
      </c>
      <c r="AN501" s="943">
        <v>1.6004437806181972E-2</v>
      </c>
      <c r="AO501" s="946">
        <v>84736.300975427832</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63" stopIfTrue="1">
      <formula>"esterreur(reference)"</formula>
    </cfRule>
  </conditionalFormatting>
  <conditionalFormatting sqref="C94">
    <cfRule type="expression" priority="23" stopIfTrue="1">
      <formula>"esterreur(reference)"</formula>
    </cfRule>
  </conditionalFormatting>
  <conditionalFormatting sqref="C173">
    <cfRule type="expression" priority="21" stopIfTrue="1">
      <formula>"esterreur(reference)"</formula>
    </cfRule>
  </conditionalFormatting>
  <conditionalFormatting sqref="C241">
    <cfRule type="expression" priority="19" stopIfTrue="1">
      <formula>"esterreur(reference)"</formula>
    </cfRule>
  </conditionalFormatting>
  <conditionalFormatting sqref="C296">
    <cfRule type="expression" priority="17" stopIfTrue="1">
      <formula>"esterreur(reference)"</formula>
    </cfRule>
  </conditionalFormatting>
  <conditionalFormatting sqref="C361">
    <cfRule type="expression" priority="15" stopIfTrue="1">
      <formula>"esterreur(reference)"</formula>
    </cfRule>
  </conditionalFormatting>
  <conditionalFormatting sqref="C407">
    <cfRule type="expression" priority="13" stopIfTrue="1">
      <formula>"esterreur(reference)"</formula>
    </cfRule>
  </conditionalFormatting>
  <conditionalFormatting sqref="C253:D257 F253:G257 I253:J257 L253:M257 O253:P257 R253:S257 U253:V257 X253:Y257 AA253:AB257 AD253:AE257 AG253:AH257 AJ253:AK257 AM253:AN257">
    <cfRule type="expression" priority="51" stopIfTrue="1">
      <formula>"esterreur(reference)"</formula>
    </cfRule>
  </conditionalFormatting>
  <conditionalFormatting sqref="C28:AO75">
    <cfRule type="expression" priority="48" stopIfTrue="1">
      <formula>"esterreur(reference)"</formula>
    </cfRule>
  </conditionalFormatting>
  <conditionalFormatting sqref="C86:AO91 C93:AO93 H169:AO170 C172:AO172 H237:AO238 C240:AO240 H293:AO293 C295:AO295 AM356:AN358 C362:AO397 AM403:AN403">
    <cfRule type="expression" priority="27"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25" stopIfTrue="1">
      <formula>"esterreur(reference)"</formula>
    </cfRule>
  </conditionalFormatting>
  <conditionalFormatting sqref="C174:AO212 E256">
    <cfRule type="expression" priority="50" stopIfTrue="1">
      <formula>"esterreur(reference)"</formula>
    </cfRule>
  </conditionalFormatting>
  <conditionalFormatting sqref="C270:AO288">
    <cfRule type="expression" priority="62" stopIfTrue="1">
      <formula>"esterreur(reference)"</formula>
    </cfRule>
  </conditionalFormatting>
  <conditionalFormatting sqref="C334:AO352">
    <cfRule type="expression" priority="61" stopIfTrue="1">
      <formula>"esterreur(reference)"</formula>
    </cfRule>
  </conditionalFormatting>
  <conditionalFormatting sqref="C360:AO360">
    <cfRule type="expression" priority="26" stopIfTrue="1">
      <formula>"esterreur(reference)"</formula>
    </cfRule>
  </conditionalFormatting>
  <conditionalFormatting sqref="D398">
    <cfRule type="expression" priority="58" stopIfTrue="1">
      <formula>"esterreur(reference)"</formula>
    </cfRule>
  </conditionalFormatting>
  <conditionalFormatting sqref="E253:E254">
    <cfRule type="expression" priority="54"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66"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F173 I173 L173 O173 R173 U173 X173 AA173 AD173 AG173 AJ173 AM173">
    <cfRule type="expression" priority="22" stopIfTrue="1">
      <formula>"esterreur(reference)"</formula>
    </cfRule>
  </conditionalFormatting>
  <conditionalFormatting sqref="F241 I241 L241 O241 R241 U241 X241 AA241 AD241 AG241 AJ241 AM241">
    <cfRule type="expression" priority="20" stopIfTrue="1">
      <formula>"esterreur(reference)"</formula>
    </cfRule>
  </conditionalFormatting>
  <conditionalFormatting sqref="F296 I296 L296 O296 R296 U296 X296 AA296 AD296 AG296 AJ296 AM296">
    <cfRule type="expression" priority="18" stopIfTrue="1">
      <formula>"esterreur(reference)"</formula>
    </cfRule>
  </conditionalFormatting>
  <conditionalFormatting sqref="F361 I361 L361 O361 R361 U361 X361 AA361 AD361 AG361 AJ361 AM361">
    <cfRule type="expression" priority="16" stopIfTrue="1">
      <formula>"esterreur(reference)"</formula>
    </cfRule>
  </conditionalFormatting>
  <conditionalFormatting sqref="F407 I407 L407 O407 R407 U407 X407 AA407 AD407 AG407 AJ407 AM407">
    <cfRule type="expression" priority="14" stopIfTrue="1">
      <formula>"esterreur(reference)"</formula>
    </cfRule>
  </conditionalFormatting>
  <conditionalFormatting sqref="G398 J398 M398 P398 S398 V398 Y398 AB398 AE398 AH398 AK398 AN398">
    <cfRule type="expression" priority="65" stopIfTrue="1">
      <formula>"esterreur(reference)"</formula>
    </cfRule>
  </conditionalFormatting>
  <conditionalFormatting sqref="I356:J358 I403:J403">
    <cfRule type="expression" priority="47" stopIfTrue="1">
      <formula>"esterreur(reference)"</formula>
    </cfRule>
  </conditionalFormatting>
  <conditionalFormatting sqref="L356:M358 L403:M403">
    <cfRule type="expression" priority="45" stopIfTrue="1">
      <formula>"esterreur(reference)"</formula>
    </cfRule>
  </conditionalFormatting>
  <conditionalFormatting sqref="O356:P358 O403:P403">
    <cfRule type="expression" priority="43" stopIfTrue="1">
      <formula>"esterreur(reference)"</formula>
    </cfRule>
  </conditionalFormatting>
  <conditionalFormatting sqref="R356:S358 R403:S403">
    <cfRule type="expression" priority="41" stopIfTrue="1">
      <formula>"esterreur(reference)"</formula>
    </cfRule>
  </conditionalFormatting>
  <conditionalFormatting sqref="U356:V358 U403:V403">
    <cfRule type="expression" priority="39" stopIfTrue="1">
      <formula>"esterreur(reference)"</formula>
    </cfRule>
  </conditionalFormatting>
  <conditionalFormatting sqref="X356:Y358 X403:Y403">
    <cfRule type="expression" priority="37" stopIfTrue="1">
      <formula>"esterreur(reference)"</formula>
    </cfRule>
  </conditionalFormatting>
  <conditionalFormatting sqref="AA356:AB358 AA403:AB403">
    <cfRule type="expression" priority="35" stopIfTrue="1">
      <formula>"esterreur(reference)"</formula>
    </cfRule>
  </conditionalFormatting>
  <conditionalFormatting sqref="AD356:AE358 AD403:AE403">
    <cfRule type="expression" priority="33" stopIfTrue="1">
      <formula>"esterreur(reference)"</formula>
    </cfRule>
  </conditionalFormatting>
  <conditionalFormatting sqref="AG356:AH358 AG403:AH403">
    <cfRule type="expression" priority="31" stopIfTrue="1">
      <formula>"esterreur(reference)"</formula>
    </cfRule>
  </conditionalFormatting>
  <conditionalFormatting sqref="AJ356:AK358 AJ403:AK403">
    <cfRule type="expression" priority="29"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33B5-D005-40E5-92F8-0EE03050FDEC}">
  <dimension ref="A1:BI701"/>
  <sheetViews>
    <sheetView topLeftCell="A232" workbookViewId="0">
      <selection activeCell="G430" sqref="G430"/>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972" t="str">
        <f>"Réel 2023 Mensuel Révisé"&amp;" "&amp;Parametres!$B$1</f>
        <v>Réel 2023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X</v>
      </c>
      <c r="S2" s="35" t="str">
        <f>+IF(Parametres!$B$3=R$6,"O","")</f>
        <v>O</v>
      </c>
      <c r="T2" s="35" t="str">
        <f>+IF(Parametres!$B$3=R$6,"U","")</f>
        <v>U</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3935</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 thickTop="1">
      <c r="A6" s="39"/>
      <c r="B6" s="40" t="s">
        <v>3</v>
      </c>
      <c r="C6" s="969">
        <v>2024</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25">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96</v>
      </c>
      <c r="C8" s="735"/>
      <c r="D8" s="736"/>
      <c r="E8" s="737">
        <v>38196010.659999967</v>
      </c>
      <c r="F8" s="735"/>
      <c r="G8" s="736"/>
      <c r="H8" s="738">
        <v>2179097.79</v>
      </c>
      <c r="I8" s="735"/>
      <c r="J8" s="736"/>
      <c r="K8" s="738">
        <v>3708952.51</v>
      </c>
      <c r="L8" s="735"/>
      <c r="M8" s="736"/>
      <c r="N8" s="738">
        <v>4089927.92</v>
      </c>
      <c r="O8" s="735"/>
      <c r="P8" s="736"/>
      <c r="Q8" s="738">
        <v>3890022.88</v>
      </c>
      <c r="R8" s="735"/>
      <c r="S8" s="736"/>
      <c r="T8" s="738">
        <v>3906259.79</v>
      </c>
      <c r="U8" s="735"/>
      <c r="V8" s="736"/>
      <c r="W8" s="738">
        <v>2093787.3699999901</v>
      </c>
      <c r="X8" s="735"/>
      <c r="Y8" s="736"/>
      <c r="Z8" s="738">
        <v>4524162.07</v>
      </c>
      <c r="AA8" s="735"/>
      <c r="AB8" s="736"/>
      <c r="AC8" s="738">
        <v>4621444.4799999902</v>
      </c>
      <c r="AD8" s="735"/>
      <c r="AE8" s="736"/>
      <c r="AF8" s="738">
        <v>2442838.48</v>
      </c>
      <c r="AG8" s="735"/>
      <c r="AH8" s="736"/>
      <c r="AI8" s="738">
        <v>2470113.9900000002</v>
      </c>
      <c r="AJ8" s="735"/>
      <c r="AK8" s="736"/>
      <c r="AL8" s="738">
        <v>2101403.2899999898</v>
      </c>
      <c r="AM8" s="735"/>
      <c r="AN8" s="736"/>
      <c r="AO8" s="738">
        <v>2168000.09</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97</v>
      </c>
      <c r="C9" s="739">
        <v>183</v>
      </c>
      <c r="D9" s="740">
        <v>1942.5737704917985</v>
      </c>
      <c r="E9" s="741">
        <v>355490.99999999913</v>
      </c>
      <c r="F9" s="742">
        <v>10</v>
      </c>
      <c r="G9" s="740">
        <v>1336.5319999999999</v>
      </c>
      <c r="H9" s="743">
        <v>13365.32</v>
      </c>
      <c r="I9" s="742">
        <v>24</v>
      </c>
      <c r="J9" s="740">
        <v>2210.4766666666624</v>
      </c>
      <c r="K9" s="743">
        <v>53051.4399999999</v>
      </c>
      <c r="L9" s="742">
        <v>14</v>
      </c>
      <c r="M9" s="740">
        <v>2832.1014285714214</v>
      </c>
      <c r="N9" s="743">
        <v>39649.419999999896</v>
      </c>
      <c r="O9" s="742">
        <v>18</v>
      </c>
      <c r="P9" s="740">
        <v>2168.0938888888832</v>
      </c>
      <c r="Q9" s="743">
        <v>39025.6899999999</v>
      </c>
      <c r="R9" s="742">
        <v>18</v>
      </c>
      <c r="S9" s="740">
        <v>1997.7755555555498</v>
      </c>
      <c r="T9" s="743">
        <v>35959.959999999897</v>
      </c>
      <c r="U9" s="742">
        <v>15</v>
      </c>
      <c r="V9" s="740">
        <v>1651.8939999999934</v>
      </c>
      <c r="W9" s="743">
        <v>24778.409999999902</v>
      </c>
      <c r="X9" s="742">
        <v>23</v>
      </c>
      <c r="Y9" s="740">
        <v>1942.4756521739087</v>
      </c>
      <c r="Z9" s="743">
        <v>44676.9399999999</v>
      </c>
      <c r="AA9" s="742">
        <v>19</v>
      </c>
      <c r="AB9" s="740">
        <v>1667.12</v>
      </c>
      <c r="AC9" s="743">
        <v>31675.279999999999</v>
      </c>
      <c r="AD9" s="742">
        <v>16</v>
      </c>
      <c r="AE9" s="740">
        <v>1640.0056249999936</v>
      </c>
      <c r="AF9" s="743">
        <v>26240.089999999898</v>
      </c>
      <c r="AG9" s="742">
        <v>12</v>
      </c>
      <c r="AH9" s="740">
        <v>1802.2583333333332</v>
      </c>
      <c r="AI9" s="743">
        <v>21627.1</v>
      </c>
      <c r="AJ9" s="742">
        <v>8</v>
      </c>
      <c r="AK9" s="740">
        <v>2031.0612499999875</v>
      </c>
      <c r="AL9" s="743">
        <v>16248.4899999999</v>
      </c>
      <c r="AM9" s="742">
        <v>6</v>
      </c>
      <c r="AN9" s="740">
        <v>1532.1433333333316</v>
      </c>
      <c r="AO9" s="743">
        <v>9192.8599999999897</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98</v>
      </c>
      <c r="C10" s="739">
        <v>489</v>
      </c>
      <c r="D10" s="740">
        <v>2368.9078118609341</v>
      </c>
      <c r="E10" s="741">
        <v>1158395.9199999967</v>
      </c>
      <c r="F10" s="742">
        <v>34</v>
      </c>
      <c r="G10" s="740">
        <v>2268.3158823529384</v>
      </c>
      <c r="H10" s="743">
        <v>77122.739999999903</v>
      </c>
      <c r="I10" s="742">
        <v>47</v>
      </c>
      <c r="J10" s="740">
        <v>2454.7580851063831</v>
      </c>
      <c r="K10" s="743">
        <v>115373.63</v>
      </c>
      <c r="L10" s="742">
        <v>56</v>
      </c>
      <c r="M10" s="740">
        <v>2919.921785714268</v>
      </c>
      <c r="N10" s="743">
        <v>163515.61999999901</v>
      </c>
      <c r="O10" s="742">
        <v>51</v>
      </c>
      <c r="P10" s="740">
        <v>2906.286862745098</v>
      </c>
      <c r="Q10" s="743">
        <v>148220.63</v>
      </c>
      <c r="R10" s="742">
        <v>51</v>
      </c>
      <c r="S10" s="740">
        <v>2441.8603921568629</v>
      </c>
      <c r="T10" s="743">
        <v>124534.88</v>
      </c>
      <c r="U10" s="742">
        <v>25</v>
      </c>
      <c r="V10" s="740">
        <v>2415.8503999999921</v>
      </c>
      <c r="W10" s="743">
        <v>60396.259999999798</v>
      </c>
      <c r="X10" s="742">
        <v>54</v>
      </c>
      <c r="Y10" s="740">
        <v>2267.4683333333151</v>
      </c>
      <c r="Z10" s="743">
        <v>122443.289999999</v>
      </c>
      <c r="AA10" s="742">
        <v>62</v>
      </c>
      <c r="AB10" s="740">
        <v>2284.2912903225647</v>
      </c>
      <c r="AC10" s="743">
        <v>141626.05999999901</v>
      </c>
      <c r="AD10" s="742">
        <v>26</v>
      </c>
      <c r="AE10" s="740">
        <v>2080.4761538461539</v>
      </c>
      <c r="AF10" s="743">
        <v>54092.38</v>
      </c>
      <c r="AG10" s="742">
        <v>32</v>
      </c>
      <c r="AH10" s="740">
        <v>1508.5387500000063</v>
      </c>
      <c r="AI10" s="743">
        <v>48273.240000000202</v>
      </c>
      <c r="AJ10" s="742">
        <v>27</v>
      </c>
      <c r="AK10" s="740">
        <v>2114.5018518518482</v>
      </c>
      <c r="AL10" s="743">
        <v>57091.549999999901</v>
      </c>
      <c r="AM10" s="742">
        <v>24</v>
      </c>
      <c r="AN10" s="740">
        <v>1904.4016666666666</v>
      </c>
      <c r="AO10" s="743">
        <v>45705.64</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101</v>
      </c>
      <c r="C16" s="744">
        <v>672</v>
      </c>
      <c r="D16" s="745">
        <v>2252.8079166666603</v>
      </c>
      <c r="E16" s="746">
        <v>1513886.9199999957</v>
      </c>
      <c r="F16" s="744">
        <v>44</v>
      </c>
      <c r="G16" s="745">
        <v>2056.546818181816</v>
      </c>
      <c r="H16" s="746">
        <v>90488.05999999991</v>
      </c>
      <c r="I16" s="744">
        <v>71</v>
      </c>
      <c r="J16" s="745">
        <v>2372.1840845070406</v>
      </c>
      <c r="K16" s="746">
        <v>168425.06999999989</v>
      </c>
      <c r="L16" s="744">
        <v>70</v>
      </c>
      <c r="M16" s="745">
        <v>2902.3577142856984</v>
      </c>
      <c r="N16" s="746">
        <v>203165.0399999989</v>
      </c>
      <c r="O16" s="744">
        <v>69</v>
      </c>
      <c r="P16" s="745">
        <v>2713.7147826086939</v>
      </c>
      <c r="Q16" s="746">
        <v>187246.31999999989</v>
      </c>
      <c r="R16" s="744">
        <v>69</v>
      </c>
      <c r="S16" s="745">
        <v>2326.0121739130423</v>
      </c>
      <c r="T16" s="746">
        <v>160494.83999999991</v>
      </c>
      <c r="U16" s="744">
        <v>40</v>
      </c>
      <c r="V16" s="745">
        <v>2129.3667499999924</v>
      </c>
      <c r="W16" s="746">
        <v>85174.669999999693</v>
      </c>
      <c r="X16" s="744">
        <v>77</v>
      </c>
      <c r="Y16" s="745">
        <v>2170.3925974025833</v>
      </c>
      <c r="Z16" s="746">
        <v>167120.2299999989</v>
      </c>
      <c r="AA16" s="744">
        <v>81</v>
      </c>
      <c r="AB16" s="745">
        <v>2139.5227160493705</v>
      </c>
      <c r="AC16" s="746">
        <v>173301.33999999901</v>
      </c>
      <c r="AD16" s="744">
        <v>42</v>
      </c>
      <c r="AE16" s="745">
        <v>1912.6778571428547</v>
      </c>
      <c r="AF16" s="746">
        <v>80332.469999999899</v>
      </c>
      <c r="AG16" s="744">
        <v>44</v>
      </c>
      <c r="AH16" s="745">
        <v>1588.6440909090954</v>
      </c>
      <c r="AI16" s="746">
        <v>69900.3400000002</v>
      </c>
      <c r="AJ16" s="744">
        <v>35</v>
      </c>
      <c r="AK16" s="745">
        <v>2095.4297142857085</v>
      </c>
      <c r="AL16" s="746">
        <v>73340.039999999804</v>
      </c>
      <c r="AM16" s="744">
        <v>30</v>
      </c>
      <c r="AN16" s="745">
        <v>1829.9499999999996</v>
      </c>
      <c r="AO16" s="746">
        <v>54898.499999999985</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102</v>
      </c>
      <c r="C18" s="749">
        <v>41</v>
      </c>
      <c r="D18" s="750">
        <v>1567.3936585365843</v>
      </c>
      <c r="E18" s="751">
        <v>64263.139999999956</v>
      </c>
      <c r="F18" s="752">
        <v>2</v>
      </c>
      <c r="G18" s="750">
        <v>2875.9850000000001</v>
      </c>
      <c r="H18" s="753">
        <v>5751.97</v>
      </c>
      <c r="I18" s="752">
        <v>2</v>
      </c>
      <c r="J18" s="750">
        <v>1741.325</v>
      </c>
      <c r="K18" s="753">
        <v>3482.65</v>
      </c>
      <c r="L18" s="752">
        <v>4</v>
      </c>
      <c r="M18" s="750">
        <v>590.48999999999751</v>
      </c>
      <c r="N18" s="753">
        <v>2361.95999999999</v>
      </c>
      <c r="O18" s="752">
        <v>4</v>
      </c>
      <c r="P18" s="750">
        <v>2264.375</v>
      </c>
      <c r="Q18" s="753">
        <v>9057.5</v>
      </c>
      <c r="R18" s="752">
        <v>5</v>
      </c>
      <c r="S18" s="750">
        <v>1165.5819999999999</v>
      </c>
      <c r="T18" s="753">
        <v>5827.91</v>
      </c>
      <c r="U18" s="752">
        <v>0</v>
      </c>
      <c r="V18" s="750">
        <v>0</v>
      </c>
      <c r="W18" s="753">
        <v>0</v>
      </c>
      <c r="X18" s="752">
        <v>3</v>
      </c>
      <c r="Y18" s="750">
        <v>913.28999999999667</v>
      </c>
      <c r="Z18" s="753">
        <v>2739.8699999999899</v>
      </c>
      <c r="AA18" s="752">
        <v>6</v>
      </c>
      <c r="AB18" s="750">
        <v>1521.5766666666698</v>
      </c>
      <c r="AC18" s="753">
        <v>9129.4600000000191</v>
      </c>
      <c r="AD18" s="752">
        <v>3</v>
      </c>
      <c r="AE18" s="750">
        <v>2567.5099999999966</v>
      </c>
      <c r="AF18" s="753">
        <v>7702.5299999999897</v>
      </c>
      <c r="AG18" s="752">
        <v>6</v>
      </c>
      <c r="AH18" s="750">
        <v>1038.88333333333</v>
      </c>
      <c r="AI18" s="753">
        <v>6233.2999999999802</v>
      </c>
      <c r="AJ18" s="752">
        <v>2</v>
      </c>
      <c r="AK18" s="750">
        <v>1396.229999999995</v>
      </c>
      <c r="AL18" s="753">
        <v>2792.45999999999</v>
      </c>
      <c r="AM18" s="752">
        <v>4</v>
      </c>
      <c r="AN18" s="750">
        <v>2295.8824999999974</v>
      </c>
      <c r="AO18" s="753">
        <v>9183.5299999999897</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103</v>
      </c>
      <c r="C20" s="739">
        <v>20</v>
      </c>
      <c r="D20" s="740">
        <v>1710.9614999999981</v>
      </c>
      <c r="E20" s="741">
        <v>34219.22999999996</v>
      </c>
      <c r="F20" s="742">
        <v>0</v>
      </c>
      <c r="G20" s="740">
        <v>0</v>
      </c>
      <c r="H20" s="743">
        <v>0</v>
      </c>
      <c r="I20" s="742">
        <v>2</v>
      </c>
      <c r="J20" s="740">
        <v>1747.279999999995</v>
      </c>
      <c r="K20" s="743">
        <v>3494.5599999999899</v>
      </c>
      <c r="L20" s="742">
        <v>0</v>
      </c>
      <c r="M20" s="740">
        <v>0</v>
      </c>
      <c r="N20" s="743">
        <v>0</v>
      </c>
      <c r="O20" s="742">
        <v>0</v>
      </c>
      <c r="P20" s="740">
        <v>0</v>
      </c>
      <c r="Q20" s="743">
        <v>0</v>
      </c>
      <c r="R20" s="742">
        <v>0</v>
      </c>
      <c r="S20" s="740">
        <v>0</v>
      </c>
      <c r="T20" s="743">
        <v>0</v>
      </c>
      <c r="U20" s="742">
        <v>0</v>
      </c>
      <c r="V20" s="740">
        <v>0</v>
      </c>
      <c r="W20" s="743">
        <v>0</v>
      </c>
      <c r="X20" s="742">
        <v>5</v>
      </c>
      <c r="Y20" s="740">
        <v>2550.9160000000002</v>
      </c>
      <c r="Z20" s="743">
        <v>12754.58</v>
      </c>
      <c r="AA20" s="742">
        <v>1</v>
      </c>
      <c r="AB20" s="740">
        <v>1402.08</v>
      </c>
      <c r="AC20" s="743">
        <v>1402.08</v>
      </c>
      <c r="AD20" s="742">
        <v>1</v>
      </c>
      <c r="AE20" s="740">
        <v>4920.6399999999903</v>
      </c>
      <c r="AF20" s="743">
        <v>4920.6399999999903</v>
      </c>
      <c r="AG20" s="742">
        <v>2</v>
      </c>
      <c r="AH20" s="740">
        <v>383.47999999999553</v>
      </c>
      <c r="AI20" s="743">
        <v>766.95999999999106</v>
      </c>
      <c r="AJ20" s="742">
        <v>3</v>
      </c>
      <c r="AK20" s="740">
        <v>1478.87333333333</v>
      </c>
      <c r="AL20" s="743">
        <v>4436.6199999999899</v>
      </c>
      <c r="AM20" s="742">
        <v>6</v>
      </c>
      <c r="AN20" s="740">
        <v>1073.9649999999999</v>
      </c>
      <c r="AO20" s="743">
        <v>6443.79</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91424.37</v>
      </c>
      <c r="F22" s="739"/>
      <c r="G22" s="740"/>
      <c r="H22" s="743">
        <v>5000</v>
      </c>
      <c r="I22" s="739"/>
      <c r="J22" s="740"/>
      <c r="K22" s="743">
        <v>4000</v>
      </c>
      <c r="L22" s="739"/>
      <c r="M22" s="740"/>
      <c r="N22" s="743">
        <v>7500</v>
      </c>
      <c r="O22" s="739"/>
      <c r="P22" s="740"/>
      <c r="Q22" s="743">
        <v>6030.3699999999899</v>
      </c>
      <c r="R22" s="739"/>
      <c r="S22" s="740"/>
      <c r="T22" s="743">
        <v>9930</v>
      </c>
      <c r="U22" s="739"/>
      <c r="V22" s="740"/>
      <c r="W22" s="743">
        <v>6100</v>
      </c>
      <c r="X22" s="739"/>
      <c r="Y22" s="740"/>
      <c r="Z22" s="743">
        <v>10000</v>
      </c>
      <c r="AA22" s="739"/>
      <c r="AB22" s="740"/>
      <c r="AC22" s="743">
        <v>4315</v>
      </c>
      <c r="AD22" s="739"/>
      <c r="AE22" s="740"/>
      <c r="AF22" s="743">
        <v>14800</v>
      </c>
      <c r="AG22" s="739"/>
      <c r="AH22" s="740"/>
      <c r="AI22" s="743">
        <v>10100</v>
      </c>
      <c r="AJ22" s="739"/>
      <c r="AK22" s="740"/>
      <c r="AL22" s="743">
        <v>7700</v>
      </c>
      <c r="AM22" s="739"/>
      <c r="AN22" s="740"/>
      <c r="AO22" s="743">
        <v>5949</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15.171051893408135</v>
      </c>
      <c r="E24" s="741">
        <v>10816.960000000001</v>
      </c>
      <c r="F24" s="742"/>
      <c r="G24" s="740">
        <v>6.5217391304347823</v>
      </c>
      <c r="H24" s="743">
        <v>300</v>
      </c>
      <c r="I24" s="742"/>
      <c r="J24" s="740">
        <v>115.453698630137</v>
      </c>
      <c r="K24" s="743">
        <v>8428.1200000000008</v>
      </c>
      <c r="L24" s="742"/>
      <c r="M24" s="740">
        <v>0</v>
      </c>
      <c r="N24" s="743">
        <v>0</v>
      </c>
      <c r="O24" s="742"/>
      <c r="P24" s="740">
        <v>0</v>
      </c>
      <c r="Q24" s="743">
        <v>0</v>
      </c>
      <c r="R24" s="742"/>
      <c r="S24" s="740">
        <v>10.810810810810811</v>
      </c>
      <c r="T24" s="743">
        <v>800</v>
      </c>
      <c r="U24" s="742"/>
      <c r="V24" s="740">
        <v>0</v>
      </c>
      <c r="W24" s="743">
        <v>0</v>
      </c>
      <c r="X24" s="742"/>
      <c r="Y24" s="740">
        <v>0</v>
      </c>
      <c r="Z24" s="743">
        <v>0</v>
      </c>
      <c r="AA24" s="742"/>
      <c r="AB24" s="740">
        <v>0</v>
      </c>
      <c r="AC24" s="743">
        <v>0</v>
      </c>
      <c r="AD24" s="742"/>
      <c r="AE24" s="740">
        <v>0</v>
      </c>
      <c r="AF24" s="743">
        <v>0</v>
      </c>
      <c r="AG24" s="742"/>
      <c r="AH24" s="740">
        <v>0</v>
      </c>
      <c r="AI24" s="743">
        <v>0</v>
      </c>
      <c r="AJ24" s="742"/>
      <c r="AK24" s="740">
        <v>0</v>
      </c>
      <c r="AL24" s="743">
        <v>0</v>
      </c>
      <c r="AM24" s="742"/>
      <c r="AN24" s="740">
        <v>37.907058823529411</v>
      </c>
      <c r="AO24" s="743">
        <v>1288.8399999999999</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882.44753155680223</v>
      </c>
      <c r="E25" s="741">
        <v>629185.09</v>
      </c>
      <c r="F25" s="742"/>
      <c r="G25" s="740">
        <v>883.63217391304352</v>
      </c>
      <c r="H25" s="743">
        <v>40647.08</v>
      </c>
      <c r="I25" s="742"/>
      <c r="J25" s="740">
        <v>899.34424657534248</v>
      </c>
      <c r="K25" s="743">
        <v>65652.13</v>
      </c>
      <c r="L25" s="742"/>
      <c r="M25" s="740">
        <v>926.11297297297301</v>
      </c>
      <c r="N25" s="743">
        <v>68532.36</v>
      </c>
      <c r="O25" s="742"/>
      <c r="P25" s="740">
        <v>765.92219178082189</v>
      </c>
      <c r="Q25" s="743">
        <v>55912.32</v>
      </c>
      <c r="R25" s="742"/>
      <c r="S25" s="740">
        <v>791.51256756756754</v>
      </c>
      <c r="T25" s="743">
        <v>58571.93</v>
      </c>
      <c r="U25" s="742"/>
      <c r="V25" s="740">
        <v>775.005</v>
      </c>
      <c r="W25" s="743">
        <v>31000.2</v>
      </c>
      <c r="X25" s="742"/>
      <c r="Y25" s="740">
        <v>762.33600000000001</v>
      </c>
      <c r="Z25" s="743">
        <v>60986.879999999997</v>
      </c>
      <c r="AA25" s="742"/>
      <c r="AB25" s="740">
        <v>880.2113793103448</v>
      </c>
      <c r="AC25" s="743">
        <v>76578.39</v>
      </c>
      <c r="AD25" s="742"/>
      <c r="AE25" s="740">
        <v>1020.2339999999999</v>
      </c>
      <c r="AF25" s="743">
        <v>45910.53</v>
      </c>
      <c r="AG25" s="742"/>
      <c r="AH25" s="740">
        <v>844.52660000000003</v>
      </c>
      <c r="AI25" s="743">
        <v>42226.33</v>
      </c>
      <c r="AJ25" s="742"/>
      <c r="AK25" s="740">
        <v>1044.0162162162162</v>
      </c>
      <c r="AL25" s="743">
        <v>38628.6</v>
      </c>
      <c r="AM25" s="742"/>
      <c r="AN25" s="740">
        <v>1309.9511764705881</v>
      </c>
      <c r="AO25" s="743">
        <v>44538.34</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10.581304347826086</v>
      </c>
      <c r="E26" s="741">
        <v>7544.4699999999993</v>
      </c>
      <c r="F26" s="742"/>
      <c r="G26" s="740">
        <v>0</v>
      </c>
      <c r="H26" s="743">
        <v>0</v>
      </c>
      <c r="I26" s="742"/>
      <c r="J26" s="740">
        <v>0</v>
      </c>
      <c r="K26" s="743">
        <v>0</v>
      </c>
      <c r="L26" s="742"/>
      <c r="M26" s="740">
        <v>0</v>
      </c>
      <c r="N26" s="743">
        <v>0</v>
      </c>
      <c r="O26" s="742"/>
      <c r="P26" s="740">
        <v>18.605890410958903</v>
      </c>
      <c r="Q26" s="743">
        <v>1358.23</v>
      </c>
      <c r="R26" s="742"/>
      <c r="S26" s="740">
        <v>0</v>
      </c>
      <c r="T26" s="743">
        <v>0</v>
      </c>
      <c r="U26" s="742"/>
      <c r="V26" s="740">
        <v>67.474999999999994</v>
      </c>
      <c r="W26" s="743">
        <v>2699</v>
      </c>
      <c r="X26" s="742"/>
      <c r="Y26" s="740">
        <v>7.1227500000000008</v>
      </c>
      <c r="Z26" s="743">
        <v>569.82000000000005</v>
      </c>
      <c r="AA26" s="742"/>
      <c r="AB26" s="740">
        <v>0</v>
      </c>
      <c r="AC26" s="743">
        <v>0</v>
      </c>
      <c r="AD26" s="742"/>
      <c r="AE26" s="740">
        <v>36.18311111111111</v>
      </c>
      <c r="AF26" s="743">
        <v>1628.24</v>
      </c>
      <c r="AG26" s="742"/>
      <c r="AH26" s="740">
        <v>12.8804</v>
      </c>
      <c r="AI26" s="743">
        <v>644.02</v>
      </c>
      <c r="AJ26" s="742"/>
      <c r="AK26" s="740">
        <v>17.436756756756758</v>
      </c>
      <c r="AL26" s="743">
        <v>645.16</v>
      </c>
      <c r="AM26" s="742"/>
      <c r="AN26" s="740">
        <v>0</v>
      </c>
      <c r="AO26" s="743">
        <v>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713</v>
      </c>
      <c r="D27" s="745">
        <v>908.19988779803634</v>
      </c>
      <c r="E27" s="746">
        <v>647546.5199999999</v>
      </c>
      <c r="F27" s="744">
        <v>46</v>
      </c>
      <c r="G27" s="745">
        <v>890.15391304347827</v>
      </c>
      <c r="H27" s="746">
        <v>40947.08</v>
      </c>
      <c r="I27" s="744">
        <v>73</v>
      </c>
      <c r="J27" s="745">
        <v>1014.7979452054794</v>
      </c>
      <c r="K27" s="746">
        <v>74080.25</v>
      </c>
      <c r="L27" s="744">
        <v>74</v>
      </c>
      <c r="M27" s="745">
        <v>926.11297297297301</v>
      </c>
      <c r="N27" s="746">
        <v>68532.36</v>
      </c>
      <c r="O27" s="744">
        <v>73</v>
      </c>
      <c r="P27" s="745">
        <v>784.52808219178087</v>
      </c>
      <c r="Q27" s="746">
        <v>57270.55</v>
      </c>
      <c r="R27" s="744">
        <v>74</v>
      </c>
      <c r="S27" s="745">
        <v>802.32337837837838</v>
      </c>
      <c r="T27" s="746">
        <v>59371.93</v>
      </c>
      <c r="U27" s="744">
        <v>40</v>
      </c>
      <c r="V27" s="745">
        <v>842.4799999999999</v>
      </c>
      <c r="W27" s="746">
        <v>33699.199999999997</v>
      </c>
      <c r="X27" s="744">
        <v>80</v>
      </c>
      <c r="Y27" s="745">
        <v>769.45875000000001</v>
      </c>
      <c r="Z27" s="746">
        <v>61556.7</v>
      </c>
      <c r="AA27" s="744">
        <v>87</v>
      </c>
      <c r="AB27" s="745">
        <v>880.2113793103448</v>
      </c>
      <c r="AC27" s="746">
        <v>76578.39</v>
      </c>
      <c r="AD27" s="744">
        <v>45</v>
      </c>
      <c r="AE27" s="745">
        <v>1056.4171111111111</v>
      </c>
      <c r="AF27" s="746">
        <v>47538.77</v>
      </c>
      <c r="AG27" s="744">
        <v>50</v>
      </c>
      <c r="AH27" s="745">
        <v>857.40699999999993</v>
      </c>
      <c r="AI27" s="746">
        <v>42870.35</v>
      </c>
      <c r="AJ27" s="744">
        <v>37</v>
      </c>
      <c r="AK27" s="745">
        <v>1061.4529729729729</v>
      </c>
      <c r="AL27" s="746">
        <v>39273.760000000002</v>
      </c>
      <c r="AM27" s="744">
        <v>34</v>
      </c>
      <c r="AN27" s="745">
        <v>1347.8582352941175</v>
      </c>
      <c r="AO27" s="746">
        <v>45827.179999999993</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109</v>
      </c>
      <c r="C30" s="759">
        <v>733</v>
      </c>
      <c r="D30" s="760">
        <v>3207.8310777626139</v>
      </c>
      <c r="E30" s="761">
        <v>2351340.179999996</v>
      </c>
      <c r="F30" s="759">
        <v>46</v>
      </c>
      <c r="G30" s="760">
        <v>3091.0241304347805</v>
      </c>
      <c r="H30" s="761">
        <v>142187.1099999999</v>
      </c>
      <c r="I30" s="759">
        <v>75</v>
      </c>
      <c r="J30" s="760">
        <v>3379.767066666665</v>
      </c>
      <c r="K30" s="761">
        <v>253482.52999999988</v>
      </c>
      <c r="L30" s="759">
        <v>74</v>
      </c>
      <c r="M30" s="760">
        <v>3804.8562162162011</v>
      </c>
      <c r="N30" s="761">
        <v>281559.35999999888</v>
      </c>
      <c r="O30" s="759">
        <v>73</v>
      </c>
      <c r="P30" s="760">
        <v>3556.2293150684914</v>
      </c>
      <c r="Q30" s="761">
        <v>259604.73999999987</v>
      </c>
      <c r="R30" s="759">
        <v>74</v>
      </c>
      <c r="S30" s="760">
        <v>3184.1172972972959</v>
      </c>
      <c r="T30" s="761">
        <v>235624.67999999991</v>
      </c>
      <c r="U30" s="759">
        <v>40</v>
      </c>
      <c r="V30" s="760">
        <v>3124.3467499999924</v>
      </c>
      <c r="W30" s="761">
        <v>124973.86999999969</v>
      </c>
      <c r="X30" s="759">
        <v>85</v>
      </c>
      <c r="Y30" s="760">
        <v>2990.2515294117516</v>
      </c>
      <c r="Z30" s="761">
        <v>254171.3799999989</v>
      </c>
      <c r="AA30" s="759">
        <v>88</v>
      </c>
      <c r="AB30" s="760">
        <v>3008.2530681818071</v>
      </c>
      <c r="AC30" s="761">
        <v>264726.26999999903</v>
      </c>
      <c r="AD30" s="759">
        <v>46</v>
      </c>
      <c r="AE30" s="760">
        <v>3375.9654347826063</v>
      </c>
      <c r="AF30" s="761">
        <v>155294.40999999989</v>
      </c>
      <c r="AG30" s="759">
        <v>52</v>
      </c>
      <c r="AH30" s="760">
        <v>2497.5182692307726</v>
      </c>
      <c r="AI30" s="761">
        <v>129870.95000000017</v>
      </c>
      <c r="AJ30" s="759">
        <v>40</v>
      </c>
      <c r="AK30" s="760">
        <v>3188.5719999999951</v>
      </c>
      <c r="AL30" s="761">
        <v>127542.8799999998</v>
      </c>
      <c r="AM30" s="759">
        <v>40</v>
      </c>
      <c r="AN30" s="760">
        <v>3057.5499999999988</v>
      </c>
      <c r="AO30" s="761">
        <v>122301.99999999996</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0.3042858801399414</v>
      </c>
      <c r="D34" s="770">
        <v>673.50460028050497</v>
      </c>
      <c r="E34" s="758">
        <v>480208.78</v>
      </c>
      <c r="F34" s="769">
        <v>0.35900508343565601</v>
      </c>
      <c r="G34" s="770">
        <v>751.10130434782616</v>
      </c>
      <c r="H34" s="771">
        <v>34550.660000000003</v>
      </c>
      <c r="I34" s="769">
        <v>0.27013795541003066</v>
      </c>
      <c r="J34" s="770">
        <v>636.14794520547946</v>
      </c>
      <c r="K34" s="771">
        <v>46438.8</v>
      </c>
      <c r="L34" s="769">
        <v>0.3078577023943343</v>
      </c>
      <c r="M34" s="770">
        <v>855.04148648648652</v>
      </c>
      <c r="N34" s="771">
        <v>63273.07</v>
      </c>
      <c r="O34" s="769">
        <v>0.24820204721436409</v>
      </c>
      <c r="P34" s="770">
        <v>667.43849315068496</v>
      </c>
      <c r="Q34" s="771">
        <v>48723.01</v>
      </c>
      <c r="R34" s="769">
        <v>0.21053998926785431</v>
      </c>
      <c r="S34" s="770">
        <v>473.21067567567565</v>
      </c>
      <c r="T34" s="771">
        <v>35017.589999999997</v>
      </c>
      <c r="U34" s="769">
        <v>0.30022752069365333</v>
      </c>
      <c r="V34" s="770">
        <v>639.29449999999997</v>
      </c>
      <c r="W34" s="771">
        <v>25571.78</v>
      </c>
      <c r="X34" s="769">
        <v>0.33547024875176906</v>
      </c>
      <c r="Y34" s="770">
        <v>712.28762500000005</v>
      </c>
      <c r="Z34" s="771">
        <v>56983.01</v>
      </c>
      <c r="AA34" s="769">
        <v>0.34952376462746609</v>
      </c>
      <c r="AB34" s="770">
        <v>732.91839080459772</v>
      </c>
      <c r="AC34" s="771">
        <v>63763.9</v>
      </c>
      <c r="AD34" s="769">
        <v>0.34726233884250629</v>
      </c>
      <c r="AE34" s="770">
        <v>679.36088888888889</v>
      </c>
      <c r="AF34" s="771">
        <v>30571.24</v>
      </c>
      <c r="AG34" s="769">
        <v>0.36906116665379374</v>
      </c>
      <c r="AH34" s="770">
        <v>561.95940000000007</v>
      </c>
      <c r="AI34" s="771">
        <v>28097.97</v>
      </c>
      <c r="AJ34" s="769">
        <v>0.31392099300561604</v>
      </c>
      <c r="AK34" s="770">
        <v>645.93486486486483</v>
      </c>
      <c r="AL34" s="771">
        <v>23899.59</v>
      </c>
      <c r="AM34" s="769">
        <v>0.36387985836278919</v>
      </c>
      <c r="AN34" s="770">
        <v>685.82823529411769</v>
      </c>
      <c r="AO34" s="771">
        <v>23318.16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0.27412175730633226</v>
      </c>
      <c r="D35" s="773">
        <v>248.95734922861149</v>
      </c>
      <c r="E35" s="774">
        <v>177506.59</v>
      </c>
      <c r="F35" s="772">
        <v>0.29998817986532861</v>
      </c>
      <c r="G35" s="773">
        <v>267.03565217391304</v>
      </c>
      <c r="H35" s="775">
        <v>12283.64</v>
      </c>
      <c r="I35" s="772">
        <v>0.30043054660317697</v>
      </c>
      <c r="J35" s="773">
        <v>304.87630136986303</v>
      </c>
      <c r="K35" s="775">
        <v>22255.97</v>
      </c>
      <c r="L35" s="772">
        <v>0.29634423796291265</v>
      </c>
      <c r="M35" s="773">
        <v>274.44824324324321</v>
      </c>
      <c r="N35" s="775">
        <v>20309.169999999998</v>
      </c>
      <c r="O35" s="772">
        <v>0.29711867617824522</v>
      </c>
      <c r="P35" s="773">
        <v>233.09794520547948</v>
      </c>
      <c r="Q35" s="775">
        <v>17016.150000000001</v>
      </c>
      <c r="R35" s="772">
        <v>0.29999833254536273</v>
      </c>
      <c r="S35" s="773">
        <v>240.69567567567566</v>
      </c>
      <c r="T35" s="775">
        <v>17811.48</v>
      </c>
      <c r="U35" s="772">
        <v>3.262985471465198E-3</v>
      </c>
      <c r="V35" s="773">
        <v>2.7489999999999997</v>
      </c>
      <c r="W35" s="775">
        <v>109.96</v>
      </c>
      <c r="X35" s="772">
        <v>0.26999709211182538</v>
      </c>
      <c r="Y35" s="773">
        <v>207.75162500000002</v>
      </c>
      <c r="Z35" s="775">
        <v>16620.13</v>
      </c>
      <c r="AA35" s="772">
        <v>0.26932885374059184</v>
      </c>
      <c r="AB35" s="773">
        <v>237.06632183908047</v>
      </c>
      <c r="AC35" s="775">
        <v>20624.77</v>
      </c>
      <c r="AD35" s="772">
        <v>0.29777379599850817</v>
      </c>
      <c r="AE35" s="773">
        <v>314.57333333333332</v>
      </c>
      <c r="AF35" s="775">
        <v>14155.8</v>
      </c>
      <c r="AG35" s="772">
        <v>0.26999336371174948</v>
      </c>
      <c r="AH35" s="773">
        <v>231.49419999999998</v>
      </c>
      <c r="AI35" s="775">
        <v>11574.71</v>
      </c>
      <c r="AJ35" s="772">
        <v>0.27998974378821889</v>
      </c>
      <c r="AK35" s="773">
        <v>297.19594594594594</v>
      </c>
      <c r="AL35" s="775">
        <v>10996.25</v>
      </c>
      <c r="AM35" s="772">
        <v>0.30000885937122906</v>
      </c>
      <c r="AN35" s="773">
        <v>404.36941176470589</v>
      </c>
      <c r="AO35" s="775">
        <v>13748.56</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122.99883590462835</v>
      </c>
      <c r="E36" s="758">
        <v>87698.170000000013</v>
      </c>
      <c r="F36" s="747"/>
      <c r="G36" s="770">
        <v>164.26630434782609</v>
      </c>
      <c r="H36" s="771">
        <v>7556.25</v>
      </c>
      <c r="I36" s="747"/>
      <c r="J36" s="770">
        <v>117.11219178082193</v>
      </c>
      <c r="K36" s="771">
        <v>8549.19</v>
      </c>
      <c r="L36" s="747"/>
      <c r="M36" s="770">
        <v>115.96513513513514</v>
      </c>
      <c r="N36" s="771">
        <v>8581.42</v>
      </c>
      <c r="O36" s="747"/>
      <c r="P36" s="770">
        <v>51.421369863013702</v>
      </c>
      <c r="Q36" s="771">
        <v>3753.76</v>
      </c>
      <c r="R36" s="747"/>
      <c r="S36" s="770">
        <v>153.52486486486487</v>
      </c>
      <c r="T36" s="771">
        <v>11360.84</v>
      </c>
      <c r="U36" s="747"/>
      <c r="V36" s="770">
        <v>130.5265</v>
      </c>
      <c r="W36" s="771">
        <v>5221.0600000000004</v>
      </c>
      <c r="X36" s="747"/>
      <c r="Y36" s="770">
        <v>95.092999999999989</v>
      </c>
      <c r="Z36" s="771">
        <v>7607.44</v>
      </c>
      <c r="AA36" s="747"/>
      <c r="AB36" s="770">
        <v>120.29333333333334</v>
      </c>
      <c r="AC36" s="771">
        <v>10465.52</v>
      </c>
      <c r="AD36" s="747"/>
      <c r="AE36" s="770">
        <v>123.12511111111111</v>
      </c>
      <c r="AF36" s="771">
        <v>5540.63</v>
      </c>
      <c r="AG36" s="747"/>
      <c r="AH36" s="770">
        <v>156.3466</v>
      </c>
      <c r="AI36" s="771">
        <v>7817.33</v>
      </c>
      <c r="AJ36" s="747"/>
      <c r="AK36" s="770">
        <v>233.92756756756756</v>
      </c>
      <c r="AL36" s="771">
        <v>8655.32</v>
      </c>
      <c r="AM36" s="747"/>
      <c r="AN36" s="770">
        <v>76.159117647058821</v>
      </c>
      <c r="AO36" s="771">
        <v>2589.41</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21.524347826086956</v>
      </c>
      <c r="E37" s="758">
        <v>15346.86</v>
      </c>
      <c r="F37" s="747"/>
      <c r="G37" s="770">
        <v>8.37695652173913</v>
      </c>
      <c r="H37" s="771">
        <v>385.34</v>
      </c>
      <c r="I37" s="747"/>
      <c r="J37" s="770">
        <v>17.555205479452056</v>
      </c>
      <c r="K37" s="771">
        <v>1281.53</v>
      </c>
      <c r="L37" s="747"/>
      <c r="M37" s="770">
        <v>4.4041891891891893</v>
      </c>
      <c r="N37" s="771">
        <v>325.91000000000003</v>
      </c>
      <c r="O37" s="747"/>
      <c r="P37" s="770">
        <v>1.516027397260274</v>
      </c>
      <c r="Q37" s="771">
        <v>110.67</v>
      </c>
      <c r="R37" s="747"/>
      <c r="S37" s="770">
        <v>13.206486486486487</v>
      </c>
      <c r="T37" s="771">
        <v>977.28</v>
      </c>
      <c r="U37" s="747"/>
      <c r="V37" s="770">
        <v>4.6237499999999994</v>
      </c>
      <c r="W37" s="771">
        <v>184.95</v>
      </c>
      <c r="X37" s="747"/>
      <c r="Y37" s="770">
        <v>33.065624999999997</v>
      </c>
      <c r="Z37" s="771">
        <v>2645.25</v>
      </c>
      <c r="AA37" s="747"/>
      <c r="AB37" s="770">
        <v>23.456091954022988</v>
      </c>
      <c r="AC37" s="771">
        <v>2040.68</v>
      </c>
      <c r="AD37" s="747"/>
      <c r="AE37" s="770">
        <v>36.238888888888887</v>
      </c>
      <c r="AF37" s="771">
        <v>1630.75</v>
      </c>
      <c r="AG37" s="747"/>
      <c r="AH37" s="770">
        <v>16.863599999999998</v>
      </c>
      <c r="AI37" s="771">
        <v>843.18</v>
      </c>
      <c r="AJ37" s="747"/>
      <c r="AK37" s="770">
        <v>108.85891891891893</v>
      </c>
      <c r="AL37" s="771">
        <v>4027.78</v>
      </c>
      <c r="AM37" s="747"/>
      <c r="AN37" s="770">
        <v>26.280588235294118</v>
      </c>
      <c r="AO37" s="771">
        <v>893.54</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122.40061711079946</v>
      </c>
      <c r="E38" s="774">
        <v>87271.640000000014</v>
      </c>
      <c r="F38" s="776"/>
      <c r="G38" s="773">
        <v>127.07739130434784</v>
      </c>
      <c r="H38" s="775">
        <v>5845.56</v>
      </c>
      <c r="I38" s="776"/>
      <c r="J38" s="773">
        <v>32.798493150684934</v>
      </c>
      <c r="K38" s="775">
        <v>2394.29</v>
      </c>
      <c r="L38" s="776"/>
      <c r="M38" s="773">
        <v>142.6754054054054</v>
      </c>
      <c r="N38" s="775">
        <v>10557.98</v>
      </c>
      <c r="O38" s="776"/>
      <c r="P38" s="773">
        <v>164.94</v>
      </c>
      <c r="Q38" s="775">
        <v>12040.62</v>
      </c>
      <c r="R38" s="776"/>
      <c r="S38" s="773">
        <v>132.78283783783783</v>
      </c>
      <c r="T38" s="775">
        <v>9825.93</v>
      </c>
      <c r="U38" s="776"/>
      <c r="V38" s="773">
        <v>185.78149999999999</v>
      </c>
      <c r="W38" s="775">
        <v>7431.26</v>
      </c>
      <c r="X38" s="776"/>
      <c r="Y38" s="773">
        <v>79.675375000000003</v>
      </c>
      <c r="Z38" s="775">
        <v>6374.03</v>
      </c>
      <c r="AA38" s="776"/>
      <c r="AB38" s="773">
        <v>65.982068965517243</v>
      </c>
      <c r="AC38" s="775">
        <v>5740.44</v>
      </c>
      <c r="AD38" s="776"/>
      <c r="AE38" s="773">
        <v>174.15711111111111</v>
      </c>
      <c r="AF38" s="775">
        <v>7837.07</v>
      </c>
      <c r="AG38" s="776"/>
      <c r="AH38" s="773">
        <v>159.8588</v>
      </c>
      <c r="AI38" s="775">
        <v>7992.94</v>
      </c>
      <c r="AJ38" s="776"/>
      <c r="AK38" s="773">
        <v>212.08675675675676</v>
      </c>
      <c r="AL38" s="775">
        <v>7847.21</v>
      </c>
      <c r="AM38" s="776"/>
      <c r="AN38" s="773">
        <v>99.538529411764699</v>
      </c>
      <c r="AO38" s="775">
        <v>3384.31</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144.0368863955116</v>
      </c>
      <c r="E39" s="758">
        <v>102698.29999999977</v>
      </c>
      <c r="F39" s="747"/>
      <c r="G39" s="770">
        <v>158.61695652173893</v>
      </c>
      <c r="H39" s="771">
        <v>7296.3799999999901</v>
      </c>
      <c r="I39" s="747"/>
      <c r="J39" s="770">
        <v>-25.284383561643835</v>
      </c>
      <c r="K39" s="771">
        <v>-1845.76</v>
      </c>
      <c r="L39" s="747"/>
      <c r="M39" s="770">
        <v>152.39000000000001</v>
      </c>
      <c r="N39" s="771">
        <v>11276.86</v>
      </c>
      <c r="O39" s="747"/>
      <c r="P39" s="770">
        <v>131.05397260273958</v>
      </c>
      <c r="Q39" s="771">
        <v>9566.9399999999896</v>
      </c>
      <c r="R39" s="747"/>
      <c r="S39" s="770">
        <v>164.58405405405404</v>
      </c>
      <c r="T39" s="771">
        <v>12179.22</v>
      </c>
      <c r="U39" s="747"/>
      <c r="V39" s="770">
        <v>266.85924999999753</v>
      </c>
      <c r="W39" s="771">
        <v>10674.369999999901</v>
      </c>
      <c r="X39" s="747"/>
      <c r="Y39" s="770">
        <v>39.759500000000003</v>
      </c>
      <c r="Z39" s="771">
        <v>3180.76</v>
      </c>
      <c r="AA39" s="747"/>
      <c r="AB39" s="770">
        <v>8.5896551724137815</v>
      </c>
      <c r="AC39" s="771">
        <v>747.29999999999905</v>
      </c>
      <c r="AD39" s="747"/>
      <c r="AE39" s="770">
        <v>180.94755555555534</v>
      </c>
      <c r="AF39" s="771">
        <v>8142.6399999999903</v>
      </c>
      <c r="AG39" s="747"/>
      <c r="AH39" s="770">
        <v>224.68360000000001</v>
      </c>
      <c r="AI39" s="771">
        <v>11234.18</v>
      </c>
      <c r="AJ39" s="747"/>
      <c r="AK39" s="770">
        <v>527.05567567567573</v>
      </c>
      <c r="AL39" s="771">
        <v>19501.060000000001</v>
      </c>
      <c r="AM39" s="747"/>
      <c r="AN39" s="770">
        <v>316.01029411764415</v>
      </c>
      <c r="AO39" s="771">
        <v>10744.3499999999</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430.43816269284702</v>
      </c>
      <c r="E40" s="758">
        <v>306902.40999999992</v>
      </c>
      <c r="F40" s="747"/>
      <c r="G40" s="770">
        <v>488.54978260869569</v>
      </c>
      <c r="H40" s="771">
        <v>22473.29</v>
      </c>
      <c r="I40" s="747"/>
      <c r="J40" s="770">
        <v>418.82698630136986</v>
      </c>
      <c r="K40" s="771">
        <v>30574.37</v>
      </c>
      <c r="L40" s="747"/>
      <c r="M40" s="770">
        <v>473.94432432432427</v>
      </c>
      <c r="N40" s="771">
        <v>35071.879999999997</v>
      </c>
      <c r="O40" s="747"/>
      <c r="P40" s="770">
        <v>474.72863013698634</v>
      </c>
      <c r="Q40" s="771">
        <v>34655.19</v>
      </c>
      <c r="R40" s="747"/>
      <c r="S40" s="770">
        <v>644.70648648648648</v>
      </c>
      <c r="T40" s="771">
        <v>47708.28</v>
      </c>
      <c r="U40" s="747"/>
      <c r="V40" s="770">
        <v>1001.4042499999999</v>
      </c>
      <c r="W40" s="771">
        <v>40056.17</v>
      </c>
      <c r="X40" s="747"/>
      <c r="Y40" s="770">
        <v>565.70337499999994</v>
      </c>
      <c r="Z40" s="771">
        <v>45256.27</v>
      </c>
      <c r="AA40" s="747"/>
      <c r="AB40" s="770">
        <v>400.05482758620684</v>
      </c>
      <c r="AC40" s="771">
        <v>34804.769999999997</v>
      </c>
      <c r="AD40" s="747"/>
      <c r="AE40" s="770">
        <v>678.81777777777779</v>
      </c>
      <c r="AF40" s="771">
        <v>30546.799999999999</v>
      </c>
      <c r="AG40" s="747"/>
      <c r="AH40" s="770">
        <v>530.40699999999993</v>
      </c>
      <c r="AI40" s="771">
        <v>26520.35</v>
      </c>
      <c r="AJ40" s="747"/>
      <c r="AK40" s="770">
        <v>-1003.7751351351351</v>
      </c>
      <c r="AL40" s="771">
        <v>-37139.68</v>
      </c>
      <c r="AM40" s="747"/>
      <c r="AN40" s="770">
        <v>-106.62588235294118</v>
      </c>
      <c r="AO40" s="771">
        <v>-3625.28</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0.53485784859934726</v>
      </c>
      <c r="E44" s="779">
        <v>1257632.7499999998</v>
      </c>
      <c r="F44" s="777" t="s">
        <v>119</v>
      </c>
      <c r="G44" s="778">
        <v>0.63571951072076827</v>
      </c>
      <c r="H44" s="779">
        <v>90391.12</v>
      </c>
      <c r="I44" s="777" t="s">
        <v>119</v>
      </c>
      <c r="J44" s="778">
        <v>0.4325678381070287</v>
      </c>
      <c r="K44" s="779">
        <v>109648.39</v>
      </c>
      <c r="L44" s="777" t="s">
        <v>119</v>
      </c>
      <c r="M44" s="778">
        <v>0.53060317369666055</v>
      </c>
      <c r="N44" s="779">
        <v>149396.28999999998</v>
      </c>
      <c r="O44" s="777" t="s">
        <v>119</v>
      </c>
      <c r="P44" s="778">
        <v>0.4848383739064242</v>
      </c>
      <c r="Q44" s="779">
        <v>125866.33999999998</v>
      </c>
      <c r="R44" s="777" t="s">
        <v>119</v>
      </c>
      <c r="S44" s="778">
        <v>0.57243842198533723</v>
      </c>
      <c r="T44" s="779">
        <v>134880.62</v>
      </c>
      <c r="U44" s="777" t="s">
        <v>119</v>
      </c>
      <c r="V44" s="778">
        <v>0.71414568501399633</v>
      </c>
      <c r="W44" s="779">
        <v>89249.549999999901</v>
      </c>
      <c r="X44" s="777" t="s">
        <v>119</v>
      </c>
      <c r="Y44" s="778">
        <v>0.54556453208854827</v>
      </c>
      <c r="Z44" s="779">
        <v>138666.88999999998</v>
      </c>
      <c r="AA44" s="777" t="s">
        <v>119</v>
      </c>
      <c r="AB44" s="778">
        <v>0.52200100881563627</v>
      </c>
      <c r="AC44" s="779">
        <v>138187.38</v>
      </c>
      <c r="AD44" s="777" t="s">
        <v>119</v>
      </c>
      <c r="AE44" s="778">
        <v>0.63379570455884449</v>
      </c>
      <c r="AF44" s="779">
        <v>98424.93</v>
      </c>
      <c r="AG44" s="777" t="s">
        <v>119</v>
      </c>
      <c r="AH44" s="778">
        <v>0.72441650730975538</v>
      </c>
      <c r="AI44" s="779">
        <v>94080.66</v>
      </c>
      <c r="AJ44" s="777" t="s">
        <v>119</v>
      </c>
      <c r="AK44" s="778">
        <v>0.29627314358904278</v>
      </c>
      <c r="AL44" s="779">
        <v>37787.529999999992</v>
      </c>
      <c r="AM44" s="777" t="s">
        <v>119</v>
      </c>
      <c r="AN44" s="778">
        <v>0.41743430197380188</v>
      </c>
      <c r="AO44" s="779">
        <v>51053.049999999901</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192636.23</v>
      </c>
      <c r="F45" s="747"/>
      <c r="G45" s="757"/>
      <c r="H45" s="771">
        <v>15283.28</v>
      </c>
      <c r="I45" s="747"/>
      <c r="J45" s="757"/>
      <c r="K45" s="771">
        <v>18688.150000000001</v>
      </c>
      <c r="L45" s="747"/>
      <c r="M45" s="757"/>
      <c r="N45" s="771">
        <v>21641.75</v>
      </c>
      <c r="O45" s="747"/>
      <c r="P45" s="757"/>
      <c r="Q45" s="771">
        <v>13149.05</v>
      </c>
      <c r="R45" s="747"/>
      <c r="S45" s="757"/>
      <c r="T45" s="771">
        <v>11905.98</v>
      </c>
      <c r="U45" s="747"/>
      <c r="V45" s="757"/>
      <c r="W45" s="771">
        <v>12515.2</v>
      </c>
      <c r="X45" s="747"/>
      <c r="Y45" s="757"/>
      <c r="Z45" s="771">
        <v>15863.28</v>
      </c>
      <c r="AA45" s="747"/>
      <c r="AB45" s="757"/>
      <c r="AC45" s="771">
        <v>15861.36</v>
      </c>
      <c r="AD45" s="747"/>
      <c r="AE45" s="757"/>
      <c r="AF45" s="771">
        <v>15361.35</v>
      </c>
      <c r="AG45" s="747"/>
      <c r="AH45" s="757"/>
      <c r="AI45" s="771">
        <v>12188.2</v>
      </c>
      <c r="AJ45" s="747"/>
      <c r="AK45" s="757"/>
      <c r="AL45" s="771">
        <v>24253.66</v>
      </c>
      <c r="AM45" s="747"/>
      <c r="AN45" s="757"/>
      <c r="AO45" s="771">
        <v>15924.97</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119210.41</v>
      </c>
      <c r="F46" s="747"/>
      <c r="G46" s="757"/>
      <c r="H46" s="771">
        <v>9379.4</v>
      </c>
      <c r="I46" s="747"/>
      <c r="J46" s="757"/>
      <c r="K46" s="771">
        <v>8496.6200000000008</v>
      </c>
      <c r="L46" s="747"/>
      <c r="M46" s="757"/>
      <c r="N46" s="771">
        <v>11348.47</v>
      </c>
      <c r="O46" s="747"/>
      <c r="P46" s="757"/>
      <c r="Q46" s="771">
        <v>9365.85</v>
      </c>
      <c r="R46" s="747"/>
      <c r="S46" s="757"/>
      <c r="T46" s="771">
        <v>9609.39</v>
      </c>
      <c r="U46" s="747"/>
      <c r="V46" s="757"/>
      <c r="W46" s="771">
        <v>10896.4</v>
      </c>
      <c r="X46" s="747"/>
      <c r="Y46" s="757"/>
      <c r="Z46" s="771">
        <v>8318.4599999999991</v>
      </c>
      <c r="AA46" s="747"/>
      <c r="AB46" s="757"/>
      <c r="AC46" s="771">
        <v>11048.85</v>
      </c>
      <c r="AD46" s="747"/>
      <c r="AE46" s="757"/>
      <c r="AF46" s="771">
        <v>9911.09</v>
      </c>
      <c r="AG46" s="747"/>
      <c r="AH46" s="757"/>
      <c r="AI46" s="771">
        <v>8630.7199999999993</v>
      </c>
      <c r="AJ46" s="747"/>
      <c r="AK46" s="757"/>
      <c r="AL46" s="771">
        <v>13792.56</v>
      </c>
      <c r="AM46" s="747"/>
      <c r="AN46" s="757"/>
      <c r="AO46" s="771">
        <v>8412.6</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41466.120000000003</v>
      </c>
      <c r="F47" s="780"/>
      <c r="G47" s="781"/>
      <c r="H47" s="783">
        <v>2993.74</v>
      </c>
      <c r="I47" s="780"/>
      <c r="J47" s="781"/>
      <c r="K47" s="783">
        <v>3562.25</v>
      </c>
      <c r="L47" s="780"/>
      <c r="M47" s="781"/>
      <c r="N47" s="783">
        <v>3645.21</v>
      </c>
      <c r="O47" s="780"/>
      <c r="P47" s="781"/>
      <c r="Q47" s="783">
        <v>4575.3599999999997</v>
      </c>
      <c r="R47" s="780"/>
      <c r="S47" s="781"/>
      <c r="T47" s="783">
        <v>3925.06</v>
      </c>
      <c r="U47" s="780"/>
      <c r="V47" s="781"/>
      <c r="W47" s="783">
        <v>2584.64</v>
      </c>
      <c r="X47" s="780"/>
      <c r="Y47" s="781"/>
      <c r="Z47" s="783">
        <v>2420.59</v>
      </c>
      <c r="AA47" s="780"/>
      <c r="AB47" s="781"/>
      <c r="AC47" s="783">
        <v>4682.53</v>
      </c>
      <c r="AD47" s="780"/>
      <c r="AE47" s="781"/>
      <c r="AF47" s="783">
        <v>3755.5</v>
      </c>
      <c r="AG47" s="780"/>
      <c r="AH47" s="781"/>
      <c r="AI47" s="783">
        <v>2146.12</v>
      </c>
      <c r="AJ47" s="780"/>
      <c r="AK47" s="781"/>
      <c r="AL47" s="783">
        <v>4339.5200000000004</v>
      </c>
      <c r="AM47" s="780"/>
      <c r="AN47" s="781"/>
      <c r="AO47" s="783">
        <v>2835.6</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130545.48999999999</v>
      </c>
      <c r="F52" s="747"/>
      <c r="G52" s="757"/>
      <c r="H52" s="771">
        <v>10293.26</v>
      </c>
      <c r="I52" s="747"/>
      <c r="J52" s="757"/>
      <c r="K52" s="771">
        <v>9094.5300000000007</v>
      </c>
      <c r="L52" s="747"/>
      <c r="M52" s="757"/>
      <c r="N52" s="771">
        <v>10397.81</v>
      </c>
      <c r="O52" s="747"/>
      <c r="P52" s="757"/>
      <c r="Q52" s="771">
        <v>11763.15</v>
      </c>
      <c r="R52" s="747"/>
      <c r="S52" s="757"/>
      <c r="T52" s="771">
        <v>14577.13</v>
      </c>
      <c r="U52" s="747"/>
      <c r="V52" s="757"/>
      <c r="W52" s="771">
        <v>10189.969999999999</v>
      </c>
      <c r="X52" s="747"/>
      <c r="Y52" s="757"/>
      <c r="Z52" s="771">
        <v>10664.1</v>
      </c>
      <c r="AA52" s="747"/>
      <c r="AB52" s="757"/>
      <c r="AC52" s="771">
        <v>11439.02</v>
      </c>
      <c r="AD52" s="747"/>
      <c r="AE52" s="757"/>
      <c r="AF52" s="771">
        <v>11002.44</v>
      </c>
      <c r="AG52" s="747"/>
      <c r="AH52" s="757"/>
      <c r="AI52" s="771">
        <v>10528.2</v>
      </c>
      <c r="AJ52" s="747"/>
      <c r="AK52" s="757"/>
      <c r="AL52" s="771">
        <v>11233.56</v>
      </c>
      <c r="AM52" s="747"/>
      <c r="AN52" s="757"/>
      <c r="AO52" s="771">
        <v>9362.32</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175655.28999999998</v>
      </c>
      <c r="F53" s="780"/>
      <c r="G53" s="781"/>
      <c r="H53" s="783">
        <v>16906.259999999998</v>
      </c>
      <c r="I53" s="780"/>
      <c r="J53" s="781"/>
      <c r="K53" s="783">
        <v>14498.97</v>
      </c>
      <c r="L53" s="780"/>
      <c r="M53" s="781"/>
      <c r="N53" s="783">
        <v>18365.25</v>
      </c>
      <c r="O53" s="780"/>
      <c r="P53" s="781"/>
      <c r="Q53" s="783">
        <v>18598.07</v>
      </c>
      <c r="R53" s="780"/>
      <c r="S53" s="781"/>
      <c r="T53" s="783">
        <v>16512.36</v>
      </c>
      <c r="U53" s="780"/>
      <c r="V53" s="781"/>
      <c r="W53" s="783">
        <v>11457.24</v>
      </c>
      <c r="X53" s="780"/>
      <c r="Y53" s="781"/>
      <c r="Z53" s="783">
        <v>12553.25</v>
      </c>
      <c r="AA53" s="780"/>
      <c r="AB53" s="781"/>
      <c r="AC53" s="783">
        <v>14840.25</v>
      </c>
      <c r="AD53" s="780"/>
      <c r="AE53" s="781"/>
      <c r="AF53" s="783">
        <v>14099.3</v>
      </c>
      <c r="AG53" s="780"/>
      <c r="AH53" s="781"/>
      <c r="AI53" s="783">
        <v>14036.34</v>
      </c>
      <c r="AJ53" s="780"/>
      <c r="AK53" s="781"/>
      <c r="AL53" s="783">
        <v>12527.06</v>
      </c>
      <c r="AM53" s="780"/>
      <c r="AN53" s="781"/>
      <c r="AO53" s="783">
        <v>11260.94</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75545.529999999984</v>
      </c>
      <c r="F54" s="747"/>
      <c r="G54" s="757"/>
      <c r="H54" s="771">
        <v>6508.32</v>
      </c>
      <c r="I54" s="747"/>
      <c r="J54" s="757"/>
      <c r="K54" s="771">
        <v>6952.68</v>
      </c>
      <c r="L54" s="747"/>
      <c r="M54" s="757"/>
      <c r="N54" s="771">
        <v>6187.38</v>
      </c>
      <c r="O54" s="747"/>
      <c r="P54" s="757"/>
      <c r="Q54" s="771">
        <v>7275.41</v>
      </c>
      <c r="R54" s="747"/>
      <c r="S54" s="757"/>
      <c r="T54" s="771">
        <v>8805.59</v>
      </c>
      <c r="U54" s="747"/>
      <c r="V54" s="757"/>
      <c r="W54" s="771">
        <v>6085.69</v>
      </c>
      <c r="X54" s="747"/>
      <c r="Y54" s="757"/>
      <c r="Z54" s="771">
        <v>7041.73</v>
      </c>
      <c r="AA54" s="747"/>
      <c r="AB54" s="757"/>
      <c r="AC54" s="771">
        <v>7953.48</v>
      </c>
      <c r="AD54" s="747"/>
      <c r="AE54" s="757"/>
      <c r="AF54" s="771">
        <v>7411.59</v>
      </c>
      <c r="AG54" s="747"/>
      <c r="AH54" s="757"/>
      <c r="AI54" s="771">
        <v>6769.08</v>
      </c>
      <c r="AJ54" s="747"/>
      <c r="AK54" s="757"/>
      <c r="AL54" s="771">
        <v>372.17999999999898</v>
      </c>
      <c r="AM54" s="747"/>
      <c r="AN54" s="757"/>
      <c r="AO54" s="771">
        <v>4182.3999999999996</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30693.23</v>
      </c>
      <c r="F55" s="747"/>
      <c r="G55" s="757"/>
      <c r="H55" s="771">
        <v>2586.2199999999998</v>
      </c>
      <c r="I55" s="747"/>
      <c r="J55" s="757"/>
      <c r="K55" s="771">
        <v>2844.68</v>
      </c>
      <c r="L55" s="747"/>
      <c r="M55" s="757"/>
      <c r="N55" s="771">
        <v>3260.08</v>
      </c>
      <c r="O55" s="747"/>
      <c r="P55" s="757"/>
      <c r="Q55" s="771">
        <v>3705.07</v>
      </c>
      <c r="R55" s="747"/>
      <c r="S55" s="757"/>
      <c r="T55" s="771">
        <v>3234.85</v>
      </c>
      <c r="U55" s="747"/>
      <c r="V55" s="757"/>
      <c r="W55" s="771">
        <v>1674.44</v>
      </c>
      <c r="X55" s="747"/>
      <c r="Y55" s="757"/>
      <c r="Z55" s="771">
        <v>1892.71</v>
      </c>
      <c r="AA55" s="747"/>
      <c r="AB55" s="757"/>
      <c r="AC55" s="771">
        <v>3473.47</v>
      </c>
      <c r="AD55" s="747"/>
      <c r="AE55" s="757"/>
      <c r="AF55" s="771">
        <v>2367.79</v>
      </c>
      <c r="AG55" s="747"/>
      <c r="AH55" s="757"/>
      <c r="AI55" s="771">
        <v>1167.3399999999999</v>
      </c>
      <c r="AJ55" s="747"/>
      <c r="AK55" s="757"/>
      <c r="AL55" s="771">
        <v>1645.94</v>
      </c>
      <c r="AM55" s="747"/>
      <c r="AN55" s="757"/>
      <c r="AO55" s="771">
        <v>2840.64</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0.32566631851627753</v>
      </c>
      <c r="E57" s="779">
        <v>765752.3</v>
      </c>
      <c r="F57" s="777" t="s">
        <v>119</v>
      </c>
      <c r="G57" s="778">
        <v>0.44976285121766696</v>
      </c>
      <c r="H57" s="779">
        <v>63950.48</v>
      </c>
      <c r="I57" s="777" t="s">
        <v>119</v>
      </c>
      <c r="J57" s="778">
        <v>0.25302682595127968</v>
      </c>
      <c r="K57" s="779">
        <v>64137.880000000005</v>
      </c>
      <c r="L57" s="777" t="s">
        <v>119</v>
      </c>
      <c r="M57" s="778">
        <v>0.26582653831859931</v>
      </c>
      <c r="N57" s="779">
        <v>74845.95</v>
      </c>
      <c r="O57" s="777" t="s">
        <v>119</v>
      </c>
      <c r="P57" s="778">
        <v>0.26360057986614588</v>
      </c>
      <c r="Q57" s="779">
        <v>68431.960000000006</v>
      </c>
      <c r="R57" s="777" t="s">
        <v>119</v>
      </c>
      <c r="S57" s="778">
        <v>0.26360057986614588</v>
      </c>
      <c r="T57" s="779">
        <v>68570.36</v>
      </c>
      <c r="U57" s="777" t="s">
        <v>119</v>
      </c>
      <c r="V57" s="778">
        <v>1.26360057986615</v>
      </c>
      <c r="W57" s="779">
        <v>55403.58</v>
      </c>
      <c r="X57" s="777" t="s">
        <v>119</v>
      </c>
      <c r="Y57" s="778">
        <v>1.26360057986615</v>
      </c>
      <c r="Z57" s="779">
        <v>58754.12</v>
      </c>
      <c r="AA57" s="777" t="s">
        <v>119</v>
      </c>
      <c r="AB57" s="778">
        <v>1.26360057986615</v>
      </c>
      <c r="AC57" s="779">
        <v>69298.959999999992</v>
      </c>
      <c r="AD57" s="777" t="s">
        <v>119</v>
      </c>
      <c r="AE57" s="778">
        <v>1.26360057986615</v>
      </c>
      <c r="AF57" s="779">
        <v>63909.060000000005</v>
      </c>
      <c r="AG57" s="777" t="s">
        <v>119</v>
      </c>
      <c r="AH57" s="778">
        <v>1.26360057986615</v>
      </c>
      <c r="AI57" s="779">
        <v>55466</v>
      </c>
      <c r="AJ57" s="777" t="s">
        <v>119</v>
      </c>
      <c r="AK57" s="778">
        <v>1.26360057986615</v>
      </c>
      <c r="AL57" s="779">
        <v>68164.479999999996</v>
      </c>
      <c r="AM57" s="777" t="s">
        <v>119</v>
      </c>
      <c r="AN57" s="778">
        <v>1.26360057986615</v>
      </c>
      <c r="AO57" s="779">
        <v>54819.47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105840.31000000001</v>
      </c>
      <c r="F60" s="785"/>
      <c r="G60" s="786"/>
      <c r="H60" s="788">
        <v>6677.55</v>
      </c>
      <c r="I60" s="785"/>
      <c r="J60" s="786"/>
      <c r="K60" s="788">
        <v>7358.99</v>
      </c>
      <c r="L60" s="785"/>
      <c r="M60" s="786"/>
      <c r="N60" s="788">
        <v>7788.24</v>
      </c>
      <c r="O60" s="785"/>
      <c r="P60" s="786"/>
      <c r="Q60" s="788">
        <v>11626.31</v>
      </c>
      <c r="R60" s="785"/>
      <c r="S60" s="786"/>
      <c r="T60" s="788">
        <v>7403.65</v>
      </c>
      <c r="U60" s="785"/>
      <c r="V60" s="786"/>
      <c r="W60" s="788">
        <v>7254.82</v>
      </c>
      <c r="X60" s="785"/>
      <c r="Y60" s="786"/>
      <c r="Z60" s="788">
        <v>9199.43</v>
      </c>
      <c r="AA60" s="785"/>
      <c r="AB60" s="786"/>
      <c r="AC60" s="788">
        <v>9189.64</v>
      </c>
      <c r="AD60" s="785"/>
      <c r="AE60" s="786"/>
      <c r="AF60" s="788">
        <v>10497.54</v>
      </c>
      <c r="AG60" s="785"/>
      <c r="AH60" s="786"/>
      <c r="AI60" s="788">
        <v>8473.11</v>
      </c>
      <c r="AJ60" s="785"/>
      <c r="AK60" s="786"/>
      <c r="AL60" s="788">
        <v>8283.33</v>
      </c>
      <c r="AM60" s="785"/>
      <c r="AN60" s="786"/>
      <c r="AO60" s="788">
        <v>12087.7</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88237.239999999991</v>
      </c>
      <c r="F61" s="747"/>
      <c r="G61" s="757"/>
      <c r="H61" s="771">
        <v>6687.32</v>
      </c>
      <c r="I61" s="747"/>
      <c r="J61" s="757"/>
      <c r="K61" s="771">
        <v>7119.2</v>
      </c>
      <c r="L61" s="747"/>
      <c r="M61" s="757"/>
      <c r="N61" s="771">
        <v>7015.61</v>
      </c>
      <c r="O61" s="747"/>
      <c r="P61" s="757"/>
      <c r="Q61" s="771">
        <v>7516.3</v>
      </c>
      <c r="R61" s="747"/>
      <c r="S61" s="757"/>
      <c r="T61" s="771">
        <v>7461.29</v>
      </c>
      <c r="U61" s="747"/>
      <c r="V61" s="757"/>
      <c r="W61" s="771">
        <v>7043.39</v>
      </c>
      <c r="X61" s="747"/>
      <c r="Y61" s="757"/>
      <c r="Z61" s="771">
        <v>5972.42</v>
      </c>
      <c r="AA61" s="747"/>
      <c r="AB61" s="757"/>
      <c r="AC61" s="771">
        <v>8684.4500000000007</v>
      </c>
      <c r="AD61" s="747"/>
      <c r="AE61" s="757"/>
      <c r="AF61" s="771">
        <v>8853.42</v>
      </c>
      <c r="AG61" s="747"/>
      <c r="AH61" s="757"/>
      <c r="AI61" s="771">
        <v>7015.5</v>
      </c>
      <c r="AJ61" s="747"/>
      <c r="AK61" s="757"/>
      <c r="AL61" s="771">
        <v>6688.36</v>
      </c>
      <c r="AM61" s="747"/>
      <c r="AN61" s="757"/>
      <c r="AO61" s="771">
        <v>8179.98</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18128.02</v>
      </c>
      <c r="F62" s="747"/>
      <c r="G62" s="757"/>
      <c r="H62" s="771">
        <v>1076.8499999999999</v>
      </c>
      <c r="I62" s="747"/>
      <c r="J62" s="757"/>
      <c r="K62" s="771">
        <v>230.83</v>
      </c>
      <c r="L62" s="747"/>
      <c r="M62" s="757"/>
      <c r="N62" s="771">
        <v>1100.5999999999999</v>
      </c>
      <c r="O62" s="747"/>
      <c r="P62" s="757"/>
      <c r="Q62" s="771">
        <v>2705.19</v>
      </c>
      <c r="R62" s="747"/>
      <c r="S62" s="757"/>
      <c r="T62" s="771">
        <v>1278.4000000000001</v>
      </c>
      <c r="U62" s="747"/>
      <c r="V62" s="757"/>
      <c r="W62" s="771">
        <v>1316.83</v>
      </c>
      <c r="X62" s="747"/>
      <c r="Y62" s="757"/>
      <c r="Z62" s="771">
        <v>1613.78</v>
      </c>
      <c r="AA62" s="747"/>
      <c r="AB62" s="757"/>
      <c r="AC62" s="771">
        <v>1158.94</v>
      </c>
      <c r="AD62" s="747"/>
      <c r="AE62" s="757"/>
      <c r="AF62" s="771">
        <v>1810.19</v>
      </c>
      <c r="AG62" s="747"/>
      <c r="AH62" s="757"/>
      <c r="AI62" s="771">
        <v>2344.34</v>
      </c>
      <c r="AJ62" s="747"/>
      <c r="AK62" s="757"/>
      <c r="AL62" s="771">
        <v>2373.63</v>
      </c>
      <c r="AM62" s="747"/>
      <c r="AN62" s="757"/>
      <c r="AO62" s="771">
        <v>1118.44</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88609.06</v>
      </c>
      <c r="F63" s="785"/>
      <c r="G63" s="786"/>
      <c r="H63" s="788">
        <v>7732.26</v>
      </c>
      <c r="I63" s="785"/>
      <c r="J63" s="786"/>
      <c r="K63" s="788">
        <v>6706.21</v>
      </c>
      <c r="L63" s="785"/>
      <c r="M63" s="786"/>
      <c r="N63" s="788">
        <v>6497.3</v>
      </c>
      <c r="O63" s="785"/>
      <c r="P63" s="786"/>
      <c r="Q63" s="788">
        <v>6746.26</v>
      </c>
      <c r="R63" s="785"/>
      <c r="S63" s="786"/>
      <c r="T63" s="788">
        <v>7123.34</v>
      </c>
      <c r="U63" s="785"/>
      <c r="V63" s="786"/>
      <c r="W63" s="788">
        <v>7463.74</v>
      </c>
      <c r="X63" s="785"/>
      <c r="Y63" s="786"/>
      <c r="Z63" s="788">
        <v>7694.41</v>
      </c>
      <c r="AA63" s="785"/>
      <c r="AB63" s="786"/>
      <c r="AC63" s="788">
        <v>7667.77</v>
      </c>
      <c r="AD63" s="785"/>
      <c r="AE63" s="786"/>
      <c r="AF63" s="788">
        <v>8147.65</v>
      </c>
      <c r="AG63" s="785"/>
      <c r="AH63" s="786"/>
      <c r="AI63" s="788">
        <v>8179.53</v>
      </c>
      <c r="AJ63" s="785"/>
      <c r="AK63" s="786"/>
      <c r="AL63" s="788">
        <v>7674.68</v>
      </c>
      <c r="AM63" s="785"/>
      <c r="AN63" s="786"/>
      <c r="AO63" s="788">
        <v>6975.91</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873.33000000000015</v>
      </c>
      <c r="F64" s="747"/>
      <c r="G64" s="757"/>
      <c r="H64" s="771">
        <v>104.38</v>
      </c>
      <c r="I64" s="747"/>
      <c r="J64" s="757"/>
      <c r="K64" s="771">
        <v>0</v>
      </c>
      <c r="L64" s="747"/>
      <c r="M64" s="757"/>
      <c r="N64" s="771">
        <v>220.74</v>
      </c>
      <c r="O64" s="747"/>
      <c r="P64" s="757"/>
      <c r="Q64" s="771">
        <v>36.28</v>
      </c>
      <c r="R64" s="747"/>
      <c r="S64" s="757"/>
      <c r="T64" s="771">
        <v>17.22</v>
      </c>
      <c r="U64" s="747"/>
      <c r="V64" s="757"/>
      <c r="W64" s="771">
        <v>4.5599999999999996</v>
      </c>
      <c r="X64" s="747"/>
      <c r="Y64" s="757"/>
      <c r="Z64" s="771">
        <v>97.12</v>
      </c>
      <c r="AA64" s="747"/>
      <c r="AB64" s="757"/>
      <c r="AC64" s="771">
        <v>141.9</v>
      </c>
      <c r="AD64" s="747"/>
      <c r="AE64" s="757"/>
      <c r="AF64" s="771">
        <v>74.69</v>
      </c>
      <c r="AG64" s="747"/>
      <c r="AH64" s="757"/>
      <c r="AI64" s="771">
        <v>0</v>
      </c>
      <c r="AJ64" s="747"/>
      <c r="AK64" s="757"/>
      <c r="AL64" s="771">
        <v>0</v>
      </c>
      <c r="AM64" s="747"/>
      <c r="AN64" s="757"/>
      <c r="AO64" s="771">
        <v>176.44</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434.88</v>
      </c>
      <c r="F65" s="747"/>
      <c r="G65" s="757"/>
      <c r="H65" s="771">
        <v>0</v>
      </c>
      <c r="I65" s="747"/>
      <c r="J65" s="757"/>
      <c r="K65" s="771">
        <v>0</v>
      </c>
      <c r="L65" s="747"/>
      <c r="M65" s="757"/>
      <c r="N65" s="771">
        <v>0</v>
      </c>
      <c r="O65" s="747"/>
      <c r="P65" s="757"/>
      <c r="Q65" s="771">
        <v>0</v>
      </c>
      <c r="R65" s="747"/>
      <c r="S65" s="757"/>
      <c r="T65" s="771">
        <v>0</v>
      </c>
      <c r="U65" s="747"/>
      <c r="V65" s="757"/>
      <c r="W65" s="771">
        <v>0</v>
      </c>
      <c r="X65" s="747"/>
      <c r="Y65" s="757"/>
      <c r="Z65" s="771">
        <v>0</v>
      </c>
      <c r="AA65" s="747"/>
      <c r="AB65" s="757"/>
      <c r="AC65" s="771">
        <v>0</v>
      </c>
      <c r="AD65" s="747"/>
      <c r="AE65" s="757"/>
      <c r="AF65" s="771">
        <v>0</v>
      </c>
      <c r="AG65" s="747"/>
      <c r="AH65" s="757"/>
      <c r="AI65" s="771">
        <v>434.88</v>
      </c>
      <c r="AJ65" s="747"/>
      <c r="AK65" s="757"/>
      <c r="AL65" s="771">
        <v>0</v>
      </c>
      <c r="AM65" s="747"/>
      <c r="AN65" s="757"/>
      <c r="AO65" s="771">
        <v>0</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9025.32</v>
      </c>
      <c r="F66" s="747"/>
      <c r="G66" s="757"/>
      <c r="H66" s="771">
        <v>425.21</v>
      </c>
      <c r="I66" s="747"/>
      <c r="J66" s="757"/>
      <c r="K66" s="771">
        <v>1331.47</v>
      </c>
      <c r="L66" s="747"/>
      <c r="M66" s="757"/>
      <c r="N66" s="771">
        <v>552.11</v>
      </c>
      <c r="O66" s="747"/>
      <c r="P66" s="757"/>
      <c r="Q66" s="771">
        <v>381.04</v>
      </c>
      <c r="R66" s="747"/>
      <c r="S66" s="757"/>
      <c r="T66" s="771">
        <v>885.48</v>
      </c>
      <c r="U66" s="747"/>
      <c r="V66" s="757"/>
      <c r="W66" s="771">
        <v>387.99</v>
      </c>
      <c r="X66" s="747"/>
      <c r="Y66" s="757"/>
      <c r="Z66" s="771">
        <v>356.55</v>
      </c>
      <c r="AA66" s="747"/>
      <c r="AB66" s="757"/>
      <c r="AC66" s="771">
        <v>1375.08</v>
      </c>
      <c r="AD66" s="747"/>
      <c r="AE66" s="757"/>
      <c r="AF66" s="771">
        <v>628.30999999999995</v>
      </c>
      <c r="AG66" s="747"/>
      <c r="AH66" s="757"/>
      <c r="AI66" s="771">
        <v>377.56</v>
      </c>
      <c r="AJ66" s="747"/>
      <c r="AK66" s="757"/>
      <c r="AL66" s="771">
        <v>1262.3399999999999</v>
      </c>
      <c r="AM66" s="747"/>
      <c r="AN66" s="757"/>
      <c r="AO66" s="771">
        <v>1062.18</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4238.2000000000007</v>
      </c>
      <c r="F67" s="747"/>
      <c r="G67" s="757"/>
      <c r="H67" s="771">
        <v>381.78</v>
      </c>
      <c r="I67" s="747"/>
      <c r="J67" s="757"/>
      <c r="K67" s="771">
        <v>318.49</v>
      </c>
      <c r="L67" s="747"/>
      <c r="M67" s="757"/>
      <c r="N67" s="771">
        <v>360.77</v>
      </c>
      <c r="O67" s="747"/>
      <c r="P67" s="757"/>
      <c r="Q67" s="771">
        <v>318.89999999999998</v>
      </c>
      <c r="R67" s="747"/>
      <c r="S67" s="757"/>
      <c r="T67" s="771">
        <v>340.16</v>
      </c>
      <c r="U67" s="747"/>
      <c r="V67" s="757"/>
      <c r="W67" s="771">
        <v>326.92</v>
      </c>
      <c r="X67" s="747"/>
      <c r="Y67" s="757"/>
      <c r="Z67" s="771">
        <v>330.97</v>
      </c>
      <c r="AA67" s="747"/>
      <c r="AB67" s="757"/>
      <c r="AC67" s="771">
        <v>440.89</v>
      </c>
      <c r="AD67" s="747"/>
      <c r="AE67" s="757"/>
      <c r="AF67" s="771">
        <v>345.76</v>
      </c>
      <c r="AG67" s="747"/>
      <c r="AH67" s="757"/>
      <c r="AI67" s="771">
        <v>393.48</v>
      </c>
      <c r="AJ67" s="747"/>
      <c r="AK67" s="757"/>
      <c r="AL67" s="771">
        <v>351.63</v>
      </c>
      <c r="AM67" s="747"/>
      <c r="AN67" s="757"/>
      <c r="AO67" s="771">
        <v>328.45</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896.29000000000008</v>
      </c>
      <c r="F68" s="747"/>
      <c r="G68" s="757"/>
      <c r="H68" s="771">
        <v>159.30000000000001</v>
      </c>
      <c r="I68" s="747"/>
      <c r="J68" s="757"/>
      <c r="K68" s="771">
        <v>222.02</v>
      </c>
      <c r="L68" s="747"/>
      <c r="M68" s="757"/>
      <c r="N68" s="771">
        <v>278.24</v>
      </c>
      <c r="O68" s="747"/>
      <c r="P68" s="757"/>
      <c r="Q68" s="771">
        <v>10.56</v>
      </c>
      <c r="R68" s="747"/>
      <c r="S68" s="757"/>
      <c r="T68" s="771">
        <v>10.56</v>
      </c>
      <c r="U68" s="747"/>
      <c r="V68" s="757"/>
      <c r="W68" s="771">
        <v>32.96</v>
      </c>
      <c r="X68" s="747"/>
      <c r="Y68" s="757"/>
      <c r="Z68" s="771">
        <v>32.96</v>
      </c>
      <c r="AA68" s="747"/>
      <c r="AB68" s="757"/>
      <c r="AC68" s="771">
        <v>10.56</v>
      </c>
      <c r="AD68" s="747"/>
      <c r="AE68" s="757"/>
      <c r="AF68" s="771">
        <v>32.96</v>
      </c>
      <c r="AG68" s="747"/>
      <c r="AH68" s="757"/>
      <c r="AI68" s="771">
        <v>32.96</v>
      </c>
      <c r="AJ68" s="747"/>
      <c r="AK68" s="757"/>
      <c r="AL68" s="771">
        <v>40.25</v>
      </c>
      <c r="AM68" s="747"/>
      <c r="AN68" s="757"/>
      <c r="AO68" s="771">
        <v>32.96</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2165.7800000000002</v>
      </c>
      <c r="F69" s="747"/>
      <c r="G69" s="757"/>
      <c r="H69" s="771">
        <v>103.25</v>
      </c>
      <c r="I69" s="747"/>
      <c r="J69" s="757"/>
      <c r="K69" s="771">
        <v>205.65</v>
      </c>
      <c r="L69" s="747"/>
      <c r="M69" s="757"/>
      <c r="N69" s="771">
        <v>255.97</v>
      </c>
      <c r="O69" s="747"/>
      <c r="P69" s="757"/>
      <c r="Q69" s="771">
        <v>201.95</v>
      </c>
      <c r="R69" s="747"/>
      <c r="S69" s="757"/>
      <c r="T69" s="771">
        <v>105.31</v>
      </c>
      <c r="U69" s="747"/>
      <c r="V69" s="757"/>
      <c r="W69" s="771">
        <v>123.77</v>
      </c>
      <c r="X69" s="747"/>
      <c r="Y69" s="757"/>
      <c r="Z69" s="771">
        <v>188.48</v>
      </c>
      <c r="AA69" s="747"/>
      <c r="AB69" s="757"/>
      <c r="AC69" s="771">
        <v>52.48</v>
      </c>
      <c r="AD69" s="747"/>
      <c r="AE69" s="757"/>
      <c r="AF69" s="771">
        <v>152.01</v>
      </c>
      <c r="AG69" s="747"/>
      <c r="AH69" s="757"/>
      <c r="AI69" s="771">
        <v>234.47</v>
      </c>
      <c r="AJ69" s="747"/>
      <c r="AK69" s="757"/>
      <c r="AL69" s="771">
        <v>446.81</v>
      </c>
      <c r="AM69" s="747"/>
      <c r="AN69" s="757"/>
      <c r="AO69" s="771">
        <v>95.63</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22094.760000000002</v>
      </c>
      <c r="F70" s="747"/>
      <c r="G70" s="757"/>
      <c r="H70" s="771">
        <v>1844</v>
      </c>
      <c r="I70" s="747"/>
      <c r="J70" s="757"/>
      <c r="K70" s="771">
        <v>1135.45</v>
      </c>
      <c r="L70" s="747"/>
      <c r="M70" s="757"/>
      <c r="N70" s="771">
        <v>1407.34</v>
      </c>
      <c r="O70" s="747"/>
      <c r="P70" s="757"/>
      <c r="Q70" s="771">
        <v>1147.3499999999999</v>
      </c>
      <c r="R70" s="747"/>
      <c r="S70" s="757"/>
      <c r="T70" s="771">
        <v>1174.1300000000001</v>
      </c>
      <c r="U70" s="747"/>
      <c r="V70" s="757"/>
      <c r="W70" s="771">
        <v>1391.4</v>
      </c>
      <c r="X70" s="747"/>
      <c r="Y70" s="757"/>
      <c r="Z70" s="771">
        <v>3488.07</v>
      </c>
      <c r="AA70" s="747"/>
      <c r="AB70" s="757"/>
      <c r="AC70" s="771">
        <v>3577.08</v>
      </c>
      <c r="AD70" s="747"/>
      <c r="AE70" s="757"/>
      <c r="AF70" s="771">
        <v>2675.45</v>
      </c>
      <c r="AG70" s="747"/>
      <c r="AH70" s="757"/>
      <c r="AI70" s="771">
        <v>2366.96</v>
      </c>
      <c r="AJ70" s="747"/>
      <c r="AK70" s="757"/>
      <c r="AL70" s="771">
        <v>1785.45</v>
      </c>
      <c r="AM70" s="747"/>
      <c r="AN70" s="757"/>
      <c r="AO70" s="771">
        <v>102.08</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47376.41</v>
      </c>
      <c r="F71" s="747"/>
      <c r="G71" s="757"/>
      <c r="H71" s="771">
        <v>3087.92</v>
      </c>
      <c r="I71" s="747"/>
      <c r="J71" s="757"/>
      <c r="K71" s="771">
        <v>2438.09</v>
      </c>
      <c r="L71" s="747"/>
      <c r="M71" s="757"/>
      <c r="N71" s="771">
        <v>3214.1</v>
      </c>
      <c r="O71" s="747"/>
      <c r="P71" s="757"/>
      <c r="Q71" s="771">
        <v>4277.07</v>
      </c>
      <c r="R71" s="747"/>
      <c r="S71" s="757"/>
      <c r="T71" s="771">
        <v>4750.5</v>
      </c>
      <c r="U71" s="747"/>
      <c r="V71" s="757"/>
      <c r="W71" s="771">
        <v>3357.81</v>
      </c>
      <c r="X71" s="747"/>
      <c r="Y71" s="757"/>
      <c r="Z71" s="771">
        <v>3718.78</v>
      </c>
      <c r="AA71" s="747"/>
      <c r="AB71" s="757"/>
      <c r="AC71" s="771">
        <v>3576.25</v>
      </c>
      <c r="AD71" s="747"/>
      <c r="AE71" s="757"/>
      <c r="AF71" s="771">
        <v>3267.11</v>
      </c>
      <c r="AG71" s="747"/>
      <c r="AH71" s="757"/>
      <c r="AI71" s="771">
        <v>4782.88</v>
      </c>
      <c r="AJ71" s="747"/>
      <c r="AK71" s="757"/>
      <c r="AL71" s="771">
        <v>6767.49</v>
      </c>
      <c r="AM71" s="747"/>
      <c r="AN71" s="757"/>
      <c r="AO71" s="771">
        <v>4138.41</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0.16497808496599617</v>
      </c>
      <c r="E75" s="779">
        <v>387919.60000000009</v>
      </c>
      <c r="F75" s="777" t="s">
        <v>119</v>
      </c>
      <c r="G75" s="778">
        <v>0.19889158728945275</v>
      </c>
      <c r="H75" s="779">
        <v>28279.82</v>
      </c>
      <c r="I75" s="777" t="s">
        <v>119</v>
      </c>
      <c r="J75" s="778">
        <v>0.10677816731590938</v>
      </c>
      <c r="K75" s="779">
        <v>27066.400000000005</v>
      </c>
      <c r="L75" s="777" t="s">
        <v>119</v>
      </c>
      <c r="M75" s="778">
        <v>0.10190043051667726</v>
      </c>
      <c r="N75" s="779">
        <v>28691.020000000004</v>
      </c>
      <c r="O75" s="777" t="s">
        <v>119</v>
      </c>
      <c r="P75" s="778">
        <v>0.13469403524758453</v>
      </c>
      <c r="Q75" s="779">
        <v>34967.21</v>
      </c>
      <c r="R75" s="777" t="s">
        <v>119</v>
      </c>
      <c r="S75" s="778">
        <v>0.12965551825895325</v>
      </c>
      <c r="T75" s="779">
        <v>30550.040000000005</v>
      </c>
      <c r="U75" s="777" t="s">
        <v>119</v>
      </c>
      <c r="V75" s="778">
        <v>0.22968153262758106</v>
      </c>
      <c r="W75" s="779">
        <v>28704.190000000002</v>
      </c>
      <c r="X75" s="777" t="s">
        <v>119</v>
      </c>
      <c r="Y75" s="778">
        <v>0.12862569341992847</v>
      </c>
      <c r="Z75" s="779">
        <v>32692.969999999998</v>
      </c>
      <c r="AA75" s="777" t="s">
        <v>119</v>
      </c>
      <c r="AB75" s="778">
        <v>0.13551749133170701</v>
      </c>
      <c r="AC75" s="779">
        <v>35875.040000000001</v>
      </c>
      <c r="AD75" s="777" t="s">
        <v>119</v>
      </c>
      <c r="AE75" s="778">
        <v>0.23494142512921112</v>
      </c>
      <c r="AF75" s="779">
        <v>36485.089999999989</v>
      </c>
      <c r="AG75" s="777" t="s">
        <v>119</v>
      </c>
      <c r="AH75" s="778">
        <v>0.26669297483386356</v>
      </c>
      <c r="AI75" s="779">
        <v>34635.67</v>
      </c>
      <c r="AJ75" s="777" t="s">
        <v>119</v>
      </c>
      <c r="AK75" s="778">
        <v>0.27970177559108012</v>
      </c>
      <c r="AL75" s="779">
        <v>35673.97</v>
      </c>
      <c r="AM75" s="777" t="s">
        <v>119</v>
      </c>
      <c r="AN75" s="778">
        <v>0.28043842292031212</v>
      </c>
      <c r="AO75" s="779">
        <v>34298.18</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1.025502252081621</v>
      </c>
      <c r="E77" s="789">
        <v>2411304.65</v>
      </c>
      <c r="F77" s="777" t="s">
        <v>119</v>
      </c>
      <c r="G77" s="778">
        <v>1.2843739492278881</v>
      </c>
      <c r="H77" s="789">
        <v>182621.42</v>
      </c>
      <c r="I77" s="777" t="s">
        <v>119</v>
      </c>
      <c r="J77" s="778">
        <v>0.79237283137421777</v>
      </c>
      <c r="K77" s="789">
        <v>200852.67</v>
      </c>
      <c r="L77" s="777" t="s">
        <v>119</v>
      </c>
      <c r="M77" s="778">
        <v>0.89833014253193721</v>
      </c>
      <c r="N77" s="789">
        <v>252933.26</v>
      </c>
      <c r="O77" s="777" t="s">
        <v>119</v>
      </c>
      <c r="P77" s="778">
        <v>0.88313298902015458</v>
      </c>
      <c r="Q77" s="789">
        <v>229265.50999999998</v>
      </c>
      <c r="R77" s="777" t="s">
        <v>119</v>
      </c>
      <c r="S77" s="778">
        <v>0.99310912592008649</v>
      </c>
      <c r="T77" s="789">
        <v>234001.02</v>
      </c>
      <c r="U77" s="777" t="s">
        <v>119</v>
      </c>
      <c r="V77" s="778">
        <v>1.3871485295286152</v>
      </c>
      <c r="W77" s="789">
        <v>173357.31999999989</v>
      </c>
      <c r="X77" s="777" t="s">
        <v>119</v>
      </c>
      <c r="Y77" s="778">
        <v>0.90534968964641482</v>
      </c>
      <c r="Z77" s="789">
        <v>230113.97999999998</v>
      </c>
      <c r="AA77" s="777" t="s">
        <v>119</v>
      </c>
      <c r="AB77" s="778">
        <v>0.91929440927793415</v>
      </c>
      <c r="AC77" s="789">
        <v>243361.38</v>
      </c>
      <c r="AD77" s="777" t="s">
        <v>119</v>
      </c>
      <c r="AE77" s="778">
        <v>1.2802719685789086</v>
      </c>
      <c r="AF77" s="789">
        <v>198819.08</v>
      </c>
      <c r="AG77" s="777" t="s">
        <v>119</v>
      </c>
      <c r="AH77" s="778">
        <v>1.4181949850986673</v>
      </c>
      <c r="AI77" s="789">
        <v>184182.33000000002</v>
      </c>
      <c r="AJ77" s="777" t="s">
        <v>119</v>
      </c>
      <c r="AK77" s="778">
        <v>1.1104185510002613</v>
      </c>
      <c r="AL77" s="789">
        <v>141625.97999999998</v>
      </c>
      <c r="AM77" s="777" t="s">
        <v>119</v>
      </c>
      <c r="AN77" s="778">
        <v>1.1461030890745854</v>
      </c>
      <c r="AO77" s="789">
        <v>140170.6999999999</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87295</v>
      </c>
      <c r="F78" s="747"/>
      <c r="G78" s="757"/>
      <c r="H78" s="771">
        <v>0</v>
      </c>
      <c r="I78" s="747"/>
      <c r="J78" s="757"/>
      <c r="K78" s="771">
        <v>0</v>
      </c>
      <c r="L78" s="747"/>
      <c r="M78" s="757"/>
      <c r="N78" s="771">
        <v>0</v>
      </c>
      <c r="O78" s="747"/>
      <c r="P78" s="757"/>
      <c r="Q78" s="771">
        <v>695</v>
      </c>
      <c r="R78" s="747"/>
      <c r="S78" s="757"/>
      <c r="T78" s="771">
        <v>0</v>
      </c>
      <c r="U78" s="747"/>
      <c r="V78" s="757"/>
      <c r="W78" s="771">
        <v>20000</v>
      </c>
      <c r="X78" s="747"/>
      <c r="Y78" s="757"/>
      <c r="Z78" s="771">
        <v>18100</v>
      </c>
      <c r="AA78" s="747"/>
      <c r="AB78" s="757"/>
      <c r="AC78" s="771">
        <v>0</v>
      </c>
      <c r="AD78" s="747"/>
      <c r="AE78" s="757"/>
      <c r="AF78" s="771">
        <v>16000</v>
      </c>
      <c r="AG78" s="747"/>
      <c r="AH78" s="757"/>
      <c r="AI78" s="771">
        <v>0</v>
      </c>
      <c r="AJ78" s="747"/>
      <c r="AK78" s="757"/>
      <c r="AL78" s="771">
        <v>12500</v>
      </c>
      <c r="AM78" s="747"/>
      <c r="AN78" s="757"/>
      <c r="AO78" s="771">
        <v>20000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953913.25</v>
      </c>
      <c r="F81" s="747"/>
      <c r="G81" s="757"/>
      <c r="H81" s="771">
        <v>51590</v>
      </c>
      <c r="I81" s="747"/>
      <c r="J81" s="757"/>
      <c r="K81" s="771">
        <v>91804.85</v>
      </c>
      <c r="L81" s="747"/>
      <c r="M81" s="757"/>
      <c r="N81" s="771">
        <v>83565</v>
      </c>
      <c r="O81" s="747"/>
      <c r="P81" s="757"/>
      <c r="Q81" s="771">
        <v>106078.85</v>
      </c>
      <c r="R81" s="747"/>
      <c r="S81" s="757"/>
      <c r="T81" s="771">
        <v>99044.7</v>
      </c>
      <c r="U81" s="747"/>
      <c r="V81" s="757"/>
      <c r="W81" s="771">
        <v>55522</v>
      </c>
      <c r="X81" s="747"/>
      <c r="Y81" s="757"/>
      <c r="Z81" s="771">
        <v>127510</v>
      </c>
      <c r="AA81" s="747"/>
      <c r="AB81" s="757"/>
      <c r="AC81" s="771">
        <v>110039</v>
      </c>
      <c r="AD81" s="747"/>
      <c r="AE81" s="757"/>
      <c r="AF81" s="771">
        <v>52835</v>
      </c>
      <c r="AG81" s="747"/>
      <c r="AH81" s="757"/>
      <c r="AI81" s="771">
        <v>66750.850000000006</v>
      </c>
      <c r="AJ81" s="747"/>
      <c r="AK81" s="757"/>
      <c r="AL81" s="771">
        <v>55120</v>
      </c>
      <c r="AM81" s="747"/>
      <c r="AN81" s="757"/>
      <c r="AO81" s="771">
        <v>54053</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330462.5</v>
      </c>
      <c r="F85" s="747"/>
      <c r="G85" s="757"/>
      <c r="H85" s="771">
        <v>24336</v>
      </c>
      <c r="I85" s="747"/>
      <c r="J85" s="757"/>
      <c r="K85" s="771">
        <v>30949</v>
      </c>
      <c r="L85" s="747"/>
      <c r="M85" s="757"/>
      <c r="N85" s="771">
        <v>34491</v>
      </c>
      <c r="O85" s="747"/>
      <c r="P85" s="757"/>
      <c r="Q85" s="771">
        <v>36038</v>
      </c>
      <c r="R85" s="747"/>
      <c r="S85" s="757"/>
      <c r="T85" s="771">
        <v>32586</v>
      </c>
      <c r="U85" s="747"/>
      <c r="V85" s="757"/>
      <c r="W85" s="771">
        <v>19532.5</v>
      </c>
      <c r="X85" s="747"/>
      <c r="Y85" s="757"/>
      <c r="Z85" s="771">
        <v>35590</v>
      </c>
      <c r="AA85" s="747"/>
      <c r="AB85" s="757"/>
      <c r="AC85" s="771">
        <v>39816</v>
      </c>
      <c r="AD85" s="747"/>
      <c r="AE85" s="757"/>
      <c r="AF85" s="771">
        <v>19467</v>
      </c>
      <c r="AG85" s="747"/>
      <c r="AH85" s="757"/>
      <c r="AI85" s="771">
        <v>24378</v>
      </c>
      <c r="AJ85" s="747"/>
      <c r="AK85" s="757"/>
      <c r="AL85" s="771">
        <v>16782</v>
      </c>
      <c r="AM85" s="747"/>
      <c r="AN85" s="757"/>
      <c r="AO85" s="771">
        <v>16497</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1371670.75</v>
      </c>
      <c r="F86" s="790"/>
      <c r="G86" s="791"/>
      <c r="H86" s="792">
        <v>75926</v>
      </c>
      <c r="I86" s="790"/>
      <c r="J86" s="791"/>
      <c r="K86" s="792">
        <v>122753.85</v>
      </c>
      <c r="L86" s="790"/>
      <c r="M86" s="791"/>
      <c r="N86" s="792">
        <v>118056</v>
      </c>
      <c r="O86" s="790"/>
      <c r="P86" s="791"/>
      <c r="Q86" s="792">
        <v>142811.85</v>
      </c>
      <c r="R86" s="790"/>
      <c r="S86" s="791"/>
      <c r="T86" s="792">
        <v>131630.70000000001</v>
      </c>
      <c r="U86" s="790"/>
      <c r="V86" s="791"/>
      <c r="W86" s="792">
        <v>95054.5</v>
      </c>
      <c r="X86" s="790"/>
      <c r="Y86" s="791"/>
      <c r="Z86" s="792">
        <v>181200</v>
      </c>
      <c r="AA86" s="790"/>
      <c r="AB86" s="791"/>
      <c r="AC86" s="792">
        <v>149855</v>
      </c>
      <c r="AD86" s="790"/>
      <c r="AE86" s="791"/>
      <c r="AF86" s="792">
        <v>88302</v>
      </c>
      <c r="AG86" s="790"/>
      <c r="AH86" s="791"/>
      <c r="AI86" s="792">
        <v>91128.85</v>
      </c>
      <c r="AJ86" s="790"/>
      <c r="AK86" s="791"/>
      <c r="AL86" s="792">
        <v>84402</v>
      </c>
      <c r="AM86" s="790"/>
      <c r="AN86" s="791"/>
      <c r="AO86" s="792">
        <v>90550</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151</v>
      </c>
      <c r="C88" s="796"/>
      <c r="D88" s="797"/>
      <c r="E88" s="798">
        <v>1311706.2799999961</v>
      </c>
      <c r="F88" s="796"/>
      <c r="G88" s="797"/>
      <c r="H88" s="798">
        <v>35491.689999999886</v>
      </c>
      <c r="I88" s="796"/>
      <c r="J88" s="797"/>
      <c r="K88" s="798">
        <v>175383.70999999988</v>
      </c>
      <c r="L88" s="796"/>
      <c r="M88" s="797"/>
      <c r="N88" s="798">
        <v>146682.09999999887</v>
      </c>
      <c r="O88" s="796"/>
      <c r="P88" s="797"/>
      <c r="Q88" s="798">
        <v>173151.0799999999</v>
      </c>
      <c r="R88" s="796"/>
      <c r="S88" s="797"/>
      <c r="T88" s="798">
        <v>133254.35999999993</v>
      </c>
      <c r="U88" s="796"/>
      <c r="V88" s="797"/>
      <c r="W88" s="798">
        <v>46671.049999999799</v>
      </c>
      <c r="X88" s="796"/>
      <c r="Y88" s="797"/>
      <c r="Z88" s="798">
        <v>205257.39999999892</v>
      </c>
      <c r="AA88" s="796"/>
      <c r="AB88" s="797"/>
      <c r="AC88" s="798">
        <v>171219.88999999902</v>
      </c>
      <c r="AD88" s="796"/>
      <c r="AE88" s="797"/>
      <c r="AF88" s="798">
        <v>44777.3299999999</v>
      </c>
      <c r="AG88" s="796"/>
      <c r="AH88" s="797"/>
      <c r="AI88" s="798">
        <v>36817.470000000161</v>
      </c>
      <c r="AJ88" s="796"/>
      <c r="AK88" s="797"/>
      <c r="AL88" s="798">
        <v>70318.89999999982</v>
      </c>
      <c r="AM88" s="796"/>
      <c r="AN88" s="797"/>
      <c r="AO88" s="798">
        <v>72681.300000000061</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3935</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3</v>
      </c>
      <c r="C94" s="969">
        <v>2024</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15217940.239999957</v>
      </c>
      <c r="F96" s="735"/>
      <c r="G96" s="736"/>
      <c r="H96" s="805">
        <v>1261256.23</v>
      </c>
      <c r="I96" s="735"/>
      <c r="J96" s="736"/>
      <c r="K96" s="805">
        <v>1454969.42</v>
      </c>
      <c r="L96" s="735"/>
      <c r="M96" s="736"/>
      <c r="N96" s="805">
        <v>1441390.13</v>
      </c>
      <c r="O96" s="735"/>
      <c r="P96" s="736"/>
      <c r="Q96" s="805">
        <v>1101235.54999999</v>
      </c>
      <c r="R96" s="735"/>
      <c r="S96" s="736"/>
      <c r="T96" s="805">
        <v>1785178.63</v>
      </c>
      <c r="U96" s="735"/>
      <c r="V96" s="736"/>
      <c r="W96" s="805">
        <v>1325634.6399999999</v>
      </c>
      <c r="X96" s="735"/>
      <c r="Y96" s="736"/>
      <c r="Z96" s="805">
        <v>1416483.5799999901</v>
      </c>
      <c r="AA96" s="735"/>
      <c r="AB96" s="736"/>
      <c r="AC96" s="805">
        <v>1094286.6100000001</v>
      </c>
      <c r="AD96" s="735"/>
      <c r="AE96" s="736"/>
      <c r="AF96" s="805">
        <v>1166915.49999999</v>
      </c>
      <c r="AG96" s="735"/>
      <c r="AH96" s="736"/>
      <c r="AI96" s="805">
        <v>1341799.54</v>
      </c>
      <c r="AJ96" s="735"/>
      <c r="AK96" s="736"/>
      <c r="AL96" s="805">
        <v>1025214.04999999</v>
      </c>
      <c r="AM96" s="735"/>
      <c r="AN96" s="736"/>
      <c r="AO96" s="805">
        <v>803576.36</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304</v>
      </c>
      <c r="D97" s="740">
        <v>949.22845394736669</v>
      </c>
      <c r="E97" s="741">
        <v>288565.44999999949</v>
      </c>
      <c r="F97" s="742">
        <v>11</v>
      </c>
      <c r="G97" s="740">
        <v>311.87272727272637</v>
      </c>
      <c r="H97" s="743">
        <v>3430.5999999999899</v>
      </c>
      <c r="I97" s="742">
        <v>25</v>
      </c>
      <c r="J97" s="740">
        <v>127.26040000000359</v>
      </c>
      <c r="K97" s="743">
        <v>3181.5100000000898</v>
      </c>
      <c r="L97" s="742">
        <v>22</v>
      </c>
      <c r="M97" s="740">
        <v>1225.9168181818181</v>
      </c>
      <c r="N97" s="743">
        <v>26970.17</v>
      </c>
      <c r="O97" s="742">
        <v>22</v>
      </c>
      <c r="P97" s="740">
        <v>1680.7486363636317</v>
      </c>
      <c r="Q97" s="743">
        <v>36976.469999999899</v>
      </c>
      <c r="R97" s="742">
        <v>38</v>
      </c>
      <c r="S97" s="740">
        <v>23.055789473685028</v>
      </c>
      <c r="T97" s="743">
        <v>876.12000000003104</v>
      </c>
      <c r="U97" s="742">
        <v>31</v>
      </c>
      <c r="V97" s="740">
        <v>599.35870967741619</v>
      </c>
      <c r="W97" s="743">
        <v>18580.119999999901</v>
      </c>
      <c r="X97" s="742">
        <v>25</v>
      </c>
      <c r="Y97" s="740">
        <v>1627.894399999996</v>
      </c>
      <c r="Z97" s="743">
        <v>40697.359999999899</v>
      </c>
      <c r="AA97" s="742">
        <v>19</v>
      </c>
      <c r="AB97" s="740">
        <v>922.09052631578959</v>
      </c>
      <c r="AC97" s="743">
        <v>17519.72</v>
      </c>
      <c r="AD97" s="742">
        <v>27</v>
      </c>
      <c r="AE97" s="740">
        <v>1293.3581481481442</v>
      </c>
      <c r="AF97" s="743">
        <v>34920.669999999896</v>
      </c>
      <c r="AG97" s="742">
        <v>37</v>
      </c>
      <c r="AH97" s="740">
        <v>1033.9343243243243</v>
      </c>
      <c r="AI97" s="743">
        <v>38255.57</v>
      </c>
      <c r="AJ97" s="742">
        <v>30</v>
      </c>
      <c r="AK97" s="740">
        <v>1597.6809999999966</v>
      </c>
      <c r="AL97" s="743">
        <v>47930.429999999898</v>
      </c>
      <c r="AM97" s="742">
        <v>17</v>
      </c>
      <c r="AN97" s="740">
        <v>1130.9829411764647</v>
      </c>
      <c r="AO97" s="743">
        <v>19226.709999999901</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11</v>
      </c>
      <c r="D98" s="740">
        <v>-2135.6709090909094</v>
      </c>
      <c r="E98" s="741">
        <v>-23492.38</v>
      </c>
      <c r="F98" s="742">
        <v>1</v>
      </c>
      <c r="G98" s="740">
        <v>450</v>
      </c>
      <c r="H98" s="743">
        <v>450</v>
      </c>
      <c r="I98" s="742">
        <v>2</v>
      </c>
      <c r="J98" s="740">
        <v>-4595.2099999999946</v>
      </c>
      <c r="K98" s="743">
        <v>-9190.4199999999892</v>
      </c>
      <c r="L98" s="742">
        <v>0</v>
      </c>
      <c r="M98" s="740">
        <v>0</v>
      </c>
      <c r="N98" s="743">
        <v>0</v>
      </c>
      <c r="O98" s="742">
        <v>1</v>
      </c>
      <c r="P98" s="740">
        <v>1000</v>
      </c>
      <c r="Q98" s="743">
        <v>1000</v>
      </c>
      <c r="R98" s="742">
        <v>2</v>
      </c>
      <c r="S98" s="740">
        <v>-811.44999999999504</v>
      </c>
      <c r="T98" s="743">
        <v>-1622.8999999999901</v>
      </c>
      <c r="U98" s="742">
        <v>2</v>
      </c>
      <c r="V98" s="740">
        <v>1491.0899999999949</v>
      </c>
      <c r="W98" s="743">
        <v>2982.1799999999898</v>
      </c>
      <c r="X98" s="742">
        <v>5</v>
      </c>
      <c r="Y98" s="740">
        <v>1346.9039999999982</v>
      </c>
      <c r="Z98" s="743">
        <v>6734.5199999999904</v>
      </c>
      <c r="AA98" s="742">
        <v>6</v>
      </c>
      <c r="AB98" s="740">
        <v>615.43666666666661</v>
      </c>
      <c r="AC98" s="743">
        <v>3692.62</v>
      </c>
      <c r="AD98" s="742">
        <v>-13</v>
      </c>
      <c r="AE98" s="740">
        <v>1650.3969230769239</v>
      </c>
      <c r="AF98" s="743">
        <v>-21455.160000000011</v>
      </c>
      <c r="AG98" s="742">
        <v>3</v>
      </c>
      <c r="AH98" s="740">
        <v>-1128.6233333333332</v>
      </c>
      <c r="AI98" s="743">
        <v>-3385.87</v>
      </c>
      <c r="AJ98" s="742">
        <v>2</v>
      </c>
      <c r="AK98" s="740">
        <v>-1112.959999999995</v>
      </c>
      <c r="AL98" s="743">
        <v>-2225.9199999999901</v>
      </c>
      <c r="AM98" s="742">
        <v>0</v>
      </c>
      <c r="AN98" s="740">
        <v>0</v>
      </c>
      <c r="AO98" s="743">
        <v>-471.43</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3859</v>
      </c>
      <c r="C99" s="739">
        <v>7</v>
      </c>
      <c r="D99" s="740">
        <v>5686.2242857142837</v>
      </c>
      <c r="E99" s="741">
        <v>39803.569999999985</v>
      </c>
      <c r="F99" s="742">
        <v>0</v>
      </c>
      <c r="G99" s="740">
        <v>0</v>
      </c>
      <c r="H99" s="743">
        <v>0</v>
      </c>
      <c r="I99" s="742">
        <v>0</v>
      </c>
      <c r="J99" s="740">
        <v>0</v>
      </c>
      <c r="K99" s="743">
        <v>0</v>
      </c>
      <c r="L99" s="742">
        <v>0</v>
      </c>
      <c r="M99" s="740">
        <v>0</v>
      </c>
      <c r="N99" s="743">
        <v>0</v>
      </c>
      <c r="O99" s="742">
        <v>0</v>
      </c>
      <c r="P99" s="740">
        <v>0</v>
      </c>
      <c r="Q99" s="743">
        <v>0</v>
      </c>
      <c r="R99" s="742">
        <v>0</v>
      </c>
      <c r="S99" s="740">
        <v>0</v>
      </c>
      <c r="T99" s="743">
        <v>0</v>
      </c>
      <c r="U99" s="742">
        <v>0</v>
      </c>
      <c r="V99" s="740">
        <v>0</v>
      </c>
      <c r="W99" s="743">
        <v>0</v>
      </c>
      <c r="X99" s="742">
        <v>0</v>
      </c>
      <c r="Y99" s="740">
        <v>0</v>
      </c>
      <c r="Z99" s="743">
        <v>0</v>
      </c>
      <c r="AA99" s="742">
        <v>0</v>
      </c>
      <c r="AB99" s="740">
        <v>0</v>
      </c>
      <c r="AC99" s="743">
        <v>0</v>
      </c>
      <c r="AD99" s="742">
        <v>0</v>
      </c>
      <c r="AE99" s="740">
        <v>0</v>
      </c>
      <c r="AF99" s="743">
        <v>24564.57</v>
      </c>
      <c r="AG99" s="742">
        <v>3</v>
      </c>
      <c r="AH99" s="740">
        <v>2230.9333333333334</v>
      </c>
      <c r="AI99" s="743">
        <v>6692.8</v>
      </c>
      <c r="AJ99" s="742">
        <v>3</v>
      </c>
      <c r="AK99" s="740">
        <v>2132.8666666666636</v>
      </c>
      <c r="AL99" s="743">
        <v>6398.5999999999904</v>
      </c>
      <c r="AM99" s="742">
        <v>1</v>
      </c>
      <c r="AN99" s="740">
        <v>2147.6</v>
      </c>
      <c r="AO99" s="743">
        <v>2147.6</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322</v>
      </c>
      <c r="D100" s="745">
        <v>946.82186335403571</v>
      </c>
      <c r="E100" s="746">
        <v>304876.63999999949</v>
      </c>
      <c r="F100" s="744">
        <v>12</v>
      </c>
      <c r="G100" s="745">
        <v>323.38333333333247</v>
      </c>
      <c r="H100" s="746">
        <v>3880.5999999999899</v>
      </c>
      <c r="I100" s="744">
        <v>27</v>
      </c>
      <c r="J100" s="745">
        <v>-222.55222222221852</v>
      </c>
      <c r="K100" s="746">
        <v>-6008.9099999998998</v>
      </c>
      <c r="L100" s="744">
        <v>22</v>
      </c>
      <c r="M100" s="745">
        <v>1225.9168181818181</v>
      </c>
      <c r="N100" s="746">
        <v>26970.17</v>
      </c>
      <c r="O100" s="744">
        <v>23</v>
      </c>
      <c r="P100" s="745">
        <v>1651.150869565213</v>
      </c>
      <c r="Q100" s="746">
        <v>37976.469999999899</v>
      </c>
      <c r="R100" s="744">
        <v>40</v>
      </c>
      <c r="S100" s="745">
        <v>-18.669499999998976</v>
      </c>
      <c r="T100" s="746">
        <v>-746.77999999995905</v>
      </c>
      <c r="U100" s="744">
        <v>33</v>
      </c>
      <c r="V100" s="745">
        <v>653.40303030302698</v>
      </c>
      <c r="W100" s="746">
        <v>21562.29999999989</v>
      </c>
      <c r="X100" s="744">
        <v>30</v>
      </c>
      <c r="Y100" s="745">
        <v>1581.0626666666628</v>
      </c>
      <c r="Z100" s="746">
        <v>47431.879999999888</v>
      </c>
      <c r="AA100" s="744">
        <v>25</v>
      </c>
      <c r="AB100" s="745">
        <v>848.49360000000001</v>
      </c>
      <c r="AC100" s="746">
        <v>21212.34</v>
      </c>
      <c r="AD100" s="744">
        <v>14</v>
      </c>
      <c r="AE100" s="745">
        <v>2716.4342857142774</v>
      </c>
      <c r="AF100" s="746">
        <v>38030.079999999885</v>
      </c>
      <c r="AG100" s="744">
        <v>43</v>
      </c>
      <c r="AH100" s="745">
        <v>966.56976744186045</v>
      </c>
      <c r="AI100" s="746">
        <v>41562.5</v>
      </c>
      <c r="AJ100" s="744">
        <v>35</v>
      </c>
      <c r="AK100" s="745">
        <v>1488.6602857142827</v>
      </c>
      <c r="AL100" s="746">
        <v>52103.109999999899</v>
      </c>
      <c r="AM100" s="744">
        <v>18</v>
      </c>
      <c r="AN100" s="745">
        <v>1161.2711111111055</v>
      </c>
      <c r="AO100" s="746">
        <v>20902.879999999899</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c r="G102" s="757"/>
      <c r="H102" s="748"/>
      <c r="I102" s="747"/>
      <c r="J102" s="757"/>
      <c r="K102" s="748"/>
      <c r="L102" s="747"/>
      <c r="M102" s="757"/>
      <c r="N102" s="748"/>
      <c r="O102" s="747"/>
      <c r="P102" s="757"/>
      <c r="Q102" s="748"/>
      <c r="R102" s="747"/>
      <c r="S102" s="757"/>
      <c r="T102" s="748"/>
      <c r="U102" s="747"/>
      <c r="V102" s="757"/>
      <c r="W102" s="748"/>
      <c r="X102" s="747"/>
      <c r="Y102" s="757"/>
      <c r="Z102" s="748"/>
      <c r="AA102" s="747"/>
      <c r="AB102" s="757"/>
      <c r="AC102" s="748"/>
      <c r="AD102" s="747"/>
      <c r="AE102" s="757"/>
      <c r="AF102" s="748"/>
      <c r="AG102" s="747"/>
      <c r="AH102" s="757"/>
      <c r="AI102" s="748"/>
      <c r="AJ102" s="747"/>
      <c r="AK102" s="757"/>
      <c r="AL102" s="748"/>
      <c r="AM102" s="747"/>
      <c r="AN102" s="757"/>
      <c r="AO102" s="748"/>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394</v>
      </c>
      <c r="D103" s="740">
        <v>-49.915126903553222</v>
      </c>
      <c r="E103" s="741">
        <v>-19666.559999999969</v>
      </c>
      <c r="F103" s="742">
        <v>40</v>
      </c>
      <c r="G103" s="740">
        <v>5.7499999995343247E-3</v>
      </c>
      <c r="H103" s="743">
        <v>0.22999999998137299</v>
      </c>
      <c r="I103" s="742">
        <v>37</v>
      </c>
      <c r="J103" s="740">
        <v>-55.195405405404863</v>
      </c>
      <c r="K103" s="743">
        <v>-2042.22999999998</v>
      </c>
      <c r="L103" s="742">
        <v>35</v>
      </c>
      <c r="M103" s="740">
        <v>494.95057142857144</v>
      </c>
      <c r="N103" s="743">
        <v>17323.27</v>
      </c>
      <c r="O103" s="742">
        <v>31</v>
      </c>
      <c r="P103" s="740">
        <v>-367.32290322580644</v>
      </c>
      <c r="Q103" s="743">
        <v>-11387.01</v>
      </c>
      <c r="R103" s="742">
        <v>47</v>
      </c>
      <c r="S103" s="740">
        <v>-663.50468085106388</v>
      </c>
      <c r="T103" s="743">
        <v>-31184.720000000001</v>
      </c>
      <c r="U103" s="742">
        <v>29</v>
      </c>
      <c r="V103" s="740">
        <v>144.9951724137924</v>
      </c>
      <c r="W103" s="743">
        <v>4204.8599999999797</v>
      </c>
      <c r="X103" s="742">
        <v>37</v>
      </c>
      <c r="Y103" s="740">
        <v>-125.19594594594595</v>
      </c>
      <c r="Z103" s="743">
        <v>-4632.25</v>
      </c>
      <c r="AA103" s="742">
        <v>42</v>
      </c>
      <c r="AB103" s="740">
        <v>10.700238095238857</v>
      </c>
      <c r="AC103" s="743">
        <v>449.41000000003203</v>
      </c>
      <c r="AD103" s="742">
        <v>32</v>
      </c>
      <c r="AE103" s="740">
        <v>218.91062500000032</v>
      </c>
      <c r="AF103" s="743">
        <v>7005.1400000000103</v>
      </c>
      <c r="AG103" s="742">
        <v>23</v>
      </c>
      <c r="AH103" s="740">
        <v>251.70434782608737</v>
      </c>
      <c r="AI103" s="743">
        <v>5789.2000000000098</v>
      </c>
      <c r="AJ103" s="742">
        <v>19</v>
      </c>
      <c r="AK103" s="740">
        <v>279.54947368421051</v>
      </c>
      <c r="AL103" s="743">
        <v>5311.44</v>
      </c>
      <c r="AM103" s="742">
        <v>22</v>
      </c>
      <c r="AN103" s="740">
        <v>-477.45</v>
      </c>
      <c r="AO103" s="743">
        <v>-10503.9</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267.29987577639753</v>
      </c>
      <c r="E105" s="741">
        <v>86070.56</v>
      </c>
      <c r="F105" s="742"/>
      <c r="G105" s="740">
        <v>-316.30833333333334</v>
      </c>
      <c r="H105" s="743">
        <v>-3795.7</v>
      </c>
      <c r="I105" s="742"/>
      <c r="J105" s="740">
        <v>126.87666666666667</v>
      </c>
      <c r="K105" s="743">
        <v>3425.67</v>
      </c>
      <c r="L105" s="742"/>
      <c r="M105" s="740">
        <v>304.22363636363639</v>
      </c>
      <c r="N105" s="743">
        <v>6692.92</v>
      </c>
      <c r="O105" s="742"/>
      <c r="P105" s="740">
        <v>360.09913043478264</v>
      </c>
      <c r="Q105" s="743">
        <v>8282.2800000000007</v>
      </c>
      <c r="R105" s="742"/>
      <c r="S105" s="740">
        <v>264.23649999999998</v>
      </c>
      <c r="T105" s="743">
        <v>10569.46</v>
      </c>
      <c r="U105" s="742"/>
      <c r="V105" s="740">
        <v>273.09787878787876</v>
      </c>
      <c r="W105" s="743">
        <v>9012.23</v>
      </c>
      <c r="X105" s="742"/>
      <c r="Y105" s="740">
        <v>275.55500000000001</v>
      </c>
      <c r="Z105" s="743">
        <v>8266.65</v>
      </c>
      <c r="AA105" s="742"/>
      <c r="AB105" s="740">
        <v>109.0996</v>
      </c>
      <c r="AC105" s="743">
        <v>2727.49</v>
      </c>
      <c r="AD105" s="742"/>
      <c r="AE105" s="740">
        <v>845.18214285714282</v>
      </c>
      <c r="AF105" s="743">
        <v>11832.55</v>
      </c>
      <c r="AG105" s="742"/>
      <c r="AH105" s="740">
        <v>354.06837209302324</v>
      </c>
      <c r="AI105" s="743">
        <v>15224.94</v>
      </c>
      <c r="AJ105" s="742"/>
      <c r="AK105" s="740">
        <v>283.59714285714284</v>
      </c>
      <c r="AL105" s="743">
        <v>9925.9</v>
      </c>
      <c r="AM105" s="742"/>
      <c r="AN105" s="740">
        <v>217.00944444444445</v>
      </c>
      <c r="AO105" s="743">
        <v>3906.17</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1438.4532608695647</v>
      </c>
      <c r="E106" s="741">
        <v>463181.94999999984</v>
      </c>
      <c r="F106" s="742"/>
      <c r="G106" s="740">
        <v>1480.4991666666583</v>
      </c>
      <c r="H106" s="743">
        <v>17765.9899999999</v>
      </c>
      <c r="I106" s="742"/>
      <c r="J106" s="740">
        <v>636.58629629629638</v>
      </c>
      <c r="K106" s="743">
        <v>17187.830000000002</v>
      </c>
      <c r="L106" s="742"/>
      <c r="M106" s="740">
        <v>1189.284090909091</v>
      </c>
      <c r="N106" s="743">
        <v>26164.25</v>
      </c>
      <c r="O106" s="742"/>
      <c r="P106" s="740">
        <v>1173.4047826086912</v>
      </c>
      <c r="Q106" s="743">
        <v>26988.309999999899</v>
      </c>
      <c r="R106" s="742"/>
      <c r="S106" s="740">
        <v>1738.2057499999999</v>
      </c>
      <c r="T106" s="743">
        <v>69528.23</v>
      </c>
      <c r="U106" s="742"/>
      <c r="V106" s="740">
        <v>1518.8015151515151</v>
      </c>
      <c r="W106" s="743">
        <v>50120.45</v>
      </c>
      <c r="X106" s="742"/>
      <c r="Y106" s="740">
        <v>1564.6716666666666</v>
      </c>
      <c r="Z106" s="743">
        <v>46940.15</v>
      </c>
      <c r="AA106" s="742"/>
      <c r="AB106" s="740">
        <v>1018.2744</v>
      </c>
      <c r="AC106" s="743">
        <v>25456.86</v>
      </c>
      <c r="AD106" s="742"/>
      <c r="AE106" s="740">
        <v>3171.2949999999996</v>
      </c>
      <c r="AF106" s="743">
        <v>44398.13</v>
      </c>
      <c r="AG106" s="742"/>
      <c r="AH106" s="740">
        <v>1561.193953488372</v>
      </c>
      <c r="AI106" s="743">
        <v>67131.34</v>
      </c>
      <c r="AJ106" s="742"/>
      <c r="AK106" s="740">
        <v>1232.4862857142857</v>
      </c>
      <c r="AL106" s="743">
        <v>43137.02</v>
      </c>
      <c r="AM106" s="742"/>
      <c r="AN106" s="740">
        <v>1575.7438888888889</v>
      </c>
      <c r="AO106" s="743">
        <v>28363.39</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30.501180124223598</v>
      </c>
      <c r="E107" s="741">
        <v>9821.3799999999992</v>
      </c>
      <c r="F107" s="742">
        <v>0</v>
      </c>
      <c r="G107" s="807">
        <v>45.385833333333331</v>
      </c>
      <c r="H107" s="743">
        <v>544.63</v>
      </c>
      <c r="I107" s="742">
        <v>0</v>
      </c>
      <c r="J107" s="807">
        <v>0</v>
      </c>
      <c r="K107" s="743">
        <v>0</v>
      </c>
      <c r="L107" s="742">
        <v>0</v>
      </c>
      <c r="M107" s="807">
        <v>0</v>
      </c>
      <c r="N107" s="743">
        <v>0</v>
      </c>
      <c r="O107" s="742">
        <v>0</v>
      </c>
      <c r="P107" s="807">
        <v>28.495217391304347</v>
      </c>
      <c r="Q107" s="743">
        <v>655.39</v>
      </c>
      <c r="R107" s="742">
        <v>0</v>
      </c>
      <c r="S107" s="807">
        <v>32.940249999999999</v>
      </c>
      <c r="T107" s="743">
        <v>1317.61</v>
      </c>
      <c r="U107" s="742">
        <v>0</v>
      </c>
      <c r="V107" s="807">
        <v>0</v>
      </c>
      <c r="W107" s="743">
        <v>0</v>
      </c>
      <c r="X107" s="742">
        <v>0</v>
      </c>
      <c r="Y107" s="807">
        <v>67.894666666666666</v>
      </c>
      <c r="Z107" s="743">
        <v>2036.84</v>
      </c>
      <c r="AA107" s="742">
        <v>0</v>
      </c>
      <c r="AB107" s="807">
        <v>63.497600000000006</v>
      </c>
      <c r="AC107" s="743">
        <v>1587.44</v>
      </c>
      <c r="AD107" s="742">
        <v>0</v>
      </c>
      <c r="AE107" s="807">
        <v>140.98499999999999</v>
      </c>
      <c r="AF107" s="743">
        <v>1973.79</v>
      </c>
      <c r="AG107" s="742">
        <v>3</v>
      </c>
      <c r="AH107" s="807">
        <v>26.634651162790696</v>
      </c>
      <c r="AI107" s="743">
        <v>1145.29</v>
      </c>
      <c r="AJ107" s="742">
        <v>3</v>
      </c>
      <c r="AK107" s="807">
        <v>16.011142857142858</v>
      </c>
      <c r="AL107" s="743">
        <v>560.39</v>
      </c>
      <c r="AM107" s="742">
        <v>1</v>
      </c>
      <c r="AN107" s="807">
        <v>0</v>
      </c>
      <c r="AO107" s="743">
        <v>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322</v>
      </c>
      <c r="D108" s="745">
        <v>1736.2543167701856</v>
      </c>
      <c r="E108" s="746">
        <v>559073.88999999978</v>
      </c>
      <c r="F108" s="744">
        <v>12</v>
      </c>
      <c r="G108" s="745">
        <v>1209.5766666666582</v>
      </c>
      <c r="H108" s="746">
        <v>14514.919999999898</v>
      </c>
      <c r="I108" s="744">
        <v>27</v>
      </c>
      <c r="J108" s="745">
        <v>763.46296296296293</v>
      </c>
      <c r="K108" s="746">
        <v>20613.5</v>
      </c>
      <c r="L108" s="744">
        <v>22</v>
      </c>
      <c r="M108" s="745">
        <v>1493.5077272727272</v>
      </c>
      <c r="N108" s="746">
        <v>32857.17</v>
      </c>
      <c r="O108" s="744">
        <v>23</v>
      </c>
      <c r="P108" s="745">
        <v>1561.9991304347784</v>
      </c>
      <c r="Q108" s="746">
        <v>35925.979999999901</v>
      </c>
      <c r="R108" s="744">
        <v>40</v>
      </c>
      <c r="S108" s="745">
        <v>2035.3825000000002</v>
      </c>
      <c r="T108" s="746">
        <v>81415.3</v>
      </c>
      <c r="U108" s="744">
        <v>33</v>
      </c>
      <c r="V108" s="745">
        <v>1791.8993939393938</v>
      </c>
      <c r="W108" s="746">
        <v>59132.679999999993</v>
      </c>
      <c r="X108" s="744">
        <v>30</v>
      </c>
      <c r="Y108" s="745">
        <v>1908.1213333333333</v>
      </c>
      <c r="Z108" s="746">
        <v>57243.64</v>
      </c>
      <c r="AA108" s="744">
        <v>25</v>
      </c>
      <c r="AB108" s="745">
        <v>1190.8715999999999</v>
      </c>
      <c r="AC108" s="746">
        <v>29771.789999999997</v>
      </c>
      <c r="AD108" s="744">
        <v>14</v>
      </c>
      <c r="AE108" s="745">
        <v>4157.4621428571427</v>
      </c>
      <c r="AF108" s="746">
        <v>58204.469999999994</v>
      </c>
      <c r="AG108" s="744">
        <v>43</v>
      </c>
      <c r="AH108" s="745">
        <v>1941.8969767441858</v>
      </c>
      <c r="AI108" s="746">
        <v>83501.569999999992</v>
      </c>
      <c r="AJ108" s="744">
        <v>35</v>
      </c>
      <c r="AK108" s="745">
        <v>1532.0945714285713</v>
      </c>
      <c r="AL108" s="746">
        <v>53623.31</v>
      </c>
      <c r="AM108" s="744">
        <v>18</v>
      </c>
      <c r="AN108" s="745">
        <v>1792.7533333333331</v>
      </c>
      <c r="AO108" s="746">
        <v>32269.559999999998</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thickBo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Top="1">
      <c r="A111" s="39" t="str">
        <f t="shared" si="1"/>
        <v>Véhicules usagésTotal Dépt. Usagés</v>
      </c>
      <c r="B111" s="49" t="s">
        <v>157</v>
      </c>
      <c r="C111" s="759">
        <v>716</v>
      </c>
      <c r="D111" s="760">
        <v>1179.167555865921</v>
      </c>
      <c r="E111" s="761">
        <v>844283.96999999939</v>
      </c>
      <c r="F111" s="759">
        <v>52</v>
      </c>
      <c r="G111" s="760">
        <v>353.76442307692054</v>
      </c>
      <c r="H111" s="761">
        <v>18395.749999999869</v>
      </c>
      <c r="I111" s="759">
        <v>64</v>
      </c>
      <c r="J111" s="760">
        <v>196.28687500000188</v>
      </c>
      <c r="K111" s="761">
        <v>12562.360000000121</v>
      </c>
      <c r="L111" s="759">
        <v>57</v>
      </c>
      <c r="M111" s="760">
        <v>1353.5194736842104</v>
      </c>
      <c r="N111" s="761">
        <v>77150.61</v>
      </c>
      <c r="O111" s="759">
        <v>54</v>
      </c>
      <c r="P111" s="760">
        <v>1157.6933333333297</v>
      </c>
      <c r="Q111" s="761">
        <v>62515.439999999806</v>
      </c>
      <c r="R111" s="759">
        <v>87</v>
      </c>
      <c r="S111" s="760">
        <v>568.7793103448281</v>
      </c>
      <c r="T111" s="761">
        <v>49483.800000000047</v>
      </c>
      <c r="U111" s="759">
        <v>62</v>
      </c>
      <c r="V111" s="760">
        <v>1369.352258064514</v>
      </c>
      <c r="W111" s="761">
        <v>84899.839999999866</v>
      </c>
      <c r="X111" s="759">
        <v>67</v>
      </c>
      <c r="Y111" s="760">
        <v>1493.1831343283566</v>
      </c>
      <c r="Z111" s="761">
        <v>100043.26999999989</v>
      </c>
      <c r="AA111" s="759">
        <v>67</v>
      </c>
      <c r="AB111" s="760">
        <v>767.66477611940343</v>
      </c>
      <c r="AC111" s="761">
        <v>51433.54000000003</v>
      </c>
      <c r="AD111" s="759">
        <v>46</v>
      </c>
      <c r="AE111" s="760">
        <v>2244.3410869565191</v>
      </c>
      <c r="AF111" s="761">
        <v>103239.68999999989</v>
      </c>
      <c r="AG111" s="759">
        <v>66</v>
      </c>
      <c r="AH111" s="760">
        <v>1982.625303030303</v>
      </c>
      <c r="AI111" s="761">
        <v>130853.27</v>
      </c>
      <c r="AJ111" s="759">
        <v>54</v>
      </c>
      <c r="AK111" s="760">
        <v>2056.2566666666648</v>
      </c>
      <c r="AL111" s="761">
        <v>111037.8599999999</v>
      </c>
      <c r="AM111" s="759">
        <v>40</v>
      </c>
      <c r="AN111" s="760">
        <v>1066.7134999999976</v>
      </c>
      <c r="AO111" s="761">
        <v>42668.539999999899</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Bo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thickTop="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0.65579458629562548</v>
      </c>
      <c r="D115" s="770">
        <v>634.71888888888896</v>
      </c>
      <c r="E115" s="758">
        <v>199936.45</v>
      </c>
      <c r="F115" s="769">
        <v>0.49508436836028374</v>
      </c>
      <c r="G115" s="770">
        <v>0</v>
      </c>
      <c r="H115" s="771">
        <v>7186.11</v>
      </c>
      <c r="I115" s="769">
        <v>0.60701627574162564</v>
      </c>
      <c r="J115" s="770">
        <v>0</v>
      </c>
      <c r="K115" s="771">
        <v>12512.73</v>
      </c>
      <c r="L115" s="769">
        <v>0.46562196318185656</v>
      </c>
      <c r="M115" s="770">
        <v>0</v>
      </c>
      <c r="N115" s="771">
        <v>15299.02</v>
      </c>
      <c r="O115" s="769">
        <v>0.35793233754514242</v>
      </c>
      <c r="P115" s="770">
        <v>0</v>
      </c>
      <c r="Q115" s="771">
        <v>12859.07</v>
      </c>
      <c r="R115" s="769">
        <v>0.26825228181926491</v>
      </c>
      <c r="S115" s="770">
        <v>0</v>
      </c>
      <c r="T115" s="771">
        <v>21839.84</v>
      </c>
      <c r="U115" s="769">
        <v>0.29120547216868914</v>
      </c>
      <c r="V115" s="770">
        <v>0</v>
      </c>
      <c r="W115" s="771">
        <v>17219.759999999998</v>
      </c>
      <c r="X115" s="769">
        <v>0.26273905712494872</v>
      </c>
      <c r="Y115" s="770">
        <v>0</v>
      </c>
      <c r="Z115" s="771">
        <v>15040.14</v>
      </c>
      <c r="AA115" s="769">
        <v>0.47119571916905234</v>
      </c>
      <c r="AB115" s="770">
        <v>0</v>
      </c>
      <c r="AC115" s="771">
        <v>14028.34</v>
      </c>
      <c r="AD115" s="769">
        <v>0.32499050330670487</v>
      </c>
      <c r="AE115" s="770">
        <v>0</v>
      </c>
      <c r="AF115" s="771">
        <v>18915.900000000001</v>
      </c>
      <c r="AG115" s="769">
        <v>0.30544862809166345</v>
      </c>
      <c r="AH115" s="770">
        <v>637.63599999999997</v>
      </c>
      <c r="AI115" s="771">
        <v>25505.439999999999</v>
      </c>
      <c r="AJ115" s="769">
        <v>0.48050222934764752</v>
      </c>
      <c r="AK115" s="770">
        <v>805.19124999999997</v>
      </c>
      <c r="AL115" s="771">
        <v>25766.12</v>
      </c>
      <c r="AM115" s="769">
        <v>0.42653138127696816</v>
      </c>
      <c r="AN115" s="770">
        <v>809.64588235294116</v>
      </c>
      <c r="AO115" s="771">
        <v>13763.98</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0.29558794097860674</v>
      </c>
      <c r="D116" s="773">
        <v>524.62063492063487</v>
      </c>
      <c r="E116" s="774">
        <v>165255.5</v>
      </c>
      <c r="F116" s="772"/>
      <c r="G116" s="773">
        <v>0</v>
      </c>
      <c r="H116" s="775">
        <v>4354.24</v>
      </c>
      <c r="I116" s="772"/>
      <c r="J116" s="773">
        <v>0</v>
      </c>
      <c r="K116" s="775">
        <v>7384.61</v>
      </c>
      <c r="L116" s="772"/>
      <c r="M116" s="773">
        <v>0</v>
      </c>
      <c r="N116" s="775">
        <v>9856.4500000000007</v>
      </c>
      <c r="O116" s="772"/>
      <c r="P116" s="773">
        <v>0</v>
      </c>
      <c r="Q116" s="775">
        <v>10777.44</v>
      </c>
      <c r="R116" s="772"/>
      <c r="S116" s="773">
        <v>0</v>
      </c>
      <c r="T116" s="775">
        <v>24424.86</v>
      </c>
      <c r="U116" s="772"/>
      <c r="V116" s="773">
        <v>0</v>
      </c>
      <c r="W116" s="775">
        <v>17739.740000000002</v>
      </c>
      <c r="X116" s="772"/>
      <c r="Y116" s="773">
        <v>0</v>
      </c>
      <c r="Z116" s="775">
        <v>17173.36</v>
      </c>
      <c r="AA116" s="772"/>
      <c r="AB116" s="773">
        <v>0</v>
      </c>
      <c r="AC116" s="775">
        <v>8038.1</v>
      </c>
      <c r="AD116" s="772"/>
      <c r="AE116" s="773">
        <v>0</v>
      </c>
      <c r="AF116" s="775">
        <v>16297.29</v>
      </c>
      <c r="AG116" s="772"/>
      <c r="AH116" s="773">
        <v>626.25874999999996</v>
      </c>
      <c r="AI116" s="775">
        <v>25050.35</v>
      </c>
      <c r="AJ116" s="772"/>
      <c r="AK116" s="773">
        <v>452.44687499999998</v>
      </c>
      <c r="AL116" s="775">
        <v>14478.3</v>
      </c>
      <c r="AM116" s="772"/>
      <c r="AN116" s="773">
        <v>569.45647058823533</v>
      </c>
      <c r="AO116" s="775">
        <v>9680.76</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8.1553333333333349</v>
      </c>
      <c r="E117" s="758">
        <v>2568.9300000000003</v>
      </c>
      <c r="F117" s="747"/>
      <c r="G117" s="770">
        <v>0</v>
      </c>
      <c r="H117" s="771">
        <v>1519.72</v>
      </c>
      <c r="I117" s="747"/>
      <c r="J117" s="770">
        <v>0</v>
      </c>
      <c r="K117" s="771">
        <v>613.33000000000004</v>
      </c>
      <c r="L117" s="747"/>
      <c r="M117" s="770">
        <v>0</v>
      </c>
      <c r="N117" s="771">
        <v>-2228.54</v>
      </c>
      <c r="O117" s="747"/>
      <c r="P117" s="770">
        <v>0</v>
      </c>
      <c r="Q117" s="771">
        <v>1892.94</v>
      </c>
      <c r="R117" s="747"/>
      <c r="S117" s="770">
        <v>0</v>
      </c>
      <c r="T117" s="771">
        <v>2739.55</v>
      </c>
      <c r="U117" s="747"/>
      <c r="V117" s="770">
        <v>0</v>
      </c>
      <c r="W117" s="771">
        <v>-623.27</v>
      </c>
      <c r="X117" s="747"/>
      <c r="Y117" s="770">
        <v>0</v>
      </c>
      <c r="Z117" s="771">
        <v>-1287.99</v>
      </c>
      <c r="AA117" s="747"/>
      <c r="AB117" s="770">
        <v>0</v>
      </c>
      <c r="AC117" s="771">
        <v>-15.31</v>
      </c>
      <c r="AD117" s="747"/>
      <c r="AE117" s="770">
        <v>0</v>
      </c>
      <c r="AF117" s="771">
        <v>1797.65</v>
      </c>
      <c r="AG117" s="747"/>
      <c r="AH117" s="770">
        <v>-50.030999999999999</v>
      </c>
      <c r="AI117" s="771">
        <v>-2001.24</v>
      </c>
      <c r="AJ117" s="747"/>
      <c r="AK117" s="770">
        <v>-40.971562499999997</v>
      </c>
      <c r="AL117" s="771">
        <v>-1311.09</v>
      </c>
      <c r="AM117" s="747"/>
      <c r="AN117" s="770">
        <v>86.657647058823528</v>
      </c>
      <c r="AO117" s="771">
        <v>1473.18</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59.857587301587309</v>
      </c>
      <c r="E118" s="758">
        <v>18855.140000000003</v>
      </c>
      <c r="F118" s="747"/>
      <c r="G118" s="770">
        <v>0</v>
      </c>
      <c r="H118" s="771">
        <v>38</v>
      </c>
      <c r="I118" s="747"/>
      <c r="J118" s="770">
        <v>0</v>
      </c>
      <c r="K118" s="771">
        <v>1400.79</v>
      </c>
      <c r="L118" s="747"/>
      <c r="M118" s="770">
        <v>0</v>
      </c>
      <c r="N118" s="771">
        <v>1117.03</v>
      </c>
      <c r="O118" s="747"/>
      <c r="P118" s="770">
        <v>0</v>
      </c>
      <c r="Q118" s="771">
        <v>2887.8</v>
      </c>
      <c r="R118" s="747"/>
      <c r="S118" s="770">
        <v>0</v>
      </c>
      <c r="T118" s="771">
        <v>-389.85</v>
      </c>
      <c r="U118" s="747"/>
      <c r="V118" s="770">
        <v>0</v>
      </c>
      <c r="W118" s="771">
        <v>2268.5700000000002</v>
      </c>
      <c r="X118" s="747"/>
      <c r="Y118" s="770">
        <v>0</v>
      </c>
      <c r="Z118" s="771">
        <v>2653.11</v>
      </c>
      <c r="AA118" s="747"/>
      <c r="AB118" s="770">
        <v>0</v>
      </c>
      <c r="AC118" s="771">
        <v>2272.79</v>
      </c>
      <c r="AD118" s="747"/>
      <c r="AE118" s="770">
        <v>0</v>
      </c>
      <c r="AF118" s="771">
        <v>3035.17</v>
      </c>
      <c r="AG118" s="747"/>
      <c r="AH118" s="770">
        <v>58.542250000000003</v>
      </c>
      <c r="AI118" s="771">
        <v>2341.69</v>
      </c>
      <c r="AJ118" s="747"/>
      <c r="AK118" s="770">
        <v>90.801249999999996</v>
      </c>
      <c r="AL118" s="771">
        <v>2905.64</v>
      </c>
      <c r="AM118" s="747"/>
      <c r="AN118" s="770">
        <v>-98.564705882352939</v>
      </c>
      <c r="AO118" s="771">
        <v>-1675.6</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173.05390476190476</v>
      </c>
      <c r="E119" s="774">
        <v>54511.979999999996</v>
      </c>
      <c r="F119" s="776"/>
      <c r="G119" s="773">
        <v>0</v>
      </c>
      <c r="H119" s="775">
        <v>3177.35</v>
      </c>
      <c r="I119" s="776"/>
      <c r="J119" s="773">
        <v>0</v>
      </c>
      <c r="K119" s="775">
        <v>3492.9</v>
      </c>
      <c r="L119" s="776"/>
      <c r="M119" s="773">
        <v>0</v>
      </c>
      <c r="N119" s="775">
        <v>4489.08</v>
      </c>
      <c r="O119" s="776"/>
      <c r="P119" s="773">
        <v>0</v>
      </c>
      <c r="Q119" s="775">
        <v>4108.42</v>
      </c>
      <c r="R119" s="776"/>
      <c r="S119" s="773">
        <v>0</v>
      </c>
      <c r="T119" s="775">
        <v>5020.07</v>
      </c>
      <c r="U119" s="776"/>
      <c r="V119" s="773">
        <v>0</v>
      </c>
      <c r="W119" s="775">
        <v>4851.47</v>
      </c>
      <c r="X119" s="776"/>
      <c r="Y119" s="773">
        <v>0</v>
      </c>
      <c r="Z119" s="775">
        <v>4778.57</v>
      </c>
      <c r="AA119" s="776"/>
      <c r="AB119" s="773">
        <v>0</v>
      </c>
      <c r="AC119" s="775">
        <v>4665.32</v>
      </c>
      <c r="AD119" s="776"/>
      <c r="AE119" s="773">
        <v>0</v>
      </c>
      <c r="AF119" s="775">
        <v>5256.57</v>
      </c>
      <c r="AG119" s="776"/>
      <c r="AH119" s="773">
        <v>146.48475000000002</v>
      </c>
      <c r="AI119" s="775">
        <v>5859.39</v>
      </c>
      <c r="AJ119" s="776"/>
      <c r="AK119" s="773">
        <v>157.16593750000001</v>
      </c>
      <c r="AL119" s="775">
        <v>5029.3100000000004</v>
      </c>
      <c r="AM119" s="776"/>
      <c r="AN119" s="773">
        <v>222.56058823529412</v>
      </c>
      <c r="AO119" s="775">
        <v>3783.53</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457.91799999999967</v>
      </c>
      <c r="E120" s="758">
        <v>144244.1699999999</v>
      </c>
      <c r="F120" s="747"/>
      <c r="G120" s="770">
        <v>0</v>
      </c>
      <c r="H120" s="771">
        <v>11560.44</v>
      </c>
      <c r="I120" s="747"/>
      <c r="J120" s="770">
        <v>0</v>
      </c>
      <c r="K120" s="771">
        <v>12871.78</v>
      </c>
      <c r="L120" s="747"/>
      <c r="M120" s="770">
        <v>0</v>
      </c>
      <c r="N120" s="771">
        <v>12312.14</v>
      </c>
      <c r="O120" s="747"/>
      <c r="P120" s="770">
        <v>0</v>
      </c>
      <c r="Q120" s="771">
        <v>11494.23</v>
      </c>
      <c r="R120" s="747"/>
      <c r="S120" s="770">
        <v>0</v>
      </c>
      <c r="T120" s="771">
        <v>10158.41</v>
      </c>
      <c r="U120" s="747"/>
      <c r="V120" s="770">
        <v>0</v>
      </c>
      <c r="W120" s="771">
        <v>10839.77</v>
      </c>
      <c r="X120" s="747"/>
      <c r="Y120" s="770">
        <v>0</v>
      </c>
      <c r="Z120" s="771">
        <v>12539.65</v>
      </c>
      <c r="AA120" s="747"/>
      <c r="AB120" s="770">
        <v>0</v>
      </c>
      <c r="AC120" s="771">
        <v>10623.51</v>
      </c>
      <c r="AD120" s="747"/>
      <c r="AE120" s="770">
        <v>0</v>
      </c>
      <c r="AF120" s="771">
        <v>13942.8499999999</v>
      </c>
      <c r="AG120" s="747"/>
      <c r="AH120" s="770">
        <v>325.66075000000001</v>
      </c>
      <c r="AI120" s="771">
        <v>13026.43</v>
      </c>
      <c r="AJ120" s="747"/>
      <c r="AK120" s="770">
        <v>338.94093750000002</v>
      </c>
      <c r="AL120" s="771">
        <v>10846.11</v>
      </c>
      <c r="AM120" s="747"/>
      <c r="AN120" s="770">
        <v>825.22647058823532</v>
      </c>
      <c r="AO120" s="771">
        <v>14028.85</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187.92057142857144</v>
      </c>
      <c r="E121" s="758">
        <v>59194.98</v>
      </c>
      <c r="F121" s="747"/>
      <c r="G121" s="770">
        <v>0</v>
      </c>
      <c r="H121" s="771">
        <v>6519.7</v>
      </c>
      <c r="I121" s="747"/>
      <c r="J121" s="770">
        <v>0</v>
      </c>
      <c r="K121" s="771">
        <v>8259.52</v>
      </c>
      <c r="L121" s="747"/>
      <c r="M121" s="770">
        <v>0</v>
      </c>
      <c r="N121" s="771">
        <v>8077.79</v>
      </c>
      <c r="O121" s="747"/>
      <c r="P121" s="770">
        <v>0</v>
      </c>
      <c r="Q121" s="771">
        <v>8719.49</v>
      </c>
      <c r="R121" s="747"/>
      <c r="S121" s="770">
        <v>0</v>
      </c>
      <c r="T121" s="771">
        <v>4128.1499999999996</v>
      </c>
      <c r="U121" s="747"/>
      <c r="V121" s="770">
        <v>0</v>
      </c>
      <c r="W121" s="771">
        <v>7155.41</v>
      </c>
      <c r="X121" s="747"/>
      <c r="Y121" s="770">
        <v>0</v>
      </c>
      <c r="Z121" s="771">
        <v>3775.53</v>
      </c>
      <c r="AA121" s="747"/>
      <c r="AB121" s="770">
        <v>0</v>
      </c>
      <c r="AC121" s="771">
        <v>1951.41</v>
      </c>
      <c r="AD121" s="747"/>
      <c r="AE121" s="770">
        <v>0</v>
      </c>
      <c r="AF121" s="771">
        <v>2583.41</v>
      </c>
      <c r="AG121" s="747"/>
      <c r="AH121" s="770">
        <v>80.372500000000002</v>
      </c>
      <c r="AI121" s="771">
        <v>3214.9</v>
      </c>
      <c r="AJ121" s="747"/>
      <c r="AK121" s="770">
        <v>71.833749999999995</v>
      </c>
      <c r="AL121" s="771">
        <v>2298.6799999999998</v>
      </c>
      <c r="AM121" s="747"/>
      <c r="AN121" s="770">
        <v>147.70529411764704</v>
      </c>
      <c r="AO121" s="771">
        <v>2510.9899999999998</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v>0</v>
      </c>
      <c r="I122" s="812"/>
      <c r="J122" s="770">
        <v>0</v>
      </c>
      <c r="K122" s="758">
        <v>0</v>
      </c>
      <c r="L122" s="812"/>
      <c r="M122" s="770">
        <v>0</v>
      </c>
      <c r="N122" s="758">
        <v>0</v>
      </c>
      <c r="O122" s="812"/>
      <c r="P122" s="770">
        <v>0</v>
      </c>
      <c r="Q122" s="758">
        <v>0</v>
      </c>
      <c r="R122" s="812"/>
      <c r="S122" s="770">
        <v>0</v>
      </c>
      <c r="T122" s="758">
        <v>0</v>
      </c>
      <c r="U122" s="812"/>
      <c r="V122" s="770">
        <v>0</v>
      </c>
      <c r="W122" s="758">
        <v>0</v>
      </c>
      <c r="X122" s="812"/>
      <c r="Y122" s="770">
        <v>0</v>
      </c>
      <c r="Z122" s="758">
        <v>0</v>
      </c>
      <c r="AA122" s="812"/>
      <c r="AB122" s="770">
        <v>0</v>
      </c>
      <c r="AC122" s="758">
        <v>0</v>
      </c>
      <c r="AD122" s="812"/>
      <c r="AE122" s="770">
        <v>0</v>
      </c>
      <c r="AF122" s="758">
        <v>0</v>
      </c>
      <c r="AG122" s="812"/>
      <c r="AH122" s="770">
        <v>0</v>
      </c>
      <c r="AI122" s="758">
        <v>0</v>
      </c>
      <c r="AJ122" s="812"/>
      <c r="AK122" s="770">
        <v>0</v>
      </c>
      <c r="AL122" s="758">
        <v>0</v>
      </c>
      <c r="AM122" s="812"/>
      <c r="AN122" s="770">
        <v>0</v>
      </c>
      <c r="AO122" s="758">
        <v>0</v>
      </c>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v>0</v>
      </c>
      <c r="I123" s="812"/>
      <c r="J123" s="770">
        <v>0</v>
      </c>
      <c r="K123" s="758">
        <v>0</v>
      </c>
      <c r="L123" s="812"/>
      <c r="M123" s="770">
        <v>0</v>
      </c>
      <c r="N123" s="758">
        <v>0</v>
      </c>
      <c r="O123" s="812"/>
      <c r="P123" s="770">
        <v>0</v>
      </c>
      <c r="Q123" s="758">
        <v>0</v>
      </c>
      <c r="R123" s="812"/>
      <c r="S123" s="770">
        <v>0</v>
      </c>
      <c r="T123" s="758">
        <v>0</v>
      </c>
      <c r="U123" s="812"/>
      <c r="V123" s="770">
        <v>0</v>
      </c>
      <c r="W123" s="758">
        <v>0</v>
      </c>
      <c r="X123" s="812"/>
      <c r="Y123" s="770">
        <v>0</v>
      </c>
      <c r="Z123" s="758">
        <v>0</v>
      </c>
      <c r="AA123" s="812"/>
      <c r="AB123" s="770">
        <v>0</v>
      </c>
      <c r="AC123" s="758">
        <v>0</v>
      </c>
      <c r="AD123" s="812"/>
      <c r="AE123" s="770">
        <v>0</v>
      </c>
      <c r="AF123" s="758">
        <v>0</v>
      </c>
      <c r="AG123" s="812"/>
      <c r="AH123" s="770">
        <v>0</v>
      </c>
      <c r="AI123" s="758">
        <v>0</v>
      </c>
      <c r="AJ123" s="812"/>
      <c r="AK123" s="770">
        <v>0</v>
      </c>
      <c r="AL123" s="758">
        <v>0</v>
      </c>
      <c r="AM123" s="812"/>
      <c r="AN123" s="770">
        <v>0</v>
      </c>
      <c r="AO123" s="758">
        <v>0</v>
      </c>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t="s">
        <v>119</v>
      </c>
      <c r="G124" s="770">
        <v>0</v>
      </c>
      <c r="H124" s="758">
        <v>0</v>
      </c>
      <c r="I124" s="812" t="s">
        <v>119</v>
      </c>
      <c r="J124" s="770">
        <v>0</v>
      </c>
      <c r="K124" s="758">
        <v>0</v>
      </c>
      <c r="L124" s="812" t="s">
        <v>119</v>
      </c>
      <c r="M124" s="770">
        <v>0</v>
      </c>
      <c r="N124" s="758">
        <v>0</v>
      </c>
      <c r="O124" s="812" t="s">
        <v>119</v>
      </c>
      <c r="P124" s="770">
        <v>0</v>
      </c>
      <c r="Q124" s="758">
        <v>0</v>
      </c>
      <c r="R124" s="812"/>
      <c r="S124" s="770">
        <v>0</v>
      </c>
      <c r="T124" s="758">
        <v>0</v>
      </c>
      <c r="U124" s="812"/>
      <c r="V124" s="770">
        <v>0</v>
      </c>
      <c r="W124" s="758">
        <v>0</v>
      </c>
      <c r="X124" s="812"/>
      <c r="Y124" s="770">
        <v>0</v>
      </c>
      <c r="Z124" s="758">
        <v>0</v>
      </c>
      <c r="AA124" s="812"/>
      <c r="AB124" s="770">
        <v>0</v>
      </c>
      <c r="AC124" s="758">
        <v>0</v>
      </c>
      <c r="AD124" s="812"/>
      <c r="AE124" s="770">
        <v>0</v>
      </c>
      <c r="AF124" s="758">
        <v>0</v>
      </c>
      <c r="AG124" s="812"/>
      <c r="AH124" s="770">
        <v>0</v>
      </c>
      <c r="AI124" s="758">
        <v>0</v>
      </c>
      <c r="AJ124" s="812"/>
      <c r="AK124" s="770">
        <v>0</v>
      </c>
      <c r="AL124" s="758">
        <v>0</v>
      </c>
      <c r="AM124" s="812"/>
      <c r="AN124" s="770">
        <v>0</v>
      </c>
      <c r="AO124" s="758">
        <v>0</v>
      </c>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0.7634482862442602</v>
      </c>
      <c r="E125" s="779">
        <v>644567.14999999991</v>
      </c>
      <c r="F125" s="777"/>
      <c r="G125" s="778"/>
      <c r="H125" s="779">
        <v>34355.56</v>
      </c>
      <c r="I125" s="777"/>
      <c r="J125" s="778"/>
      <c r="K125" s="779">
        <v>46535.66</v>
      </c>
      <c r="L125" s="777"/>
      <c r="M125" s="778"/>
      <c r="N125" s="779">
        <v>48922.97</v>
      </c>
      <c r="O125" s="777"/>
      <c r="P125" s="778"/>
      <c r="Q125" s="779">
        <v>52739.389999999898</v>
      </c>
      <c r="R125" s="777" t="s">
        <v>119</v>
      </c>
      <c r="S125" s="778"/>
      <c r="T125" s="779">
        <v>67921.03</v>
      </c>
      <c r="U125" s="777" t="s">
        <v>119</v>
      </c>
      <c r="V125" s="778"/>
      <c r="W125" s="779">
        <v>59451.45</v>
      </c>
      <c r="X125" s="777" t="s">
        <v>119</v>
      </c>
      <c r="Y125" s="778"/>
      <c r="Z125" s="779">
        <v>54672.369999999901</v>
      </c>
      <c r="AA125" s="777" t="s">
        <v>119</v>
      </c>
      <c r="AB125" s="778"/>
      <c r="AC125" s="779">
        <v>41564.160000000003</v>
      </c>
      <c r="AD125" s="777" t="s">
        <v>119</v>
      </c>
      <c r="AE125" s="778"/>
      <c r="AF125" s="779">
        <v>61828.84</v>
      </c>
      <c r="AG125" s="777" t="s">
        <v>119</v>
      </c>
      <c r="AH125" s="778"/>
      <c r="AI125" s="779">
        <v>72996.959999999905</v>
      </c>
      <c r="AJ125" s="777" t="s">
        <v>119</v>
      </c>
      <c r="AK125" s="778"/>
      <c r="AL125" s="779">
        <v>60013.07</v>
      </c>
      <c r="AM125" s="777" t="s">
        <v>119</v>
      </c>
      <c r="AN125" s="778"/>
      <c r="AO125" s="779">
        <v>43565.6899999999</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130571.64000000001</v>
      </c>
      <c r="F126" s="747"/>
      <c r="G126" s="757"/>
      <c r="H126" s="771">
        <v>4705.9799999999996</v>
      </c>
      <c r="I126" s="747"/>
      <c r="J126" s="757"/>
      <c r="K126" s="771">
        <v>13022.98</v>
      </c>
      <c r="L126" s="747"/>
      <c r="M126" s="757"/>
      <c r="N126" s="771">
        <v>15981.84</v>
      </c>
      <c r="O126" s="747"/>
      <c r="P126" s="757"/>
      <c r="Q126" s="771">
        <v>9398.39</v>
      </c>
      <c r="R126" s="747"/>
      <c r="S126" s="757"/>
      <c r="T126" s="771">
        <v>11393</v>
      </c>
      <c r="U126" s="747"/>
      <c r="V126" s="757"/>
      <c r="W126" s="771">
        <v>12701.48</v>
      </c>
      <c r="X126" s="747"/>
      <c r="Y126" s="757"/>
      <c r="Z126" s="771">
        <v>11356.48</v>
      </c>
      <c r="AA126" s="747"/>
      <c r="AB126" s="757"/>
      <c r="AC126" s="771">
        <v>9767.6299999999992</v>
      </c>
      <c r="AD126" s="747"/>
      <c r="AE126" s="757"/>
      <c r="AF126" s="771">
        <v>9656.08</v>
      </c>
      <c r="AG126" s="747"/>
      <c r="AH126" s="757"/>
      <c r="AI126" s="771">
        <v>8898.24</v>
      </c>
      <c r="AJ126" s="747"/>
      <c r="AK126" s="757"/>
      <c r="AL126" s="771">
        <v>12581.58</v>
      </c>
      <c r="AM126" s="747"/>
      <c r="AN126" s="757"/>
      <c r="AO126" s="771">
        <v>11107.96</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22209.699999999997</v>
      </c>
      <c r="F127" s="747"/>
      <c r="G127" s="757"/>
      <c r="H127" s="771">
        <v>1808.02</v>
      </c>
      <c r="I127" s="747"/>
      <c r="J127" s="757"/>
      <c r="K127" s="771">
        <v>1638.43</v>
      </c>
      <c r="L127" s="747"/>
      <c r="M127" s="757"/>
      <c r="N127" s="771">
        <v>1954.17</v>
      </c>
      <c r="O127" s="747"/>
      <c r="P127" s="757"/>
      <c r="Q127" s="771">
        <v>1810.72</v>
      </c>
      <c r="R127" s="747"/>
      <c r="S127" s="757"/>
      <c r="T127" s="771">
        <v>1971.71</v>
      </c>
      <c r="U127" s="747"/>
      <c r="V127" s="757"/>
      <c r="W127" s="771">
        <v>1795.65</v>
      </c>
      <c r="X127" s="747"/>
      <c r="Y127" s="757"/>
      <c r="Z127" s="771">
        <v>1797.53</v>
      </c>
      <c r="AA127" s="747"/>
      <c r="AB127" s="757"/>
      <c r="AC127" s="771">
        <v>1850.37</v>
      </c>
      <c r="AD127" s="747"/>
      <c r="AE127" s="757"/>
      <c r="AF127" s="771">
        <v>1787.27</v>
      </c>
      <c r="AG127" s="747"/>
      <c r="AH127" s="757"/>
      <c r="AI127" s="771">
        <v>1857.41</v>
      </c>
      <c r="AJ127" s="747"/>
      <c r="AK127" s="757"/>
      <c r="AL127" s="771">
        <v>2096.35</v>
      </c>
      <c r="AM127" s="747"/>
      <c r="AN127" s="757"/>
      <c r="AO127" s="771">
        <v>1842.07</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73077.89</v>
      </c>
      <c r="F128" s="780"/>
      <c r="G128" s="781"/>
      <c r="H128" s="783">
        <v>5541.73</v>
      </c>
      <c r="I128" s="780"/>
      <c r="J128" s="781"/>
      <c r="K128" s="783">
        <v>6160.24</v>
      </c>
      <c r="L128" s="780"/>
      <c r="M128" s="781"/>
      <c r="N128" s="783">
        <v>6493.19</v>
      </c>
      <c r="O128" s="780"/>
      <c r="P128" s="781"/>
      <c r="Q128" s="783">
        <v>7173.33</v>
      </c>
      <c r="R128" s="780"/>
      <c r="S128" s="781"/>
      <c r="T128" s="783">
        <v>6473.02</v>
      </c>
      <c r="U128" s="780"/>
      <c r="V128" s="781"/>
      <c r="W128" s="783">
        <v>5382.63</v>
      </c>
      <c r="X128" s="780"/>
      <c r="Y128" s="781"/>
      <c r="Z128" s="783">
        <v>5422.58</v>
      </c>
      <c r="AA128" s="780"/>
      <c r="AB128" s="781"/>
      <c r="AC128" s="783">
        <v>5075.26</v>
      </c>
      <c r="AD128" s="780"/>
      <c r="AE128" s="781"/>
      <c r="AF128" s="783">
        <v>5390.74</v>
      </c>
      <c r="AG128" s="780"/>
      <c r="AH128" s="781"/>
      <c r="AI128" s="783">
        <v>5694.09</v>
      </c>
      <c r="AJ128" s="780"/>
      <c r="AK128" s="781"/>
      <c r="AL128" s="783">
        <v>7887.5</v>
      </c>
      <c r="AM128" s="780"/>
      <c r="AN128" s="781"/>
      <c r="AO128" s="783">
        <v>6383.58</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76747.64</v>
      </c>
      <c r="F133" s="747"/>
      <c r="G133" s="757"/>
      <c r="H133" s="771">
        <v>7350.32</v>
      </c>
      <c r="I133" s="747"/>
      <c r="J133" s="757"/>
      <c r="K133" s="771">
        <v>7392.1</v>
      </c>
      <c r="L133" s="747"/>
      <c r="M133" s="757"/>
      <c r="N133" s="771">
        <v>2150.4899999999998</v>
      </c>
      <c r="O133" s="747"/>
      <c r="P133" s="757"/>
      <c r="Q133" s="771">
        <v>6719.86</v>
      </c>
      <c r="R133" s="747"/>
      <c r="S133" s="757"/>
      <c r="T133" s="771">
        <v>9125.73</v>
      </c>
      <c r="U133" s="747"/>
      <c r="V133" s="757"/>
      <c r="W133" s="771">
        <v>7290.8</v>
      </c>
      <c r="X133" s="747"/>
      <c r="Y133" s="757"/>
      <c r="Z133" s="771">
        <v>7069.51</v>
      </c>
      <c r="AA133" s="747"/>
      <c r="AB133" s="757"/>
      <c r="AC133" s="771">
        <v>6688.13</v>
      </c>
      <c r="AD133" s="747"/>
      <c r="AE133" s="757"/>
      <c r="AF133" s="771">
        <v>7525.08</v>
      </c>
      <c r="AG133" s="747"/>
      <c r="AH133" s="757"/>
      <c r="AI133" s="771">
        <v>6393.9</v>
      </c>
      <c r="AJ133" s="747"/>
      <c r="AK133" s="757"/>
      <c r="AL133" s="771">
        <v>2561.98</v>
      </c>
      <c r="AM133" s="747"/>
      <c r="AN133" s="757"/>
      <c r="AO133" s="771">
        <v>6479.74</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85430.969999999987</v>
      </c>
      <c r="F134" s="780"/>
      <c r="G134" s="781"/>
      <c r="H134" s="783">
        <v>4537.38</v>
      </c>
      <c r="I134" s="780"/>
      <c r="J134" s="781"/>
      <c r="K134" s="783">
        <v>7456.71</v>
      </c>
      <c r="L134" s="780"/>
      <c r="M134" s="781"/>
      <c r="N134" s="783">
        <v>6516.38</v>
      </c>
      <c r="O134" s="780"/>
      <c r="P134" s="781"/>
      <c r="Q134" s="783">
        <v>6401.3</v>
      </c>
      <c r="R134" s="780"/>
      <c r="S134" s="781"/>
      <c r="T134" s="783">
        <v>6559.76</v>
      </c>
      <c r="U134" s="780"/>
      <c r="V134" s="781"/>
      <c r="W134" s="783">
        <v>7365.92</v>
      </c>
      <c r="X134" s="780"/>
      <c r="Y134" s="781"/>
      <c r="Z134" s="783">
        <v>5534.23</v>
      </c>
      <c r="AA134" s="780"/>
      <c r="AB134" s="781"/>
      <c r="AC134" s="783">
        <v>9928.68</v>
      </c>
      <c r="AD134" s="780"/>
      <c r="AE134" s="781"/>
      <c r="AF134" s="783">
        <v>9219.9699999999993</v>
      </c>
      <c r="AG134" s="780"/>
      <c r="AH134" s="781"/>
      <c r="AI134" s="783">
        <v>9019.32</v>
      </c>
      <c r="AJ134" s="780"/>
      <c r="AK134" s="781"/>
      <c r="AL134" s="783">
        <v>7576.78</v>
      </c>
      <c r="AM134" s="780"/>
      <c r="AN134" s="781"/>
      <c r="AO134" s="783">
        <v>5314.54</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22252.829999999998</v>
      </c>
      <c r="F135" s="747"/>
      <c r="G135" s="757"/>
      <c r="H135" s="771">
        <v>879.77</v>
      </c>
      <c r="I135" s="747"/>
      <c r="J135" s="757"/>
      <c r="K135" s="771">
        <v>1052.78</v>
      </c>
      <c r="L135" s="747"/>
      <c r="M135" s="757"/>
      <c r="N135" s="771">
        <v>1261.54</v>
      </c>
      <c r="O135" s="747"/>
      <c r="P135" s="757"/>
      <c r="Q135" s="771">
        <v>999.32999999999902</v>
      </c>
      <c r="R135" s="747"/>
      <c r="S135" s="757"/>
      <c r="T135" s="771">
        <v>1379</v>
      </c>
      <c r="U135" s="747"/>
      <c r="V135" s="757"/>
      <c r="W135" s="771">
        <v>1319.4</v>
      </c>
      <c r="X135" s="747"/>
      <c r="Y135" s="757"/>
      <c r="Z135" s="771">
        <v>1332.74</v>
      </c>
      <c r="AA135" s="747"/>
      <c r="AB135" s="757"/>
      <c r="AC135" s="771">
        <v>5406.85</v>
      </c>
      <c r="AD135" s="747"/>
      <c r="AE135" s="757"/>
      <c r="AF135" s="771">
        <v>4844.01</v>
      </c>
      <c r="AG135" s="747"/>
      <c r="AH135" s="757"/>
      <c r="AI135" s="771">
        <v>4744.38</v>
      </c>
      <c r="AJ135" s="747"/>
      <c r="AK135" s="757"/>
      <c r="AL135" s="771">
        <v>-1684.7</v>
      </c>
      <c r="AM135" s="747"/>
      <c r="AN135" s="757"/>
      <c r="AO135" s="771">
        <v>717.73</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12236.51</v>
      </c>
      <c r="F136" s="747"/>
      <c r="G136" s="757"/>
      <c r="H136" s="771">
        <v>608.91</v>
      </c>
      <c r="I136" s="747"/>
      <c r="J136" s="757"/>
      <c r="K136" s="771">
        <v>637.33000000000004</v>
      </c>
      <c r="L136" s="747"/>
      <c r="M136" s="757"/>
      <c r="N136" s="771">
        <v>1137.53</v>
      </c>
      <c r="O136" s="747"/>
      <c r="P136" s="757"/>
      <c r="Q136" s="771">
        <v>1212.53</v>
      </c>
      <c r="R136" s="747"/>
      <c r="S136" s="757"/>
      <c r="T136" s="771">
        <v>1120.67</v>
      </c>
      <c r="U136" s="747"/>
      <c r="V136" s="757"/>
      <c r="W136" s="771">
        <v>1262.81</v>
      </c>
      <c r="X136" s="747"/>
      <c r="Y136" s="757"/>
      <c r="Z136" s="771">
        <v>970.23</v>
      </c>
      <c r="AA136" s="747"/>
      <c r="AB136" s="757"/>
      <c r="AC136" s="771">
        <v>1127.8900000000001</v>
      </c>
      <c r="AD136" s="747"/>
      <c r="AE136" s="757"/>
      <c r="AF136" s="771">
        <v>808.62</v>
      </c>
      <c r="AG136" s="747"/>
      <c r="AH136" s="757"/>
      <c r="AI136" s="771">
        <v>590.89</v>
      </c>
      <c r="AJ136" s="747"/>
      <c r="AK136" s="757"/>
      <c r="AL136" s="771">
        <v>1318.85</v>
      </c>
      <c r="AM136" s="747"/>
      <c r="AN136" s="757"/>
      <c r="AO136" s="771">
        <v>1440.25</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c r="B137" s="44"/>
      <c r="C137" s="776"/>
      <c r="D137" s="784"/>
      <c r="E137" s="774"/>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0.50045623867524136</v>
      </c>
      <c r="E138" s="779">
        <v>422527.18000000005</v>
      </c>
      <c r="F138" s="777"/>
      <c r="G138" s="778"/>
      <c r="H138" s="779">
        <v>25432.11</v>
      </c>
      <c r="I138" s="777"/>
      <c r="J138" s="778"/>
      <c r="K138" s="779">
        <v>37360.57</v>
      </c>
      <c r="L138" s="777"/>
      <c r="M138" s="778"/>
      <c r="N138" s="779">
        <v>35495.14</v>
      </c>
      <c r="O138" s="777"/>
      <c r="P138" s="778"/>
      <c r="Q138" s="779">
        <v>33715.46</v>
      </c>
      <c r="R138" s="777"/>
      <c r="S138" s="778"/>
      <c r="T138" s="779">
        <v>38022.89</v>
      </c>
      <c r="U138" s="777"/>
      <c r="V138" s="778"/>
      <c r="W138" s="779">
        <v>37118.6899999999</v>
      </c>
      <c r="X138" s="777"/>
      <c r="Y138" s="778"/>
      <c r="Z138" s="779">
        <v>33483.300000000003</v>
      </c>
      <c r="AA138" s="777"/>
      <c r="AB138" s="778"/>
      <c r="AC138" s="779">
        <v>39844.81</v>
      </c>
      <c r="AD138" s="777"/>
      <c r="AE138" s="778"/>
      <c r="AF138" s="779">
        <v>39231.769999999997</v>
      </c>
      <c r="AG138" s="777"/>
      <c r="AH138" s="778"/>
      <c r="AI138" s="779">
        <v>37198.229999999901</v>
      </c>
      <c r="AJ138" s="777"/>
      <c r="AK138" s="778"/>
      <c r="AL138" s="779">
        <v>32338.339999999898</v>
      </c>
      <c r="AM138" s="777"/>
      <c r="AN138" s="778"/>
      <c r="AO138" s="779">
        <v>33285.869999999901</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13482.14</v>
      </c>
      <c r="F141" s="785"/>
      <c r="G141" s="786"/>
      <c r="H141" s="788">
        <v>328.72</v>
      </c>
      <c r="I141" s="785"/>
      <c r="J141" s="786"/>
      <c r="K141" s="788">
        <v>375.25</v>
      </c>
      <c r="L141" s="785"/>
      <c r="M141" s="786"/>
      <c r="N141" s="788">
        <v>652.4</v>
      </c>
      <c r="O141" s="785"/>
      <c r="P141" s="786"/>
      <c r="Q141" s="788">
        <v>625</v>
      </c>
      <c r="R141" s="785"/>
      <c r="S141" s="786"/>
      <c r="T141" s="788">
        <v>829.56</v>
      </c>
      <c r="U141" s="785"/>
      <c r="V141" s="786"/>
      <c r="W141" s="788">
        <v>734.6</v>
      </c>
      <c r="X141" s="785"/>
      <c r="Y141" s="786"/>
      <c r="Z141" s="788">
        <v>673.78</v>
      </c>
      <c r="AA141" s="785"/>
      <c r="AB141" s="786"/>
      <c r="AC141" s="788">
        <v>764.51</v>
      </c>
      <c r="AD141" s="785"/>
      <c r="AE141" s="786"/>
      <c r="AF141" s="788">
        <v>865.26</v>
      </c>
      <c r="AG141" s="785"/>
      <c r="AH141" s="786"/>
      <c r="AI141" s="788">
        <v>1048.82</v>
      </c>
      <c r="AJ141" s="785"/>
      <c r="AK141" s="786"/>
      <c r="AL141" s="788">
        <v>3842.56</v>
      </c>
      <c r="AM141" s="785"/>
      <c r="AN141" s="786"/>
      <c r="AO141" s="788">
        <v>2741.68</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44654.03</v>
      </c>
      <c r="F142" s="747"/>
      <c r="G142" s="757"/>
      <c r="H142" s="771">
        <v>3420.4</v>
      </c>
      <c r="I142" s="747"/>
      <c r="J142" s="757"/>
      <c r="K142" s="771">
        <v>3464.52</v>
      </c>
      <c r="L142" s="747"/>
      <c r="M142" s="757"/>
      <c r="N142" s="771">
        <v>3799.07</v>
      </c>
      <c r="O142" s="747"/>
      <c r="P142" s="757"/>
      <c r="Q142" s="771">
        <v>3778.28</v>
      </c>
      <c r="R142" s="747"/>
      <c r="S142" s="757"/>
      <c r="T142" s="771">
        <v>4193.7</v>
      </c>
      <c r="U142" s="747"/>
      <c r="V142" s="757"/>
      <c r="W142" s="771">
        <v>3748.21</v>
      </c>
      <c r="X142" s="747"/>
      <c r="Y142" s="757"/>
      <c r="Z142" s="771">
        <v>2790.26</v>
      </c>
      <c r="AA142" s="747"/>
      <c r="AB142" s="757"/>
      <c r="AC142" s="771">
        <v>4505.46</v>
      </c>
      <c r="AD142" s="747"/>
      <c r="AE142" s="757"/>
      <c r="AF142" s="771">
        <v>4362.13</v>
      </c>
      <c r="AG142" s="747"/>
      <c r="AH142" s="757"/>
      <c r="AI142" s="771">
        <v>3313.84</v>
      </c>
      <c r="AJ142" s="747"/>
      <c r="AK142" s="757"/>
      <c r="AL142" s="771">
        <v>3362.33</v>
      </c>
      <c r="AM142" s="747"/>
      <c r="AN142" s="757"/>
      <c r="AO142" s="771">
        <v>3915.83</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7395.2400000000007</v>
      </c>
      <c r="F143" s="747"/>
      <c r="G143" s="757"/>
      <c r="H143" s="771">
        <v>740.35</v>
      </c>
      <c r="I143" s="747"/>
      <c r="J143" s="757"/>
      <c r="K143" s="771">
        <v>86.55</v>
      </c>
      <c r="L143" s="747"/>
      <c r="M143" s="757"/>
      <c r="N143" s="771">
        <v>313.27999999999997</v>
      </c>
      <c r="O143" s="747"/>
      <c r="P143" s="757"/>
      <c r="Q143" s="771">
        <v>874.21</v>
      </c>
      <c r="R143" s="747"/>
      <c r="S143" s="757"/>
      <c r="T143" s="771">
        <v>280.52</v>
      </c>
      <c r="U143" s="747"/>
      <c r="V143" s="757"/>
      <c r="W143" s="771">
        <v>686.51</v>
      </c>
      <c r="X143" s="747"/>
      <c r="Y143" s="757"/>
      <c r="Z143" s="771">
        <v>703.86</v>
      </c>
      <c r="AA143" s="747"/>
      <c r="AB143" s="757"/>
      <c r="AC143" s="771">
        <v>767.58</v>
      </c>
      <c r="AD143" s="747"/>
      <c r="AE143" s="757"/>
      <c r="AF143" s="771">
        <v>1206.18</v>
      </c>
      <c r="AG143" s="747"/>
      <c r="AH143" s="757"/>
      <c r="AI143" s="771">
        <v>615.11</v>
      </c>
      <c r="AJ143" s="747"/>
      <c r="AK143" s="757"/>
      <c r="AL143" s="771">
        <v>701.68</v>
      </c>
      <c r="AM143" s="747"/>
      <c r="AN143" s="757"/>
      <c r="AO143" s="771">
        <v>419.41</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19349.86</v>
      </c>
      <c r="F144" s="785"/>
      <c r="G144" s="786"/>
      <c r="H144" s="788">
        <v>1428.07</v>
      </c>
      <c r="I144" s="785"/>
      <c r="J144" s="786"/>
      <c r="K144" s="788">
        <v>1043.29</v>
      </c>
      <c r="L144" s="785"/>
      <c r="M144" s="786"/>
      <c r="N144" s="788">
        <v>964.95</v>
      </c>
      <c r="O144" s="785"/>
      <c r="P144" s="786"/>
      <c r="Q144" s="788">
        <v>1058.31</v>
      </c>
      <c r="R144" s="785"/>
      <c r="S144" s="786"/>
      <c r="T144" s="788">
        <v>1199.7</v>
      </c>
      <c r="U144" s="785"/>
      <c r="V144" s="786"/>
      <c r="W144" s="788">
        <v>1327.35</v>
      </c>
      <c r="X144" s="785"/>
      <c r="Y144" s="786"/>
      <c r="Z144" s="788">
        <v>1512.86</v>
      </c>
      <c r="AA144" s="785"/>
      <c r="AB144" s="786"/>
      <c r="AC144" s="788">
        <v>1883.88</v>
      </c>
      <c r="AD144" s="785"/>
      <c r="AE144" s="786"/>
      <c r="AF144" s="788">
        <v>2301.71</v>
      </c>
      <c r="AG144" s="785"/>
      <c r="AH144" s="786"/>
      <c r="AI144" s="788">
        <v>1598.14</v>
      </c>
      <c r="AJ144" s="785"/>
      <c r="AK144" s="786"/>
      <c r="AL144" s="788">
        <v>2428.6999999999998</v>
      </c>
      <c r="AM144" s="785"/>
      <c r="AN144" s="786"/>
      <c r="AO144" s="788">
        <v>2602.9</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564.54</v>
      </c>
      <c r="F145" s="747"/>
      <c r="G145" s="757"/>
      <c r="H145" s="771">
        <v>104.39</v>
      </c>
      <c r="I145" s="747"/>
      <c r="J145" s="757"/>
      <c r="K145" s="771">
        <v>0</v>
      </c>
      <c r="L145" s="747"/>
      <c r="M145" s="757"/>
      <c r="N145" s="771">
        <v>0</v>
      </c>
      <c r="O145" s="747"/>
      <c r="P145" s="757"/>
      <c r="Q145" s="771">
        <v>13.6</v>
      </c>
      <c r="R145" s="747"/>
      <c r="S145" s="757"/>
      <c r="T145" s="771">
        <v>0</v>
      </c>
      <c r="U145" s="747"/>
      <c r="V145" s="757"/>
      <c r="W145" s="771">
        <v>1.71</v>
      </c>
      <c r="X145" s="747"/>
      <c r="Y145" s="757"/>
      <c r="Z145" s="771">
        <v>259.11</v>
      </c>
      <c r="AA145" s="747"/>
      <c r="AB145" s="757"/>
      <c r="AC145" s="771">
        <v>89.1</v>
      </c>
      <c r="AD145" s="747"/>
      <c r="AE145" s="757"/>
      <c r="AF145" s="771">
        <v>74.7</v>
      </c>
      <c r="AG145" s="747"/>
      <c r="AH145" s="757"/>
      <c r="AI145" s="771">
        <v>0</v>
      </c>
      <c r="AJ145" s="747"/>
      <c r="AK145" s="757"/>
      <c r="AL145" s="771">
        <v>0</v>
      </c>
      <c r="AM145" s="747"/>
      <c r="AN145" s="757"/>
      <c r="AO145" s="771">
        <v>21.93</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434.88</v>
      </c>
      <c r="F146" s="747"/>
      <c r="G146" s="757"/>
      <c r="H146" s="771">
        <v>0</v>
      </c>
      <c r="I146" s="747"/>
      <c r="J146" s="757"/>
      <c r="K146" s="771">
        <v>0</v>
      </c>
      <c r="L146" s="747"/>
      <c r="M146" s="757"/>
      <c r="N146" s="771">
        <v>0</v>
      </c>
      <c r="O146" s="747"/>
      <c r="P146" s="757"/>
      <c r="Q146" s="771">
        <v>0</v>
      </c>
      <c r="R146" s="747"/>
      <c r="S146" s="757"/>
      <c r="T146" s="771">
        <v>0</v>
      </c>
      <c r="U146" s="747"/>
      <c r="V146" s="757"/>
      <c r="W146" s="771">
        <v>0</v>
      </c>
      <c r="X146" s="747"/>
      <c r="Y146" s="757"/>
      <c r="Z146" s="771">
        <v>0</v>
      </c>
      <c r="AA146" s="747"/>
      <c r="AB146" s="757"/>
      <c r="AC146" s="771">
        <v>0</v>
      </c>
      <c r="AD146" s="747"/>
      <c r="AE146" s="757"/>
      <c r="AF146" s="771">
        <v>0</v>
      </c>
      <c r="AG146" s="747"/>
      <c r="AH146" s="757"/>
      <c r="AI146" s="771">
        <v>434.88</v>
      </c>
      <c r="AJ146" s="747"/>
      <c r="AK146" s="757"/>
      <c r="AL146" s="771">
        <v>0</v>
      </c>
      <c r="AM146" s="747"/>
      <c r="AN146" s="757"/>
      <c r="AO146" s="771">
        <v>0</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3863.85</v>
      </c>
      <c r="F147" s="747"/>
      <c r="G147" s="757"/>
      <c r="H147" s="771">
        <v>159.46</v>
      </c>
      <c r="I147" s="747"/>
      <c r="J147" s="757"/>
      <c r="K147" s="771">
        <v>499.31</v>
      </c>
      <c r="L147" s="747"/>
      <c r="M147" s="757"/>
      <c r="N147" s="771">
        <v>435.69</v>
      </c>
      <c r="O147" s="747"/>
      <c r="P147" s="757"/>
      <c r="Q147" s="771">
        <v>142.91</v>
      </c>
      <c r="R147" s="747"/>
      <c r="S147" s="757"/>
      <c r="T147" s="771">
        <v>332.05</v>
      </c>
      <c r="U147" s="747"/>
      <c r="V147" s="757"/>
      <c r="W147" s="771">
        <v>145.5</v>
      </c>
      <c r="X147" s="747"/>
      <c r="Y147" s="757"/>
      <c r="Z147" s="771">
        <v>133.69999999999999</v>
      </c>
      <c r="AA147" s="747"/>
      <c r="AB147" s="757"/>
      <c r="AC147" s="771">
        <v>731.53</v>
      </c>
      <c r="AD147" s="747"/>
      <c r="AE147" s="757"/>
      <c r="AF147" s="771">
        <v>235.61</v>
      </c>
      <c r="AG147" s="747"/>
      <c r="AH147" s="757"/>
      <c r="AI147" s="771">
        <v>141.58000000000001</v>
      </c>
      <c r="AJ147" s="747"/>
      <c r="AK147" s="757"/>
      <c r="AL147" s="771">
        <v>473.37</v>
      </c>
      <c r="AM147" s="747"/>
      <c r="AN147" s="757"/>
      <c r="AO147" s="771">
        <v>433.14</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763.03</v>
      </c>
      <c r="F148" s="747"/>
      <c r="G148" s="757"/>
      <c r="H148" s="771">
        <v>64.12</v>
      </c>
      <c r="I148" s="747"/>
      <c r="J148" s="757"/>
      <c r="K148" s="771">
        <v>40.380000000000003</v>
      </c>
      <c r="L148" s="747"/>
      <c r="M148" s="757"/>
      <c r="N148" s="771">
        <v>49.32</v>
      </c>
      <c r="O148" s="747"/>
      <c r="P148" s="757"/>
      <c r="Q148" s="771">
        <v>40.54</v>
      </c>
      <c r="R148" s="747"/>
      <c r="S148" s="757"/>
      <c r="T148" s="771">
        <v>41.59</v>
      </c>
      <c r="U148" s="747"/>
      <c r="V148" s="757"/>
      <c r="W148" s="771">
        <v>43.55</v>
      </c>
      <c r="X148" s="747"/>
      <c r="Y148" s="757"/>
      <c r="Z148" s="771">
        <v>45.06</v>
      </c>
      <c r="AA148" s="747"/>
      <c r="AB148" s="757"/>
      <c r="AC148" s="771">
        <v>75.900000000000006</v>
      </c>
      <c r="AD148" s="747"/>
      <c r="AE148" s="757"/>
      <c r="AF148" s="771">
        <v>84.07</v>
      </c>
      <c r="AG148" s="747"/>
      <c r="AH148" s="757"/>
      <c r="AI148" s="771">
        <v>105.42</v>
      </c>
      <c r="AJ148" s="747"/>
      <c r="AK148" s="757"/>
      <c r="AL148" s="771">
        <v>92.04</v>
      </c>
      <c r="AM148" s="747"/>
      <c r="AN148" s="757"/>
      <c r="AO148" s="771">
        <v>81.040000000000006</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378.12</v>
      </c>
      <c r="F149" s="747"/>
      <c r="G149" s="757"/>
      <c r="H149" s="771">
        <v>79.709999999999994</v>
      </c>
      <c r="I149" s="747"/>
      <c r="J149" s="757"/>
      <c r="K149" s="771">
        <v>105.3</v>
      </c>
      <c r="L149" s="747"/>
      <c r="M149" s="757"/>
      <c r="N149" s="771">
        <v>104.34</v>
      </c>
      <c r="O149" s="747"/>
      <c r="P149" s="757"/>
      <c r="Q149" s="771">
        <v>3.96</v>
      </c>
      <c r="R149" s="747"/>
      <c r="S149" s="757"/>
      <c r="T149" s="771">
        <v>3.96</v>
      </c>
      <c r="U149" s="747"/>
      <c r="V149" s="757"/>
      <c r="W149" s="771">
        <v>12.36</v>
      </c>
      <c r="X149" s="747"/>
      <c r="Y149" s="757"/>
      <c r="Z149" s="771">
        <v>12.36</v>
      </c>
      <c r="AA149" s="747"/>
      <c r="AB149" s="757"/>
      <c r="AC149" s="771">
        <v>3.96</v>
      </c>
      <c r="AD149" s="747"/>
      <c r="AE149" s="757"/>
      <c r="AF149" s="771">
        <v>12.36</v>
      </c>
      <c r="AG149" s="747"/>
      <c r="AH149" s="757"/>
      <c r="AI149" s="771">
        <v>12.36</v>
      </c>
      <c r="AJ149" s="747"/>
      <c r="AK149" s="757"/>
      <c r="AL149" s="771">
        <v>15.09</v>
      </c>
      <c r="AM149" s="747"/>
      <c r="AN149" s="757"/>
      <c r="AO149" s="771">
        <v>12.36</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812.15</v>
      </c>
      <c r="F150" s="747"/>
      <c r="G150" s="757"/>
      <c r="H150" s="771">
        <v>38.72</v>
      </c>
      <c r="I150" s="747"/>
      <c r="J150" s="757"/>
      <c r="K150" s="771">
        <v>77.12</v>
      </c>
      <c r="L150" s="747"/>
      <c r="M150" s="757"/>
      <c r="N150" s="771">
        <v>95.99</v>
      </c>
      <c r="O150" s="747"/>
      <c r="P150" s="757"/>
      <c r="Q150" s="771">
        <v>75.75</v>
      </c>
      <c r="R150" s="747"/>
      <c r="S150" s="757"/>
      <c r="T150" s="771">
        <v>39.49</v>
      </c>
      <c r="U150" s="747"/>
      <c r="V150" s="757"/>
      <c r="W150" s="771">
        <v>46.42</v>
      </c>
      <c r="X150" s="747"/>
      <c r="Y150" s="757"/>
      <c r="Z150" s="771">
        <v>70.680000000000007</v>
      </c>
      <c r="AA150" s="747"/>
      <c r="AB150" s="757"/>
      <c r="AC150" s="771">
        <v>19.670000000000002</v>
      </c>
      <c r="AD150" s="747"/>
      <c r="AE150" s="757"/>
      <c r="AF150" s="771">
        <v>56.99</v>
      </c>
      <c r="AG150" s="747"/>
      <c r="AH150" s="757"/>
      <c r="AI150" s="771">
        <v>87.91</v>
      </c>
      <c r="AJ150" s="747"/>
      <c r="AK150" s="757"/>
      <c r="AL150" s="771">
        <v>167.55</v>
      </c>
      <c r="AM150" s="747"/>
      <c r="AN150" s="757"/>
      <c r="AO150" s="771">
        <v>35.86</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1615.79</v>
      </c>
      <c r="F151" s="747"/>
      <c r="G151" s="757"/>
      <c r="H151" s="771">
        <v>92.28</v>
      </c>
      <c r="I151" s="747"/>
      <c r="J151" s="757"/>
      <c r="K151" s="771">
        <v>38.28</v>
      </c>
      <c r="L151" s="747"/>
      <c r="M151" s="757"/>
      <c r="N151" s="771">
        <v>158.28</v>
      </c>
      <c r="O151" s="747"/>
      <c r="P151" s="757"/>
      <c r="Q151" s="771">
        <v>38.28</v>
      </c>
      <c r="R151" s="747"/>
      <c r="S151" s="757"/>
      <c r="T151" s="771">
        <v>119.28</v>
      </c>
      <c r="U151" s="747"/>
      <c r="V151" s="757"/>
      <c r="W151" s="771">
        <v>38.28</v>
      </c>
      <c r="X151" s="747"/>
      <c r="Y151" s="757"/>
      <c r="Z151" s="771">
        <v>38.28</v>
      </c>
      <c r="AA151" s="747"/>
      <c r="AB151" s="757"/>
      <c r="AC151" s="771">
        <v>38.28</v>
      </c>
      <c r="AD151" s="747"/>
      <c r="AE151" s="757"/>
      <c r="AF151" s="771">
        <v>250.46</v>
      </c>
      <c r="AG151" s="747"/>
      <c r="AH151" s="757"/>
      <c r="AI151" s="771">
        <v>498.39</v>
      </c>
      <c r="AJ151" s="747"/>
      <c r="AK151" s="757"/>
      <c r="AL151" s="771">
        <v>267.42</v>
      </c>
      <c r="AM151" s="747"/>
      <c r="AN151" s="757"/>
      <c r="AO151" s="771">
        <v>38.28</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10690.91</v>
      </c>
      <c r="F152" s="747"/>
      <c r="G152" s="757"/>
      <c r="H152" s="771">
        <v>686.2</v>
      </c>
      <c r="I152" s="747"/>
      <c r="J152" s="757"/>
      <c r="K152" s="771">
        <v>556.61</v>
      </c>
      <c r="L152" s="747"/>
      <c r="M152" s="757"/>
      <c r="N152" s="771">
        <v>729.04</v>
      </c>
      <c r="O152" s="747"/>
      <c r="P152" s="757"/>
      <c r="Q152" s="771">
        <v>950.46</v>
      </c>
      <c r="R152" s="747"/>
      <c r="S152" s="757"/>
      <c r="T152" s="771">
        <v>1070.47</v>
      </c>
      <c r="U152" s="747"/>
      <c r="V152" s="757"/>
      <c r="W152" s="771">
        <v>746.19</v>
      </c>
      <c r="X152" s="747"/>
      <c r="Y152" s="757"/>
      <c r="Z152" s="771">
        <v>855.99</v>
      </c>
      <c r="AA152" s="747"/>
      <c r="AB152" s="757"/>
      <c r="AC152" s="771">
        <v>809.53</v>
      </c>
      <c r="AD152" s="747"/>
      <c r="AE152" s="757"/>
      <c r="AF152" s="771">
        <v>726.02</v>
      </c>
      <c r="AG152" s="747"/>
      <c r="AH152" s="757"/>
      <c r="AI152" s="771">
        <v>1077.6600000000001</v>
      </c>
      <c r="AJ152" s="747"/>
      <c r="AK152" s="757"/>
      <c r="AL152" s="771">
        <v>1548.29</v>
      </c>
      <c r="AM152" s="747"/>
      <c r="AN152" s="757"/>
      <c r="AO152" s="771">
        <v>934.45</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t="s">
        <v>119</v>
      </c>
      <c r="G155" s="784">
        <v>0</v>
      </c>
      <c r="H155" s="758"/>
      <c r="I155" s="776" t="s">
        <v>119</v>
      </c>
      <c r="J155" s="784">
        <v>0</v>
      </c>
      <c r="K155" s="758"/>
      <c r="L155" s="776" t="s">
        <v>119</v>
      </c>
      <c r="M155" s="784">
        <v>0</v>
      </c>
      <c r="N155" s="758"/>
      <c r="O155" s="776" t="s">
        <v>119</v>
      </c>
      <c r="P155" s="784">
        <v>0</v>
      </c>
      <c r="Q155" s="758"/>
      <c r="R155" s="776" t="s">
        <v>119</v>
      </c>
      <c r="S155" s="784">
        <v>0</v>
      </c>
      <c r="T155" s="758"/>
      <c r="U155" s="776" t="s">
        <v>119</v>
      </c>
      <c r="V155" s="784">
        <v>0</v>
      </c>
      <c r="W155" s="758"/>
      <c r="X155" s="776" t="s">
        <v>119</v>
      </c>
      <c r="Y155" s="784">
        <v>0</v>
      </c>
      <c r="Z155" s="758"/>
      <c r="AA155" s="776" t="s">
        <v>119</v>
      </c>
      <c r="AB155" s="784">
        <v>0</v>
      </c>
      <c r="AC155" s="758"/>
      <c r="AD155" s="776" t="s">
        <v>119</v>
      </c>
      <c r="AE155" s="784">
        <v>0</v>
      </c>
      <c r="AF155" s="758"/>
      <c r="AG155" s="776" t="s">
        <v>119</v>
      </c>
      <c r="AH155" s="784">
        <v>0</v>
      </c>
      <c r="AI155" s="758"/>
      <c r="AJ155" s="776" t="s">
        <v>119</v>
      </c>
      <c r="AK155" s="784">
        <v>0</v>
      </c>
      <c r="AL155" s="758"/>
      <c r="AM155" s="776" t="s">
        <v>119</v>
      </c>
      <c r="AN155" s="784">
        <v>0</v>
      </c>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0.12318668089837126</v>
      </c>
      <c r="E156" s="779">
        <v>104004.53999999998</v>
      </c>
      <c r="F156" s="777"/>
      <c r="G156" s="778"/>
      <c r="H156" s="779">
        <v>7142.42</v>
      </c>
      <c r="I156" s="777"/>
      <c r="J156" s="778"/>
      <c r="K156" s="779">
        <v>6286.61</v>
      </c>
      <c r="L156" s="777"/>
      <c r="M156" s="778"/>
      <c r="N156" s="779">
        <v>7302.3599999999897</v>
      </c>
      <c r="O156" s="777"/>
      <c r="P156" s="778"/>
      <c r="Q156" s="779">
        <v>7601.3</v>
      </c>
      <c r="R156" s="777"/>
      <c r="S156" s="778"/>
      <c r="T156" s="779">
        <v>8110.32</v>
      </c>
      <c r="U156" s="777"/>
      <c r="V156" s="778"/>
      <c r="W156" s="779">
        <v>7530.68</v>
      </c>
      <c r="X156" s="777"/>
      <c r="Y156" s="778"/>
      <c r="Z156" s="779">
        <v>7095.9399999999896</v>
      </c>
      <c r="AA156" s="777"/>
      <c r="AB156" s="778"/>
      <c r="AC156" s="779">
        <v>9689.4</v>
      </c>
      <c r="AD156" s="777"/>
      <c r="AE156" s="778"/>
      <c r="AF156" s="779">
        <v>10175.49</v>
      </c>
      <c r="AG156" s="777"/>
      <c r="AH156" s="778"/>
      <c r="AI156" s="779">
        <v>8934.11</v>
      </c>
      <c r="AJ156" s="777"/>
      <c r="AK156" s="778"/>
      <c r="AL156" s="779">
        <v>12899.03</v>
      </c>
      <c r="AM156" s="777"/>
      <c r="AN156" s="778"/>
      <c r="AO156" s="779">
        <v>11236.88</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t="s">
        <v>119</v>
      </c>
      <c r="G157" s="784">
        <v>0</v>
      </c>
      <c r="H157" s="774"/>
      <c r="I157" s="776" t="s">
        <v>119</v>
      </c>
      <c r="J157" s="784">
        <v>0</v>
      </c>
      <c r="K157" s="774"/>
      <c r="L157" s="776" t="s">
        <v>119</v>
      </c>
      <c r="M157" s="784">
        <v>0</v>
      </c>
      <c r="N157" s="774"/>
      <c r="O157" s="776" t="s">
        <v>119</v>
      </c>
      <c r="P157" s="784">
        <v>0</v>
      </c>
      <c r="Q157" s="774"/>
      <c r="R157" s="776" t="s">
        <v>119</v>
      </c>
      <c r="S157" s="784">
        <v>0</v>
      </c>
      <c r="T157" s="774"/>
      <c r="U157" s="776" t="s">
        <v>119</v>
      </c>
      <c r="V157" s="784">
        <v>0</v>
      </c>
      <c r="W157" s="774"/>
      <c r="X157" s="776" t="s">
        <v>119</v>
      </c>
      <c r="Y157" s="784">
        <v>0</v>
      </c>
      <c r="Z157" s="774"/>
      <c r="AA157" s="776" t="s">
        <v>119</v>
      </c>
      <c r="AB157" s="784">
        <v>0</v>
      </c>
      <c r="AC157" s="774"/>
      <c r="AD157" s="776" t="s">
        <v>119</v>
      </c>
      <c r="AE157" s="784">
        <v>0</v>
      </c>
      <c r="AF157" s="774"/>
      <c r="AG157" s="776" t="s">
        <v>119</v>
      </c>
      <c r="AH157" s="784">
        <v>0</v>
      </c>
      <c r="AI157" s="774"/>
      <c r="AJ157" s="776" t="s">
        <v>119</v>
      </c>
      <c r="AK157" s="784">
        <v>0</v>
      </c>
      <c r="AL157" s="774"/>
      <c r="AM157" s="776" t="s">
        <v>119</v>
      </c>
      <c r="AN157" s="784">
        <v>0</v>
      </c>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1.387091205817873</v>
      </c>
      <c r="E158" s="789">
        <v>1171098.8700000001</v>
      </c>
      <c r="F158" s="777"/>
      <c r="G158" s="778"/>
      <c r="H158" s="789">
        <v>66930.09</v>
      </c>
      <c r="I158" s="777"/>
      <c r="J158" s="778"/>
      <c r="K158" s="789">
        <v>90182.840000000011</v>
      </c>
      <c r="L158" s="777"/>
      <c r="M158" s="778"/>
      <c r="N158" s="789">
        <v>91720.469999999987</v>
      </c>
      <c r="O158" s="777"/>
      <c r="P158" s="778"/>
      <c r="Q158" s="789">
        <v>94056.149999999892</v>
      </c>
      <c r="R158" s="777"/>
      <c r="S158" s="778"/>
      <c r="T158" s="789">
        <v>114054.23999999999</v>
      </c>
      <c r="U158" s="777"/>
      <c r="V158" s="778"/>
      <c r="W158" s="789">
        <v>104100.81999999989</v>
      </c>
      <c r="X158" s="777"/>
      <c r="Y158" s="778"/>
      <c r="Z158" s="789">
        <v>95251.609999999884</v>
      </c>
      <c r="AA158" s="777"/>
      <c r="AB158" s="778"/>
      <c r="AC158" s="789">
        <v>91098.37</v>
      </c>
      <c r="AD158" s="777"/>
      <c r="AE158" s="778"/>
      <c r="AF158" s="789">
        <v>111236.09999999999</v>
      </c>
      <c r="AG158" s="777"/>
      <c r="AH158" s="778"/>
      <c r="AI158" s="789">
        <v>119129.2999999998</v>
      </c>
      <c r="AJ158" s="777"/>
      <c r="AK158" s="778"/>
      <c r="AL158" s="789">
        <v>105250.4399999999</v>
      </c>
      <c r="AM158" s="777"/>
      <c r="AN158" s="778"/>
      <c r="AO158" s="789">
        <v>88088.439999999799</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44"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44"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44" t="s">
        <v>160</v>
      </c>
      <c r="C161" s="747"/>
      <c r="D161" s="757"/>
      <c r="E161" s="758">
        <v>0</v>
      </c>
      <c r="F161" s="747"/>
      <c r="G161" s="757"/>
      <c r="H161" s="771"/>
      <c r="I161" s="747"/>
      <c r="J161" s="757"/>
      <c r="K161" s="771"/>
      <c r="L161" s="747"/>
      <c r="M161" s="757"/>
      <c r="N161" s="771"/>
      <c r="O161" s="747"/>
      <c r="P161" s="757"/>
      <c r="Q161" s="771"/>
      <c r="R161" s="747"/>
      <c r="S161" s="757"/>
      <c r="T161" s="771"/>
      <c r="U161" s="747"/>
      <c r="V161" s="757"/>
      <c r="W161" s="771"/>
      <c r="X161" s="747"/>
      <c r="Y161" s="757"/>
      <c r="Z161" s="771"/>
      <c r="AA161" s="747"/>
      <c r="AB161" s="757"/>
      <c r="AC161" s="771"/>
      <c r="AD161" s="747"/>
      <c r="AE161" s="757"/>
      <c r="AF161" s="771"/>
      <c r="AG161" s="747"/>
      <c r="AH161" s="757"/>
      <c r="AI161" s="771"/>
      <c r="AJ161" s="747"/>
      <c r="AK161" s="757"/>
      <c r="AL161" s="771"/>
      <c r="AM161" s="747"/>
      <c r="AN161" s="757"/>
      <c r="AO161" s="771"/>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c r="C162" s="747"/>
      <c r="D162" s="757"/>
      <c r="E162" s="758"/>
      <c r="F162" s="747"/>
      <c r="G162" s="757"/>
      <c r="H162" s="771"/>
      <c r="I162" s="747"/>
      <c r="J162" s="757"/>
      <c r="K162" s="771"/>
      <c r="L162" s="747"/>
      <c r="M162" s="757"/>
      <c r="N162" s="771"/>
      <c r="O162" s="747"/>
      <c r="P162" s="757"/>
      <c r="Q162" s="771"/>
      <c r="R162" s="747"/>
      <c r="S162" s="757"/>
      <c r="T162" s="771"/>
      <c r="U162" s="747"/>
      <c r="V162" s="757"/>
      <c r="W162" s="771"/>
      <c r="X162" s="747"/>
      <c r="Y162" s="757"/>
      <c r="Z162" s="771"/>
      <c r="AA162" s="747"/>
      <c r="AB162" s="757"/>
      <c r="AC162" s="771"/>
      <c r="AD162" s="747"/>
      <c r="AE162" s="757"/>
      <c r="AF162" s="771"/>
      <c r="AG162" s="747"/>
      <c r="AH162" s="757"/>
      <c r="AI162" s="771"/>
      <c r="AJ162" s="747"/>
      <c r="AK162" s="757"/>
      <c r="AL162" s="771"/>
      <c r="AM162" s="747"/>
      <c r="AN162" s="757"/>
      <c r="AO162" s="771"/>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59</v>
      </c>
      <c r="C163" s="747"/>
      <c r="D163" s="757"/>
      <c r="E163" s="758">
        <v>0</v>
      </c>
      <c r="F163" s="747"/>
      <c r="G163" s="757"/>
      <c r="H163" s="771"/>
      <c r="I163" s="747"/>
      <c r="J163" s="757"/>
      <c r="K163" s="771"/>
      <c r="L163" s="747"/>
      <c r="M163" s="757"/>
      <c r="N163" s="771"/>
      <c r="O163" s="747"/>
      <c r="P163" s="757"/>
      <c r="Q163" s="771"/>
      <c r="R163" s="747"/>
      <c r="S163" s="757"/>
      <c r="T163" s="771"/>
      <c r="U163" s="747"/>
      <c r="V163" s="757"/>
      <c r="W163" s="771"/>
      <c r="X163" s="747"/>
      <c r="Y163" s="757"/>
      <c r="Z163" s="771"/>
      <c r="AA163" s="747"/>
      <c r="AB163" s="757"/>
      <c r="AC163" s="771"/>
      <c r="AD163" s="747"/>
      <c r="AE163" s="757"/>
      <c r="AF163" s="771"/>
      <c r="AG163" s="747"/>
      <c r="AH163" s="757"/>
      <c r="AI163" s="771"/>
      <c r="AJ163" s="747"/>
      <c r="AK163" s="757"/>
      <c r="AL163" s="771"/>
      <c r="AM163" s="747"/>
      <c r="AN163" s="757"/>
      <c r="AO163" s="771"/>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44" t="s">
        <v>59</v>
      </c>
      <c r="C164" s="747"/>
      <c r="D164" s="757"/>
      <c r="E164" s="758">
        <v>0</v>
      </c>
      <c r="F164" s="747"/>
      <c r="G164" s="757"/>
      <c r="H164" s="771">
        <v>0</v>
      </c>
      <c r="I164" s="747"/>
      <c r="J164" s="757"/>
      <c r="K164" s="771">
        <v>0</v>
      </c>
      <c r="L164" s="747"/>
      <c r="M164" s="757"/>
      <c r="N164" s="771">
        <v>0</v>
      </c>
      <c r="O164" s="747"/>
      <c r="P164" s="757"/>
      <c r="Q164" s="771">
        <v>0</v>
      </c>
      <c r="R164" s="747"/>
      <c r="S164" s="757"/>
      <c r="T164" s="771">
        <v>0</v>
      </c>
      <c r="U164" s="747"/>
      <c r="V164" s="757"/>
      <c r="W164" s="771">
        <v>0</v>
      </c>
      <c r="X164" s="747"/>
      <c r="Y164" s="757"/>
      <c r="Z164" s="771">
        <v>0</v>
      </c>
      <c r="AA164" s="747"/>
      <c r="AB164" s="757"/>
      <c r="AC164" s="771">
        <v>0</v>
      </c>
      <c r="AD164" s="747"/>
      <c r="AE164" s="757"/>
      <c r="AF164" s="771">
        <v>0</v>
      </c>
      <c r="AG164" s="747"/>
      <c r="AH164" s="757"/>
      <c r="AI164" s="771">
        <v>0</v>
      </c>
      <c r="AJ164" s="747"/>
      <c r="AK164" s="757"/>
      <c r="AL164" s="771">
        <v>0</v>
      </c>
      <c r="AM164" s="747"/>
      <c r="AN164" s="757"/>
      <c r="AO164" s="771">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43" t="s">
        <v>149</v>
      </c>
      <c r="C165" s="776"/>
      <c r="D165" s="784"/>
      <c r="E165" s="774">
        <v>129475</v>
      </c>
      <c r="F165" s="776"/>
      <c r="G165" s="784"/>
      <c r="H165" s="775">
        <v>4326</v>
      </c>
      <c r="I165" s="776"/>
      <c r="J165" s="784"/>
      <c r="K165" s="775">
        <v>7365</v>
      </c>
      <c r="L165" s="776"/>
      <c r="M165" s="784"/>
      <c r="N165" s="775">
        <v>6054</v>
      </c>
      <c r="O165" s="776"/>
      <c r="P165" s="784"/>
      <c r="Q165" s="775">
        <v>6428</v>
      </c>
      <c r="R165" s="776"/>
      <c r="S165" s="784"/>
      <c r="T165" s="775">
        <v>10877</v>
      </c>
      <c r="U165" s="776"/>
      <c r="V165" s="784"/>
      <c r="W165" s="775">
        <v>13467</v>
      </c>
      <c r="X165" s="776"/>
      <c r="Y165" s="784"/>
      <c r="Z165" s="775">
        <v>12594</v>
      </c>
      <c r="AA165" s="776"/>
      <c r="AB165" s="784"/>
      <c r="AC165" s="775">
        <v>11112</v>
      </c>
      <c r="AD165" s="776"/>
      <c r="AE165" s="784"/>
      <c r="AF165" s="775">
        <v>13128</v>
      </c>
      <c r="AG165" s="776"/>
      <c r="AH165" s="784"/>
      <c r="AI165" s="775">
        <v>20328</v>
      </c>
      <c r="AJ165" s="776"/>
      <c r="AK165" s="784"/>
      <c r="AL165" s="775">
        <v>15069</v>
      </c>
      <c r="AM165" s="776"/>
      <c r="AN165" s="784"/>
      <c r="AO165" s="775">
        <v>8727</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129475</v>
      </c>
      <c r="F166" s="814"/>
      <c r="G166" s="815"/>
      <c r="H166" s="789">
        <v>4326</v>
      </c>
      <c r="I166" s="814"/>
      <c r="J166" s="815"/>
      <c r="K166" s="789">
        <v>7365</v>
      </c>
      <c r="L166" s="814"/>
      <c r="M166" s="815"/>
      <c r="N166" s="789">
        <v>6054</v>
      </c>
      <c r="O166" s="814"/>
      <c r="P166" s="815"/>
      <c r="Q166" s="789">
        <v>6428</v>
      </c>
      <c r="R166" s="814"/>
      <c r="S166" s="815"/>
      <c r="T166" s="789">
        <v>10877</v>
      </c>
      <c r="U166" s="814"/>
      <c r="V166" s="815"/>
      <c r="W166" s="789">
        <v>13467</v>
      </c>
      <c r="X166" s="814"/>
      <c r="Y166" s="815"/>
      <c r="Z166" s="789">
        <v>12594</v>
      </c>
      <c r="AA166" s="814"/>
      <c r="AB166" s="815"/>
      <c r="AC166" s="789">
        <v>11112</v>
      </c>
      <c r="AD166" s="814"/>
      <c r="AE166" s="815"/>
      <c r="AF166" s="789">
        <v>13128</v>
      </c>
      <c r="AG166" s="814"/>
      <c r="AH166" s="815"/>
      <c r="AI166" s="789">
        <v>20328</v>
      </c>
      <c r="AJ166" s="814"/>
      <c r="AK166" s="815"/>
      <c r="AL166" s="789">
        <v>15069</v>
      </c>
      <c r="AM166" s="814"/>
      <c r="AN166" s="815"/>
      <c r="AO166" s="789">
        <v>8727</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thickBot="1">
      <c r="A168" s="39" t="str">
        <f t="shared" si="1"/>
        <v>Véhicules usagésPROFIT DÉPARTEMENTAL</v>
      </c>
      <c r="B168" s="57" t="s">
        <v>151</v>
      </c>
      <c r="C168" s="816"/>
      <c r="D168" s="817"/>
      <c r="E168" s="798">
        <v>-197339.90000000072</v>
      </c>
      <c r="F168" s="816"/>
      <c r="G168" s="817"/>
      <c r="H168" s="798">
        <v>-44208.340000000127</v>
      </c>
      <c r="I168" s="816"/>
      <c r="J168" s="817"/>
      <c r="K168" s="798">
        <v>-70255.479999999894</v>
      </c>
      <c r="L168" s="816"/>
      <c r="M168" s="817"/>
      <c r="N168" s="798">
        <v>-8515.859999999986</v>
      </c>
      <c r="O168" s="816"/>
      <c r="P168" s="817"/>
      <c r="Q168" s="798">
        <v>-25112.710000000086</v>
      </c>
      <c r="R168" s="816"/>
      <c r="S168" s="817"/>
      <c r="T168" s="798">
        <v>-53693.439999999944</v>
      </c>
      <c r="U168" s="816"/>
      <c r="V168" s="817"/>
      <c r="W168" s="798">
        <v>-5733.980000000025</v>
      </c>
      <c r="X168" s="816"/>
      <c r="Y168" s="817"/>
      <c r="Z168" s="798">
        <v>17385.660000000003</v>
      </c>
      <c r="AA168" s="816"/>
      <c r="AB168" s="817"/>
      <c r="AC168" s="798">
        <v>-28552.829999999965</v>
      </c>
      <c r="AD168" s="816"/>
      <c r="AE168" s="817"/>
      <c r="AF168" s="798">
        <v>5131.5899999998946</v>
      </c>
      <c r="AG168" s="816"/>
      <c r="AH168" s="817"/>
      <c r="AI168" s="798">
        <v>32051.970000000205</v>
      </c>
      <c r="AJ168" s="816"/>
      <c r="AK168" s="817"/>
      <c r="AL168" s="798">
        <v>20856.419999999998</v>
      </c>
      <c r="AM168" s="816"/>
      <c r="AN168" s="817"/>
      <c r="AO168" s="798">
        <v>-36692.8999999999</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3935</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thickBo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thickTop="1">
      <c r="A173" s="39"/>
      <c r="B173" s="40" t="s">
        <v>3</v>
      </c>
      <c r="C173" s="969">
        <v>2024</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36"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5524</v>
      </c>
      <c r="D175" s="770">
        <v>1837538.4399999978</v>
      </c>
      <c r="E175" s="758">
        <v>1465539.3699999969</v>
      </c>
      <c r="F175" s="820">
        <v>315</v>
      </c>
      <c r="G175" s="821">
        <v>102930.01</v>
      </c>
      <c r="H175" s="771">
        <v>79585.179999999993</v>
      </c>
      <c r="I175" s="820">
        <v>225</v>
      </c>
      <c r="J175" s="821">
        <v>73859.0799999999</v>
      </c>
      <c r="K175" s="771">
        <v>57922.9399999999</v>
      </c>
      <c r="L175" s="820">
        <v>364</v>
      </c>
      <c r="M175" s="821">
        <v>114838.39</v>
      </c>
      <c r="N175" s="771">
        <v>90220.62</v>
      </c>
      <c r="O175" s="820">
        <v>724</v>
      </c>
      <c r="P175" s="821">
        <v>213462.55</v>
      </c>
      <c r="Q175" s="771">
        <v>161811.37</v>
      </c>
      <c r="R175" s="820">
        <v>672</v>
      </c>
      <c r="S175" s="821">
        <v>204973.06</v>
      </c>
      <c r="T175" s="771">
        <v>164440.97</v>
      </c>
      <c r="U175" s="820">
        <v>358</v>
      </c>
      <c r="V175" s="821">
        <v>123531.16</v>
      </c>
      <c r="W175" s="771">
        <v>99674.89</v>
      </c>
      <c r="X175" s="820">
        <v>332</v>
      </c>
      <c r="Y175" s="821">
        <v>128489.54</v>
      </c>
      <c r="Z175" s="771">
        <v>104017.37</v>
      </c>
      <c r="AA175" s="820">
        <v>335</v>
      </c>
      <c r="AB175" s="821">
        <v>130604.099999999</v>
      </c>
      <c r="AC175" s="771">
        <v>105174.099999999</v>
      </c>
      <c r="AD175" s="820">
        <v>342</v>
      </c>
      <c r="AE175" s="821">
        <v>125119.18</v>
      </c>
      <c r="AF175" s="771">
        <v>100910.53</v>
      </c>
      <c r="AG175" s="820">
        <v>551</v>
      </c>
      <c r="AH175" s="821">
        <v>205605.56999999899</v>
      </c>
      <c r="AI175" s="771">
        <v>166621.21999999901</v>
      </c>
      <c r="AJ175" s="820">
        <v>965</v>
      </c>
      <c r="AK175" s="821">
        <v>297786.23</v>
      </c>
      <c r="AL175" s="771">
        <v>242253.66999999899</v>
      </c>
      <c r="AM175" s="820">
        <v>341</v>
      </c>
      <c r="AN175" s="821">
        <v>116339.57</v>
      </c>
      <c r="AO175" s="771">
        <v>92906.51</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0.79755576160899178</v>
      </c>
      <c r="F176" s="819"/>
      <c r="G176" s="757"/>
      <c r="H176" s="822">
        <v>0.77319704914047904</v>
      </c>
      <c r="I176" s="819"/>
      <c r="J176" s="757"/>
      <c r="K176" s="822">
        <v>0.78423587187925947</v>
      </c>
      <c r="L176" s="819"/>
      <c r="M176" s="757"/>
      <c r="N176" s="822">
        <v>0.7856311813497211</v>
      </c>
      <c r="O176" s="819"/>
      <c r="P176" s="757"/>
      <c r="Q176" s="822">
        <v>0.75803165473287937</v>
      </c>
      <c r="R176" s="819"/>
      <c r="S176" s="757"/>
      <c r="T176" s="822">
        <v>0.80225650141535676</v>
      </c>
      <c r="U176" s="819"/>
      <c r="V176" s="757"/>
      <c r="W176" s="822">
        <v>0.80688054738577697</v>
      </c>
      <c r="X176" s="819"/>
      <c r="Y176" s="757"/>
      <c r="Z176" s="822">
        <v>0.80953959365096961</v>
      </c>
      <c r="AA176" s="819"/>
      <c r="AB176" s="757"/>
      <c r="AC176" s="822">
        <v>0.80528942046995311</v>
      </c>
      <c r="AD176" s="819"/>
      <c r="AE176" s="757"/>
      <c r="AF176" s="822">
        <v>0.80651527607517892</v>
      </c>
      <c r="AG176" s="819"/>
      <c r="AH176" s="757"/>
      <c r="AI176" s="822">
        <v>0.81039253946281631</v>
      </c>
      <c r="AJ176" s="819"/>
      <c r="AK176" s="757"/>
      <c r="AL176" s="822">
        <v>0.81351535294294508</v>
      </c>
      <c r="AM176" s="819"/>
      <c r="AN176" s="757"/>
      <c r="AO176" s="822">
        <v>0.79858048297754569</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332.64635047067304</v>
      </c>
      <c r="E177" s="825"/>
      <c r="F177" s="823"/>
      <c r="G177" s="824">
        <v>326.76193650793647</v>
      </c>
      <c r="H177" s="825"/>
      <c r="I177" s="823"/>
      <c r="J177" s="824">
        <v>328.26257777777732</v>
      </c>
      <c r="K177" s="825"/>
      <c r="L177" s="823"/>
      <c r="M177" s="824">
        <v>315.49008241758241</v>
      </c>
      <c r="N177" s="825"/>
      <c r="O177" s="823"/>
      <c r="P177" s="824">
        <v>294.83777624309391</v>
      </c>
      <c r="Q177" s="825"/>
      <c r="R177" s="823"/>
      <c r="S177" s="824">
        <v>305.01943452380954</v>
      </c>
      <c r="T177" s="825"/>
      <c r="U177" s="823"/>
      <c r="V177" s="824">
        <v>345.05910614525141</v>
      </c>
      <c r="W177" s="825"/>
      <c r="X177" s="823"/>
      <c r="Y177" s="824">
        <v>387.01668674698794</v>
      </c>
      <c r="Z177" s="825"/>
      <c r="AA177" s="823"/>
      <c r="AB177" s="824">
        <v>389.86298507462391</v>
      </c>
      <c r="AC177" s="825"/>
      <c r="AD177" s="823"/>
      <c r="AE177" s="824">
        <v>365.84555555555556</v>
      </c>
      <c r="AF177" s="825"/>
      <c r="AG177" s="823"/>
      <c r="AH177" s="824">
        <v>373.14985480943557</v>
      </c>
      <c r="AI177" s="825"/>
      <c r="AJ177" s="823"/>
      <c r="AK177" s="824">
        <v>308.58676683937824</v>
      </c>
      <c r="AL177" s="825"/>
      <c r="AM177" s="823"/>
      <c r="AN177" s="824">
        <v>341.1717595307918</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1618</v>
      </c>
      <c r="D178" s="827">
        <v>424139.19000000006</v>
      </c>
      <c r="E178" s="782">
        <v>279554.93999999948</v>
      </c>
      <c r="F178" s="828">
        <v>92</v>
      </c>
      <c r="G178" s="829">
        <v>19158.25</v>
      </c>
      <c r="H178" s="783">
        <v>11239.6</v>
      </c>
      <c r="I178" s="828">
        <v>112</v>
      </c>
      <c r="J178" s="829">
        <v>23094.17</v>
      </c>
      <c r="K178" s="783">
        <v>13946.969999999899</v>
      </c>
      <c r="L178" s="828">
        <v>83</v>
      </c>
      <c r="M178" s="829">
        <v>17291.53</v>
      </c>
      <c r="N178" s="783">
        <v>9841.98</v>
      </c>
      <c r="O178" s="828">
        <v>99</v>
      </c>
      <c r="P178" s="829">
        <v>23543.040000000001</v>
      </c>
      <c r="Q178" s="783">
        <v>13888.54</v>
      </c>
      <c r="R178" s="828">
        <v>121</v>
      </c>
      <c r="S178" s="829">
        <v>35390.559999999998</v>
      </c>
      <c r="T178" s="783">
        <v>23971.609999999899</v>
      </c>
      <c r="U178" s="828">
        <v>97</v>
      </c>
      <c r="V178" s="829">
        <v>37099.949999999997</v>
      </c>
      <c r="W178" s="783">
        <v>25433.3999999999</v>
      </c>
      <c r="X178" s="828">
        <v>127</v>
      </c>
      <c r="Y178" s="829">
        <v>43175.59</v>
      </c>
      <c r="Z178" s="783">
        <v>29221.799999999901</v>
      </c>
      <c r="AA178" s="828">
        <v>177</v>
      </c>
      <c r="AB178" s="829">
        <v>47773.13</v>
      </c>
      <c r="AC178" s="783">
        <v>32481.53</v>
      </c>
      <c r="AD178" s="828">
        <v>196</v>
      </c>
      <c r="AE178" s="829">
        <v>45706.49</v>
      </c>
      <c r="AF178" s="783">
        <v>31099.46</v>
      </c>
      <c r="AG178" s="828">
        <v>182</v>
      </c>
      <c r="AH178" s="829">
        <v>48010.05</v>
      </c>
      <c r="AI178" s="783">
        <v>31856.11</v>
      </c>
      <c r="AJ178" s="828">
        <v>155</v>
      </c>
      <c r="AK178" s="829">
        <v>33909.660000000003</v>
      </c>
      <c r="AL178" s="783">
        <v>21381.65</v>
      </c>
      <c r="AM178" s="828">
        <v>177</v>
      </c>
      <c r="AN178" s="829">
        <v>49986.77</v>
      </c>
      <c r="AO178" s="783">
        <v>35192.289999999899</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0.65911131673543166</v>
      </c>
      <c r="F179" s="747"/>
      <c r="G179" s="757"/>
      <c r="H179" s="822">
        <v>0.58667153837119779</v>
      </c>
      <c r="I179" s="747"/>
      <c r="J179" s="757"/>
      <c r="K179" s="822">
        <v>0.60391735230146393</v>
      </c>
      <c r="L179" s="747"/>
      <c r="M179" s="757"/>
      <c r="N179" s="822">
        <v>0.56917924556126609</v>
      </c>
      <c r="O179" s="747"/>
      <c r="P179" s="757"/>
      <c r="Q179" s="822">
        <v>0.58992126760180508</v>
      </c>
      <c r="R179" s="747"/>
      <c r="S179" s="757"/>
      <c r="T179" s="822">
        <v>0.67734474956033197</v>
      </c>
      <c r="U179" s="747"/>
      <c r="V179" s="757"/>
      <c r="W179" s="822">
        <v>0.68553731204489232</v>
      </c>
      <c r="X179" s="747"/>
      <c r="Y179" s="757"/>
      <c r="Z179" s="822">
        <v>0.67681298622670594</v>
      </c>
      <c r="AA179" s="747"/>
      <c r="AB179" s="757"/>
      <c r="AC179" s="822">
        <v>0.67991211796254503</v>
      </c>
      <c r="AD179" s="747"/>
      <c r="AE179" s="757"/>
      <c r="AF179" s="822">
        <v>0.68041671981375074</v>
      </c>
      <c r="AG179" s="747"/>
      <c r="AH179" s="757"/>
      <c r="AI179" s="822">
        <v>0.66353003173293923</v>
      </c>
      <c r="AJ179" s="747"/>
      <c r="AK179" s="757"/>
      <c r="AL179" s="822">
        <v>0.63054746051715049</v>
      </c>
      <c r="AM179" s="747"/>
      <c r="AN179" s="757"/>
      <c r="AO179" s="822">
        <v>0.70403208689018915</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262.1379419035847</v>
      </c>
      <c r="E180" s="825"/>
      <c r="F180" s="776"/>
      <c r="G180" s="824">
        <v>208.24184782608697</v>
      </c>
      <c r="H180" s="825"/>
      <c r="I180" s="776"/>
      <c r="J180" s="824">
        <v>206.19794642857141</v>
      </c>
      <c r="K180" s="825"/>
      <c r="L180" s="776"/>
      <c r="M180" s="824">
        <v>208.33168674698794</v>
      </c>
      <c r="N180" s="825"/>
      <c r="O180" s="776"/>
      <c r="P180" s="824">
        <v>237.80848484848485</v>
      </c>
      <c r="Q180" s="825"/>
      <c r="R180" s="776"/>
      <c r="S180" s="824">
        <v>292.48396694214875</v>
      </c>
      <c r="T180" s="825"/>
      <c r="U180" s="776"/>
      <c r="V180" s="824">
        <v>382.47371134020614</v>
      </c>
      <c r="W180" s="825"/>
      <c r="X180" s="776"/>
      <c r="Y180" s="824">
        <v>339.96527559055113</v>
      </c>
      <c r="Z180" s="825"/>
      <c r="AA180" s="776"/>
      <c r="AB180" s="824">
        <v>269.90468926553672</v>
      </c>
      <c r="AC180" s="825"/>
      <c r="AD180" s="776"/>
      <c r="AE180" s="824">
        <v>233.19637755102039</v>
      </c>
      <c r="AF180" s="825"/>
      <c r="AG180" s="776"/>
      <c r="AH180" s="824">
        <v>263.79148351648354</v>
      </c>
      <c r="AI180" s="825"/>
      <c r="AJ180" s="776"/>
      <c r="AK180" s="824">
        <v>218.77200000000002</v>
      </c>
      <c r="AL180" s="825"/>
      <c r="AM180" s="776"/>
      <c r="AN180" s="824">
        <v>282.41112994350283</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2892</v>
      </c>
      <c r="D181" s="770">
        <v>887241.35999999987</v>
      </c>
      <c r="E181" s="758">
        <v>671228.47999999952</v>
      </c>
      <c r="F181" s="820">
        <v>251</v>
      </c>
      <c r="G181" s="821">
        <v>78307.44</v>
      </c>
      <c r="H181" s="771">
        <v>56822.06</v>
      </c>
      <c r="I181" s="820">
        <v>247</v>
      </c>
      <c r="J181" s="821">
        <v>78247.239999999903</v>
      </c>
      <c r="K181" s="771">
        <v>57870.859999999899</v>
      </c>
      <c r="L181" s="820">
        <v>256</v>
      </c>
      <c r="M181" s="821">
        <v>70263.11</v>
      </c>
      <c r="N181" s="771">
        <v>53052.27</v>
      </c>
      <c r="O181" s="820">
        <v>232</v>
      </c>
      <c r="P181" s="821">
        <v>68576.179999999993</v>
      </c>
      <c r="Q181" s="771">
        <v>51620.109999999899</v>
      </c>
      <c r="R181" s="820">
        <v>264</v>
      </c>
      <c r="S181" s="821">
        <v>81821.48</v>
      </c>
      <c r="T181" s="771">
        <v>63739.039999999899</v>
      </c>
      <c r="U181" s="820">
        <v>209</v>
      </c>
      <c r="V181" s="821">
        <v>53994.7</v>
      </c>
      <c r="W181" s="771">
        <v>41482.18</v>
      </c>
      <c r="X181" s="820">
        <v>231</v>
      </c>
      <c r="Y181" s="821">
        <v>78242.6899999999</v>
      </c>
      <c r="Z181" s="771">
        <v>57114.249999999898</v>
      </c>
      <c r="AA181" s="820">
        <v>267</v>
      </c>
      <c r="AB181" s="821">
        <v>87515.68</v>
      </c>
      <c r="AC181" s="771">
        <v>65368.46</v>
      </c>
      <c r="AD181" s="820">
        <v>202</v>
      </c>
      <c r="AE181" s="821">
        <v>69014.759999999995</v>
      </c>
      <c r="AF181" s="771">
        <v>52711.83</v>
      </c>
      <c r="AG181" s="820">
        <v>214</v>
      </c>
      <c r="AH181" s="821">
        <v>69981.490000000005</v>
      </c>
      <c r="AI181" s="771">
        <v>54592.47</v>
      </c>
      <c r="AJ181" s="820">
        <v>285</v>
      </c>
      <c r="AK181" s="821">
        <v>85492.57</v>
      </c>
      <c r="AL181" s="771">
        <v>65968.960000000006</v>
      </c>
      <c r="AM181" s="820">
        <v>234</v>
      </c>
      <c r="AN181" s="821">
        <v>65784.02</v>
      </c>
      <c r="AO181" s="771">
        <v>50885.99</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0.7565342535429137</v>
      </c>
      <c r="F182" s="819"/>
      <c r="G182" s="830"/>
      <c r="H182" s="822">
        <v>0.7256278586044953</v>
      </c>
      <c r="I182" s="819"/>
      <c r="J182" s="830"/>
      <c r="K182" s="822">
        <v>0.73958979256009505</v>
      </c>
      <c r="L182" s="819"/>
      <c r="M182" s="830"/>
      <c r="N182" s="822">
        <v>0.75505154838719768</v>
      </c>
      <c r="O182" s="819"/>
      <c r="P182" s="830"/>
      <c r="Q182" s="822">
        <v>0.75274111214710271</v>
      </c>
      <c r="R182" s="819"/>
      <c r="S182" s="830"/>
      <c r="T182" s="822">
        <v>0.77900130870279904</v>
      </c>
      <c r="U182" s="819"/>
      <c r="V182" s="830"/>
      <c r="W182" s="822">
        <v>0.76826392219977147</v>
      </c>
      <c r="X182" s="819"/>
      <c r="Y182" s="830"/>
      <c r="Z182" s="822">
        <v>0.72996276073841493</v>
      </c>
      <c r="AA182" s="819"/>
      <c r="AB182" s="830"/>
      <c r="AC182" s="822">
        <v>0.7469342636656654</v>
      </c>
      <c r="AD182" s="819"/>
      <c r="AE182" s="830"/>
      <c r="AF182" s="822">
        <v>0.76377618352943644</v>
      </c>
      <c r="AG182" s="819"/>
      <c r="AH182" s="830"/>
      <c r="AI182" s="822">
        <v>0.78009870895861178</v>
      </c>
      <c r="AJ182" s="819"/>
      <c r="AK182" s="830"/>
      <c r="AL182" s="822">
        <v>0.77163383905759297</v>
      </c>
      <c r="AM182" s="819"/>
      <c r="AN182" s="830"/>
      <c r="AO182" s="822">
        <v>0.77353117063992127</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306.79161825726135</v>
      </c>
      <c r="E183" s="822"/>
      <c r="F183" s="819"/>
      <c r="G183" s="831">
        <v>311.98183266932273</v>
      </c>
      <c r="H183" s="822"/>
      <c r="I183" s="819"/>
      <c r="J183" s="831">
        <v>316.79044534412918</v>
      </c>
      <c r="K183" s="822"/>
      <c r="L183" s="819"/>
      <c r="M183" s="831">
        <v>274.4652734375</v>
      </c>
      <c r="N183" s="822"/>
      <c r="O183" s="819"/>
      <c r="P183" s="831">
        <v>295.58698275862065</v>
      </c>
      <c r="Q183" s="822"/>
      <c r="R183" s="819"/>
      <c r="S183" s="831">
        <v>309.92984848484849</v>
      </c>
      <c r="T183" s="822"/>
      <c r="U183" s="819"/>
      <c r="V183" s="831">
        <v>258.34784688995217</v>
      </c>
      <c r="W183" s="822"/>
      <c r="X183" s="819"/>
      <c r="Y183" s="831">
        <v>338.71294372294329</v>
      </c>
      <c r="Z183" s="822"/>
      <c r="AA183" s="819"/>
      <c r="AB183" s="831">
        <v>327.77408239700372</v>
      </c>
      <c r="AC183" s="822"/>
      <c r="AD183" s="819"/>
      <c r="AE183" s="831">
        <v>341.65722772277223</v>
      </c>
      <c r="AF183" s="822"/>
      <c r="AG183" s="819"/>
      <c r="AH183" s="831">
        <v>327.01630841121499</v>
      </c>
      <c r="AI183" s="822"/>
      <c r="AJ183" s="819"/>
      <c r="AK183" s="831">
        <v>299.97392982456142</v>
      </c>
      <c r="AL183" s="822"/>
      <c r="AM183" s="819"/>
      <c r="AN183" s="831">
        <v>281.12829059829062</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0</v>
      </c>
      <c r="D184" s="827">
        <v>156423.36000000002</v>
      </c>
      <c r="E184" s="782">
        <v>116846.5599999999</v>
      </c>
      <c r="F184" s="828">
        <v>0</v>
      </c>
      <c r="G184" s="829">
        <v>5936.97</v>
      </c>
      <c r="H184" s="783">
        <v>4072.98</v>
      </c>
      <c r="I184" s="828">
        <v>0</v>
      </c>
      <c r="J184" s="829">
        <v>5587.2</v>
      </c>
      <c r="K184" s="783">
        <v>4448.12</v>
      </c>
      <c r="L184" s="828">
        <v>0</v>
      </c>
      <c r="M184" s="829">
        <v>13853.15</v>
      </c>
      <c r="N184" s="783">
        <v>10899.9</v>
      </c>
      <c r="O184" s="828">
        <v>0</v>
      </c>
      <c r="P184" s="829">
        <v>31075.29</v>
      </c>
      <c r="Q184" s="783">
        <v>24885.31</v>
      </c>
      <c r="R184" s="828">
        <v>0</v>
      </c>
      <c r="S184" s="829">
        <v>27206.52</v>
      </c>
      <c r="T184" s="783">
        <v>17588.689999999999</v>
      </c>
      <c r="U184" s="828">
        <v>0</v>
      </c>
      <c r="V184" s="829">
        <v>9321.7000000000007</v>
      </c>
      <c r="W184" s="783">
        <v>6357.61</v>
      </c>
      <c r="X184" s="828">
        <v>0</v>
      </c>
      <c r="Y184" s="829">
        <v>9823.68</v>
      </c>
      <c r="Z184" s="783">
        <v>8360.49</v>
      </c>
      <c r="AA184" s="828">
        <v>0</v>
      </c>
      <c r="AB184" s="829">
        <v>7368.85</v>
      </c>
      <c r="AC184" s="783">
        <v>5618.83</v>
      </c>
      <c r="AD184" s="828">
        <v>0</v>
      </c>
      <c r="AE184" s="829">
        <v>6965.21</v>
      </c>
      <c r="AF184" s="783">
        <v>5414.05</v>
      </c>
      <c r="AG184" s="828">
        <v>0</v>
      </c>
      <c r="AH184" s="829">
        <v>11017.45</v>
      </c>
      <c r="AI184" s="783">
        <v>8671.2099999999991</v>
      </c>
      <c r="AJ184" s="828">
        <v>0</v>
      </c>
      <c r="AK184" s="829">
        <v>21385.759999999998</v>
      </c>
      <c r="AL184" s="783">
        <v>15606.1699999999</v>
      </c>
      <c r="AM184" s="828">
        <v>0</v>
      </c>
      <c r="AN184" s="829">
        <v>6881.58</v>
      </c>
      <c r="AO184" s="783">
        <v>4923.2</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0.74698919649852735</v>
      </c>
      <c r="F185" s="832"/>
      <c r="G185" s="833">
        <v>0</v>
      </c>
      <c r="H185" s="822">
        <v>0.68603681676006445</v>
      </c>
      <c r="I185" s="832"/>
      <c r="J185" s="833">
        <v>0</v>
      </c>
      <c r="K185" s="822">
        <v>0.79612686139748001</v>
      </c>
      <c r="L185" s="832"/>
      <c r="M185" s="833">
        <v>0</v>
      </c>
      <c r="N185" s="822">
        <v>0.78681743863309062</v>
      </c>
      <c r="O185" s="832"/>
      <c r="P185" s="833">
        <v>0</v>
      </c>
      <c r="Q185" s="822">
        <v>0.80080700775439262</v>
      </c>
      <c r="R185" s="832"/>
      <c r="S185" s="833">
        <v>0</v>
      </c>
      <c r="T185" s="822">
        <v>0.64648804771797341</v>
      </c>
      <c r="U185" s="832"/>
      <c r="V185" s="833">
        <v>0</v>
      </c>
      <c r="W185" s="822">
        <v>0.68202259244558383</v>
      </c>
      <c r="X185" s="832"/>
      <c r="Y185" s="833">
        <v>0</v>
      </c>
      <c r="Z185" s="822">
        <v>0.85105479820189578</v>
      </c>
      <c r="AA185" s="832"/>
      <c r="AB185" s="833">
        <v>0</v>
      </c>
      <c r="AC185" s="822">
        <v>0.7625111109603262</v>
      </c>
      <c r="AD185" s="832"/>
      <c r="AE185" s="833">
        <v>0</v>
      </c>
      <c r="AF185" s="822">
        <v>0.77729888976786055</v>
      </c>
      <c r="AG185" s="832"/>
      <c r="AH185" s="833">
        <v>0</v>
      </c>
      <c r="AI185" s="822">
        <v>0.78704328134005586</v>
      </c>
      <c r="AJ185" s="832"/>
      <c r="AK185" s="833">
        <v>0</v>
      </c>
      <c r="AL185" s="822">
        <v>0.72974586827870047</v>
      </c>
      <c r="AM185" s="832"/>
      <c r="AN185" s="833">
        <v>0</v>
      </c>
      <c r="AO185" s="822">
        <v>0.71541709898017602</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0</v>
      </c>
      <c r="E186" s="825"/>
      <c r="F186" s="834"/>
      <c r="G186" s="835">
        <v>0</v>
      </c>
      <c r="H186" s="825"/>
      <c r="I186" s="834"/>
      <c r="J186" s="835">
        <v>0</v>
      </c>
      <c r="K186" s="825"/>
      <c r="L186" s="834"/>
      <c r="M186" s="835">
        <v>0</v>
      </c>
      <c r="N186" s="825"/>
      <c r="O186" s="834"/>
      <c r="P186" s="835">
        <v>0</v>
      </c>
      <c r="Q186" s="825"/>
      <c r="R186" s="834"/>
      <c r="S186" s="835">
        <v>0</v>
      </c>
      <c r="T186" s="825"/>
      <c r="U186" s="834"/>
      <c r="V186" s="835">
        <v>0</v>
      </c>
      <c r="W186" s="825"/>
      <c r="X186" s="834"/>
      <c r="Y186" s="835">
        <v>0</v>
      </c>
      <c r="Z186" s="825"/>
      <c r="AA186" s="834"/>
      <c r="AB186" s="835">
        <v>0</v>
      </c>
      <c r="AC186" s="825"/>
      <c r="AD186" s="834"/>
      <c r="AE186" s="835">
        <v>0</v>
      </c>
      <c r="AF186" s="825"/>
      <c r="AG186" s="834"/>
      <c r="AH186" s="835">
        <v>0</v>
      </c>
      <c r="AI186" s="825"/>
      <c r="AJ186" s="834"/>
      <c r="AK186" s="835">
        <v>0</v>
      </c>
      <c r="AL186" s="825"/>
      <c r="AM186" s="834"/>
      <c r="AN186" s="835">
        <v>0</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thickBot="1">
      <c r="A187" s="39" t="str">
        <f t="shared" si="2"/>
        <v>ServiceAjustement M/O</v>
      </c>
      <c r="B187" s="44" t="s">
        <v>169</v>
      </c>
      <c r="C187" s="819"/>
      <c r="D187" s="770"/>
      <c r="E187" s="758">
        <v>-32078.400000000001</v>
      </c>
      <c r="F187" s="820"/>
      <c r="G187" s="821"/>
      <c r="H187" s="771">
        <v>-4825.76</v>
      </c>
      <c r="I187" s="820"/>
      <c r="J187" s="821"/>
      <c r="K187" s="771">
        <v>-1515.7</v>
      </c>
      <c r="L187" s="820"/>
      <c r="M187" s="821"/>
      <c r="N187" s="771">
        <v>-5865.37</v>
      </c>
      <c r="O187" s="820"/>
      <c r="P187" s="821"/>
      <c r="Q187" s="771">
        <v>-3446.54</v>
      </c>
      <c r="R187" s="820"/>
      <c r="S187" s="821"/>
      <c r="T187" s="771">
        <v>-2141.9499999999998</v>
      </c>
      <c r="U187" s="820"/>
      <c r="V187" s="821"/>
      <c r="W187" s="771">
        <v>-2037.51</v>
      </c>
      <c r="X187" s="820"/>
      <c r="Y187" s="821"/>
      <c r="Z187" s="771">
        <v>-1170.23</v>
      </c>
      <c r="AA187" s="820"/>
      <c r="AB187" s="821"/>
      <c r="AC187" s="771">
        <v>-2029.15</v>
      </c>
      <c r="AD187" s="820"/>
      <c r="AE187" s="821"/>
      <c r="AF187" s="771">
        <v>-1692.49</v>
      </c>
      <c r="AG187" s="820"/>
      <c r="AH187" s="821"/>
      <c r="AI187" s="771">
        <v>-3610.57</v>
      </c>
      <c r="AJ187" s="820"/>
      <c r="AK187" s="821"/>
      <c r="AL187" s="771">
        <v>-1452.11</v>
      </c>
      <c r="AM187" s="820"/>
      <c r="AN187" s="821"/>
      <c r="AO187" s="771">
        <v>-2291.02</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thickTop="1">
      <c r="A188" s="39" t="str">
        <f t="shared" si="2"/>
        <v>ServiceSous-total M/O</v>
      </c>
      <c r="B188" s="49" t="s">
        <v>170</v>
      </c>
      <c r="C188" s="836">
        <v>10034</v>
      </c>
      <c r="D188" s="837">
        <v>3305342.3499999978</v>
      </c>
      <c r="E188" s="838">
        <v>2501090.949999996</v>
      </c>
      <c r="F188" s="836">
        <v>658</v>
      </c>
      <c r="G188" s="837">
        <v>206332.67</v>
      </c>
      <c r="H188" s="838">
        <v>146894.06</v>
      </c>
      <c r="I188" s="836">
        <v>584</v>
      </c>
      <c r="J188" s="837">
        <v>180787.68999999983</v>
      </c>
      <c r="K188" s="838">
        <v>132673.18999999968</v>
      </c>
      <c r="L188" s="836">
        <v>703</v>
      </c>
      <c r="M188" s="837">
        <v>216246.17999999996</v>
      </c>
      <c r="N188" s="838">
        <v>158149.4</v>
      </c>
      <c r="O188" s="836">
        <v>1055</v>
      </c>
      <c r="P188" s="837">
        <v>336657.06</v>
      </c>
      <c r="Q188" s="838">
        <v>248758.78999999989</v>
      </c>
      <c r="R188" s="836">
        <v>1057</v>
      </c>
      <c r="S188" s="837">
        <v>349391.62</v>
      </c>
      <c r="T188" s="838">
        <v>267598.35999999975</v>
      </c>
      <c r="U188" s="836">
        <v>664</v>
      </c>
      <c r="V188" s="837">
        <v>223947.51</v>
      </c>
      <c r="W188" s="838">
        <v>170910.56999999986</v>
      </c>
      <c r="X188" s="836">
        <v>690</v>
      </c>
      <c r="Y188" s="837">
        <v>259731.49999999988</v>
      </c>
      <c r="Z188" s="838">
        <v>197543.67999999979</v>
      </c>
      <c r="AA188" s="836">
        <v>779</v>
      </c>
      <c r="AB188" s="837">
        <v>273261.75999999896</v>
      </c>
      <c r="AC188" s="838">
        <v>206613.769999999</v>
      </c>
      <c r="AD188" s="836">
        <v>740</v>
      </c>
      <c r="AE188" s="837">
        <v>246805.63999999998</v>
      </c>
      <c r="AF188" s="838">
        <v>188443.38</v>
      </c>
      <c r="AG188" s="836">
        <v>947</v>
      </c>
      <c r="AH188" s="837">
        <v>334614.55999999901</v>
      </c>
      <c r="AI188" s="838">
        <v>258130.43999999901</v>
      </c>
      <c r="AJ188" s="836">
        <v>1405</v>
      </c>
      <c r="AK188" s="837">
        <v>438574.22000000003</v>
      </c>
      <c r="AL188" s="838">
        <v>343758.33999999898</v>
      </c>
      <c r="AM188" s="836">
        <v>752</v>
      </c>
      <c r="AN188" s="837">
        <v>238991.93999999997</v>
      </c>
      <c r="AO188" s="838">
        <v>181616.96999999991</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329.41422662945962</v>
      </c>
      <c r="E189" s="841">
        <v>0.75668136161447774</v>
      </c>
      <c r="F189" s="839"/>
      <c r="G189" s="840">
        <v>313.57548632218845</v>
      </c>
      <c r="H189" s="841">
        <v>0.71192826613449045</v>
      </c>
      <c r="I189" s="839"/>
      <c r="J189" s="840">
        <v>309.56796232876684</v>
      </c>
      <c r="K189" s="841">
        <v>0.73386185751916966</v>
      </c>
      <c r="L189" s="839"/>
      <c r="M189" s="840">
        <v>307.60480796586057</v>
      </c>
      <c r="N189" s="841">
        <v>0.73133962412653963</v>
      </c>
      <c r="O189" s="839"/>
      <c r="P189" s="840">
        <v>319.10621800947865</v>
      </c>
      <c r="Q189" s="841">
        <v>0.73890857954976463</v>
      </c>
      <c r="R189" s="839"/>
      <c r="S189" s="840">
        <v>330.55025543992429</v>
      </c>
      <c r="T189" s="841">
        <v>0.76589804872824296</v>
      </c>
      <c r="U189" s="839"/>
      <c r="V189" s="840">
        <v>337.27034638554215</v>
      </c>
      <c r="W189" s="841">
        <v>0.76317245054432559</v>
      </c>
      <c r="X189" s="839"/>
      <c r="Y189" s="840">
        <v>376.42246376811579</v>
      </c>
      <c r="Z189" s="841">
        <v>0.76056881818339273</v>
      </c>
      <c r="AA189" s="839"/>
      <c r="AB189" s="840">
        <v>350.78531450577532</v>
      </c>
      <c r="AC189" s="841">
        <v>0.75610202466675103</v>
      </c>
      <c r="AD189" s="839"/>
      <c r="AE189" s="840">
        <v>333.52113513513513</v>
      </c>
      <c r="AF189" s="841">
        <v>0.763529472016928</v>
      </c>
      <c r="AG189" s="839"/>
      <c r="AH189" s="840">
        <v>353.34166842660932</v>
      </c>
      <c r="AI189" s="841">
        <v>0.77142620452618615</v>
      </c>
      <c r="AJ189" s="839"/>
      <c r="AK189" s="840">
        <v>312.15246975088968</v>
      </c>
      <c r="AL189" s="841">
        <v>0.78380881575756767</v>
      </c>
      <c r="AM189" s="839"/>
      <c r="AN189" s="840">
        <v>317.8084308510638</v>
      </c>
      <c r="AO189" s="841">
        <v>0.75992926790752835</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193449.25999999998</v>
      </c>
      <c r="E191" s="758">
        <v>36117.039999999964</v>
      </c>
      <c r="F191" s="820">
        <v>0</v>
      </c>
      <c r="G191" s="843">
        <v>7853.74</v>
      </c>
      <c r="H191" s="771">
        <v>-11.929999999999801</v>
      </c>
      <c r="I191" s="820">
        <v>0</v>
      </c>
      <c r="J191" s="843">
        <v>19315.099999999999</v>
      </c>
      <c r="K191" s="771">
        <v>1457.99999999999</v>
      </c>
      <c r="L191" s="820">
        <v>0</v>
      </c>
      <c r="M191" s="843">
        <v>12081.49</v>
      </c>
      <c r="N191" s="771">
        <v>2541.5299999999902</v>
      </c>
      <c r="O191" s="820">
        <v>0</v>
      </c>
      <c r="P191" s="843">
        <v>21634.6</v>
      </c>
      <c r="Q191" s="771">
        <v>4449.5999999999904</v>
      </c>
      <c r="R191" s="820">
        <v>0</v>
      </c>
      <c r="S191" s="843">
        <v>31330.82</v>
      </c>
      <c r="T191" s="771">
        <v>5707.76</v>
      </c>
      <c r="U191" s="820">
        <v>0</v>
      </c>
      <c r="V191" s="843">
        <v>13598.58</v>
      </c>
      <c r="W191" s="771">
        <v>2943</v>
      </c>
      <c r="X191" s="820">
        <v>0</v>
      </c>
      <c r="Y191" s="843">
        <v>23727.87</v>
      </c>
      <c r="Z191" s="771">
        <v>4904.13</v>
      </c>
      <c r="AA191" s="820">
        <v>0</v>
      </c>
      <c r="AB191" s="843">
        <v>9800.6899999999896</v>
      </c>
      <c r="AC191" s="771">
        <v>3056.6899999999901</v>
      </c>
      <c r="AD191" s="820">
        <v>0</v>
      </c>
      <c r="AE191" s="843">
        <v>13150.5</v>
      </c>
      <c r="AF191" s="771">
        <v>2801.5</v>
      </c>
      <c r="AG191" s="820">
        <v>0</v>
      </c>
      <c r="AH191" s="843">
        <v>17305.09</v>
      </c>
      <c r="AI191" s="771">
        <v>3325.7</v>
      </c>
      <c r="AJ191" s="820">
        <v>0</v>
      </c>
      <c r="AK191" s="843">
        <v>13819.95</v>
      </c>
      <c r="AL191" s="771">
        <v>2749.25</v>
      </c>
      <c r="AM191" s="820">
        <v>0</v>
      </c>
      <c r="AN191" s="843">
        <v>9830.83</v>
      </c>
      <c r="AO191" s="771">
        <v>2191.81</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0.1867003264835439</v>
      </c>
      <c r="F192" s="819"/>
      <c r="G192" s="830"/>
      <c r="H192" s="822">
        <v>-1.5190215107706393E-3</v>
      </c>
      <c r="I192" s="819"/>
      <c r="J192" s="830"/>
      <c r="K192" s="822">
        <v>7.5484983251445245E-2</v>
      </c>
      <c r="L192" s="819"/>
      <c r="M192" s="830"/>
      <c r="N192" s="822">
        <v>0.21036560887771213</v>
      </c>
      <c r="O192" s="819"/>
      <c r="P192" s="830"/>
      <c r="Q192" s="822">
        <v>0.20567054625461023</v>
      </c>
      <c r="R192" s="819"/>
      <c r="S192" s="830"/>
      <c r="T192" s="822">
        <v>0.18217716612587861</v>
      </c>
      <c r="U192" s="819"/>
      <c r="V192" s="830"/>
      <c r="W192" s="822">
        <v>0.21641965558168574</v>
      </c>
      <c r="X192" s="819"/>
      <c r="Y192" s="830"/>
      <c r="Z192" s="822">
        <v>0.20668226857277963</v>
      </c>
      <c r="AA192" s="819"/>
      <c r="AB192" s="830"/>
      <c r="AC192" s="822">
        <v>0.31188518359421563</v>
      </c>
      <c r="AD192" s="819"/>
      <c r="AE192" s="830"/>
      <c r="AF192" s="822">
        <v>0.21303372495342382</v>
      </c>
      <c r="AG192" s="819"/>
      <c r="AH192" s="830"/>
      <c r="AI192" s="822">
        <v>0.19218045095402567</v>
      </c>
      <c r="AJ192" s="819"/>
      <c r="AK192" s="830"/>
      <c r="AL192" s="822">
        <v>0.1989334259530606</v>
      </c>
      <c r="AM192" s="819"/>
      <c r="AN192" s="830"/>
      <c r="AO192" s="822">
        <v>0.22295269066803108</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0</v>
      </c>
      <c r="D194" s="844">
        <v>102829.93999999999</v>
      </c>
      <c r="E194" s="782">
        <v>73354.189999999988</v>
      </c>
      <c r="F194" s="828">
        <v>0</v>
      </c>
      <c r="G194" s="845">
        <v>6185.25</v>
      </c>
      <c r="H194" s="783">
        <v>4595.3999999999996</v>
      </c>
      <c r="I194" s="828">
        <v>0</v>
      </c>
      <c r="J194" s="845">
        <v>5335.05</v>
      </c>
      <c r="K194" s="783">
        <v>3998.39</v>
      </c>
      <c r="L194" s="828">
        <v>0</v>
      </c>
      <c r="M194" s="845">
        <v>5051</v>
      </c>
      <c r="N194" s="783">
        <v>3763.74</v>
      </c>
      <c r="O194" s="828">
        <v>0</v>
      </c>
      <c r="P194" s="845">
        <v>8946.15</v>
      </c>
      <c r="Q194" s="783">
        <v>7163.79</v>
      </c>
      <c r="R194" s="828">
        <v>0</v>
      </c>
      <c r="S194" s="845">
        <v>15244.65</v>
      </c>
      <c r="T194" s="783">
        <v>8650.89</v>
      </c>
      <c r="U194" s="828">
        <v>0</v>
      </c>
      <c r="V194" s="845">
        <v>13554.44</v>
      </c>
      <c r="W194" s="783">
        <v>10654.58</v>
      </c>
      <c r="X194" s="828">
        <v>0</v>
      </c>
      <c r="Y194" s="845">
        <v>6372.75</v>
      </c>
      <c r="Z194" s="783">
        <v>4669.1499999999996</v>
      </c>
      <c r="AA194" s="828">
        <v>0</v>
      </c>
      <c r="AB194" s="845">
        <v>8945.9</v>
      </c>
      <c r="AC194" s="783">
        <v>7361.42</v>
      </c>
      <c r="AD194" s="828">
        <v>0</v>
      </c>
      <c r="AE194" s="845">
        <v>8854.9500000000007</v>
      </c>
      <c r="AF194" s="783">
        <v>5544.1</v>
      </c>
      <c r="AG194" s="828">
        <v>0</v>
      </c>
      <c r="AH194" s="845">
        <v>10359.950000000001</v>
      </c>
      <c r="AI194" s="783">
        <v>7081.85</v>
      </c>
      <c r="AJ194" s="828">
        <v>0</v>
      </c>
      <c r="AK194" s="845">
        <v>8099.9</v>
      </c>
      <c r="AL194" s="783">
        <v>5810.28999999999</v>
      </c>
      <c r="AM194" s="828">
        <v>0</v>
      </c>
      <c r="AN194" s="845">
        <v>5879.95</v>
      </c>
      <c r="AO194" s="783">
        <v>4060.59</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0.71335439853412341</v>
      </c>
      <c r="F195" s="823"/>
      <c r="G195" s="846"/>
      <c r="H195" s="825">
        <v>0.74296107675518364</v>
      </c>
      <c r="I195" s="823"/>
      <c r="J195" s="846"/>
      <c r="K195" s="825">
        <v>0.74945689356238454</v>
      </c>
      <c r="L195" s="823"/>
      <c r="M195" s="846"/>
      <c r="N195" s="825">
        <v>0.74514749554543647</v>
      </c>
      <c r="O195" s="823"/>
      <c r="P195" s="846"/>
      <c r="Q195" s="825">
        <v>0.80076792810315056</v>
      </c>
      <c r="R195" s="823"/>
      <c r="S195" s="846"/>
      <c r="T195" s="825">
        <v>0.56747055524397083</v>
      </c>
      <c r="U195" s="823"/>
      <c r="V195" s="846"/>
      <c r="W195" s="825">
        <v>0.78605829528921889</v>
      </c>
      <c r="X195" s="823"/>
      <c r="Y195" s="846"/>
      <c r="Z195" s="825">
        <v>0.73267427719587297</v>
      </c>
      <c r="AA195" s="823"/>
      <c r="AB195" s="846"/>
      <c r="AC195" s="825">
        <v>0.82288199063258038</v>
      </c>
      <c r="AD195" s="823"/>
      <c r="AE195" s="846"/>
      <c r="AF195" s="825">
        <v>0.62610178487738499</v>
      </c>
      <c r="AG195" s="823"/>
      <c r="AH195" s="846"/>
      <c r="AI195" s="825">
        <v>0.68357955395537617</v>
      </c>
      <c r="AJ195" s="823"/>
      <c r="AK195" s="846"/>
      <c r="AL195" s="825">
        <v>0.71732860899517159</v>
      </c>
      <c r="AM195" s="823"/>
      <c r="AN195" s="846"/>
      <c r="AO195" s="825">
        <v>0.69058240291158945</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thickBo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Top="1">
      <c r="A197" s="39" t="str">
        <f t="shared" si="2"/>
        <v>ServiceTotal Mécanique</v>
      </c>
      <c r="B197" s="49" t="s">
        <v>174</v>
      </c>
      <c r="C197" s="759"/>
      <c r="D197" s="850">
        <v>3601621.5499999975</v>
      </c>
      <c r="E197" s="761">
        <v>2610562.179999996</v>
      </c>
      <c r="F197" s="759"/>
      <c r="G197" s="850">
        <v>220371.66</v>
      </c>
      <c r="H197" s="761">
        <v>151477.53</v>
      </c>
      <c r="I197" s="759"/>
      <c r="J197" s="850">
        <v>205437.83999999982</v>
      </c>
      <c r="K197" s="761">
        <v>138129.5799999997</v>
      </c>
      <c r="L197" s="759"/>
      <c r="M197" s="850">
        <v>233378.66999999995</v>
      </c>
      <c r="N197" s="761">
        <v>164454.66999999998</v>
      </c>
      <c r="O197" s="759"/>
      <c r="P197" s="850">
        <v>367237.81</v>
      </c>
      <c r="Q197" s="761">
        <v>260372.17999999988</v>
      </c>
      <c r="R197" s="759"/>
      <c r="S197" s="850">
        <v>395967.09</v>
      </c>
      <c r="T197" s="761">
        <v>281957.00999999978</v>
      </c>
      <c r="U197" s="759"/>
      <c r="V197" s="850">
        <v>251100.53</v>
      </c>
      <c r="W197" s="761">
        <v>184508.14999999985</v>
      </c>
      <c r="X197" s="759"/>
      <c r="Y197" s="850">
        <v>289832.11999999988</v>
      </c>
      <c r="Z197" s="761">
        <v>207116.95999999979</v>
      </c>
      <c r="AA197" s="759"/>
      <c r="AB197" s="850">
        <v>292008.34999999899</v>
      </c>
      <c r="AC197" s="761">
        <v>217031.87999999902</v>
      </c>
      <c r="AD197" s="759"/>
      <c r="AE197" s="850">
        <v>268811.08999999997</v>
      </c>
      <c r="AF197" s="761">
        <v>196788.98</v>
      </c>
      <c r="AG197" s="759"/>
      <c r="AH197" s="850">
        <v>362279.59999999905</v>
      </c>
      <c r="AI197" s="761">
        <v>268537.989999999</v>
      </c>
      <c r="AJ197" s="759"/>
      <c r="AK197" s="850">
        <v>460494.07000000007</v>
      </c>
      <c r="AL197" s="761">
        <v>352317.87999999896</v>
      </c>
      <c r="AM197" s="759"/>
      <c r="AN197" s="850">
        <v>254702.71999999997</v>
      </c>
      <c r="AO197" s="761">
        <v>187869.36999999991</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Bot="1">
      <c r="A198" s="39" t="str">
        <f t="shared" si="2"/>
        <v>Service</v>
      </c>
      <c r="B198" s="50"/>
      <c r="C198" s="762"/>
      <c r="D198" s="763"/>
      <c r="E198" s="851">
        <v>0.72482967567761192</v>
      </c>
      <c r="F198" s="762"/>
      <c r="G198" s="763"/>
      <c r="H198" s="851">
        <v>0.68737300431462012</v>
      </c>
      <c r="I198" s="762"/>
      <c r="J198" s="763"/>
      <c r="K198" s="851">
        <v>0.67236678500903146</v>
      </c>
      <c r="L198" s="762"/>
      <c r="M198" s="763"/>
      <c r="N198" s="851">
        <v>0.7046688114213695</v>
      </c>
      <c r="O198" s="762"/>
      <c r="P198" s="763"/>
      <c r="Q198" s="851">
        <v>0.70900155950717569</v>
      </c>
      <c r="R198" s="762"/>
      <c r="S198" s="763"/>
      <c r="T198" s="851">
        <v>0.71207182899972765</v>
      </c>
      <c r="U198" s="762"/>
      <c r="V198" s="763"/>
      <c r="W198" s="851">
        <v>0.73479793133053062</v>
      </c>
      <c r="X198" s="762"/>
      <c r="Y198" s="763"/>
      <c r="Z198" s="851">
        <v>0.71461009911530815</v>
      </c>
      <c r="AA198" s="762"/>
      <c r="AB198" s="763"/>
      <c r="AC198" s="851">
        <v>0.74323860944387299</v>
      </c>
      <c r="AD198" s="762"/>
      <c r="AE198" s="763"/>
      <c r="AF198" s="851">
        <v>0.73207165671624652</v>
      </c>
      <c r="AG198" s="762"/>
      <c r="AH198" s="763"/>
      <c r="AI198" s="851">
        <v>0.74124513221279842</v>
      </c>
      <c r="AJ198" s="762"/>
      <c r="AK198" s="763"/>
      <c r="AL198" s="851">
        <v>0.76508668178940697</v>
      </c>
      <c r="AM198" s="762"/>
      <c r="AN198" s="763"/>
      <c r="AO198" s="851">
        <v>0.73760252736994691</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thickTop="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175057.22</v>
      </c>
      <c r="F201" s="747"/>
      <c r="G201" s="757"/>
      <c r="H201" s="771">
        <v>16964.599999999999</v>
      </c>
      <c r="I201" s="747"/>
      <c r="J201" s="757"/>
      <c r="K201" s="771">
        <v>15728.24</v>
      </c>
      <c r="L201" s="747"/>
      <c r="M201" s="757"/>
      <c r="N201" s="771">
        <v>13303.65</v>
      </c>
      <c r="O201" s="747"/>
      <c r="P201" s="757"/>
      <c r="Q201" s="771">
        <v>9367.5400000000009</v>
      </c>
      <c r="R201" s="747"/>
      <c r="S201" s="757"/>
      <c r="T201" s="771">
        <v>12594.56</v>
      </c>
      <c r="U201" s="747"/>
      <c r="V201" s="757"/>
      <c r="W201" s="771">
        <v>20405.86</v>
      </c>
      <c r="X201" s="747"/>
      <c r="Y201" s="757"/>
      <c r="Z201" s="771">
        <v>11834.22</v>
      </c>
      <c r="AA201" s="747"/>
      <c r="AB201" s="757"/>
      <c r="AC201" s="771">
        <v>16240.75</v>
      </c>
      <c r="AD201" s="747"/>
      <c r="AE201" s="757"/>
      <c r="AF201" s="771">
        <v>13328.14</v>
      </c>
      <c r="AG201" s="747"/>
      <c r="AH201" s="757"/>
      <c r="AI201" s="771">
        <v>11607.04</v>
      </c>
      <c r="AJ201" s="747"/>
      <c r="AK201" s="757"/>
      <c r="AL201" s="771">
        <v>15943.06</v>
      </c>
      <c r="AM201" s="747"/>
      <c r="AN201" s="757"/>
      <c r="AO201" s="771">
        <v>17739.560000000001</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94910.8</v>
      </c>
      <c r="F202" s="747"/>
      <c r="G202" s="757"/>
      <c r="H202" s="771">
        <v>6399.76</v>
      </c>
      <c r="I202" s="747"/>
      <c r="J202" s="757"/>
      <c r="K202" s="771">
        <v>7380.73</v>
      </c>
      <c r="L202" s="747"/>
      <c r="M202" s="757"/>
      <c r="N202" s="771">
        <v>8424.61</v>
      </c>
      <c r="O202" s="747"/>
      <c r="P202" s="757"/>
      <c r="Q202" s="771">
        <v>8321.08</v>
      </c>
      <c r="R202" s="747"/>
      <c r="S202" s="757"/>
      <c r="T202" s="771">
        <v>9538.9</v>
      </c>
      <c r="U202" s="747"/>
      <c r="V202" s="757"/>
      <c r="W202" s="771">
        <v>4908.57</v>
      </c>
      <c r="X202" s="747"/>
      <c r="Y202" s="757"/>
      <c r="Z202" s="771">
        <v>8017.89</v>
      </c>
      <c r="AA202" s="747"/>
      <c r="AB202" s="757"/>
      <c r="AC202" s="771">
        <v>9477.77</v>
      </c>
      <c r="AD202" s="747"/>
      <c r="AE202" s="757"/>
      <c r="AF202" s="771">
        <v>8059.49</v>
      </c>
      <c r="AG202" s="747"/>
      <c r="AH202" s="757"/>
      <c r="AI202" s="771">
        <v>7162.09</v>
      </c>
      <c r="AJ202" s="747"/>
      <c r="AK202" s="757"/>
      <c r="AL202" s="771">
        <v>9929.2199999999993</v>
      </c>
      <c r="AM202" s="747"/>
      <c r="AN202" s="757"/>
      <c r="AO202" s="771">
        <v>7290.69</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216486.09</v>
      </c>
      <c r="F203" s="780"/>
      <c r="G203" s="781"/>
      <c r="H203" s="783">
        <v>13927.95</v>
      </c>
      <c r="I203" s="780"/>
      <c r="J203" s="781"/>
      <c r="K203" s="783">
        <v>15210.72</v>
      </c>
      <c r="L203" s="780"/>
      <c r="M203" s="781"/>
      <c r="N203" s="783">
        <v>12271.11</v>
      </c>
      <c r="O203" s="780"/>
      <c r="P203" s="781"/>
      <c r="Q203" s="783">
        <v>20320.27</v>
      </c>
      <c r="R203" s="780"/>
      <c r="S203" s="781"/>
      <c r="T203" s="783">
        <v>22496.47</v>
      </c>
      <c r="U203" s="780"/>
      <c r="V203" s="781"/>
      <c r="W203" s="783">
        <v>17670.88</v>
      </c>
      <c r="X203" s="780"/>
      <c r="Y203" s="781"/>
      <c r="Z203" s="783">
        <v>13760.3</v>
      </c>
      <c r="AA203" s="780"/>
      <c r="AB203" s="781"/>
      <c r="AC203" s="783">
        <v>18669.21</v>
      </c>
      <c r="AD203" s="780"/>
      <c r="AE203" s="781"/>
      <c r="AF203" s="783">
        <v>14095.06</v>
      </c>
      <c r="AG203" s="780"/>
      <c r="AH203" s="781"/>
      <c r="AI203" s="783">
        <v>17131.98</v>
      </c>
      <c r="AJ203" s="780"/>
      <c r="AK203" s="781"/>
      <c r="AL203" s="783">
        <v>39324.92</v>
      </c>
      <c r="AM203" s="780"/>
      <c r="AN203" s="781"/>
      <c r="AO203" s="783">
        <v>11607.22</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347460.79000000004</v>
      </c>
      <c r="F204" s="747"/>
      <c r="G204" s="757"/>
      <c r="H204" s="771">
        <v>23791.11</v>
      </c>
      <c r="I204" s="747"/>
      <c r="J204" s="757"/>
      <c r="K204" s="771">
        <v>19491.41</v>
      </c>
      <c r="L204" s="747"/>
      <c r="M204" s="757"/>
      <c r="N204" s="771">
        <v>20859.560000000001</v>
      </c>
      <c r="O204" s="747"/>
      <c r="P204" s="757"/>
      <c r="Q204" s="771">
        <v>43948.92</v>
      </c>
      <c r="R204" s="747"/>
      <c r="S204" s="757"/>
      <c r="T204" s="771">
        <v>37414.44</v>
      </c>
      <c r="U204" s="747"/>
      <c r="V204" s="757"/>
      <c r="W204" s="771">
        <v>26139.54</v>
      </c>
      <c r="X204" s="747"/>
      <c r="Y204" s="757"/>
      <c r="Z204" s="771">
        <v>25122.77</v>
      </c>
      <c r="AA204" s="747"/>
      <c r="AB204" s="757"/>
      <c r="AC204" s="771">
        <v>32163.66</v>
      </c>
      <c r="AD204" s="747"/>
      <c r="AE204" s="757"/>
      <c r="AF204" s="771">
        <v>29269.82</v>
      </c>
      <c r="AG204" s="747"/>
      <c r="AH204" s="757"/>
      <c r="AI204" s="771">
        <v>29317.81</v>
      </c>
      <c r="AJ204" s="747"/>
      <c r="AK204" s="757"/>
      <c r="AL204" s="771">
        <v>39319.25</v>
      </c>
      <c r="AM204" s="747"/>
      <c r="AN204" s="757"/>
      <c r="AO204" s="771">
        <v>20622.5</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c r="I205" s="747"/>
      <c r="J205" s="757"/>
      <c r="K205" s="771"/>
      <c r="L205" s="747"/>
      <c r="M205" s="757"/>
      <c r="N205" s="771"/>
      <c r="O205" s="747"/>
      <c r="P205" s="757"/>
      <c r="Q205" s="771"/>
      <c r="R205" s="747"/>
      <c r="S205" s="757"/>
      <c r="T205" s="771"/>
      <c r="U205" s="747"/>
      <c r="V205" s="757"/>
      <c r="W205" s="771"/>
      <c r="X205" s="747"/>
      <c r="Y205" s="757"/>
      <c r="Z205" s="771"/>
      <c r="AA205" s="747"/>
      <c r="AB205" s="757"/>
      <c r="AC205" s="771"/>
      <c r="AD205" s="747"/>
      <c r="AE205" s="757"/>
      <c r="AF205" s="771"/>
      <c r="AG205" s="747"/>
      <c r="AH205" s="757"/>
      <c r="AI205" s="771"/>
      <c r="AJ205" s="747"/>
      <c r="AK205" s="757"/>
      <c r="AL205" s="771"/>
      <c r="AM205" s="747"/>
      <c r="AN205" s="757"/>
      <c r="AO205" s="771"/>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198730.3</v>
      </c>
      <c r="F208" s="747"/>
      <c r="G208" s="757"/>
      <c r="H208" s="771">
        <v>12658.39</v>
      </c>
      <c r="I208" s="747"/>
      <c r="J208" s="757"/>
      <c r="K208" s="771">
        <v>12362.3</v>
      </c>
      <c r="L208" s="747"/>
      <c r="M208" s="757"/>
      <c r="N208" s="771">
        <v>18254.18</v>
      </c>
      <c r="O208" s="747"/>
      <c r="P208" s="757"/>
      <c r="Q208" s="771">
        <v>20422.400000000001</v>
      </c>
      <c r="R208" s="747"/>
      <c r="S208" s="757"/>
      <c r="T208" s="771">
        <v>25829.47</v>
      </c>
      <c r="U208" s="747"/>
      <c r="V208" s="757"/>
      <c r="W208" s="771">
        <v>13952.53</v>
      </c>
      <c r="X208" s="747"/>
      <c r="Y208" s="757"/>
      <c r="Z208" s="771">
        <v>16428.09</v>
      </c>
      <c r="AA208" s="747"/>
      <c r="AB208" s="757"/>
      <c r="AC208" s="771">
        <v>16486.689999999999</v>
      </c>
      <c r="AD208" s="747"/>
      <c r="AE208" s="757"/>
      <c r="AF208" s="771">
        <v>14344.17</v>
      </c>
      <c r="AG208" s="747"/>
      <c r="AH208" s="757"/>
      <c r="AI208" s="771">
        <v>20132.439999999999</v>
      </c>
      <c r="AJ208" s="747"/>
      <c r="AK208" s="757"/>
      <c r="AL208" s="771">
        <v>13701.18</v>
      </c>
      <c r="AM208" s="747"/>
      <c r="AN208" s="757"/>
      <c r="AO208" s="771">
        <v>14158.46</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254898.48</v>
      </c>
      <c r="F209" s="780"/>
      <c r="G209" s="781"/>
      <c r="H209" s="783">
        <v>22420.61</v>
      </c>
      <c r="I209" s="780"/>
      <c r="J209" s="781"/>
      <c r="K209" s="783">
        <v>19960.57</v>
      </c>
      <c r="L209" s="780"/>
      <c r="M209" s="781"/>
      <c r="N209" s="783">
        <v>22659.759999999998</v>
      </c>
      <c r="O209" s="780"/>
      <c r="P209" s="781"/>
      <c r="Q209" s="783">
        <v>22408.44</v>
      </c>
      <c r="R209" s="780"/>
      <c r="S209" s="781"/>
      <c r="T209" s="783">
        <v>26288.97</v>
      </c>
      <c r="U209" s="780"/>
      <c r="V209" s="781"/>
      <c r="W209" s="783">
        <v>20166.349999999999</v>
      </c>
      <c r="X209" s="780"/>
      <c r="Y209" s="781"/>
      <c r="Z209" s="783">
        <v>19262.22</v>
      </c>
      <c r="AA209" s="780"/>
      <c r="AB209" s="781"/>
      <c r="AC209" s="783">
        <v>20021.5</v>
      </c>
      <c r="AD209" s="780"/>
      <c r="AE209" s="781"/>
      <c r="AF209" s="783">
        <v>17350.25</v>
      </c>
      <c r="AG209" s="780"/>
      <c r="AH209" s="781"/>
      <c r="AI209" s="783">
        <v>24038.78</v>
      </c>
      <c r="AJ209" s="780"/>
      <c r="AK209" s="781"/>
      <c r="AL209" s="783">
        <v>23066.27</v>
      </c>
      <c r="AM209" s="780"/>
      <c r="AN209" s="781"/>
      <c r="AO209" s="783">
        <v>17254.759999999998</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129390.36999999998</v>
      </c>
      <c r="F210" s="747"/>
      <c r="G210" s="757"/>
      <c r="H210" s="771">
        <v>11364.32</v>
      </c>
      <c r="I210" s="747"/>
      <c r="J210" s="757"/>
      <c r="K210" s="771">
        <v>11195.25</v>
      </c>
      <c r="L210" s="747"/>
      <c r="M210" s="757"/>
      <c r="N210" s="771">
        <v>11881.89</v>
      </c>
      <c r="O210" s="747"/>
      <c r="P210" s="757"/>
      <c r="Q210" s="771">
        <v>11244.77</v>
      </c>
      <c r="R210" s="747"/>
      <c r="S210" s="757"/>
      <c r="T210" s="771">
        <v>13775.33</v>
      </c>
      <c r="U210" s="747"/>
      <c r="V210" s="757"/>
      <c r="W210" s="771">
        <v>10992.65</v>
      </c>
      <c r="X210" s="747"/>
      <c r="Y210" s="757"/>
      <c r="Z210" s="771">
        <v>11101.57</v>
      </c>
      <c r="AA210" s="747"/>
      <c r="AB210" s="757"/>
      <c r="AC210" s="771">
        <v>10473.36</v>
      </c>
      <c r="AD210" s="747"/>
      <c r="AE210" s="757"/>
      <c r="AF210" s="771">
        <v>9093.58</v>
      </c>
      <c r="AG210" s="747"/>
      <c r="AH210" s="757"/>
      <c r="AI210" s="771">
        <v>11427.23</v>
      </c>
      <c r="AJ210" s="747"/>
      <c r="AK210" s="757"/>
      <c r="AL210" s="771">
        <v>7838.14</v>
      </c>
      <c r="AM210" s="747"/>
      <c r="AN210" s="757"/>
      <c r="AO210" s="771">
        <v>9002.2799999999897</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49504.6</v>
      </c>
      <c r="F211" s="747"/>
      <c r="G211" s="757"/>
      <c r="H211" s="771">
        <v>3797.34</v>
      </c>
      <c r="I211" s="747"/>
      <c r="J211" s="757"/>
      <c r="K211" s="771">
        <v>3520.04</v>
      </c>
      <c r="L211" s="747"/>
      <c r="M211" s="757"/>
      <c r="N211" s="771">
        <v>4247.74</v>
      </c>
      <c r="O211" s="747"/>
      <c r="P211" s="757"/>
      <c r="Q211" s="771">
        <v>4370.88</v>
      </c>
      <c r="R211" s="747"/>
      <c r="S211" s="757"/>
      <c r="T211" s="771">
        <v>4899.96</v>
      </c>
      <c r="U211" s="747"/>
      <c r="V211" s="757"/>
      <c r="W211" s="771">
        <v>3657.36</v>
      </c>
      <c r="X211" s="747"/>
      <c r="Y211" s="757"/>
      <c r="Z211" s="771">
        <v>3705.23</v>
      </c>
      <c r="AA211" s="747"/>
      <c r="AB211" s="757"/>
      <c r="AC211" s="771">
        <v>5322.67</v>
      </c>
      <c r="AD211" s="747"/>
      <c r="AE211" s="757"/>
      <c r="AF211" s="771">
        <v>3769.52</v>
      </c>
      <c r="AG211" s="747"/>
      <c r="AH211" s="757"/>
      <c r="AI211" s="771">
        <v>3283.11</v>
      </c>
      <c r="AJ211" s="747"/>
      <c r="AK211" s="757"/>
      <c r="AL211" s="771">
        <v>4479.8999999999996</v>
      </c>
      <c r="AM211" s="747"/>
      <c r="AN211" s="757"/>
      <c r="AO211" s="771">
        <v>4450.8500000000004</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0.56173289463651166</v>
      </c>
      <c r="E213" s="779">
        <v>1466438.65</v>
      </c>
      <c r="F213" s="777" t="s">
        <v>175</v>
      </c>
      <c r="G213" s="778">
        <v>0</v>
      </c>
      <c r="H213" s="779">
        <v>111324.07999999999</v>
      </c>
      <c r="I213" s="777" t="s">
        <v>175</v>
      </c>
      <c r="J213" s="778">
        <v>0</v>
      </c>
      <c r="K213" s="779">
        <v>104849.26</v>
      </c>
      <c r="L213" s="777" t="s">
        <v>175</v>
      </c>
      <c r="M213" s="778">
        <v>0</v>
      </c>
      <c r="N213" s="779">
        <v>111902.50000000001</v>
      </c>
      <c r="O213" s="777" t="s">
        <v>175</v>
      </c>
      <c r="P213" s="778">
        <v>0</v>
      </c>
      <c r="Q213" s="779">
        <v>140404.29999999999</v>
      </c>
      <c r="R213" s="777" t="s">
        <v>175</v>
      </c>
      <c r="S213" s="778">
        <v>0</v>
      </c>
      <c r="T213" s="779">
        <v>152838.09999999998</v>
      </c>
      <c r="U213" s="777" t="s">
        <v>175</v>
      </c>
      <c r="V213" s="778">
        <v>0</v>
      </c>
      <c r="W213" s="779">
        <v>117893.74</v>
      </c>
      <c r="X213" s="777" t="s">
        <v>175</v>
      </c>
      <c r="Y213" s="778">
        <v>0</v>
      </c>
      <c r="Z213" s="779">
        <v>109232.29</v>
      </c>
      <c r="AA213" s="777" t="s">
        <v>175</v>
      </c>
      <c r="AB213" s="778">
        <v>0</v>
      </c>
      <c r="AC213" s="779">
        <v>128855.61</v>
      </c>
      <c r="AD213" s="777" t="s">
        <v>175</v>
      </c>
      <c r="AE213" s="778">
        <v>0</v>
      </c>
      <c r="AF213" s="779">
        <v>109310.03</v>
      </c>
      <c r="AG213" s="777" t="s">
        <v>175</v>
      </c>
      <c r="AH213" s="778">
        <v>0</v>
      </c>
      <c r="AI213" s="779">
        <v>124100.48</v>
      </c>
      <c r="AJ213" s="777" t="s">
        <v>175</v>
      </c>
      <c r="AK213" s="778">
        <v>0</v>
      </c>
      <c r="AL213" s="779">
        <v>153601.94</v>
      </c>
      <c r="AM213" s="777" t="s">
        <v>175</v>
      </c>
      <c r="AN213" s="778">
        <v>0</v>
      </c>
      <c r="AO213" s="779">
        <v>102126.31999999998</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134306.92000000001</v>
      </c>
      <c r="F214" s="747"/>
      <c r="G214" s="757"/>
      <c r="H214" s="771">
        <v>11707.26</v>
      </c>
      <c r="I214" s="747"/>
      <c r="J214" s="757"/>
      <c r="K214" s="771">
        <v>12169.45</v>
      </c>
      <c r="L214" s="747"/>
      <c r="M214" s="757"/>
      <c r="N214" s="771">
        <v>12896.45</v>
      </c>
      <c r="O214" s="747"/>
      <c r="P214" s="757"/>
      <c r="Q214" s="771">
        <v>11076.5</v>
      </c>
      <c r="R214" s="747"/>
      <c r="S214" s="757"/>
      <c r="T214" s="771">
        <v>11204.43</v>
      </c>
      <c r="U214" s="747"/>
      <c r="V214" s="757"/>
      <c r="W214" s="771">
        <v>10541.92</v>
      </c>
      <c r="X214" s="747"/>
      <c r="Y214" s="757"/>
      <c r="Z214" s="771">
        <v>10338.09</v>
      </c>
      <c r="AA214" s="747"/>
      <c r="AB214" s="757"/>
      <c r="AC214" s="771">
        <v>9968.24</v>
      </c>
      <c r="AD214" s="747"/>
      <c r="AE214" s="757"/>
      <c r="AF214" s="771">
        <v>9535.4699999999993</v>
      </c>
      <c r="AG214" s="747"/>
      <c r="AH214" s="757"/>
      <c r="AI214" s="771">
        <v>11040.12</v>
      </c>
      <c r="AJ214" s="747"/>
      <c r="AK214" s="757"/>
      <c r="AL214" s="771">
        <v>11959.51</v>
      </c>
      <c r="AM214" s="747"/>
      <c r="AN214" s="757"/>
      <c r="AO214" s="771">
        <v>11869.48</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55524.079999999965</v>
      </c>
      <c r="F215" s="747"/>
      <c r="G215" s="757"/>
      <c r="H215" s="771">
        <v>2429.98</v>
      </c>
      <c r="I215" s="747"/>
      <c r="J215" s="757"/>
      <c r="K215" s="771">
        <v>2002.19</v>
      </c>
      <c r="L215" s="747"/>
      <c r="M215" s="757"/>
      <c r="N215" s="771">
        <v>1419.78</v>
      </c>
      <c r="O215" s="747"/>
      <c r="P215" s="757"/>
      <c r="Q215" s="771">
        <v>2109.5300000000002</v>
      </c>
      <c r="R215" s="747"/>
      <c r="S215" s="757"/>
      <c r="T215" s="771">
        <v>3949.0899999999901</v>
      </c>
      <c r="U215" s="747"/>
      <c r="V215" s="757"/>
      <c r="W215" s="771">
        <v>4649.09</v>
      </c>
      <c r="X215" s="747"/>
      <c r="Y215" s="757"/>
      <c r="Z215" s="771">
        <v>5248.5599999999904</v>
      </c>
      <c r="AA215" s="747"/>
      <c r="AB215" s="757"/>
      <c r="AC215" s="771">
        <v>3011.12</v>
      </c>
      <c r="AD215" s="747"/>
      <c r="AE215" s="757"/>
      <c r="AF215" s="771">
        <v>4245.42</v>
      </c>
      <c r="AG215" s="747"/>
      <c r="AH215" s="757"/>
      <c r="AI215" s="771">
        <v>7866.81</v>
      </c>
      <c r="AJ215" s="747"/>
      <c r="AK215" s="757"/>
      <c r="AL215" s="771">
        <v>5712.0099999999902</v>
      </c>
      <c r="AM215" s="747"/>
      <c r="AN215" s="757"/>
      <c r="AO215" s="771">
        <v>12880.5</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142202.62</v>
      </c>
      <c r="F216" s="776"/>
      <c r="G216" s="784"/>
      <c r="H216" s="775">
        <v>10769.71</v>
      </c>
      <c r="I216" s="776"/>
      <c r="J216" s="784"/>
      <c r="K216" s="775">
        <v>8609.4599999999991</v>
      </c>
      <c r="L216" s="776"/>
      <c r="M216" s="784"/>
      <c r="N216" s="775">
        <v>9376.94</v>
      </c>
      <c r="O216" s="776"/>
      <c r="P216" s="784"/>
      <c r="Q216" s="775">
        <v>13105.98</v>
      </c>
      <c r="R216" s="776"/>
      <c r="S216" s="784"/>
      <c r="T216" s="775">
        <v>12840.8</v>
      </c>
      <c r="U216" s="776"/>
      <c r="V216" s="784"/>
      <c r="W216" s="775">
        <v>13065.45</v>
      </c>
      <c r="X216" s="776"/>
      <c r="Y216" s="784"/>
      <c r="Z216" s="775">
        <v>15457.5</v>
      </c>
      <c r="AA216" s="776"/>
      <c r="AB216" s="784"/>
      <c r="AC216" s="775">
        <v>14407.05</v>
      </c>
      <c r="AD216" s="776"/>
      <c r="AE216" s="784"/>
      <c r="AF216" s="775">
        <v>4823.2700000000004</v>
      </c>
      <c r="AG216" s="776"/>
      <c r="AH216" s="784"/>
      <c r="AI216" s="775">
        <v>9794.68</v>
      </c>
      <c r="AJ216" s="776"/>
      <c r="AK216" s="784"/>
      <c r="AL216" s="775">
        <v>17367.310000000001</v>
      </c>
      <c r="AM216" s="776"/>
      <c r="AN216" s="784"/>
      <c r="AO216" s="775">
        <v>12584.47</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60051.459999999992</v>
      </c>
      <c r="F217" s="747"/>
      <c r="G217" s="757"/>
      <c r="H217" s="771">
        <v>5033.26</v>
      </c>
      <c r="I217" s="747"/>
      <c r="J217" s="757"/>
      <c r="K217" s="771">
        <v>4874.41</v>
      </c>
      <c r="L217" s="747"/>
      <c r="M217" s="757"/>
      <c r="N217" s="771">
        <v>4779.74</v>
      </c>
      <c r="O217" s="747"/>
      <c r="P217" s="757"/>
      <c r="Q217" s="771">
        <v>4927.17</v>
      </c>
      <c r="R217" s="747"/>
      <c r="S217" s="757"/>
      <c r="T217" s="771">
        <v>4890.13</v>
      </c>
      <c r="U217" s="747"/>
      <c r="V217" s="757"/>
      <c r="W217" s="771">
        <v>4395.78</v>
      </c>
      <c r="X217" s="747"/>
      <c r="Y217" s="757"/>
      <c r="Z217" s="771">
        <v>4412.6099999999997</v>
      </c>
      <c r="AA217" s="747"/>
      <c r="AB217" s="757"/>
      <c r="AC217" s="771">
        <v>5517.68</v>
      </c>
      <c r="AD217" s="747"/>
      <c r="AE217" s="757"/>
      <c r="AF217" s="771">
        <v>5940.99</v>
      </c>
      <c r="AG217" s="747"/>
      <c r="AH217" s="757"/>
      <c r="AI217" s="771">
        <v>5132.66</v>
      </c>
      <c r="AJ217" s="747"/>
      <c r="AK217" s="757"/>
      <c r="AL217" s="771">
        <v>4203.6499999999996</v>
      </c>
      <c r="AM217" s="747"/>
      <c r="AN217" s="757"/>
      <c r="AO217" s="771">
        <v>5943.38</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13765.83</v>
      </c>
      <c r="F218" s="747"/>
      <c r="G218" s="757"/>
      <c r="H218" s="771">
        <v>871.1</v>
      </c>
      <c r="I218" s="747"/>
      <c r="J218" s="757"/>
      <c r="K218" s="771">
        <v>280.83999999999997</v>
      </c>
      <c r="L218" s="747"/>
      <c r="M218" s="757"/>
      <c r="N218" s="771">
        <v>854.47</v>
      </c>
      <c r="O218" s="747"/>
      <c r="P218" s="757"/>
      <c r="Q218" s="771">
        <v>1797.78</v>
      </c>
      <c r="R218" s="747"/>
      <c r="S218" s="757"/>
      <c r="T218" s="771">
        <v>603.02</v>
      </c>
      <c r="U218" s="747"/>
      <c r="V218" s="757"/>
      <c r="W218" s="771">
        <v>1185.33</v>
      </c>
      <c r="X218" s="747"/>
      <c r="Y218" s="757"/>
      <c r="Z218" s="771">
        <v>1503.97</v>
      </c>
      <c r="AA218" s="747"/>
      <c r="AB218" s="757"/>
      <c r="AC218" s="771">
        <v>869.2</v>
      </c>
      <c r="AD218" s="747"/>
      <c r="AE218" s="757"/>
      <c r="AF218" s="771">
        <v>1402.71</v>
      </c>
      <c r="AG218" s="747"/>
      <c r="AH218" s="757"/>
      <c r="AI218" s="771">
        <v>997.62</v>
      </c>
      <c r="AJ218" s="747"/>
      <c r="AK218" s="757"/>
      <c r="AL218" s="771">
        <v>2288.3200000000002</v>
      </c>
      <c r="AM218" s="747"/>
      <c r="AN218" s="757"/>
      <c r="AO218" s="771">
        <v>1111.47</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149992.49</v>
      </c>
      <c r="F219" s="776"/>
      <c r="G219" s="784"/>
      <c r="H219" s="775">
        <v>12192</v>
      </c>
      <c r="I219" s="776"/>
      <c r="J219" s="784"/>
      <c r="K219" s="775">
        <v>10963.92</v>
      </c>
      <c r="L219" s="776"/>
      <c r="M219" s="784"/>
      <c r="N219" s="775">
        <v>7256.24</v>
      </c>
      <c r="O219" s="776"/>
      <c r="P219" s="784"/>
      <c r="Q219" s="775">
        <v>11142.48</v>
      </c>
      <c r="R219" s="776"/>
      <c r="S219" s="784"/>
      <c r="T219" s="775">
        <v>11277.68</v>
      </c>
      <c r="U219" s="776"/>
      <c r="V219" s="784"/>
      <c r="W219" s="775">
        <v>9357.9699999999993</v>
      </c>
      <c r="X219" s="776"/>
      <c r="Y219" s="784"/>
      <c r="Z219" s="775">
        <v>10931.7</v>
      </c>
      <c r="AA219" s="776"/>
      <c r="AB219" s="784"/>
      <c r="AC219" s="775">
        <v>14092.66</v>
      </c>
      <c r="AD219" s="776"/>
      <c r="AE219" s="784"/>
      <c r="AF219" s="775">
        <v>13426.65</v>
      </c>
      <c r="AG219" s="776"/>
      <c r="AH219" s="784"/>
      <c r="AI219" s="775">
        <v>18813.41</v>
      </c>
      <c r="AJ219" s="776"/>
      <c r="AK219" s="784"/>
      <c r="AL219" s="775">
        <v>14870.17</v>
      </c>
      <c r="AM219" s="776"/>
      <c r="AN219" s="784"/>
      <c r="AO219" s="775">
        <v>15667.61</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2"/>
        <v>ServiceFournitures autres</v>
      </c>
      <c r="B221" s="44" t="s">
        <v>135</v>
      </c>
      <c r="C221" s="747"/>
      <c r="D221" s="757"/>
      <c r="E221" s="758">
        <v>57317.820000000007</v>
      </c>
      <c r="F221" s="747"/>
      <c r="G221" s="757"/>
      <c r="H221" s="771">
        <v>6983.25</v>
      </c>
      <c r="I221" s="747"/>
      <c r="J221" s="757"/>
      <c r="K221" s="771">
        <v>5550.12</v>
      </c>
      <c r="L221" s="747"/>
      <c r="M221" s="757"/>
      <c r="N221" s="771">
        <v>3678.95</v>
      </c>
      <c r="O221" s="747"/>
      <c r="P221" s="757"/>
      <c r="Q221" s="771">
        <v>4529.47</v>
      </c>
      <c r="R221" s="747"/>
      <c r="S221" s="757"/>
      <c r="T221" s="771">
        <v>1539.27</v>
      </c>
      <c r="U221" s="747"/>
      <c r="V221" s="757"/>
      <c r="W221" s="771">
        <v>2780.21</v>
      </c>
      <c r="X221" s="747"/>
      <c r="Y221" s="757"/>
      <c r="Z221" s="771">
        <v>3252.8</v>
      </c>
      <c r="AA221" s="747"/>
      <c r="AB221" s="757"/>
      <c r="AC221" s="771">
        <v>4390.1400000000003</v>
      </c>
      <c r="AD221" s="747"/>
      <c r="AE221" s="757"/>
      <c r="AF221" s="771">
        <v>3918.87</v>
      </c>
      <c r="AG221" s="747"/>
      <c r="AH221" s="757"/>
      <c r="AI221" s="771">
        <v>6845.96</v>
      </c>
      <c r="AJ221" s="747"/>
      <c r="AK221" s="757"/>
      <c r="AL221" s="771">
        <v>4375.9799999999996</v>
      </c>
      <c r="AM221" s="747"/>
      <c r="AN221" s="757"/>
      <c r="AO221" s="771">
        <v>9472.7999999999993</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2"/>
        <v>ServiceUniformes</v>
      </c>
      <c r="B222" s="44" t="s">
        <v>136</v>
      </c>
      <c r="C222" s="747"/>
      <c r="D222" s="757"/>
      <c r="E222" s="758">
        <v>14535.6</v>
      </c>
      <c r="F222" s="747"/>
      <c r="G222" s="757"/>
      <c r="H222" s="771">
        <v>1327.56</v>
      </c>
      <c r="I222" s="747"/>
      <c r="J222" s="757"/>
      <c r="K222" s="771">
        <v>786.75</v>
      </c>
      <c r="L222" s="747"/>
      <c r="M222" s="757"/>
      <c r="N222" s="771">
        <v>858.19</v>
      </c>
      <c r="O222" s="747"/>
      <c r="P222" s="757"/>
      <c r="Q222" s="771">
        <v>893.35</v>
      </c>
      <c r="R222" s="747"/>
      <c r="S222" s="757"/>
      <c r="T222" s="771">
        <v>1556.43</v>
      </c>
      <c r="U222" s="747"/>
      <c r="V222" s="757"/>
      <c r="W222" s="771">
        <v>1811.25</v>
      </c>
      <c r="X222" s="747"/>
      <c r="Y222" s="757"/>
      <c r="Z222" s="771">
        <v>1654</v>
      </c>
      <c r="AA222" s="747"/>
      <c r="AB222" s="757"/>
      <c r="AC222" s="771">
        <v>583.12</v>
      </c>
      <c r="AD222" s="747"/>
      <c r="AE222" s="757"/>
      <c r="AF222" s="771">
        <v>798.78</v>
      </c>
      <c r="AG222" s="747"/>
      <c r="AH222" s="757"/>
      <c r="AI222" s="771">
        <v>2261.06</v>
      </c>
      <c r="AJ222" s="747"/>
      <c r="AK222" s="757"/>
      <c r="AL222" s="771">
        <v>960.28</v>
      </c>
      <c r="AM222" s="747"/>
      <c r="AN222" s="757"/>
      <c r="AO222" s="771">
        <v>1044.83</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2"/>
        <v>ServicePapeterie</v>
      </c>
      <c r="B223" s="44" t="s">
        <v>137</v>
      </c>
      <c r="C223" s="747"/>
      <c r="D223" s="757"/>
      <c r="E223" s="758">
        <v>12393.650000000001</v>
      </c>
      <c r="F223" s="747"/>
      <c r="G223" s="757"/>
      <c r="H223" s="771">
        <v>318.92</v>
      </c>
      <c r="I223" s="747"/>
      <c r="J223" s="757"/>
      <c r="K223" s="771">
        <v>1046.04</v>
      </c>
      <c r="L223" s="747"/>
      <c r="M223" s="757"/>
      <c r="N223" s="771">
        <v>139.71</v>
      </c>
      <c r="O223" s="747"/>
      <c r="P223" s="757"/>
      <c r="Q223" s="771">
        <v>479.88</v>
      </c>
      <c r="R223" s="747"/>
      <c r="S223" s="757"/>
      <c r="T223" s="771">
        <v>1120.67</v>
      </c>
      <c r="U223" s="747"/>
      <c r="V223" s="757"/>
      <c r="W223" s="771">
        <v>528.83000000000004</v>
      </c>
      <c r="X223" s="747"/>
      <c r="Y223" s="757"/>
      <c r="Z223" s="771">
        <v>695.18</v>
      </c>
      <c r="AA223" s="747"/>
      <c r="AB223" s="757"/>
      <c r="AC223" s="771">
        <v>2478.59</v>
      </c>
      <c r="AD223" s="747"/>
      <c r="AE223" s="757"/>
      <c r="AF223" s="771">
        <v>664.75</v>
      </c>
      <c r="AG223" s="747"/>
      <c r="AH223" s="757"/>
      <c r="AI223" s="771">
        <v>669.02</v>
      </c>
      <c r="AJ223" s="747"/>
      <c r="AK223" s="757"/>
      <c r="AL223" s="771">
        <v>1316.02</v>
      </c>
      <c r="AM223" s="747"/>
      <c r="AN223" s="757"/>
      <c r="AO223" s="771">
        <v>2936.04</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2"/>
        <v>ServiceTéléphone</v>
      </c>
      <c r="B224" s="44" t="s">
        <v>138</v>
      </c>
      <c r="C224" s="747"/>
      <c r="D224" s="757"/>
      <c r="E224" s="758">
        <v>2172.16</v>
      </c>
      <c r="F224" s="747"/>
      <c r="G224" s="757"/>
      <c r="H224" s="771">
        <v>155.93</v>
      </c>
      <c r="I224" s="747"/>
      <c r="J224" s="757"/>
      <c r="K224" s="771">
        <v>80.760000000000005</v>
      </c>
      <c r="L224" s="747"/>
      <c r="M224" s="757"/>
      <c r="N224" s="771">
        <v>98.64</v>
      </c>
      <c r="O224" s="747"/>
      <c r="P224" s="757"/>
      <c r="Q224" s="771">
        <v>330.28</v>
      </c>
      <c r="R224" s="747"/>
      <c r="S224" s="757"/>
      <c r="T224" s="771">
        <v>129.33000000000001</v>
      </c>
      <c r="U224" s="747"/>
      <c r="V224" s="757"/>
      <c r="W224" s="771">
        <v>124.01</v>
      </c>
      <c r="X224" s="747"/>
      <c r="Y224" s="757"/>
      <c r="Z224" s="771">
        <v>127.04</v>
      </c>
      <c r="AA224" s="747"/>
      <c r="AB224" s="757"/>
      <c r="AC224" s="771">
        <v>197.95</v>
      </c>
      <c r="AD224" s="747"/>
      <c r="AE224" s="757"/>
      <c r="AF224" s="771">
        <v>131.22</v>
      </c>
      <c r="AG224" s="747"/>
      <c r="AH224" s="757"/>
      <c r="AI224" s="771">
        <v>450.83</v>
      </c>
      <c r="AJ224" s="747"/>
      <c r="AK224" s="757"/>
      <c r="AL224" s="771">
        <v>184.09</v>
      </c>
      <c r="AM224" s="747"/>
      <c r="AN224" s="757"/>
      <c r="AO224" s="771">
        <v>162.08000000000001</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2"/>
        <v>ServiceFrais postaux</v>
      </c>
      <c r="B225" s="44" t="s">
        <v>139</v>
      </c>
      <c r="C225" s="747"/>
      <c r="D225" s="757"/>
      <c r="E225" s="758">
        <v>894.78</v>
      </c>
      <c r="F225" s="747"/>
      <c r="G225" s="757"/>
      <c r="H225" s="771">
        <v>200.35</v>
      </c>
      <c r="I225" s="747"/>
      <c r="J225" s="757"/>
      <c r="K225" s="771">
        <v>166.51</v>
      </c>
      <c r="L225" s="747"/>
      <c r="M225" s="757"/>
      <c r="N225" s="771">
        <v>208.68</v>
      </c>
      <c r="O225" s="747"/>
      <c r="P225" s="757"/>
      <c r="Q225" s="771">
        <v>7.92</v>
      </c>
      <c r="R225" s="747"/>
      <c r="S225" s="757"/>
      <c r="T225" s="771">
        <v>35.72</v>
      </c>
      <c r="U225" s="747"/>
      <c r="V225" s="757"/>
      <c r="W225" s="771">
        <v>24.72</v>
      </c>
      <c r="X225" s="747"/>
      <c r="Y225" s="757"/>
      <c r="Z225" s="771">
        <v>24.72</v>
      </c>
      <c r="AA225" s="747"/>
      <c r="AB225" s="757"/>
      <c r="AC225" s="771">
        <v>7.92</v>
      </c>
      <c r="AD225" s="747"/>
      <c r="AE225" s="757"/>
      <c r="AF225" s="771">
        <v>38.619999999999997</v>
      </c>
      <c r="AG225" s="747"/>
      <c r="AH225" s="757"/>
      <c r="AI225" s="771">
        <v>124.72</v>
      </c>
      <c r="AJ225" s="747"/>
      <c r="AK225" s="757"/>
      <c r="AL225" s="771">
        <v>30.18</v>
      </c>
      <c r="AM225" s="747"/>
      <c r="AN225" s="757"/>
      <c r="AO225" s="771">
        <v>24.72</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2"/>
        <v>ServiceDivers</v>
      </c>
      <c r="B226" s="44" t="s">
        <v>140</v>
      </c>
      <c r="C226" s="747"/>
      <c r="D226" s="757"/>
      <c r="E226" s="758">
        <v>1624.3500000000004</v>
      </c>
      <c r="F226" s="747"/>
      <c r="G226" s="757"/>
      <c r="H226" s="771">
        <v>77.44</v>
      </c>
      <c r="I226" s="747"/>
      <c r="J226" s="757"/>
      <c r="K226" s="771">
        <v>154.24</v>
      </c>
      <c r="L226" s="747"/>
      <c r="M226" s="757"/>
      <c r="N226" s="771">
        <v>191.99</v>
      </c>
      <c r="O226" s="747"/>
      <c r="P226" s="757"/>
      <c r="Q226" s="771">
        <v>151.44999999999999</v>
      </c>
      <c r="R226" s="747"/>
      <c r="S226" s="757"/>
      <c r="T226" s="771">
        <v>78.989999999999995</v>
      </c>
      <c r="U226" s="747"/>
      <c r="V226" s="757"/>
      <c r="W226" s="771">
        <v>92.81</v>
      </c>
      <c r="X226" s="747"/>
      <c r="Y226" s="757"/>
      <c r="Z226" s="771">
        <v>141.38</v>
      </c>
      <c r="AA226" s="747"/>
      <c r="AB226" s="757"/>
      <c r="AC226" s="771">
        <v>39.35</v>
      </c>
      <c r="AD226" s="747"/>
      <c r="AE226" s="757"/>
      <c r="AF226" s="771">
        <v>114</v>
      </c>
      <c r="AG226" s="747"/>
      <c r="AH226" s="757"/>
      <c r="AI226" s="771">
        <v>175.86</v>
      </c>
      <c r="AJ226" s="747"/>
      <c r="AK226" s="757"/>
      <c r="AL226" s="771">
        <v>335.11</v>
      </c>
      <c r="AM226" s="747"/>
      <c r="AN226" s="757"/>
      <c r="AO226" s="771">
        <v>71.73</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2"/>
        <v>ServiceFormation</v>
      </c>
      <c r="B227" s="44" t="s">
        <v>141</v>
      </c>
      <c r="C227" s="747"/>
      <c r="D227" s="757"/>
      <c r="E227" s="758">
        <v>23186.6</v>
      </c>
      <c r="F227" s="747"/>
      <c r="G227" s="757"/>
      <c r="H227" s="771">
        <v>3084.54</v>
      </c>
      <c r="I227" s="747"/>
      <c r="J227" s="757"/>
      <c r="K227" s="771">
        <v>4005.58</v>
      </c>
      <c r="L227" s="747"/>
      <c r="M227" s="757"/>
      <c r="N227" s="771">
        <v>3223.22</v>
      </c>
      <c r="O227" s="747"/>
      <c r="P227" s="757"/>
      <c r="Q227" s="771">
        <v>1114.8599999999999</v>
      </c>
      <c r="R227" s="747"/>
      <c r="S227" s="757"/>
      <c r="T227" s="771">
        <v>667.07</v>
      </c>
      <c r="U227" s="747"/>
      <c r="V227" s="757"/>
      <c r="W227" s="771">
        <v>3086.75</v>
      </c>
      <c r="X227" s="747"/>
      <c r="Y227" s="757"/>
      <c r="Z227" s="771">
        <v>2955.15</v>
      </c>
      <c r="AA227" s="747"/>
      <c r="AB227" s="757"/>
      <c r="AC227" s="771">
        <v>1993.64</v>
      </c>
      <c r="AD227" s="747"/>
      <c r="AE227" s="757"/>
      <c r="AF227" s="771">
        <v>1018.26</v>
      </c>
      <c r="AG227" s="747"/>
      <c r="AH227" s="757"/>
      <c r="AI227" s="771">
        <v>1357.17</v>
      </c>
      <c r="AJ227" s="747"/>
      <c r="AK227" s="757"/>
      <c r="AL227" s="771">
        <v>342.09</v>
      </c>
      <c r="AM227" s="747"/>
      <c r="AN227" s="757"/>
      <c r="AO227" s="771">
        <v>338.27</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2"/>
        <v>ServiceFrais bancaires</v>
      </c>
      <c r="B228" s="44" t="s">
        <v>142</v>
      </c>
      <c r="C228" s="747"/>
      <c r="D228" s="757"/>
      <c r="E228" s="758">
        <v>23688.240000000002</v>
      </c>
      <c r="F228" s="747"/>
      <c r="G228" s="757"/>
      <c r="H228" s="771">
        <v>1543.95</v>
      </c>
      <c r="I228" s="747"/>
      <c r="J228" s="757"/>
      <c r="K228" s="771">
        <v>1219.05</v>
      </c>
      <c r="L228" s="747"/>
      <c r="M228" s="757"/>
      <c r="N228" s="771">
        <v>1607.06</v>
      </c>
      <c r="O228" s="747"/>
      <c r="P228" s="757"/>
      <c r="Q228" s="771">
        <v>2138.54</v>
      </c>
      <c r="R228" s="747"/>
      <c r="S228" s="757"/>
      <c r="T228" s="771">
        <v>2375.2600000000002</v>
      </c>
      <c r="U228" s="747"/>
      <c r="V228" s="757"/>
      <c r="W228" s="771">
        <v>1678.9</v>
      </c>
      <c r="X228" s="747"/>
      <c r="Y228" s="757"/>
      <c r="Z228" s="771">
        <v>1859.4</v>
      </c>
      <c r="AA228" s="747"/>
      <c r="AB228" s="757"/>
      <c r="AC228" s="771">
        <v>1788.12</v>
      </c>
      <c r="AD228" s="747"/>
      <c r="AE228" s="757"/>
      <c r="AF228" s="771">
        <v>1633.56</v>
      </c>
      <c r="AG228" s="747"/>
      <c r="AH228" s="757"/>
      <c r="AI228" s="771">
        <v>2391.44</v>
      </c>
      <c r="AJ228" s="747"/>
      <c r="AK228" s="757"/>
      <c r="AL228" s="771">
        <v>3383.76</v>
      </c>
      <c r="AM228" s="747"/>
      <c r="AN228" s="757"/>
      <c r="AO228" s="771">
        <v>2069.1999999999998</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2"/>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2"/>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2"/>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2"/>
        <v>ServiceTOTAL SEMI-FIXES</v>
      </c>
      <c r="B232" s="53" t="s">
        <v>143</v>
      </c>
      <c r="C232" s="777" t="s">
        <v>175</v>
      </c>
      <c r="D232" s="778">
        <v>0.26494546090451715</v>
      </c>
      <c r="E232" s="779">
        <v>691656.6</v>
      </c>
      <c r="F232" s="777" t="s">
        <v>175</v>
      </c>
      <c r="G232" s="778">
        <v>0</v>
      </c>
      <c r="H232" s="779">
        <v>56695.249999999993</v>
      </c>
      <c r="I232" s="777" t="s">
        <v>175</v>
      </c>
      <c r="J232" s="778">
        <v>0</v>
      </c>
      <c r="K232" s="779">
        <v>51909.320000000007</v>
      </c>
      <c r="L232" s="777" t="s">
        <v>175</v>
      </c>
      <c r="M232" s="778">
        <v>0</v>
      </c>
      <c r="N232" s="779">
        <v>46590.06</v>
      </c>
      <c r="O232" s="777" t="s">
        <v>175</v>
      </c>
      <c r="P232" s="778">
        <v>0</v>
      </c>
      <c r="Q232" s="779">
        <v>53805.189999999995</v>
      </c>
      <c r="R232" s="777" t="s">
        <v>175</v>
      </c>
      <c r="S232" s="778">
        <v>0</v>
      </c>
      <c r="T232" s="779">
        <v>52267.889999999985</v>
      </c>
      <c r="U232" s="777" t="s">
        <v>175</v>
      </c>
      <c r="V232" s="778">
        <v>0</v>
      </c>
      <c r="W232" s="779">
        <v>53323.020000000004</v>
      </c>
      <c r="X232" s="777" t="s">
        <v>175</v>
      </c>
      <c r="Y232" s="778">
        <v>0</v>
      </c>
      <c r="Z232" s="779">
        <v>58602.1</v>
      </c>
      <c r="AA232" s="777" t="s">
        <v>175</v>
      </c>
      <c r="AB232" s="778">
        <v>0</v>
      </c>
      <c r="AC232" s="779">
        <v>59344.78</v>
      </c>
      <c r="AD232" s="777" t="s">
        <v>175</v>
      </c>
      <c r="AE232" s="778">
        <v>0</v>
      </c>
      <c r="AF232" s="779">
        <v>47692.570000000007</v>
      </c>
      <c r="AG232" s="777" t="s">
        <v>175</v>
      </c>
      <c r="AH232" s="778">
        <v>0</v>
      </c>
      <c r="AI232" s="779">
        <v>67921.36</v>
      </c>
      <c r="AJ232" s="777" t="s">
        <v>175</v>
      </c>
      <c r="AK232" s="778">
        <v>0</v>
      </c>
      <c r="AL232" s="779">
        <v>67328.479999999967</v>
      </c>
      <c r="AM232" s="777" t="s">
        <v>175</v>
      </c>
      <c r="AN232" s="778">
        <v>0</v>
      </c>
      <c r="AO232" s="779">
        <v>76176.579999999987</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2"/>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2"/>
        <v>ServiceTOTAL DES DÉPENSES</v>
      </c>
      <c r="B234" s="53" t="s">
        <v>144</v>
      </c>
      <c r="C234" s="777" t="s">
        <v>119</v>
      </c>
      <c r="D234" s="815">
        <v>0.82667835554102886</v>
      </c>
      <c r="E234" s="789">
        <v>2158095.25</v>
      </c>
      <c r="F234" s="777" t="s">
        <v>119</v>
      </c>
      <c r="G234" s="815">
        <v>0</v>
      </c>
      <c r="H234" s="789">
        <v>168019.33</v>
      </c>
      <c r="I234" s="777" t="s">
        <v>119</v>
      </c>
      <c r="J234" s="815">
        <v>0</v>
      </c>
      <c r="K234" s="789">
        <v>156758.58000000002</v>
      </c>
      <c r="L234" s="777" t="s">
        <v>119</v>
      </c>
      <c r="M234" s="815">
        <v>0</v>
      </c>
      <c r="N234" s="789">
        <v>158492.56</v>
      </c>
      <c r="O234" s="777" t="s">
        <v>119</v>
      </c>
      <c r="P234" s="815">
        <v>0</v>
      </c>
      <c r="Q234" s="789">
        <v>194209.49</v>
      </c>
      <c r="R234" s="777" t="s">
        <v>119</v>
      </c>
      <c r="S234" s="815">
        <v>0</v>
      </c>
      <c r="T234" s="789">
        <v>205105.98999999996</v>
      </c>
      <c r="U234" s="777" t="s">
        <v>119</v>
      </c>
      <c r="V234" s="815">
        <v>0</v>
      </c>
      <c r="W234" s="789">
        <v>171216.76</v>
      </c>
      <c r="X234" s="777" t="s">
        <v>119</v>
      </c>
      <c r="Y234" s="815">
        <v>0</v>
      </c>
      <c r="Z234" s="789">
        <v>167834.38999999998</v>
      </c>
      <c r="AA234" s="777" t="s">
        <v>119</v>
      </c>
      <c r="AB234" s="815">
        <v>0</v>
      </c>
      <c r="AC234" s="789">
        <v>188200.39</v>
      </c>
      <c r="AD234" s="777" t="s">
        <v>119</v>
      </c>
      <c r="AE234" s="815">
        <v>0</v>
      </c>
      <c r="AF234" s="789">
        <v>157002.6</v>
      </c>
      <c r="AG234" s="777" t="s">
        <v>119</v>
      </c>
      <c r="AH234" s="815">
        <v>0</v>
      </c>
      <c r="AI234" s="789">
        <v>192021.84</v>
      </c>
      <c r="AJ234" s="777" t="s">
        <v>119</v>
      </c>
      <c r="AK234" s="815">
        <v>0</v>
      </c>
      <c r="AL234" s="789">
        <v>220930.41999999998</v>
      </c>
      <c r="AM234" s="777" t="s">
        <v>119</v>
      </c>
      <c r="AN234" s="815">
        <v>0</v>
      </c>
      <c r="AO234" s="789">
        <v>178302.89999999997</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2"/>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thickBot="1">
      <c r="A236" s="39" t="str">
        <f t="shared" si="2"/>
        <v>ServicePROFIT DÉPARTEMENTAL</v>
      </c>
      <c r="B236" s="57" t="s">
        <v>151</v>
      </c>
      <c r="C236" s="816"/>
      <c r="D236" s="817"/>
      <c r="E236" s="798">
        <v>452466.92999999598</v>
      </c>
      <c r="F236" s="816"/>
      <c r="G236" s="817"/>
      <c r="H236" s="798">
        <v>-16541.799999999988</v>
      </c>
      <c r="I236" s="816"/>
      <c r="J236" s="817"/>
      <c r="K236" s="798">
        <v>-18629.00000000032</v>
      </c>
      <c r="L236" s="816"/>
      <c r="M236" s="817"/>
      <c r="N236" s="798">
        <v>5962.109999999986</v>
      </c>
      <c r="O236" s="816"/>
      <c r="P236" s="817"/>
      <c r="Q236" s="798">
        <v>66162.689999999886</v>
      </c>
      <c r="R236" s="816"/>
      <c r="S236" s="817"/>
      <c r="T236" s="798">
        <v>76851.019999999815</v>
      </c>
      <c r="U236" s="816"/>
      <c r="V236" s="817"/>
      <c r="W236" s="798">
        <v>13291.389999999839</v>
      </c>
      <c r="X236" s="816"/>
      <c r="Y236" s="817"/>
      <c r="Z236" s="798">
        <v>39282.569999999803</v>
      </c>
      <c r="AA236" s="816"/>
      <c r="AB236" s="817"/>
      <c r="AC236" s="798">
        <v>28831.489999999001</v>
      </c>
      <c r="AD236" s="816"/>
      <c r="AE236" s="817"/>
      <c r="AF236" s="798">
        <v>39786.380000000005</v>
      </c>
      <c r="AG236" s="816"/>
      <c r="AH236" s="817"/>
      <c r="AI236" s="798">
        <v>76516.149999999005</v>
      </c>
      <c r="AJ236" s="816"/>
      <c r="AK236" s="817"/>
      <c r="AL236" s="798">
        <v>131387.45999999897</v>
      </c>
      <c r="AM236" s="816"/>
      <c r="AN236" s="817"/>
      <c r="AO236" s="798">
        <v>9566.469999999943</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3935</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thickBo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thickTop="1">
      <c r="A241" s="39"/>
      <c r="B241" s="40" t="s">
        <v>3</v>
      </c>
      <c r="C241" s="969">
        <v>2024</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92" si="3">+$C$239&amp;B242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3"/>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3"/>
        <v>CarrosserieM/O Sous-traitement</v>
      </c>
      <c r="B244" s="44" t="s">
        <v>177</v>
      </c>
      <c r="C244" s="819">
        <v>141</v>
      </c>
      <c r="D244" s="770">
        <v>325852.72999999986</v>
      </c>
      <c r="E244" s="758">
        <v>66661.97999999988</v>
      </c>
      <c r="F244" s="820">
        <v>53</v>
      </c>
      <c r="G244" s="821">
        <v>98781.13</v>
      </c>
      <c r="H244" s="771">
        <v>17818.689999999999</v>
      </c>
      <c r="I244" s="820">
        <v>26</v>
      </c>
      <c r="J244" s="821">
        <v>73373.929999999993</v>
      </c>
      <c r="K244" s="771">
        <v>7724.71</v>
      </c>
      <c r="L244" s="820">
        <v>14</v>
      </c>
      <c r="M244" s="821">
        <v>24014.21</v>
      </c>
      <c r="N244" s="771">
        <v>6434.36</v>
      </c>
      <c r="O244" s="820">
        <v>22</v>
      </c>
      <c r="P244" s="821">
        <v>71665.97</v>
      </c>
      <c r="Q244" s="771">
        <v>17236.2599999999</v>
      </c>
      <c r="R244" s="820">
        <v>1</v>
      </c>
      <c r="S244" s="821">
        <v>2841.31</v>
      </c>
      <c r="T244" s="771">
        <v>1481.92</v>
      </c>
      <c r="U244" s="820">
        <v>0</v>
      </c>
      <c r="V244" s="821">
        <v>502.19</v>
      </c>
      <c r="W244" s="771">
        <v>502.19</v>
      </c>
      <c r="X244" s="820">
        <v>0</v>
      </c>
      <c r="Y244" s="821">
        <v>866.04</v>
      </c>
      <c r="Z244" s="771">
        <v>866.04</v>
      </c>
      <c r="AA244" s="820">
        <v>3</v>
      </c>
      <c r="AB244" s="821">
        <v>5841.65</v>
      </c>
      <c r="AC244" s="771">
        <v>618.04999999999995</v>
      </c>
      <c r="AD244" s="820">
        <v>4</v>
      </c>
      <c r="AE244" s="821">
        <v>10846.7499999999</v>
      </c>
      <c r="AF244" s="771">
        <v>4670.5899999999901</v>
      </c>
      <c r="AG244" s="820">
        <v>4</v>
      </c>
      <c r="AH244" s="821">
        <v>10936.23</v>
      </c>
      <c r="AI244" s="771">
        <v>3830.0299999999902</v>
      </c>
      <c r="AJ244" s="820">
        <v>3</v>
      </c>
      <c r="AK244" s="821">
        <v>8391.06</v>
      </c>
      <c r="AL244" s="771">
        <v>2134.2399999999998</v>
      </c>
      <c r="AM244" s="820">
        <v>11</v>
      </c>
      <c r="AN244" s="821">
        <v>17792.259999999998</v>
      </c>
      <c r="AO244" s="771">
        <v>3344.9</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3"/>
        <v>Carrosserie% profit / ventes</v>
      </c>
      <c r="B245" s="44" t="s">
        <v>165</v>
      </c>
      <c r="C245" s="819"/>
      <c r="D245" s="757"/>
      <c r="E245" s="822">
        <v>0.20457701858136929</v>
      </c>
      <c r="F245" s="819"/>
      <c r="G245" s="757"/>
      <c r="H245" s="822">
        <v>0.18038556554273066</v>
      </c>
      <c r="I245" s="819"/>
      <c r="J245" s="757"/>
      <c r="K245" s="822">
        <v>0.10527867322903381</v>
      </c>
      <c r="L245" s="819"/>
      <c r="M245" s="757"/>
      <c r="N245" s="822">
        <v>0.26793969070812657</v>
      </c>
      <c r="O245" s="819"/>
      <c r="P245" s="757"/>
      <c r="Q245" s="822">
        <v>0.24050829145269226</v>
      </c>
      <c r="R245" s="819"/>
      <c r="S245" s="757"/>
      <c r="T245" s="822">
        <v>0.52156223713709526</v>
      </c>
      <c r="U245" s="819"/>
      <c r="V245" s="757"/>
      <c r="W245" s="822">
        <v>1</v>
      </c>
      <c r="X245" s="819"/>
      <c r="Y245" s="757"/>
      <c r="Z245" s="822">
        <v>1</v>
      </c>
      <c r="AA245" s="819"/>
      <c r="AB245" s="757"/>
      <c r="AC245" s="822">
        <v>0.10580058716287351</v>
      </c>
      <c r="AD245" s="819"/>
      <c r="AE245" s="757"/>
      <c r="AF245" s="822">
        <v>0.43059810542328653</v>
      </c>
      <c r="AG245" s="819"/>
      <c r="AH245" s="757"/>
      <c r="AI245" s="822">
        <v>0.35021483637414269</v>
      </c>
      <c r="AJ245" s="819"/>
      <c r="AK245" s="757"/>
      <c r="AL245" s="822">
        <v>0.25434688823581286</v>
      </c>
      <c r="AM245" s="819"/>
      <c r="AN245" s="757"/>
      <c r="AO245" s="822">
        <v>0.18799747755484691</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3"/>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3"/>
        <v>CarrosserieM/O Carrosserie</v>
      </c>
      <c r="B247" s="42" t="s">
        <v>178</v>
      </c>
      <c r="C247" s="826">
        <v>0</v>
      </c>
      <c r="D247" s="827">
        <v>0</v>
      </c>
      <c r="E247" s="782">
        <v>0</v>
      </c>
      <c r="F247" s="828">
        <v>0</v>
      </c>
      <c r="G247" s="829">
        <v>0</v>
      </c>
      <c r="H247" s="783">
        <v>0</v>
      </c>
      <c r="I247" s="828">
        <v>0</v>
      </c>
      <c r="J247" s="829">
        <v>0</v>
      </c>
      <c r="K247" s="783">
        <v>0</v>
      </c>
      <c r="L247" s="828">
        <v>0</v>
      </c>
      <c r="M247" s="829">
        <v>0</v>
      </c>
      <c r="N247" s="783">
        <v>0</v>
      </c>
      <c r="O247" s="828">
        <v>0</v>
      </c>
      <c r="P247" s="829">
        <v>0</v>
      </c>
      <c r="Q247" s="783">
        <v>0</v>
      </c>
      <c r="R247" s="828">
        <v>0</v>
      </c>
      <c r="S247" s="829">
        <v>0</v>
      </c>
      <c r="T247" s="783">
        <v>0</v>
      </c>
      <c r="U247" s="828">
        <v>0</v>
      </c>
      <c r="V247" s="829">
        <v>0</v>
      </c>
      <c r="W247" s="783">
        <v>0</v>
      </c>
      <c r="X247" s="828">
        <v>0</v>
      </c>
      <c r="Y247" s="829">
        <v>0</v>
      </c>
      <c r="Z247" s="783">
        <v>0</v>
      </c>
      <c r="AA247" s="828">
        <v>0</v>
      </c>
      <c r="AB247" s="829">
        <v>0</v>
      </c>
      <c r="AC247" s="783">
        <v>0</v>
      </c>
      <c r="AD247" s="828">
        <v>0</v>
      </c>
      <c r="AE247" s="829">
        <v>0</v>
      </c>
      <c r="AF247" s="783">
        <v>0</v>
      </c>
      <c r="AG247" s="828">
        <v>0</v>
      </c>
      <c r="AH247" s="829">
        <v>0</v>
      </c>
      <c r="AI247" s="783">
        <v>0</v>
      </c>
      <c r="AJ247" s="828">
        <v>0</v>
      </c>
      <c r="AK247" s="829">
        <v>0</v>
      </c>
      <c r="AL247" s="783">
        <v>0</v>
      </c>
      <c r="AM247" s="828">
        <v>0</v>
      </c>
      <c r="AN247" s="829">
        <v>0</v>
      </c>
      <c r="AO247" s="783">
        <v>0</v>
      </c>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3"/>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3"/>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3"/>
        <v>CarrosserieM/O Esthétique Carr.</v>
      </c>
      <c r="B250" s="42" t="s">
        <v>179</v>
      </c>
      <c r="C250" s="826">
        <v>0</v>
      </c>
      <c r="D250" s="827">
        <v>0</v>
      </c>
      <c r="E250" s="782">
        <v>0</v>
      </c>
      <c r="F250" s="828">
        <v>0</v>
      </c>
      <c r="G250" s="829">
        <v>0</v>
      </c>
      <c r="H250" s="783">
        <v>0</v>
      </c>
      <c r="I250" s="828">
        <v>0</v>
      </c>
      <c r="J250" s="829">
        <v>0</v>
      </c>
      <c r="K250" s="783">
        <v>0</v>
      </c>
      <c r="L250" s="828">
        <v>0</v>
      </c>
      <c r="M250" s="829">
        <v>0</v>
      </c>
      <c r="N250" s="783">
        <v>0</v>
      </c>
      <c r="O250" s="828">
        <v>0</v>
      </c>
      <c r="P250" s="829">
        <v>0</v>
      </c>
      <c r="Q250" s="783">
        <v>0</v>
      </c>
      <c r="R250" s="828">
        <v>0</v>
      </c>
      <c r="S250" s="829">
        <v>0</v>
      </c>
      <c r="T250" s="783">
        <v>0</v>
      </c>
      <c r="U250" s="828">
        <v>0</v>
      </c>
      <c r="V250" s="829">
        <v>0</v>
      </c>
      <c r="W250" s="783">
        <v>0</v>
      </c>
      <c r="X250" s="828">
        <v>0</v>
      </c>
      <c r="Y250" s="829">
        <v>0</v>
      </c>
      <c r="Z250" s="783">
        <v>0</v>
      </c>
      <c r="AA250" s="828">
        <v>0</v>
      </c>
      <c r="AB250" s="829">
        <v>0</v>
      </c>
      <c r="AC250" s="783">
        <v>0</v>
      </c>
      <c r="AD250" s="828">
        <v>0</v>
      </c>
      <c r="AE250" s="829">
        <v>0</v>
      </c>
      <c r="AF250" s="783">
        <v>0</v>
      </c>
      <c r="AG250" s="828">
        <v>0</v>
      </c>
      <c r="AH250" s="829">
        <v>0</v>
      </c>
      <c r="AI250" s="783">
        <v>0</v>
      </c>
      <c r="AJ250" s="828">
        <v>0</v>
      </c>
      <c r="AK250" s="829">
        <v>0</v>
      </c>
      <c r="AL250" s="783">
        <v>0</v>
      </c>
      <c r="AM250" s="828">
        <v>0</v>
      </c>
      <c r="AN250" s="829">
        <v>0</v>
      </c>
      <c r="AO250" s="783">
        <v>0</v>
      </c>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3"/>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thickBot="1">
      <c r="A252" s="39" t="str">
        <f t="shared" si="3"/>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Top="1">
      <c r="A253" s="39" t="str">
        <f t="shared" si="3"/>
        <v>CarrosserieTotal Mécanique</v>
      </c>
      <c r="B253" s="49" t="s">
        <v>174</v>
      </c>
      <c r="C253" s="759"/>
      <c r="D253" s="850">
        <v>325852.72999999986</v>
      </c>
      <c r="E253" s="761">
        <v>66661.97999999988</v>
      </c>
      <c r="F253" s="759"/>
      <c r="G253" s="850">
        <v>98781.13</v>
      </c>
      <c r="H253" s="761">
        <v>17818.689999999999</v>
      </c>
      <c r="I253" s="759"/>
      <c r="J253" s="850">
        <v>73373.929999999993</v>
      </c>
      <c r="K253" s="761">
        <v>7724.71</v>
      </c>
      <c r="L253" s="759"/>
      <c r="M253" s="850">
        <v>24014.21</v>
      </c>
      <c r="N253" s="761">
        <v>6434.36</v>
      </c>
      <c r="O253" s="759"/>
      <c r="P253" s="850">
        <v>71665.97</v>
      </c>
      <c r="Q253" s="761">
        <v>17236.2599999999</v>
      </c>
      <c r="R253" s="759"/>
      <c r="S253" s="850">
        <v>2841.31</v>
      </c>
      <c r="T253" s="761">
        <v>1481.92</v>
      </c>
      <c r="U253" s="759"/>
      <c r="V253" s="850">
        <v>502.19</v>
      </c>
      <c r="W253" s="761">
        <v>502.19</v>
      </c>
      <c r="X253" s="759"/>
      <c r="Y253" s="850">
        <v>866.04</v>
      </c>
      <c r="Z253" s="761">
        <v>866.04</v>
      </c>
      <c r="AA253" s="759"/>
      <c r="AB253" s="850">
        <v>5841.65</v>
      </c>
      <c r="AC253" s="761">
        <v>618.04999999999995</v>
      </c>
      <c r="AD253" s="759"/>
      <c r="AE253" s="850">
        <v>10846.7499999999</v>
      </c>
      <c r="AF253" s="761">
        <v>4670.5899999999901</v>
      </c>
      <c r="AG253" s="759"/>
      <c r="AH253" s="850">
        <v>10936.23</v>
      </c>
      <c r="AI253" s="761">
        <v>3830.0299999999902</v>
      </c>
      <c r="AJ253" s="759"/>
      <c r="AK253" s="850">
        <v>8391.06</v>
      </c>
      <c r="AL253" s="761">
        <v>2134.2399999999998</v>
      </c>
      <c r="AM253" s="759"/>
      <c r="AN253" s="850">
        <v>17792.259999999998</v>
      </c>
      <c r="AO253" s="761">
        <v>3344.9</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Bot="1">
      <c r="A254" s="39" t="str">
        <f t="shared" si="3"/>
        <v>Carrosserie</v>
      </c>
      <c r="B254" s="50"/>
      <c r="C254" s="762"/>
      <c r="D254" s="763"/>
      <c r="E254" s="851">
        <v>0.20457701858136929</v>
      </c>
      <c r="F254" s="762"/>
      <c r="G254" s="763"/>
      <c r="H254" s="851">
        <v>0.18038556554273066</v>
      </c>
      <c r="I254" s="762"/>
      <c r="J254" s="763"/>
      <c r="K254" s="851">
        <v>0.10527867322903381</v>
      </c>
      <c r="L254" s="762"/>
      <c r="M254" s="763"/>
      <c r="N254" s="851">
        <v>0.26793969070812657</v>
      </c>
      <c r="O254" s="762"/>
      <c r="P254" s="763"/>
      <c r="Q254" s="851">
        <v>0.24050829145269226</v>
      </c>
      <c r="R254" s="762"/>
      <c r="S254" s="763"/>
      <c r="T254" s="851">
        <v>0.52156223713709526</v>
      </c>
      <c r="U254" s="762"/>
      <c r="V254" s="763"/>
      <c r="W254" s="851">
        <v>1</v>
      </c>
      <c r="X254" s="762"/>
      <c r="Y254" s="763"/>
      <c r="Z254" s="851">
        <v>1</v>
      </c>
      <c r="AA254" s="762"/>
      <c r="AB254" s="763"/>
      <c r="AC254" s="851">
        <v>0.10580058716287351</v>
      </c>
      <c r="AD254" s="762"/>
      <c r="AE254" s="763"/>
      <c r="AF254" s="851">
        <v>0.43059810542328653</v>
      </c>
      <c r="AG254" s="762"/>
      <c r="AH254" s="763"/>
      <c r="AI254" s="851">
        <v>0.35021483637414269</v>
      </c>
      <c r="AJ254" s="762"/>
      <c r="AK254" s="763"/>
      <c r="AL254" s="851">
        <v>0.25434688823581286</v>
      </c>
      <c r="AM254" s="762"/>
      <c r="AN254" s="763"/>
      <c r="AO254" s="851">
        <v>0.18799747755484691</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thickTop="1">
      <c r="A255" s="39" t="str">
        <f t="shared" si="3"/>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3"/>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3"/>
        <v>CarrosserieSalaires cadres</v>
      </c>
      <c r="B257" s="54" t="s">
        <v>120</v>
      </c>
      <c r="C257" s="747"/>
      <c r="D257" s="757"/>
      <c r="E257" s="758">
        <v>10822.559999999998</v>
      </c>
      <c r="F257" s="747"/>
      <c r="G257" s="757"/>
      <c r="H257" s="771">
        <v>901.88</v>
      </c>
      <c r="I257" s="747"/>
      <c r="J257" s="757"/>
      <c r="K257" s="771">
        <v>901.88</v>
      </c>
      <c r="L257" s="747"/>
      <c r="M257" s="757"/>
      <c r="N257" s="771">
        <v>901.88</v>
      </c>
      <c r="O257" s="747"/>
      <c r="P257" s="757"/>
      <c r="Q257" s="771">
        <v>901.88</v>
      </c>
      <c r="R257" s="747"/>
      <c r="S257" s="757"/>
      <c r="T257" s="771">
        <v>901.88</v>
      </c>
      <c r="U257" s="747"/>
      <c r="V257" s="757"/>
      <c r="W257" s="771">
        <v>901.88</v>
      </c>
      <c r="X257" s="747"/>
      <c r="Y257" s="757"/>
      <c r="Z257" s="771">
        <v>901.88</v>
      </c>
      <c r="AA257" s="747"/>
      <c r="AB257" s="757"/>
      <c r="AC257" s="771">
        <v>901.88</v>
      </c>
      <c r="AD257" s="747"/>
      <c r="AE257" s="757"/>
      <c r="AF257" s="771">
        <v>901.88</v>
      </c>
      <c r="AG257" s="747"/>
      <c r="AH257" s="757"/>
      <c r="AI257" s="771">
        <v>901.88</v>
      </c>
      <c r="AJ257" s="747"/>
      <c r="AK257" s="757"/>
      <c r="AL257" s="771">
        <v>901.88</v>
      </c>
      <c r="AM257" s="747"/>
      <c r="AN257" s="757"/>
      <c r="AO257" s="771">
        <v>901.88</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3"/>
        <v>CarrosserieSalaires commis</v>
      </c>
      <c r="B258" s="55" t="s">
        <v>121</v>
      </c>
      <c r="C258" s="747"/>
      <c r="D258" s="757"/>
      <c r="E258" s="758">
        <v>26730.240000000002</v>
      </c>
      <c r="F258" s="747"/>
      <c r="G258" s="757"/>
      <c r="H258" s="771">
        <v>4508.6400000000003</v>
      </c>
      <c r="I258" s="747"/>
      <c r="J258" s="757"/>
      <c r="K258" s="771">
        <v>4544.6099999999997</v>
      </c>
      <c r="L258" s="747"/>
      <c r="M258" s="757"/>
      <c r="N258" s="771">
        <v>738.54</v>
      </c>
      <c r="O258" s="747"/>
      <c r="P258" s="757"/>
      <c r="Q258" s="771">
        <v>452.67</v>
      </c>
      <c r="R258" s="747"/>
      <c r="S258" s="757"/>
      <c r="T258" s="771">
        <v>492.92</v>
      </c>
      <c r="U258" s="747"/>
      <c r="V258" s="757"/>
      <c r="W258" s="771">
        <v>198.91</v>
      </c>
      <c r="X258" s="747"/>
      <c r="Y258" s="757"/>
      <c r="Z258" s="771">
        <v>2105.37</v>
      </c>
      <c r="AA258" s="747"/>
      <c r="AB258" s="757"/>
      <c r="AC258" s="771">
        <v>462.59</v>
      </c>
      <c r="AD258" s="747"/>
      <c r="AE258" s="757"/>
      <c r="AF258" s="771">
        <v>446.82</v>
      </c>
      <c r="AG258" s="747"/>
      <c r="AH258" s="757"/>
      <c r="AI258" s="771">
        <v>3190.36</v>
      </c>
      <c r="AJ258" s="747"/>
      <c r="AK258" s="757"/>
      <c r="AL258" s="771">
        <v>5141.84</v>
      </c>
      <c r="AM258" s="747"/>
      <c r="AN258" s="757"/>
      <c r="AO258" s="771">
        <v>4446.97</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3"/>
        <v>CarrosserieSalaires autres</v>
      </c>
      <c r="B259" s="54" t="s">
        <v>122</v>
      </c>
      <c r="C259" s="780"/>
      <c r="D259" s="781"/>
      <c r="E259" s="782">
        <v>1.4100000000000004</v>
      </c>
      <c r="F259" s="780"/>
      <c r="G259" s="781"/>
      <c r="H259" s="783">
        <v>0.08</v>
      </c>
      <c r="I259" s="780"/>
      <c r="J259" s="781"/>
      <c r="K259" s="783">
        <v>0.08</v>
      </c>
      <c r="L259" s="780"/>
      <c r="M259" s="781"/>
      <c r="N259" s="783">
        <v>0.08</v>
      </c>
      <c r="O259" s="780"/>
      <c r="P259" s="781"/>
      <c r="Q259" s="783">
        <v>0.13</v>
      </c>
      <c r="R259" s="780"/>
      <c r="S259" s="781"/>
      <c r="T259" s="783">
        <v>0.48</v>
      </c>
      <c r="U259" s="780"/>
      <c r="V259" s="781"/>
      <c r="W259" s="783">
        <v>0.08</v>
      </c>
      <c r="X259" s="780"/>
      <c r="Y259" s="781"/>
      <c r="Z259" s="783">
        <v>0.08</v>
      </c>
      <c r="AA259" s="780"/>
      <c r="AB259" s="781"/>
      <c r="AC259" s="783">
        <v>0.08</v>
      </c>
      <c r="AD259" s="780"/>
      <c r="AE259" s="781"/>
      <c r="AF259" s="783">
        <v>0.08</v>
      </c>
      <c r="AG259" s="780"/>
      <c r="AH259" s="781"/>
      <c r="AI259" s="783">
        <v>0.08</v>
      </c>
      <c r="AJ259" s="780"/>
      <c r="AK259" s="781"/>
      <c r="AL259" s="783">
        <v>0.08</v>
      </c>
      <c r="AM259" s="780"/>
      <c r="AN259" s="781"/>
      <c r="AO259" s="783">
        <v>0.08</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3"/>
        <v>CarrosserieSalaires spécialistes</v>
      </c>
      <c r="B260" s="54" t="s">
        <v>123</v>
      </c>
      <c r="C260" s="747"/>
      <c r="D260" s="757"/>
      <c r="E260" s="758">
        <v>0</v>
      </c>
      <c r="F260" s="747"/>
      <c r="G260" s="757"/>
      <c r="H260" s="771">
        <v>0</v>
      </c>
      <c r="I260" s="747"/>
      <c r="J260" s="757"/>
      <c r="K260" s="771">
        <v>0</v>
      </c>
      <c r="L260" s="747"/>
      <c r="M260" s="757"/>
      <c r="N260" s="771">
        <v>0</v>
      </c>
      <c r="O260" s="747"/>
      <c r="P260" s="757"/>
      <c r="Q260" s="771">
        <v>0</v>
      </c>
      <c r="R260" s="747"/>
      <c r="S260" s="757"/>
      <c r="T260" s="771">
        <v>0</v>
      </c>
      <c r="U260" s="747"/>
      <c r="V260" s="757"/>
      <c r="W260" s="771">
        <v>0</v>
      </c>
      <c r="X260" s="747"/>
      <c r="Y260" s="757"/>
      <c r="Z260" s="771">
        <v>0</v>
      </c>
      <c r="AA260" s="747"/>
      <c r="AB260" s="757"/>
      <c r="AC260" s="771">
        <v>0</v>
      </c>
      <c r="AD260" s="747"/>
      <c r="AE260" s="757"/>
      <c r="AF260" s="771">
        <v>0</v>
      </c>
      <c r="AG260" s="747"/>
      <c r="AH260" s="757"/>
      <c r="AI260" s="771">
        <v>0</v>
      </c>
      <c r="AJ260" s="747"/>
      <c r="AK260" s="757"/>
      <c r="AL260" s="771">
        <v>0</v>
      </c>
      <c r="AM260" s="747"/>
      <c r="AN260" s="757"/>
      <c r="AO260" s="771">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3"/>
        <v>Carrosserie[...]</v>
      </c>
      <c r="B261" s="44" t="s">
        <v>59</v>
      </c>
      <c r="C261" s="747"/>
      <c r="D261" s="757"/>
      <c r="E261" s="758">
        <v>0</v>
      </c>
      <c r="F261" s="747"/>
      <c r="G261" s="757"/>
      <c r="H261" s="771"/>
      <c r="I261" s="747"/>
      <c r="J261" s="757"/>
      <c r="K261" s="771"/>
      <c r="L261" s="747"/>
      <c r="M261" s="757"/>
      <c r="N261" s="771"/>
      <c r="O261" s="747"/>
      <c r="P261" s="757"/>
      <c r="Q261" s="771"/>
      <c r="R261" s="747"/>
      <c r="S261" s="757"/>
      <c r="T261" s="771"/>
      <c r="U261" s="747"/>
      <c r="V261" s="757"/>
      <c r="W261" s="771"/>
      <c r="X261" s="747"/>
      <c r="Y261" s="757"/>
      <c r="Z261" s="771"/>
      <c r="AA261" s="747"/>
      <c r="AB261" s="757"/>
      <c r="AC261" s="771"/>
      <c r="AD261" s="747"/>
      <c r="AE261" s="757"/>
      <c r="AF261" s="771"/>
      <c r="AG261" s="747"/>
      <c r="AH261" s="757"/>
      <c r="AI261" s="771"/>
      <c r="AJ261" s="747"/>
      <c r="AK261" s="757"/>
      <c r="AL261" s="771"/>
      <c r="AM261" s="747"/>
      <c r="AN261" s="757"/>
      <c r="AO261" s="771"/>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3"/>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3"/>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3"/>
        <v>CarrosserieSalaires en absences</v>
      </c>
      <c r="B264" s="55" t="s">
        <v>124</v>
      </c>
      <c r="C264" s="747"/>
      <c r="D264" s="757"/>
      <c r="E264" s="758">
        <v>5683.9500000000007</v>
      </c>
      <c r="F264" s="747"/>
      <c r="G264" s="757"/>
      <c r="H264" s="771">
        <v>379.52</v>
      </c>
      <c r="I264" s="747"/>
      <c r="J264" s="757"/>
      <c r="K264" s="771">
        <v>1216.42</v>
      </c>
      <c r="L264" s="747"/>
      <c r="M264" s="757"/>
      <c r="N264" s="771">
        <v>237.49</v>
      </c>
      <c r="O264" s="747"/>
      <c r="P264" s="757"/>
      <c r="Q264" s="771">
        <v>148.47</v>
      </c>
      <c r="R264" s="747"/>
      <c r="S264" s="757"/>
      <c r="T264" s="771">
        <v>608.66999999999996</v>
      </c>
      <c r="U264" s="747"/>
      <c r="V264" s="757"/>
      <c r="W264" s="771">
        <v>1128.79</v>
      </c>
      <c r="X264" s="747"/>
      <c r="Y264" s="757"/>
      <c r="Z264" s="771">
        <v>226.46</v>
      </c>
      <c r="AA264" s="747"/>
      <c r="AB264" s="757"/>
      <c r="AC264" s="771">
        <v>154.49</v>
      </c>
      <c r="AD264" s="747"/>
      <c r="AE264" s="757"/>
      <c r="AF264" s="771">
        <v>222.13</v>
      </c>
      <c r="AG264" s="747"/>
      <c r="AH264" s="757"/>
      <c r="AI264" s="771">
        <v>398.46</v>
      </c>
      <c r="AJ264" s="747"/>
      <c r="AK264" s="757"/>
      <c r="AL264" s="771">
        <v>406.6</v>
      </c>
      <c r="AM264" s="747"/>
      <c r="AN264" s="757"/>
      <c r="AO264" s="771">
        <v>556.45000000000005</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3"/>
        <v>CarrosserieDéduction à la source</v>
      </c>
      <c r="B265" s="54" t="s">
        <v>125</v>
      </c>
      <c r="C265" s="780"/>
      <c r="D265" s="781"/>
      <c r="E265" s="782">
        <v>13637.2</v>
      </c>
      <c r="F265" s="780"/>
      <c r="G265" s="781"/>
      <c r="H265" s="783">
        <v>1532.32</v>
      </c>
      <c r="I265" s="780"/>
      <c r="J265" s="781"/>
      <c r="K265" s="783">
        <v>1778.75</v>
      </c>
      <c r="L265" s="780"/>
      <c r="M265" s="781"/>
      <c r="N265" s="783">
        <v>944.32</v>
      </c>
      <c r="O265" s="780"/>
      <c r="P265" s="781"/>
      <c r="Q265" s="783">
        <v>830.33</v>
      </c>
      <c r="R265" s="780"/>
      <c r="S265" s="781"/>
      <c r="T265" s="783">
        <v>1185.3800000000001</v>
      </c>
      <c r="U265" s="780"/>
      <c r="V265" s="781"/>
      <c r="W265" s="783">
        <v>811.68</v>
      </c>
      <c r="X265" s="780"/>
      <c r="Y265" s="781"/>
      <c r="Z265" s="783">
        <v>1014.72</v>
      </c>
      <c r="AA265" s="780"/>
      <c r="AB265" s="781"/>
      <c r="AC265" s="783">
        <v>853.69</v>
      </c>
      <c r="AD265" s="780"/>
      <c r="AE265" s="781"/>
      <c r="AF265" s="783">
        <v>801.22</v>
      </c>
      <c r="AG265" s="780"/>
      <c r="AH265" s="781"/>
      <c r="AI265" s="783">
        <v>1174.77</v>
      </c>
      <c r="AJ265" s="780"/>
      <c r="AK265" s="781"/>
      <c r="AL265" s="783">
        <v>1444.92</v>
      </c>
      <c r="AM265" s="780"/>
      <c r="AN265" s="781"/>
      <c r="AO265" s="783">
        <v>1265.0999999999999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3"/>
        <v>CarrosserieBénéfices marginaux</v>
      </c>
      <c r="B266" s="54" t="s">
        <v>126</v>
      </c>
      <c r="C266" s="747"/>
      <c r="D266" s="757"/>
      <c r="E266" s="758">
        <v>1807.78</v>
      </c>
      <c r="F266" s="747"/>
      <c r="G266" s="757"/>
      <c r="H266" s="771">
        <v>433.49</v>
      </c>
      <c r="I266" s="747"/>
      <c r="J266" s="757"/>
      <c r="K266" s="771">
        <v>509.86</v>
      </c>
      <c r="L266" s="747"/>
      <c r="M266" s="757"/>
      <c r="N266" s="771">
        <v>403.68</v>
      </c>
      <c r="O266" s="747"/>
      <c r="P266" s="757"/>
      <c r="Q266" s="771">
        <v>325.86</v>
      </c>
      <c r="R266" s="747"/>
      <c r="S266" s="757"/>
      <c r="T266" s="771">
        <v>293.75</v>
      </c>
      <c r="U266" s="747"/>
      <c r="V266" s="757"/>
      <c r="W266" s="771">
        <v>-0.25</v>
      </c>
      <c r="X266" s="747"/>
      <c r="Y266" s="757"/>
      <c r="Z266" s="771">
        <v>112.9</v>
      </c>
      <c r="AA266" s="747"/>
      <c r="AB266" s="757"/>
      <c r="AC266" s="771">
        <v>122.97</v>
      </c>
      <c r="AD266" s="747"/>
      <c r="AE266" s="757"/>
      <c r="AF266" s="771">
        <v>97.21</v>
      </c>
      <c r="AG266" s="747"/>
      <c r="AH266" s="757"/>
      <c r="AI266" s="771">
        <v>284.64999999999998</v>
      </c>
      <c r="AJ266" s="747"/>
      <c r="AK266" s="757"/>
      <c r="AL266" s="771">
        <v>-1117.54</v>
      </c>
      <c r="AM266" s="747"/>
      <c r="AN266" s="757"/>
      <c r="AO266" s="771">
        <v>341.2</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3"/>
        <v>CarrosserieCsst</v>
      </c>
      <c r="B267" s="54" t="s">
        <v>127</v>
      </c>
      <c r="C267" s="747"/>
      <c r="D267" s="757"/>
      <c r="E267" s="758">
        <v>1749.5200000000004</v>
      </c>
      <c r="F267" s="747"/>
      <c r="G267" s="757"/>
      <c r="H267" s="771">
        <v>166.98</v>
      </c>
      <c r="I267" s="747"/>
      <c r="J267" s="757"/>
      <c r="K267" s="771">
        <v>207.37</v>
      </c>
      <c r="L267" s="747"/>
      <c r="M267" s="757"/>
      <c r="N267" s="771">
        <v>91.84</v>
      </c>
      <c r="O267" s="747"/>
      <c r="P267" s="757"/>
      <c r="Q267" s="771">
        <v>127.2</v>
      </c>
      <c r="R267" s="747"/>
      <c r="S267" s="757"/>
      <c r="T267" s="771">
        <v>120.18</v>
      </c>
      <c r="U267" s="747"/>
      <c r="V267" s="757"/>
      <c r="W267" s="771">
        <v>24.4</v>
      </c>
      <c r="X267" s="747"/>
      <c r="Y267" s="757"/>
      <c r="Z267" s="771">
        <v>83.33</v>
      </c>
      <c r="AA267" s="747"/>
      <c r="AB267" s="757"/>
      <c r="AC267" s="771">
        <v>190.46</v>
      </c>
      <c r="AD267" s="747"/>
      <c r="AE267" s="757"/>
      <c r="AF267" s="771">
        <v>42.2</v>
      </c>
      <c r="AG267" s="747"/>
      <c r="AH267" s="757"/>
      <c r="AI267" s="771">
        <v>104.48</v>
      </c>
      <c r="AJ267" s="747"/>
      <c r="AK267" s="757"/>
      <c r="AL267" s="771">
        <v>151.38999999999999</v>
      </c>
      <c r="AM267" s="747"/>
      <c r="AN267" s="757"/>
      <c r="AO267" s="771">
        <v>439.69</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3"/>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3"/>
        <v>CarrosserieTOTAL PERSONNEL</v>
      </c>
      <c r="B269" s="53" t="s">
        <v>128</v>
      </c>
      <c r="C269" s="777" t="s">
        <v>119</v>
      </c>
      <c r="D269" s="778">
        <v>0</v>
      </c>
      <c r="E269" s="779">
        <v>60432.66</v>
      </c>
      <c r="F269" s="777" t="s">
        <v>119</v>
      </c>
      <c r="G269" s="778">
        <v>0</v>
      </c>
      <c r="H269" s="779">
        <v>7922.91</v>
      </c>
      <c r="I269" s="777" t="s">
        <v>119</v>
      </c>
      <c r="J269" s="778">
        <v>0</v>
      </c>
      <c r="K269" s="779">
        <v>9158.9700000000012</v>
      </c>
      <c r="L269" s="777" t="s">
        <v>119</v>
      </c>
      <c r="M269" s="778">
        <v>0</v>
      </c>
      <c r="N269" s="779">
        <v>3317.83</v>
      </c>
      <c r="O269" s="777" t="s">
        <v>119</v>
      </c>
      <c r="P269" s="778">
        <v>0</v>
      </c>
      <c r="Q269" s="779">
        <v>2786.54</v>
      </c>
      <c r="R269" s="777" t="s">
        <v>119</v>
      </c>
      <c r="S269" s="778">
        <v>0</v>
      </c>
      <c r="T269" s="779">
        <v>3603.2599999999998</v>
      </c>
      <c r="U269" s="777" t="s">
        <v>119</v>
      </c>
      <c r="V269" s="778">
        <v>0</v>
      </c>
      <c r="W269" s="779">
        <v>3065.49</v>
      </c>
      <c r="X269" s="777" t="s">
        <v>119</v>
      </c>
      <c r="Y269" s="778">
        <v>0</v>
      </c>
      <c r="Z269" s="779">
        <v>4444.74</v>
      </c>
      <c r="AA269" s="777" t="s">
        <v>119</v>
      </c>
      <c r="AB269" s="778">
        <v>0</v>
      </c>
      <c r="AC269" s="779">
        <v>2686.16</v>
      </c>
      <c r="AD269" s="777" t="s">
        <v>119</v>
      </c>
      <c r="AE269" s="778">
        <v>0</v>
      </c>
      <c r="AF269" s="779">
        <v>2511.54</v>
      </c>
      <c r="AG269" s="777" t="s">
        <v>119</v>
      </c>
      <c r="AH269" s="778">
        <v>0</v>
      </c>
      <c r="AI269" s="779">
        <v>6054.6799999999985</v>
      </c>
      <c r="AJ269" s="777" t="s">
        <v>119</v>
      </c>
      <c r="AK269" s="778">
        <v>0</v>
      </c>
      <c r="AL269" s="779">
        <v>6929.170000000001</v>
      </c>
      <c r="AM269" s="777" t="s">
        <v>119</v>
      </c>
      <c r="AN269" s="778">
        <v>0</v>
      </c>
      <c r="AO269" s="779">
        <v>7951.369999999999</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3"/>
        <v>CarrosseriePublicité 2</v>
      </c>
      <c r="B270" s="63" t="s">
        <v>129</v>
      </c>
      <c r="C270" s="747"/>
      <c r="D270" s="757"/>
      <c r="E270" s="758">
        <v>891.76</v>
      </c>
      <c r="F270" s="747"/>
      <c r="G270" s="757"/>
      <c r="H270" s="771">
        <v>63.4</v>
      </c>
      <c r="I270" s="747"/>
      <c r="J270" s="757"/>
      <c r="K270" s="771">
        <v>7</v>
      </c>
      <c r="L270" s="747"/>
      <c r="M270" s="757"/>
      <c r="N270" s="771">
        <v>0</v>
      </c>
      <c r="O270" s="747"/>
      <c r="P270" s="757"/>
      <c r="Q270" s="771">
        <v>57.6</v>
      </c>
      <c r="R270" s="747"/>
      <c r="S270" s="757"/>
      <c r="T270" s="771">
        <v>154.94999999999999</v>
      </c>
      <c r="U270" s="747"/>
      <c r="V270" s="757"/>
      <c r="W270" s="771">
        <v>175</v>
      </c>
      <c r="X270" s="747"/>
      <c r="Y270" s="757"/>
      <c r="Z270" s="771">
        <v>79.41</v>
      </c>
      <c r="AA270" s="747"/>
      <c r="AB270" s="757"/>
      <c r="AC270" s="771">
        <v>15.15</v>
      </c>
      <c r="AD270" s="747"/>
      <c r="AE270" s="757"/>
      <c r="AF270" s="771">
        <v>110.1</v>
      </c>
      <c r="AG270" s="747"/>
      <c r="AH270" s="757"/>
      <c r="AI270" s="771">
        <v>43.75</v>
      </c>
      <c r="AJ270" s="747"/>
      <c r="AK270" s="757"/>
      <c r="AL270" s="771">
        <v>142.51</v>
      </c>
      <c r="AM270" s="747"/>
      <c r="AN270" s="757"/>
      <c r="AO270" s="771">
        <v>42.89</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3"/>
        <v>CarrosserieService gratuit 2</v>
      </c>
      <c r="B271" s="54" t="s">
        <v>130</v>
      </c>
      <c r="C271" s="747"/>
      <c r="D271" s="757"/>
      <c r="E271" s="758">
        <v>14248.440000000002</v>
      </c>
      <c r="F271" s="747"/>
      <c r="G271" s="757"/>
      <c r="H271" s="771">
        <v>579.51</v>
      </c>
      <c r="I271" s="747"/>
      <c r="J271" s="757"/>
      <c r="K271" s="771">
        <v>1286.08</v>
      </c>
      <c r="L271" s="747"/>
      <c r="M271" s="757"/>
      <c r="N271" s="771">
        <v>-1658.94</v>
      </c>
      <c r="O271" s="747"/>
      <c r="P271" s="757"/>
      <c r="Q271" s="771">
        <v>966.44</v>
      </c>
      <c r="R271" s="747"/>
      <c r="S271" s="757"/>
      <c r="T271" s="771">
        <v>389.26</v>
      </c>
      <c r="U271" s="747"/>
      <c r="V271" s="757"/>
      <c r="W271" s="771">
        <v>750</v>
      </c>
      <c r="X271" s="747"/>
      <c r="Y271" s="757"/>
      <c r="Z271" s="771">
        <v>1150</v>
      </c>
      <c r="AA271" s="747"/>
      <c r="AB271" s="757"/>
      <c r="AC271" s="771">
        <v>770</v>
      </c>
      <c r="AD271" s="747"/>
      <c r="AE271" s="757"/>
      <c r="AF271" s="771">
        <v>2260.6799999999998</v>
      </c>
      <c r="AG271" s="747"/>
      <c r="AH271" s="757"/>
      <c r="AI271" s="771">
        <v>2509.87</v>
      </c>
      <c r="AJ271" s="747"/>
      <c r="AK271" s="757"/>
      <c r="AL271" s="771">
        <v>2866.52</v>
      </c>
      <c r="AM271" s="747"/>
      <c r="AN271" s="757"/>
      <c r="AO271" s="771">
        <v>2379.02</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3"/>
        <v>CarrosserieFrais véhicules de cie</v>
      </c>
      <c r="B272" s="55" t="s">
        <v>131</v>
      </c>
      <c r="C272" s="776"/>
      <c r="D272" s="784"/>
      <c r="E272" s="774">
        <v>2244.34</v>
      </c>
      <c r="F272" s="776"/>
      <c r="G272" s="784"/>
      <c r="H272" s="775">
        <v>157.77000000000001</v>
      </c>
      <c r="I272" s="776"/>
      <c r="J272" s="784"/>
      <c r="K272" s="775">
        <v>157.77000000000001</v>
      </c>
      <c r="L272" s="776"/>
      <c r="M272" s="784"/>
      <c r="N272" s="775">
        <v>177.91</v>
      </c>
      <c r="O272" s="776"/>
      <c r="P272" s="784"/>
      <c r="Q272" s="775">
        <v>157.77000000000001</v>
      </c>
      <c r="R272" s="776"/>
      <c r="S272" s="784"/>
      <c r="T272" s="775">
        <v>177.91</v>
      </c>
      <c r="U272" s="776"/>
      <c r="V272" s="784"/>
      <c r="W272" s="775">
        <v>157.77000000000001</v>
      </c>
      <c r="X272" s="776"/>
      <c r="Y272" s="784"/>
      <c r="Z272" s="775">
        <v>157.77000000000001</v>
      </c>
      <c r="AA272" s="776"/>
      <c r="AB272" s="784"/>
      <c r="AC272" s="775">
        <v>291.91000000000003</v>
      </c>
      <c r="AD272" s="776"/>
      <c r="AE272" s="784"/>
      <c r="AF272" s="775">
        <v>157.77000000000001</v>
      </c>
      <c r="AG272" s="776"/>
      <c r="AH272" s="784"/>
      <c r="AI272" s="775">
        <v>157.77000000000001</v>
      </c>
      <c r="AJ272" s="776"/>
      <c r="AK272" s="784"/>
      <c r="AL272" s="775">
        <v>327.31</v>
      </c>
      <c r="AM272" s="776"/>
      <c r="AN272" s="784"/>
      <c r="AO272" s="775">
        <v>164.91</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3"/>
        <v>CarrosserieInformatique</v>
      </c>
      <c r="B273" s="54" t="s">
        <v>132</v>
      </c>
      <c r="C273" s="747"/>
      <c r="D273" s="757"/>
      <c r="E273" s="758">
        <v>17245.68</v>
      </c>
      <c r="F273" s="747"/>
      <c r="G273" s="757"/>
      <c r="H273" s="771">
        <v>1418.89</v>
      </c>
      <c r="I273" s="747"/>
      <c r="J273" s="757"/>
      <c r="K273" s="771">
        <v>1571.81</v>
      </c>
      <c r="L273" s="747"/>
      <c r="M273" s="757"/>
      <c r="N273" s="771">
        <v>1460.17</v>
      </c>
      <c r="O273" s="747"/>
      <c r="P273" s="757"/>
      <c r="Q273" s="771">
        <v>1612.47</v>
      </c>
      <c r="R273" s="747"/>
      <c r="S273" s="757"/>
      <c r="T273" s="771">
        <v>1501.65</v>
      </c>
      <c r="U273" s="747"/>
      <c r="V273" s="757"/>
      <c r="W273" s="771">
        <v>1485.99</v>
      </c>
      <c r="X273" s="747"/>
      <c r="Y273" s="757"/>
      <c r="Z273" s="771">
        <v>118.65</v>
      </c>
      <c r="AA273" s="747"/>
      <c r="AB273" s="757"/>
      <c r="AC273" s="771">
        <v>2157.6799999999998</v>
      </c>
      <c r="AD273" s="747"/>
      <c r="AE273" s="757"/>
      <c r="AF273" s="771">
        <v>1444.63</v>
      </c>
      <c r="AG273" s="747"/>
      <c r="AH273" s="757"/>
      <c r="AI273" s="771">
        <v>1640.35</v>
      </c>
      <c r="AJ273" s="747"/>
      <c r="AK273" s="757"/>
      <c r="AL273" s="771">
        <v>1468.27</v>
      </c>
      <c r="AM273" s="747"/>
      <c r="AN273" s="757"/>
      <c r="AO273" s="771">
        <v>1365.12</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3"/>
        <v>CarrosserieFrais de déplacement</v>
      </c>
      <c r="B274" s="54" t="s">
        <v>133</v>
      </c>
      <c r="C274" s="747"/>
      <c r="D274" s="757"/>
      <c r="E274" s="758">
        <v>3145.26</v>
      </c>
      <c r="F274" s="747"/>
      <c r="G274" s="757"/>
      <c r="H274" s="771">
        <v>106.13</v>
      </c>
      <c r="I274" s="747"/>
      <c r="J274" s="757"/>
      <c r="K274" s="771">
        <v>50.49</v>
      </c>
      <c r="L274" s="747"/>
      <c r="M274" s="757"/>
      <c r="N274" s="771">
        <v>182.73</v>
      </c>
      <c r="O274" s="747"/>
      <c r="P274" s="757"/>
      <c r="Q274" s="771">
        <v>509.97</v>
      </c>
      <c r="R274" s="747"/>
      <c r="S274" s="757"/>
      <c r="T274" s="771">
        <v>163.65</v>
      </c>
      <c r="U274" s="747"/>
      <c r="V274" s="757"/>
      <c r="W274" s="771">
        <v>257.27999999999997</v>
      </c>
      <c r="X274" s="747"/>
      <c r="Y274" s="757"/>
      <c r="Z274" s="771">
        <v>280.61</v>
      </c>
      <c r="AA274" s="747"/>
      <c r="AB274" s="757"/>
      <c r="AC274" s="771">
        <v>253.51</v>
      </c>
      <c r="AD274" s="747"/>
      <c r="AE274" s="757"/>
      <c r="AF274" s="771">
        <v>395.97</v>
      </c>
      <c r="AG274" s="747"/>
      <c r="AH274" s="757"/>
      <c r="AI274" s="771">
        <v>290.95999999999998</v>
      </c>
      <c r="AJ274" s="747"/>
      <c r="AK274" s="757"/>
      <c r="AL274" s="771">
        <v>409.31</v>
      </c>
      <c r="AM274" s="747"/>
      <c r="AN274" s="757"/>
      <c r="AO274" s="771">
        <v>244.65</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3"/>
        <v>CarrosserieServices extérieurs</v>
      </c>
      <c r="B275" s="54" t="s">
        <v>134</v>
      </c>
      <c r="C275" s="776"/>
      <c r="D275" s="784"/>
      <c r="E275" s="774">
        <v>8681.18</v>
      </c>
      <c r="F275" s="776"/>
      <c r="G275" s="784"/>
      <c r="H275" s="775">
        <v>870.53</v>
      </c>
      <c r="I275" s="776"/>
      <c r="J275" s="784"/>
      <c r="K275" s="775">
        <v>608.6</v>
      </c>
      <c r="L275" s="776"/>
      <c r="M275" s="784"/>
      <c r="N275" s="775">
        <v>562.91</v>
      </c>
      <c r="O275" s="776"/>
      <c r="P275" s="784"/>
      <c r="Q275" s="775">
        <v>617.34</v>
      </c>
      <c r="R275" s="776"/>
      <c r="S275" s="784"/>
      <c r="T275" s="775">
        <v>699.86</v>
      </c>
      <c r="U275" s="776"/>
      <c r="V275" s="784"/>
      <c r="W275" s="775">
        <v>774.31</v>
      </c>
      <c r="X275" s="776"/>
      <c r="Y275" s="784"/>
      <c r="Z275" s="775">
        <v>824.74</v>
      </c>
      <c r="AA275" s="776"/>
      <c r="AB275" s="784"/>
      <c r="AC275" s="775">
        <v>380.15</v>
      </c>
      <c r="AD275" s="776"/>
      <c r="AE275" s="784"/>
      <c r="AF275" s="775">
        <v>890.04</v>
      </c>
      <c r="AG275" s="776"/>
      <c r="AH275" s="784"/>
      <c r="AI275" s="775">
        <v>964.68</v>
      </c>
      <c r="AJ275" s="776"/>
      <c r="AK275" s="784"/>
      <c r="AL275" s="775">
        <v>820.44</v>
      </c>
      <c r="AM275" s="776"/>
      <c r="AN275" s="784"/>
      <c r="AO275" s="775">
        <v>667.58</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3"/>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3"/>
        <v>CarrosserieFournitures autres</v>
      </c>
      <c r="B277" s="63" t="s">
        <v>135</v>
      </c>
      <c r="C277" s="747"/>
      <c r="D277" s="757"/>
      <c r="E277" s="758">
        <v>43</v>
      </c>
      <c r="F277" s="747"/>
      <c r="G277" s="757"/>
      <c r="H277" s="771">
        <v>0</v>
      </c>
      <c r="I277" s="747"/>
      <c r="J277" s="757"/>
      <c r="K277" s="771">
        <v>0</v>
      </c>
      <c r="L277" s="747"/>
      <c r="M277" s="757"/>
      <c r="N277" s="771">
        <v>0</v>
      </c>
      <c r="O277" s="747"/>
      <c r="P277" s="757"/>
      <c r="Q277" s="771">
        <v>7.93</v>
      </c>
      <c r="R277" s="747"/>
      <c r="S277" s="757"/>
      <c r="T277" s="771">
        <v>0</v>
      </c>
      <c r="U277" s="747"/>
      <c r="V277" s="757"/>
      <c r="W277" s="771">
        <v>1</v>
      </c>
      <c r="X277" s="747"/>
      <c r="Y277" s="757"/>
      <c r="Z277" s="771">
        <v>2.8</v>
      </c>
      <c r="AA277" s="747"/>
      <c r="AB277" s="757"/>
      <c r="AC277" s="771">
        <v>18.48</v>
      </c>
      <c r="AD277" s="747"/>
      <c r="AE277" s="757"/>
      <c r="AF277" s="771">
        <v>0</v>
      </c>
      <c r="AG277" s="747"/>
      <c r="AH277" s="757"/>
      <c r="AI277" s="771">
        <v>0</v>
      </c>
      <c r="AJ277" s="747"/>
      <c r="AK277" s="757"/>
      <c r="AL277" s="771">
        <v>0</v>
      </c>
      <c r="AM277" s="747"/>
      <c r="AN277" s="757"/>
      <c r="AO277" s="771">
        <v>12.79</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3"/>
        <v>CarrosserieUniformes</v>
      </c>
      <c r="B278" s="54" t="s">
        <v>136</v>
      </c>
      <c r="C278" s="747"/>
      <c r="D278" s="757"/>
      <c r="E278" s="758">
        <v>0</v>
      </c>
      <c r="F278" s="747"/>
      <c r="G278" s="757"/>
      <c r="H278" s="771">
        <v>0</v>
      </c>
      <c r="I278" s="747"/>
      <c r="J278" s="757"/>
      <c r="K278" s="771">
        <v>0</v>
      </c>
      <c r="L278" s="747"/>
      <c r="M278" s="757"/>
      <c r="N278" s="771">
        <v>0</v>
      </c>
      <c r="O278" s="747"/>
      <c r="P278" s="757"/>
      <c r="Q278" s="771">
        <v>0</v>
      </c>
      <c r="R278" s="747"/>
      <c r="S278" s="757"/>
      <c r="T278" s="771">
        <v>0</v>
      </c>
      <c r="U278" s="747"/>
      <c r="V278" s="757"/>
      <c r="W278" s="771">
        <v>0</v>
      </c>
      <c r="X278" s="747"/>
      <c r="Y278" s="757"/>
      <c r="Z278" s="771">
        <v>0</v>
      </c>
      <c r="AA278" s="747"/>
      <c r="AB278" s="757"/>
      <c r="AC278" s="771">
        <v>0</v>
      </c>
      <c r="AD278" s="747"/>
      <c r="AE278" s="757"/>
      <c r="AF278" s="771">
        <v>0</v>
      </c>
      <c r="AG278" s="747"/>
      <c r="AH278" s="757"/>
      <c r="AI278" s="771">
        <v>0</v>
      </c>
      <c r="AJ278" s="747"/>
      <c r="AK278" s="757"/>
      <c r="AL278" s="771">
        <v>0</v>
      </c>
      <c r="AM278" s="747"/>
      <c r="AN278" s="757"/>
      <c r="AO278" s="771">
        <v>0</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3"/>
        <v>CarrosseriePapeterie</v>
      </c>
      <c r="B279" s="54" t="s">
        <v>137</v>
      </c>
      <c r="C279" s="747"/>
      <c r="D279" s="757"/>
      <c r="E279" s="758">
        <v>1676.52</v>
      </c>
      <c r="F279" s="747"/>
      <c r="G279" s="757"/>
      <c r="H279" s="771">
        <v>93.02</v>
      </c>
      <c r="I279" s="747"/>
      <c r="J279" s="757"/>
      <c r="K279" s="771">
        <v>291.27</v>
      </c>
      <c r="L279" s="747"/>
      <c r="M279" s="757"/>
      <c r="N279" s="771">
        <v>40.75</v>
      </c>
      <c r="O279" s="747"/>
      <c r="P279" s="757"/>
      <c r="Q279" s="771">
        <v>83.36</v>
      </c>
      <c r="R279" s="747"/>
      <c r="S279" s="757"/>
      <c r="T279" s="771">
        <v>193.7</v>
      </c>
      <c r="U279" s="747"/>
      <c r="V279" s="757"/>
      <c r="W279" s="771">
        <v>84.87</v>
      </c>
      <c r="X279" s="747"/>
      <c r="Y279" s="757"/>
      <c r="Z279" s="771">
        <v>77.989999999999995</v>
      </c>
      <c r="AA279" s="747"/>
      <c r="AB279" s="757"/>
      <c r="AC279" s="771">
        <v>225.24</v>
      </c>
      <c r="AD279" s="747"/>
      <c r="AE279" s="757"/>
      <c r="AF279" s="771">
        <v>137.44</v>
      </c>
      <c r="AG279" s="747"/>
      <c r="AH279" s="757"/>
      <c r="AI279" s="771">
        <v>82.59</v>
      </c>
      <c r="AJ279" s="747"/>
      <c r="AK279" s="757"/>
      <c r="AL279" s="771">
        <v>276.14</v>
      </c>
      <c r="AM279" s="747"/>
      <c r="AN279" s="757"/>
      <c r="AO279" s="771">
        <v>90.15</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3"/>
        <v>CarrosserieTéléphone</v>
      </c>
      <c r="B280" s="54" t="s">
        <v>138</v>
      </c>
      <c r="C280" s="747"/>
      <c r="D280" s="757"/>
      <c r="E280" s="758">
        <v>353.69999999999993</v>
      </c>
      <c r="F280" s="747"/>
      <c r="G280" s="757"/>
      <c r="H280" s="771">
        <v>37.409999999999997</v>
      </c>
      <c r="I280" s="747"/>
      <c r="J280" s="757"/>
      <c r="K280" s="771">
        <v>23.57</v>
      </c>
      <c r="L280" s="747"/>
      <c r="M280" s="757"/>
      <c r="N280" s="771">
        <v>28.78</v>
      </c>
      <c r="O280" s="747"/>
      <c r="P280" s="757"/>
      <c r="Q280" s="771">
        <v>23.66</v>
      </c>
      <c r="R280" s="747"/>
      <c r="S280" s="757"/>
      <c r="T280" s="771">
        <v>24.27</v>
      </c>
      <c r="U280" s="747"/>
      <c r="V280" s="757"/>
      <c r="W280" s="771">
        <v>25.41</v>
      </c>
      <c r="X280" s="747"/>
      <c r="Y280" s="757"/>
      <c r="Z280" s="771">
        <v>26.3</v>
      </c>
      <c r="AA280" s="747"/>
      <c r="AB280" s="757"/>
      <c r="AC280" s="771">
        <v>44.29</v>
      </c>
      <c r="AD280" s="747"/>
      <c r="AE280" s="757"/>
      <c r="AF280" s="771">
        <v>27.51</v>
      </c>
      <c r="AG280" s="747"/>
      <c r="AH280" s="757"/>
      <c r="AI280" s="771">
        <v>39.97</v>
      </c>
      <c r="AJ280" s="747"/>
      <c r="AK280" s="757"/>
      <c r="AL280" s="771">
        <v>26.78</v>
      </c>
      <c r="AM280" s="747"/>
      <c r="AN280" s="757"/>
      <c r="AO280" s="771">
        <v>25.75</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3"/>
        <v>CarrosserieFrais postaux</v>
      </c>
      <c r="B281" s="54" t="s">
        <v>139</v>
      </c>
      <c r="C281" s="747"/>
      <c r="D281" s="757"/>
      <c r="E281" s="758">
        <v>196.06000000000006</v>
      </c>
      <c r="F281" s="747"/>
      <c r="G281" s="757"/>
      <c r="H281" s="771">
        <v>34.840000000000003</v>
      </c>
      <c r="I281" s="747"/>
      <c r="J281" s="757"/>
      <c r="K281" s="771">
        <v>48.57</v>
      </c>
      <c r="L281" s="747"/>
      <c r="M281" s="757"/>
      <c r="N281" s="771">
        <v>60.87</v>
      </c>
      <c r="O281" s="747"/>
      <c r="P281" s="757"/>
      <c r="Q281" s="771">
        <v>2.31</v>
      </c>
      <c r="R281" s="747"/>
      <c r="S281" s="757"/>
      <c r="T281" s="771">
        <v>2.31</v>
      </c>
      <c r="U281" s="747"/>
      <c r="V281" s="757"/>
      <c r="W281" s="771">
        <v>7.21</v>
      </c>
      <c r="X281" s="747"/>
      <c r="Y281" s="757"/>
      <c r="Z281" s="771">
        <v>7.21</v>
      </c>
      <c r="AA281" s="747"/>
      <c r="AB281" s="757"/>
      <c r="AC281" s="771">
        <v>2.31</v>
      </c>
      <c r="AD281" s="747"/>
      <c r="AE281" s="757"/>
      <c r="AF281" s="771">
        <v>7.21</v>
      </c>
      <c r="AG281" s="747"/>
      <c r="AH281" s="757"/>
      <c r="AI281" s="771">
        <v>7.21</v>
      </c>
      <c r="AJ281" s="747"/>
      <c r="AK281" s="757"/>
      <c r="AL281" s="771">
        <v>8.8000000000000007</v>
      </c>
      <c r="AM281" s="747"/>
      <c r="AN281" s="757"/>
      <c r="AO281" s="771">
        <v>7.21</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3"/>
        <v>CarrosserieDivers</v>
      </c>
      <c r="B282" s="54" t="s">
        <v>140</v>
      </c>
      <c r="C282" s="747"/>
      <c r="D282" s="757"/>
      <c r="E282" s="758">
        <v>473.89</v>
      </c>
      <c r="F282" s="747"/>
      <c r="G282" s="757"/>
      <c r="H282" s="771">
        <v>22.59</v>
      </c>
      <c r="I282" s="747"/>
      <c r="J282" s="757"/>
      <c r="K282" s="771">
        <v>44.98</v>
      </c>
      <c r="L282" s="747"/>
      <c r="M282" s="757"/>
      <c r="N282" s="771">
        <v>56.01</v>
      </c>
      <c r="O282" s="747"/>
      <c r="P282" s="757"/>
      <c r="Q282" s="771">
        <v>44.2</v>
      </c>
      <c r="R282" s="747"/>
      <c r="S282" s="757"/>
      <c r="T282" s="771">
        <v>23.05</v>
      </c>
      <c r="U282" s="747"/>
      <c r="V282" s="757"/>
      <c r="W282" s="771">
        <v>27.09</v>
      </c>
      <c r="X282" s="747"/>
      <c r="Y282" s="757"/>
      <c r="Z282" s="771">
        <v>41.24</v>
      </c>
      <c r="AA282" s="747"/>
      <c r="AB282" s="757"/>
      <c r="AC282" s="771">
        <v>11.49</v>
      </c>
      <c r="AD282" s="747"/>
      <c r="AE282" s="757"/>
      <c r="AF282" s="771">
        <v>33.26</v>
      </c>
      <c r="AG282" s="747"/>
      <c r="AH282" s="757"/>
      <c r="AI282" s="771">
        <v>51.31</v>
      </c>
      <c r="AJ282" s="747"/>
      <c r="AK282" s="757"/>
      <c r="AL282" s="771">
        <v>97.74</v>
      </c>
      <c r="AM282" s="747"/>
      <c r="AN282" s="757"/>
      <c r="AO282" s="771">
        <v>20.93</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3"/>
        <v>CarrosserieFormation</v>
      </c>
      <c r="B283" s="54" t="s">
        <v>141</v>
      </c>
      <c r="C283" s="747"/>
      <c r="D283" s="757"/>
      <c r="E283" s="758">
        <v>942.53</v>
      </c>
      <c r="F283" s="747"/>
      <c r="G283" s="757"/>
      <c r="H283" s="771">
        <v>53.83</v>
      </c>
      <c r="I283" s="747"/>
      <c r="J283" s="757"/>
      <c r="K283" s="771">
        <v>22.33</v>
      </c>
      <c r="L283" s="747"/>
      <c r="M283" s="757"/>
      <c r="N283" s="771">
        <v>92.33</v>
      </c>
      <c r="O283" s="747"/>
      <c r="P283" s="757"/>
      <c r="Q283" s="771">
        <v>22.33</v>
      </c>
      <c r="R283" s="747"/>
      <c r="S283" s="757"/>
      <c r="T283" s="771">
        <v>69.58</v>
      </c>
      <c r="U283" s="747"/>
      <c r="V283" s="757"/>
      <c r="W283" s="771">
        <v>22.33</v>
      </c>
      <c r="X283" s="747"/>
      <c r="Y283" s="757"/>
      <c r="Z283" s="771">
        <v>22.33</v>
      </c>
      <c r="AA283" s="747"/>
      <c r="AB283" s="757"/>
      <c r="AC283" s="771">
        <v>22.33</v>
      </c>
      <c r="AD283" s="747"/>
      <c r="AE283" s="757"/>
      <c r="AF283" s="771">
        <v>146.1</v>
      </c>
      <c r="AG283" s="747"/>
      <c r="AH283" s="757"/>
      <c r="AI283" s="771">
        <v>290.72000000000003</v>
      </c>
      <c r="AJ283" s="747"/>
      <c r="AK283" s="757"/>
      <c r="AL283" s="771">
        <v>155.99</v>
      </c>
      <c r="AM283" s="747"/>
      <c r="AN283" s="757"/>
      <c r="AO283" s="771">
        <v>22.33</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3"/>
        <v>CarrosserieFrais bancaires</v>
      </c>
      <c r="B284" s="54" t="s">
        <v>142</v>
      </c>
      <c r="C284" s="747"/>
      <c r="D284" s="757"/>
      <c r="E284" s="758">
        <v>2632.08</v>
      </c>
      <c r="F284" s="747"/>
      <c r="G284" s="757"/>
      <c r="H284" s="771">
        <v>171.56</v>
      </c>
      <c r="I284" s="747"/>
      <c r="J284" s="757"/>
      <c r="K284" s="771">
        <v>135.44999999999999</v>
      </c>
      <c r="L284" s="747"/>
      <c r="M284" s="757"/>
      <c r="N284" s="771">
        <v>178.57</v>
      </c>
      <c r="O284" s="747"/>
      <c r="P284" s="757"/>
      <c r="Q284" s="771">
        <v>237.63</v>
      </c>
      <c r="R284" s="747"/>
      <c r="S284" s="757"/>
      <c r="T284" s="771">
        <v>263.92</v>
      </c>
      <c r="U284" s="747"/>
      <c r="V284" s="757"/>
      <c r="W284" s="771">
        <v>186.54</v>
      </c>
      <c r="X284" s="747"/>
      <c r="Y284" s="757"/>
      <c r="Z284" s="771">
        <v>206.61</v>
      </c>
      <c r="AA284" s="747"/>
      <c r="AB284" s="757"/>
      <c r="AC284" s="771">
        <v>198.68</v>
      </c>
      <c r="AD284" s="747"/>
      <c r="AE284" s="757"/>
      <c r="AF284" s="771">
        <v>181.51</v>
      </c>
      <c r="AG284" s="747"/>
      <c r="AH284" s="757"/>
      <c r="AI284" s="771">
        <v>265.72000000000003</v>
      </c>
      <c r="AJ284" s="747"/>
      <c r="AK284" s="757"/>
      <c r="AL284" s="771">
        <v>375.98</v>
      </c>
      <c r="AM284" s="747"/>
      <c r="AN284" s="757"/>
      <c r="AO284" s="771">
        <v>229.91</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3"/>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3"/>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3"/>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3"/>
        <v>CarrosserieTOTAL SEMI-FIXES</v>
      </c>
      <c r="B288" s="64" t="s">
        <v>143</v>
      </c>
      <c r="C288" s="790" t="s">
        <v>119</v>
      </c>
      <c r="D288" s="791">
        <v>0</v>
      </c>
      <c r="E288" s="792">
        <v>52774.439999999995</v>
      </c>
      <c r="F288" s="790" t="s">
        <v>119</v>
      </c>
      <c r="G288" s="791">
        <v>0</v>
      </c>
      <c r="H288" s="792">
        <v>3609.4800000000005</v>
      </c>
      <c r="I288" s="790" t="s">
        <v>119</v>
      </c>
      <c r="J288" s="791">
        <v>0</v>
      </c>
      <c r="K288" s="792">
        <v>4247.92</v>
      </c>
      <c r="L288" s="790" t="s">
        <v>119</v>
      </c>
      <c r="M288" s="791">
        <v>0</v>
      </c>
      <c r="N288" s="792">
        <v>1182.0900000000001</v>
      </c>
      <c r="O288" s="790" t="s">
        <v>119</v>
      </c>
      <c r="P288" s="791">
        <v>0</v>
      </c>
      <c r="Q288" s="792">
        <v>4343.01</v>
      </c>
      <c r="R288" s="790" t="s">
        <v>119</v>
      </c>
      <c r="S288" s="791">
        <v>0</v>
      </c>
      <c r="T288" s="792">
        <v>3664.11</v>
      </c>
      <c r="U288" s="790" t="s">
        <v>119</v>
      </c>
      <c r="V288" s="791">
        <v>0</v>
      </c>
      <c r="W288" s="792">
        <v>3954.7999999999997</v>
      </c>
      <c r="X288" s="790" t="s">
        <v>119</v>
      </c>
      <c r="Y288" s="791">
        <v>0</v>
      </c>
      <c r="Z288" s="792">
        <v>2995.6600000000003</v>
      </c>
      <c r="AA288" s="790" t="s">
        <v>119</v>
      </c>
      <c r="AB288" s="791">
        <v>0</v>
      </c>
      <c r="AC288" s="792">
        <v>4391.22</v>
      </c>
      <c r="AD288" s="790" t="s">
        <v>119</v>
      </c>
      <c r="AE288" s="791">
        <v>0</v>
      </c>
      <c r="AF288" s="792">
        <v>5792.22</v>
      </c>
      <c r="AG288" s="790" t="s">
        <v>119</v>
      </c>
      <c r="AH288" s="791">
        <v>0</v>
      </c>
      <c r="AI288" s="792">
        <v>6344.9000000000015</v>
      </c>
      <c r="AJ288" s="790" t="s">
        <v>119</v>
      </c>
      <c r="AK288" s="791">
        <v>0</v>
      </c>
      <c r="AL288" s="792">
        <v>6975.7900000000009</v>
      </c>
      <c r="AM288" s="790" t="s">
        <v>119</v>
      </c>
      <c r="AN288" s="791">
        <v>0</v>
      </c>
      <c r="AO288" s="792">
        <v>5273.2399999999989</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3"/>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3"/>
        <v>CarrosserieTOTAL DES DÉPENSES</v>
      </c>
      <c r="B290" s="53" t="s">
        <v>144</v>
      </c>
      <c r="C290" s="777" t="s">
        <v>119</v>
      </c>
      <c r="D290" s="815">
        <v>0</v>
      </c>
      <c r="E290" s="789">
        <v>113207.1</v>
      </c>
      <c r="F290" s="777" t="s">
        <v>119</v>
      </c>
      <c r="G290" s="815">
        <v>0</v>
      </c>
      <c r="H290" s="789">
        <v>11532.39</v>
      </c>
      <c r="I290" s="777" t="s">
        <v>119</v>
      </c>
      <c r="J290" s="815">
        <v>0</v>
      </c>
      <c r="K290" s="789">
        <v>13406.890000000001</v>
      </c>
      <c r="L290" s="777" t="s">
        <v>119</v>
      </c>
      <c r="M290" s="815">
        <v>0</v>
      </c>
      <c r="N290" s="789">
        <v>4499.92</v>
      </c>
      <c r="O290" s="777" t="s">
        <v>119</v>
      </c>
      <c r="P290" s="815">
        <v>0</v>
      </c>
      <c r="Q290" s="789">
        <v>7129.55</v>
      </c>
      <c r="R290" s="777" t="s">
        <v>119</v>
      </c>
      <c r="S290" s="815">
        <v>0</v>
      </c>
      <c r="T290" s="789">
        <v>7267.37</v>
      </c>
      <c r="U290" s="777" t="s">
        <v>119</v>
      </c>
      <c r="V290" s="815">
        <v>0</v>
      </c>
      <c r="W290" s="789">
        <v>7020.2899999999991</v>
      </c>
      <c r="X290" s="777" t="s">
        <v>119</v>
      </c>
      <c r="Y290" s="815">
        <v>0</v>
      </c>
      <c r="Z290" s="789">
        <v>7440.4</v>
      </c>
      <c r="AA290" s="777" t="s">
        <v>119</v>
      </c>
      <c r="AB290" s="815">
        <v>0</v>
      </c>
      <c r="AC290" s="789">
        <v>7077.38</v>
      </c>
      <c r="AD290" s="777" t="s">
        <v>119</v>
      </c>
      <c r="AE290" s="815">
        <v>0</v>
      </c>
      <c r="AF290" s="789">
        <v>8303.76</v>
      </c>
      <c r="AG290" s="777" t="s">
        <v>119</v>
      </c>
      <c r="AH290" s="815">
        <v>0</v>
      </c>
      <c r="AI290" s="789">
        <v>12399.58</v>
      </c>
      <c r="AJ290" s="777" t="s">
        <v>119</v>
      </c>
      <c r="AK290" s="815">
        <v>0</v>
      </c>
      <c r="AL290" s="789">
        <v>13904.960000000003</v>
      </c>
      <c r="AM290" s="777" t="s">
        <v>119</v>
      </c>
      <c r="AN290" s="815">
        <v>0</v>
      </c>
      <c r="AO290" s="789">
        <v>13224.609999999997</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3"/>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thickBot="1">
      <c r="A292" s="39" t="str">
        <f t="shared" si="3"/>
        <v>CarrosseriePROFIT DÉPARTEMENTAL</v>
      </c>
      <c r="B292" s="57" t="s">
        <v>151</v>
      </c>
      <c r="C292" s="816"/>
      <c r="D292" s="817"/>
      <c r="E292" s="798">
        <v>-46545.120000000126</v>
      </c>
      <c r="F292" s="816"/>
      <c r="G292" s="817"/>
      <c r="H292" s="798">
        <v>6286.2999999999993</v>
      </c>
      <c r="I292" s="816"/>
      <c r="J292" s="817"/>
      <c r="K292" s="798">
        <v>-5682.1800000000012</v>
      </c>
      <c r="L292" s="816"/>
      <c r="M292" s="817"/>
      <c r="N292" s="798">
        <v>1934.4399999999996</v>
      </c>
      <c r="O292" s="816"/>
      <c r="P292" s="817"/>
      <c r="Q292" s="798">
        <v>10106.709999999901</v>
      </c>
      <c r="R292" s="816"/>
      <c r="S292" s="817"/>
      <c r="T292" s="798">
        <v>-5785.45</v>
      </c>
      <c r="U292" s="816"/>
      <c r="V292" s="817"/>
      <c r="W292" s="798">
        <v>-6518.0999999999995</v>
      </c>
      <c r="X292" s="816"/>
      <c r="Y292" s="817"/>
      <c r="Z292" s="798">
        <v>-6574.36</v>
      </c>
      <c r="AA292" s="816"/>
      <c r="AB292" s="817"/>
      <c r="AC292" s="798">
        <v>-6459.33</v>
      </c>
      <c r="AD292" s="816"/>
      <c r="AE292" s="817"/>
      <c r="AF292" s="798">
        <v>-3633.1700000000101</v>
      </c>
      <c r="AG292" s="816"/>
      <c r="AH292" s="817"/>
      <c r="AI292" s="798">
        <v>-8569.5500000000102</v>
      </c>
      <c r="AJ292" s="816"/>
      <c r="AK292" s="817"/>
      <c r="AL292" s="798">
        <v>-11770.720000000003</v>
      </c>
      <c r="AM292" s="816"/>
      <c r="AN292" s="817"/>
      <c r="AO292" s="798">
        <v>-9879.7099999999973</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3935</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thickBo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thickTop="1">
      <c r="A296" s="39"/>
      <c r="B296" s="40" t="s">
        <v>3</v>
      </c>
      <c r="C296" s="969">
        <v>2024</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56" si="4">+$C$294&amp;B297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
        <v>PiècesPièces Ro Clients</v>
      </c>
      <c r="B298" s="44" t="s">
        <v>182</v>
      </c>
      <c r="C298" s="819">
        <v>1118224.129999999</v>
      </c>
      <c r="D298" s="813">
        <v>0.34679176526086947</v>
      </c>
      <c r="E298" s="758">
        <v>387790.91999999963</v>
      </c>
      <c r="F298" s="820">
        <v>73145.45</v>
      </c>
      <c r="G298" s="813">
        <v>0.35203638777258051</v>
      </c>
      <c r="H298" s="771">
        <v>25749.859999999899</v>
      </c>
      <c r="I298" s="820">
        <v>51629.45</v>
      </c>
      <c r="J298" s="813">
        <v>0.37193597839992482</v>
      </c>
      <c r="K298" s="771">
        <v>19202.849999999999</v>
      </c>
      <c r="L298" s="820">
        <v>68701.960000000006</v>
      </c>
      <c r="M298" s="813">
        <v>0.35457503686939934</v>
      </c>
      <c r="N298" s="771">
        <v>24360</v>
      </c>
      <c r="O298" s="820">
        <v>94158.54</v>
      </c>
      <c r="P298" s="813">
        <v>0.39031595009863046</v>
      </c>
      <c r="Q298" s="771">
        <v>36751.5799999999</v>
      </c>
      <c r="R298" s="820">
        <v>109437.56</v>
      </c>
      <c r="S298" s="813">
        <v>0.37261000702135444</v>
      </c>
      <c r="T298" s="771">
        <v>40777.529999999897</v>
      </c>
      <c r="U298" s="820">
        <v>82983.19</v>
      </c>
      <c r="V298" s="813">
        <v>0.36067557778870635</v>
      </c>
      <c r="W298" s="771">
        <v>29930.01</v>
      </c>
      <c r="X298" s="820">
        <v>97246.46</v>
      </c>
      <c r="Y298" s="813">
        <v>0.35566508025073607</v>
      </c>
      <c r="Z298" s="771">
        <v>34587.17</v>
      </c>
      <c r="AA298" s="820">
        <v>101413.079999999</v>
      </c>
      <c r="AB298" s="813">
        <v>0.36329633218910484</v>
      </c>
      <c r="AC298" s="771">
        <v>36842.999999999898</v>
      </c>
      <c r="AD298" s="820">
        <v>93978.35</v>
      </c>
      <c r="AE298" s="813">
        <v>0.36370547046207985</v>
      </c>
      <c r="AF298" s="771">
        <v>34180.44</v>
      </c>
      <c r="AG298" s="820">
        <v>112041.65</v>
      </c>
      <c r="AH298" s="813">
        <v>0.33378230327739727</v>
      </c>
      <c r="AI298" s="771">
        <v>37397.519999999997</v>
      </c>
      <c r="AJ298" s="820">
        <v>160638.01</v>
      </c>
      <c r="AK298" s="813">
        <v>0.28651469225745513</v>
      </c>
      <c r="AL298" s="771">
        <v>46025.15</v>
      </c>
      <c r="AM298" s="820">
        <v>72850.429999999993</v>
      </c>
      <c r="AN298" s="813">
        <v>0.30179382606252292</v>
      </c>
      <c r="AO298" s="771">
        <v>21985.81</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
        <v>PiècesPièces Ro Carrosserie</v>
      </c>
      <c r="B299" s="44" t="s">
        <v>183</v>
      </c>
      <c r="C299" s="819">
        <v>193233.89999999991</v>
      </c>
      <c r="D299" s="813">
        <v>0.24842649245292814</v>
      </c>
      <c r="E299" s="758">
        <v>48004.419999999845</v>
      </c>
      <c r="F299" s="820">
        <v>54640.92</v>
      </c>
      <c r="G299" s="813">
        <v>0.2804196927870175</v>
      </c>
      <c r="H299" s="771">
        <v>15322.39</v>
      </c>
      <c r="I299" s="820">
        <v>57302.1899999999</v>
      </c>
      <c r="J299" s="813">
        <v>0.23295130604955802</v>
      </c>
      <c r="K299" s="771">
        <v>13348.619999999901</v>
      </c>
      <c r="L299" s="820">
        <v>12672.27</v>
      </c>
      <c r="M299" s="813">
        <v>0.23140447607255843</v>
      </c>
      <c r="N299" s="771">
        <v>2932.42</v>
      </c>
      <c r="O299" s="820">
        <v>39357.14</v>
      </c>
      <c r="P299" s="813">
        <v>0.23324890985473004</v>
      </c>
      <c r="Q299" s="771">
        <v>9180.0099999999893</v>
      </c>
      <c r="R299" s="820">
        <v>254.91</v>
      </c>
      <c r="S299" s="813">
        <v>0.23086579577105606</v>
      </c>
      <c r="T299" s="771">
        <v>58.849999999999902</v>
      </c>
      <c r="U299" s="820">
        <v>0</v>
      </c>
      <c r="V299" s="813">
        <v>0</v>
      </c>
      <c r="W299" s="771">
        <v>0</v>
      </c>
      <c r="X299" s="820">
        <v>0</v>
      </c>
      <c r="Y299" s="813">
        <v>0</v>
      </c>
      <c r="Z299" s="771">
        <v>0</v>
      </c>
      <c r="AA299" s="820">
        <v>5342.29</v>
      </c>
      <c r="AB299" s="813">
        <v>0.23076620700111561</v>
      </c>
      <c r="AC299" s="771">
        <v>1232.8199999999899</v>
      </c>
      <c r="AD299" s="820">
        <v>5777.21</v>
      </c>
      <c r="AE299" s="813">
        <v>0.23101808658504538</v>
      </c>
      <c r="AF299" s="771">
        <v>1334.6399999999901</v>
      </c>
      <c r="AG299" s="820">
        <v>4751.8500000000004</v>
      </c>
      <c r="AH299" s="813">
        <v>0.23077117333249153</v>
      </c>
      <c r="AI299" s="771">
        <v>1096.5899999999999</v>
      </c>
      <c r="AJ299" s="820">
        <v>5618.74</v>
      </c>
      <c r="AK299" s="813">
        <v>0.27197200795907805</v>
      </c>
      <c r="AL299" s="771">
        <v>1528.1399999999901</v>
      </c>
      <c r="AM299" s="820">
        <v>7516.38</v>
      </c>
      <c r="AN299" s="813">
        <v>0.26208627025243403</v>
      </c>
      <c r="AO299" s="771">
        <v>1969.9399999999901</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
        <v>PiècesP/A Garantie</v>
      </c>
      <c r="B300" s="44" t="s">
        <v>184</v>
      </c>
      <c r="C300" s="819">
        <v>512439.38999999996</v>
      </c>
      <c r="D300" s="813">
        <v>0.23286545165858516</v>
      </c>
      <c r="E300" s="758">
        <v>119329.42999999986</v>
      </c>
      <c r="F300" s="820">
        <v>28846.55</v>
      </c>
      <c r="G300" s="813">
        <v>0.23660507062369643</v>
      </c>
      <c r="H300" s="771">
        <v>6825.2399999999898</v>
      </c>
      <c r="I300" s="820">
        <v>28873.4</v>
      </c>
      <c r="J300" s="813">
        <v>0.23687234617329445</v>
      </c>
      <c r="K300" s="771">
        <v>6839.31</v>
      </c>
      <c r="L300" s="820">
        <v>30536.99</v>
      </c>
      <c r="M300" s="813">
        <v>0.23087606211352199</v>
      </c>
      <c r="N300" s="771">
        <v>7050.26</v>
      </c>
      <c r="O300" s="820">
        <v>30357.78</v>
      </c>
      <c r="P300" s="813">
        <v>0.24208786017949929</v>
      </c>
      <c r="Q300" s="771">
        <v>7349.25</v>
      </c>
      <c r="R300" s="820">
        <v>42120.959999999999</v>
      </c>
      <c r="S300" s="813">
        <v>0.23626123431184853</v>
      </c>
      <c r="T300" s="771">
        <v>9951.5499999999993</v>
      </c>
      <c r="U300" s="820">
        <v>45095.6</v>
      </c>
      <c r="V300" s="813">
        <v>0.23370594913916215</v>
      </c>
      <c r="W300" s="771">
        <v>10539.11</v>
      </c>
      <c r="X300" s="820">
        <v>63908.639999999999</v>
      </c>
      <c r="Y300" s="813">
        <v>0.23059511202241043</v>
      </c>
      <c r="Z300" s="771">
        <v>14737.0199999999</v>
      </c>
      <c r="AA300" s="820">
        <v>58003.13</v>
      </c>
      <c r="AB300" s="813">
        <v>0.2284143976368172</v>
      </c>
      <c r="AC300" s="771">
        <v>13248.75</v>
      </c>
      <c r="AD300" s="820">
        <v>45362.87</v>
      </c>
      <c r="AE300" s="813">
        <v>0.23190860719350428</v>
      </c>
      <c r="AF300" s="771">
        <v>10520.04</v>
      </c>
      <c r="AG300" s="820">
        <v>43545.83</v>
      </c>
      <c r="AH300" s="813">
        <v>0.22732785205839456</v>
      </c>
      <c r="AI300" s="771">
        <v>9899.18</v>
      </c>
      <c r="AJ300" s="820">
        <v>45564.35</v>
      </c>
      <c r="AK300" s="813">
        <v>0.23116120387978759</v>
      </c>
      <c r="AL300" s="771">
        <v>10532.71</v>
      </c>
      <c r="AM300" s="820">
        <v>50223.29</v>
      </c>
      <c r="AN300" s="813">
        <v>0.23568766602108304</v>
      </c>
      <c r="AO300" s="771">
        <v>11837.01</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
        <v>PiècesVentes Internes</v>
      </c>
      <c r="B301" s="44" t="s">
        <v>185</v>
      </c>
      <c r="C301" s="819">
        <v>671684.24</v>
      </c>
      <c r="D301" s="813">
        <v>0.2857013438338224</v>
      </c>
      <c r="E301" s="758">
        <v>191901.08999999968</v>
      </c>
      <c r="F301" s="820">
        <v>45391.06</v>
      </c>
      <c r="G301" s="813">
        <v>0.29283233306294015</v>
      </c>
      <c r="H301" s="771">
        <v>13291.969999999899</v>
      </c>
      <c r="I301" s="820">
        <v>66311.88</v>
      </c>
      <c r="J301" s="813">
        <v>0.23333013631946489</v>
      </c>
      <c r="K301" s="771">
        <v>15472.56</v>
      </c>
      <c r="L301" s="820">
        <v>52349.15</v>
      </c>
      <c r="M301" s="813">
        <v>0.26464345648401166</v>
      </c>
      <c r="N301" s="771">
        <v>13853.86</v>
      </c>
      <c r="O301" s="820">
        <v>42372.56</v>
      </c>
      <c r="P301" s="813">
        <v>0.28409588658320151</v>
      </c>
      <c r="Q301" s="771">
        <v>12037.869999999901</v>
      </c>
      <c r="R301" s="820">
        <v>59301.120000000003</v>
      </c>
      <c r="S301" s="813">
        <v>0.29746706301668502</v>
      </c>
      <c r="T301" s="771">
        <v>17640.13</v>
      </c>
      <c r="U301" s="820">
        <v>25255.49</v>
      </c>
      <c r="V301" s="813">
        <v>0.326486241209337</v>
      </c>
      <c r="W301" s="771">
        <v>8245.57</v>
      </c>
      <c r="X301" s="820">
        <v>60027.4</v>
      </c>
      <c r="Y301" s="813">
        <v>0.31739355694232968</v>
      </c>
      <c r="Z301" s="771">
        <v>19052.310000000001</v>
      </c>
      <c r="AA301" s="820">
        <v>59684.08</v>
      </c>
      <c r="AB301" s="813">
        <v>0.26119310208015267</v>
      </c>
      <c r="AC301" s="771">
        <v>15589.07</v>
      </c>
      <c r="AD301" s="820">
        <v>68022.740000000005</v>
      </c>
      <c r="AE301" s="813">
        <v>0.34120001634747438</v>
      </c>
      <c r="AF301" s="771">
        <v>23209.360000000001</v>
      </c>
      <c r="AG301" s="820">
        <v>69951.149999999994</v>
      </c>
      <c r="AH301" s="813">
        <v>0.2724592805121846</v>
      </c>
      <c r="AI301" s="771">
        <v>19058.839999999898</v>
      </c>
      <c r="AJ301" s="820">
        <v>70580.36</v>
      </c>
      <c r="AK301" s="813">
        <v>0.28399415928170385</v>
      </c>
      <c r="AL301" s="771">
        <v>20044.41</v>
      </c>
      <c r="AM301" s="820">
        <v>52437.25</v>
      </c>
      <c r="AN301" s="813">
        <v>0.274711965253708</v>
      </c>
      <c r="AO301" s="771">
        <v>14405.14</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
        <v>PiècesVentes Détails</v>
      </c>
      <c r="B302" s="44" t="s">
        <v>186</v>
      </c>
      <c r="C302" s="819">
        <v>232112.65</v>
      </c>
      <c r="D302" s="813">
        <v>0.26565923916684392</v>
      </c>
      <c r="E302" s="758">
        <v>61662.869999999937</v>
      </c>
      <c r="F302" s="820">
        <v>13905.03</v>
      </c>
      <c r="G302" s="813">
        <v>0.32062929745566887</v>
      </c>
      <c r="H302" s="771">
        <v>4458.3599999999997</v>
      </c>
      <c r="I302" s="820">
        <v>15763.84</v>
      </c>
      <c r="J302" s="813">
        <v>0.28004470991839553</v>
      </c>
      <c r="K302" s="771">
        <v>4414.58</v>
      </c>
      <c r="L302" s="820">
        <v>13569.47</v>
      </c>
      <c r="M302" s="813">
        <v>0.29111232789489938</v>
      </c>
      <c r="N302" s="771">
        <v>3950.24</v>
      </c>
      <c r="O302" s="820">
        <v>21891.26</v>
      </c>
      <c r="P302" s="813">
        <v>0.31894829260627261</v>
      </c>
      <c r="Q302" s="771">
        <v>6982.1799999999903</v>
      </c>
      <c r="R302" s="820">
        <v>21253.68</v>
      </c>
      <c r="S302" s="813">
        <v>0.22581360028004513</v>
      </c>
      <c r="T302" s="771">
        <v>4799.3699999999899</v>
      </c>
      <c r="U302" s="820">
        <v>18047.939999999999</v>
      </c>
      <c r="V302" s="813">
        <v>0.31801801202796498</v>
      </c>
      <c r="W302" s="771">
        <v>5739.5699999999897</v>
      </c>
      <c r="X302" s="820">
        <v>16945.259999999998</v>
      </c>
      <c r="Y302" s="813">
        <v>0.2982108270985509</v>
      </c>
      <c r="Z302" s="771">
        <v>5053.2599999999902</v>
      </c>
      <c r="AA302" s="820">
        <v>21856.25</v>
      </c>
      <c r="AB302" s="813">
        <v>0.24229270803545894</v>
      </c>
      <c r="AC302" s="771">
        <v>5295.61</v>
      </c>
      <c r="AD302" s="820">
        <v>19863.93</v>
      </c>
      <c r="AE302" s="813">
        <v>0.2095733321653872</v>
      </c>
      <c r="AF302" s="771">
        <v>4162.95</v>
      </c>
      <c r="AG302" s="820">
        <v>19722.91</v>
      </c>
      <c r="AH302" s="813">
        <v>0.2671674717371828</v>
      </c>
      <c r="AI302" s="771">
        <v>5269.32</v>
      </c>
      <c r="AJ302" s="820">
        <v>32301.17</v>
      </c>
      <c r="AK302" s="813">
        <v>0.21911373488947894</v>
      </c>
      <c r="AL302" s="771">
        <v>7077.6299999999901</v>
      </c>
      <c r="AM302" s="820">
        <v>16991.91</v>
      </c>
      <c r="AN302" s="813">
        <v>0.26246607944604167</v>
      </c>
      <c r="AO302" s="771">
        <v>4459.7999999999902</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
        <v>PiècesVentes de Gros</v>
      </c>
      <c r="B303" s="44" t="s">
        <v>187</v>
      </c>
      <c r="C303" s="819">
        <v>1871696.81</v>
      </c>
      <c r="D303" s="813">
        <v>0.13797422671249795</v>
      </c>
      <c r="E303" s="758">
        <v>258245.9199999992</v>
      </c>
      <c r="F303" s="820">
        <v>170526</v>
      </c>
      <c r="G303" s="813">
        <v>0.15083887501026177</v>
      </c>
      <c r="H303" s="771">
        <v>25721.949999999899</v>
      </c>
      <c r="I303" s="820">
        <v>139767.99</v>
      </c>
      <c r="J303" s="813">
        <v>0.15477871578463639</v>
      </c>
      <c r="K303" s="771">
        <v>21633.109999999899</v>
      </c>
      <c r="L303" s="820">
        <v>124476.97</v>
      </c>
      <c r="M303" s="813">
        <v>0.13203896270932605</v>
      </c>
      <c r="N303" s="771">
        <v>16435.809999999899</v>
      </c>
      <c r="O303" s="820">
        <v>169839.65</v>
      </c>
      <c r="P303" s="813">
        <v>0.13764453706775717</v>
      </c>
      <c r="Q303" s="771">
        <v>23377.499999999902</v>
      </c>
      <c r="R303" s="820">
        <v>144594.10999999999</v>
      </c>
      <c r="S303" s="813">
        <v>0.16606506309281827</v>
      </c>
      <c r="T303" s="771">
        <v>24012.029999999901</v>
      </c>
      <c r="U303" s="820">
        <v>132980.6</v>
      </c>
      <c r="V303" s="813">
        <v>0.13376725627647942</v>
      </c>
      <c r="W303" s="771">
        <v>17788.45</v>
      </c>
      <c r="X303" s="820">
        <v>143365.44</v>
      </c>
      <c r="Y303" s="813">
        <v>0.13637603316392011</v>
      </c>
      <c r="Z303" s="771">
        <v>19551.61</v>
      </c>
      <c r="AA303" s="820">
        <v>155623.24</v>
      </c>
      <c r="AB303" s="813">
        <v>0.14075224240286929</v>
      </c>
      <c r="AC303" s="771">
        <v>21904.319999999901</v>
      </c>
      <c r="AD303" s="820">
        <v>160121.54</v>
      </c>
      <c r="AE303" s="813">
        <v>0.1305157319870893</v>
      </c>
      <c r="AF303" s="771">
        <v>20898.38</v>
      </c>
      <c r="AG303" s="820">
        <v>221066.25</v>
      </c>
      <c r="AH303" s="813">
        <v>0.12508951502094914</v>
      </c>
      <c r="AI303" s="771">
        <v>27653.069999999901</v>
      </c>
      <c r="AJ303" s="820">
        <v>140151.78</v>
      </c>
      <c r="AK303" s="813">
        <v>0.13822022096330064</v>
      </c>
      <c r="AL303" s="771">
        <v>19371.809999999899</v>
      </c>
      <c r="AM303" s="820">
        <v>169183.24</v>
      </c>
      <c r="AN303" s="813">
        <v>0.11761141351826578</v>
      </c>
      <c r="AO303" s="771">
        <v>19897.88</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
        <v>PiècesEscomptes</v>
      </c>
      <c r="B305" s="44" t="s">
        <v>188</v>
      </c>
      <c r="C305" s="819">
        <v>0</v>
      </c>
      <c r="D305" s="813">
        <v>0</v>
      </c>
      <c r="E305" s="758">
        <v>128387.12999999989</v>
      </c>
      <c r="F305" s="820">
        <v>0</v>
      </c>
      <c r="G305" s="813">
        <v>0</v>
      </c>
      <c r="H305" s="771">
        <v>4347.8899999999903</v>
      </c>
      <c r="I305" s="820">
        <v>0</v>
      </c>
      <c r="J305" s="813">
        <v>0</v>
      </c>
      <c r="K305" s="771">
        <v>4787.8599999999997</v>
      </c>
      <c r="L305" s="820">
        <v>0</v>
      </c>
      <c r="M305" s="813">
        <v>0</v>
      </c>
      <c r="N305" s="771">
        <v>31809.05</v>
      </c>
      <c r="O305" s="820">
        <v>0</v>
      </c>
      <c r="P305" s="813">
        <v>0</v>
      </c>
      <c r="Q305" s="771">
        <v>17862.830000000002</v>
      </c>
      <c r="R305" s="820">
        <v>0</v>
      </c>
      <c r="S305" s="813">
        <v>0</v>
      </c>
      <c r="T305" s="771">
        <v>12321.78</v>
      </c>
      <c r="U305" s="820">
        <v>0</v>
      </c>
      <c r="V305" s="813">
        <v>0</v>
      </c>
      <c r="W305" s="771">
        <v>5300.27</v>
      </c>
      <c r="X305" s="820">
        <v>0</v>
      </c>
      <c r="Y305" s="813">
        <v>0</v>
      </c>
      <c r="Z305" s="771">
        <v>3691.28</v>
      </c>
      <c r="AA305" s="820">
        <v>0</v>
      </c>
      <c r="AB305" s="813">
        <v>0</v>
      </c>
      <c r="AC305" s="771">
        <v>3470.01</v>
      </c>
      <c r="AD305" s="820">
        <v>0</v>
      </c>
      <c r="AE305" s="813">
        <v>0</v>
      </c>
      <c r="AF305" s="771">
        <v>9003.5</v>
      </c>
      <c r="AG305" s="820">
        <v>0</v>
      </c>
      <c r="AH305" s="813">
        <v>0</v>
      </c>
      <c r="AI305" s="771">
        <v>9631.32</v>
      </c>
      <c r="AJ305" s="820">
        <v>0</v>
      </c>
      <c r="AK305" s="813">
        <v>0</v>
      </c>
      <c r="AL305" s="771">
        <v>14951.3</v>
      </c>
      <c r="AM305" s="820">
        <v>0</v>
      </c>
      <c r="AN305" s="813">
        <v>0</v>
      </c>
      <c r="AO305" s="771">
        <v>11210.039999999901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
        <v>PiècesSous-total Pièces</v>
      </c>
      <c r="B307" s="47" t="s">
        <v>190</v>
      </c>
      <c r="C307" s="853">
        <v>4599391.1199999992</v>
      </c>
      <c r="D307" s="854">
        <v>0.25988696086363672</v>
      </c>
      <c r="E307" s="855">
        <v>1195321.7799999979</v>
      </c>
      <c r="F307" s="853">
        <v>386455.01</v>
      </c>
      <c r="G307" s="854">
        <v>0.24768125014086287</v>
      </c>
      <c r="H307" s="855">
        <v>95717.659999999669</v>
      </c>
      <c r="I307" s="853">
        <v>359648.74999999988</v>
      </c>
      <c r="J307" s="854">
        <v>0.23828496553929304</v>
      </c>
      <c r="K307" s="855">
        <v>85698.889999999796</v>
      </c>
      <c r="L307" s="853">
        <v>302306.81000000006</v>
      </c>
      <c r="M307" s="854">
        <v>0.33208527455931236</v>
      </c>
      <c r="N307" s="855">
        <v>100391.6399999999</v>
      </c>
      <c r="O307" s="853">
        <v>397976.93</v>
      </c>
      <c r="P307" s="854">
        <v>0.28529598436773629</v>
      </c>
      <c r="Q307" s="855">
        <v>113541.21999999968</v>
      </c>
      <c r="R307" s="853">
        <v>376962.33999999997</v>
      </c>
      <c r="S307" s="854">
        <v>0.2906424021030849</v>
      </c>
      <c r="T307" s="855">
        <v>109561.23999999979</v>
      </c>
      <c r="U307" s="853">
        <v>304362.82</v>
      </c>
      <c r="V307" s="854">
        <v>0.25477152564166672</v>
      </c>
      <c r="W307" s="855">
        <v>77542.98</v>
      </c>
      <c r="X307" s="853">
        <v>381493.2</v>
      </c>
      <c r="Y307" s="854">
        <v>0.25340595848104208</v>
      </c>
      <c r="Z307" s="855">
        <v>96672.649999999892</v>
      </c>
      <c r="AA307" s="853">
        <v>401922.06999999896</v>
      </c>
      <c r="AB307" s="854">
        <v>0.24279229055523138</v>
      </c>
      <c r="AC307" s="855">
        <v>97583.579999999798</v>
      </c>
      <c r="AD307" s="853">
        <v>393126.64</v>
      </c>
      <c r="AE307" s="854">
        <v>0.26278888146577906</v>
      </c>
      <c r="AF307" s="855">
        <v>103309.31</v>
      </c>
      <c r="AG307" s="853">
        <v>471079.64</v>
      </c>
      <c r="AH307" s="854">
        <v>0.23351856174467611</v>
      </c>
      <c r="AI307" s="855">
        <v>110005.83999999979</v>
      </c>
      <c r="AJ307" s="853">
        <v>454854.41000000003</v>
      </c>
      <c r="AK307" s="854">
        <v>0.2627899111717964</v>
      </c>
      <c r="AL307" s="855">
        <v>119531.14999999988</v>
      </c>
      <c r="AM307" s="853">
        <v>369202.5</v>
      </c>
      <c r="AN307" s="854">
        <v>0.23229967294370946</v>
      </c>
      <c r="AO307" s="855">
        <v>85765.619999999893</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
        <v>Pièces</v>
      </c>
      <c r="B309" s="43"/>
      <c r="C309" s="776"/>
      <c r="D309" s="784"/>
      <c r="E309" s="856"/>
      <c r="F309" s="776">
        <v>0</v>
      </c>
      <c r="G309" s="784">
        <v>0</v>
      </c>
      <c r="H309" s="856">
        <v>0</v>
      </c>
      <c r="I309" s="776">
        <v>0</v>
      </c>
      <c r="J309" s="784">
        <v>0</v>
      </c>
      <c r="K309" s="856">
        <v>0</v>
      </c>
      <c r="L309" s="776">
        <v>0</v>
      </c>
      <c r="M309" s="784">
        <v>0</v>
      </c>
      <c r="N309" s="856">
        <v>0</v>
      </c>
      <c r="O309" s="776">
        <v>0</v>
      </c>
      <c r="P309" s="784">
        <v>0</v>
      </c>
      <c r="Q309" s="856">
        <v>0</v>
      </c>
      <c r="R309" s="776">
        <v>0</v>
      </c>
      <c r="S309" s="784">
        <v>0</v>
      </c>
      <c r="T309" s="856">
        <v>0</v>
      </c>
      <c r="U309" s="776">
        <v>0</v>
      </c>
      <c r="V309" s="784">
        <v>0</v>
      </c>
      <c r="W309" s="856">
        <v>0</v>
      </c>
      <c r="X309" s="776">
        <v>0</v>
      </c>
      <c r="Y309" s="784">
        <v>0</v>
      </c>
      <c r="Z309" s="856">
        <v>0</v>
      </c>
      <c r="AA309" s="776">
        <v>0</v>
      </c>
      <c r="AB309" s="784">
        <v>0</v>
      </c>
      <c r="AC309" s="856">
        <v>0</v>
      </c>
      <c r="AD309" s="776">
        <v>0</v>
      </c>
      <c r="AE309" s="784">
        <v>0</v>
      </c>
      <c r="AF309" s="856">
        <v>0</v>
      </c>
      <c r="AG309" s="776">
        <v>0</v>
      </c>
      <c r="AH309" s="784">
        <v>0</v>
      </c>
      <c r="AI309" s="856">
        <v>0</v>
      </c>
      <c r="AJ309" s="776">
        <v>0</v>
      </c>
      <c r="AK309" s="784">
        <v>0</v>
      </c>
      <c r="AL309" s="856">
        <v>0</v>
      </c>
      <c r="AM309" s="776">
        <v>0</v>
      </c>
      <c r="AN309" s="784">
        <v>0</v>
      </c>
      <c r="AO309" s="856">
        <v>0</v>
      </c>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
        <v>PiècesVentes Pneus</v>
      </c>
      <c r="B310" s="44" t="s">
        <v>191</v>
      </c>
      <c r="C310" s="819">
        <v>531144.48</v>
      </c>
      <c r="D310" s="813">
        <v>0.16668752728071268</v>
      </c>
      <c r="E310" s="758">
        <v>88535.159999999945</v>
      </c>
      <c r="F310" s="820">
        <v>56894.84</v>
      </c>
      <c r="G310" s="813">
        <v>0.17446924888091786</v>
      </c>
      <c r="H310" s="771">
        <v>9926.4</v>
      </c>
      <c r="I310" s="820">
        <v>51997.67</v>
      </c>
      <c r="J310" s="813">
        <v>0.14912898981819742</v>
      </c>
      <c r="K310" s="771">
        <v>7754.3599999999897</v>
      </c>
      <c r="L310" s="820">
        <v>19665.25</v>
      </c>
      <c r="M310" s="813">
        <v>0.1603879940504184</v>
      </c>
      <c r="N310" s="771">
        <v>3154.0699999999902</v>
      </c>
      <c r="O310" s="820">
        <v>33810.449999999997</v>
      </c>
      <c r="P310" s="813">
        <v>0.15712154082539573</v>
      </c>
      <c r="Q310" s="771">
        <v>5312.35</v>
      </c>
      <c r="R310" s="820">
        <v>39158.370000000003</v>
      </c>
      <c r="S310" s="813">
        <v>0.16776592079803115</v>
      </c>
      <c r="T310" s="771">
        <v>6569.44</v>
      </c>
      <c r="U310" s="820">
        <v>9670.9599999999991</v>
      </c>
      <c r="V310" s="813">
        <v>0.19384218319587612</v>
      </c>
      <c r="W310" s="771">
        <v>1874.6399999999901</v>
      </c>
      <c r="X310" s="820">
        <v>17894.14</v>
      </c>
      <c r="Y310" s="813">
        <v>0.15636012683481798</v>
      </c>
      <c r="Z310" s="771">
        <v>2797.9299999999898</v>
      </c>
      <c r="AA310" s="820">
        <v>27866.12</v>
      </c>
      <c r="AB310" s="813">
        <v>0.12803648301234619</v>
      </c>
      <c r="AC310" s="771">
        <v>3567.88</v>
      </c>
      <c r="AD310" s="820">
        <v>21329.79</v>
      </c>
      <c r="AE310" s="813">
        <v>0.16221209866576275</v>
      </c>
      <c r="AF310" s="771">
        <v>3459.95</v>
      </c>
      <c r="AG310" s="820">
        <v>70357.13</v>
      </c>
      <c r="AH310" s="813">
        <v>0.17202833600517814</v>
      </c>
      <c r="AI310" s="771">
        <v>12103.42</v>
      </c>
      <c r="AJ310" s="820">
        <v>125231.29</v>
      </c>
      <c r="AK310" s="813">
        <v>0.1686120138185912</v>
      </c>
      <c r="AL310" s="771">
        <v>21115.5</v>
      </c>
      <c r="AM310" s="820">
        <v>57268.47</v>
      </c>
      <c r="AN310" s="813">
        <v>0.19031798824030044</v>
      </c>
      <c r="AO310" s="771">
        <v>10899.22</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
        <v>PiècesHuiles et Graisse</v>
      </c>
      <c r="B311" s="43" t="s">
        <v>192</v>
      </c>
      <c r="C311" s="819">
        <v>284600.24000000005</v>
      </c>
      <c r="D311" s="813">
        <v>0.25616341714961255</v>
      </c>
      <c r="E311" s="758">
        <v>72904.169999999867</v>
      </c>
      <c r="F311" s="820">
        <v>17082.13</v>
      </c>
      <c r="G311" s="813">
        <v>0.2296095393255993</v>
      </c>
      <c r="H311" s="771">
        <v>3922.22</v>
      </c>
      <c r="I311" s="820">
        <v>14664.52</v>
      </c>
      <c r="J311" s="813">
        <v>0.23962461778496602</v>
      </c>
      <c r="K311" s="771">
        <v>3513.97999999999</v>
      </c>
      <c r="L311" s="820">
        <v>21393.59</v>
      </c>
      <c r="M311" s="813">
        <v>0.2476639030662923</v>
      </c>
      <c r="N311" s="771">
        <v>5298.42</v>
      </c>
      <c r="O311" s="820">
        <v>27235.040000000001</v>
      </c>
      <c r="P311" s="813">
        <v>0.26812554708933783</v>
      </c>
      <c r="Q311" s="771">
        <v>7302.41</v>
      </c>
      <c r="R311" s="820">
        <v>28957.45</v>
      </c>
      <c r="S311" s="813">
        <v>0.2606904268158971</v>
      </c>
      <c r="T311" s="771">
        <v>7548.93</v>
      </c>
      <c r="U311" s="820">
        <v>18493.45</v>
      </c>
      <c r="V311" s="813">
        <v>0.25780749400463404</v>
      </c>
      <c r="W311" s="771">
        <v>4767.75</v>
      </c>
      <c r="X311" s="820">
        <v>21225.38</v>
      </c>
      <c r="Y311" s="813">
        <v>0.24730440632864994</v>
      </c>
      <c r="Z311" s="771">
        <v>5249.13</v>
      </c>
      <c r="AA311" s="820">
        <v>22140.26</v>
      </c>
      <c r="AB311" s="813">
        <v>0.25765144582764571</v>
      </c>
      <c r="AC311" s="771">
        <v>5704.4699999999903</v>
      </c>
      <c r="AD311" s="820">
        <v>22305.64</v>
      </c>
      <c r="AE311" s="813">
        <v>0.25898606809757491</v>
      </c>
      <c r="AF311" s="771">
        <v>5776.8499999999904</v>
      </c>
      <c r="AG311" s="820">
        <v>30225.95</v>
      </c>
      <c r="AH311" s="813">
        <v>0.26090594340293688</v>
      </c>
      <c r="AI311" s="771">
        <v>7886.13</v>
      </c>
      <c r="AJ311" s="820">
        <v>42571.25</v>
      </c>
      <c r="AK311" s="813">
        <v>0.26211375047713892</v>
      </c>
      <c r="AL311" s="771">
        <v>11158.5099999999</v>
      </c>
      <c r="AM311" s="820">
        <v>18305.580000000002</v>
      </c>
      <c r="AN311" s="813">
        <v>0.26086963647150208</v>
      </c>
      <c r="AO311" s="771">
        <v>4775.37</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
        <v>PiècesSous-total Pièces et Acc.</v>
      </c>
      <c r="B312" s="47" t="s">
        <v>193</v>
      </c>
      <c r="C312" s="853">
        <v>5415135.8399999999</v>
      </c>
      <c r="D312" s="854">
        <v>0.25054978306878406</v>
      </c>
      <c r="E312" s="855">
        <v>1356761.1099999978</v>
      </c>
      <c r="F312" s="853">
        <v>460431.98</v>
      </c>
      <c r="G312" s="854">
        <v>0.23796409623849255</v>
      </c>
      <c r="H312" s="855">
        <v>109566.27999999966</v>
      </c>
      <c r="I312" s="853">
        <v>426310.93999999989</v>
      </c>
      <c r="J312" s="854">
        <v>0.22745658368513791</v>
      </c>
      <c r="K312" s="855">
        <v>96967.229999999778</v>
      </c>
      <c r="L312" s="853">
        <v>343365.65000000008</v>
      </c>
      <c r="M312" s="854">
        <v>0.31699190061673282</v>
      </c>
      <c r="N312" s="855">
        <v>108844.12999999989</v>
      </c>
      <c r="O312" s="853">
        <v>459022.42</v>
      </c>
      <c r="P312" s="854">
        <v>0.2748362051683656</v>
      </c>
      <c r="Q312" s="855">
        <v>126155.97999999969</v>
      </c>
      <c r="R312" s="853">
        <v>445078.16</v>
      </c>
      <c r="S312" s="854">
        <v>0.27788290038765279</v>
      </c>
      <c r="T312" s="855">
        <v>123679.60999999978</v>
      </c>
      <c r="U312" s="853">
        <v>332527.23000000004</v>
      </c>
      <c r="V312" s="854">
        <v>0.25316834955140355</v>
      </c>
      <c r="W312" s="855">
        <v>84185.369999999981</v>
      </c>
      <c r="X312" s="853">
        <v>420612.72000000003</v>
      </c>
      <c r="Y312" s="854">
        <v>0.24896943202288291</v>
      </c>
      <c r="Z312" s="855">
        <v>104719.70999999989</v>
      </c>
      <c r="AA312" s="853">
        <v>451928.44999999896</v>
      </c>
      <c r="AB312" s="854">
        <v>0.236444353082883</v>
      </c>
      <c r="AC312" s="855">
        <v>106855.92999999979</v>
      </c>
      <c r="AD312" s="853">
        <v>436762.07</v>
      </c>
      <c r="AE312" s="854">
        <v>0.25768288441347481</v>
      </c>
      <c r="AF312" s="855">
        <v>112546.10999999999</v>
      </c>
      <c r="AG312" s="853">
        <v>571662.72</v>
      </c>
      <c r="AH312" s="854">
        <v>0.22739875358672995</v>
      </c>
      <c r="AI312" s="855">
        <v>129995.3899999998</v>
      </c>
      <c r="AJ312" s="853">
        <v>622656.95000000007</v>
      </c>
      <c r="AK312" s="854">
        <v>0.24380224134653883</v>
      </c>
      <c r="AL312" s="855">
        <v>151805.15999999977</v>
      </c>
      <c r="AM312" s="853">
        <v>444776.55</v>
      </c>
      <c r="AN312" s="854">
        <v>0.22807005000600838</v>
      </c>
      <c r="AO312" s="855">
        <v>101440.20999999989</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
        <v>PiècesPièces recond. MCPA</v>
      </c>
      <c r="B314" s="44" t="s">
        <v>3860</v>
      </c>
      <c r="C314" s="819">
        <v>0</v>
      </c>
      <c r="D314" s="813">
        <v>0</v>
      </c>
      <c r="E314" s="758">
        <v>0</v>
      </c>
      <c r="F314" s="747"/>
      <c r="G314" s="857"/>
      <c r="H314" s="748"/>
      <c r="I314" s="747"/>
      <c r="J314" s="857"/>
      <c r="K314" s="748"/>
      <c r="L314" s="747"/>
      <c r="M314" s="857"/>
      <c r="N314" s="748"/>
      <c r="O314" s="747"/>
      <c r="P314" s="857"/>
      <c r="Q314" s="748"/>
      <c r="R314" s="747"/>
      <c r="S314" s="857"/>
      <c r="T314" s="748"/>
      <c r="U314" s="747"/>
      <c r="V314" s="857"/>
      <c r="W314" s="748"/>
      <c r="X314" s="747"/>
      <c r="Y314" s="857"/>
      <c r="Z314" s="748"/>
      <c r="AA314" s="747"/>
      <c r="AB314" s="857"/>
      <c r="AC314" s="748"/>
      <c r="AD314" s="747"/>
      <c r="AE314" s="857"/>
      <c r="AF314" s="748"/>
      <c r="AG314" s="747"/>
      <c r="AH314" s="857"/>
      <c r="AI314" s="748"/>
      <c r="AJ314" s="747"/>
      <c r="AK314" s="857"/>
      <c r="AL314" s="748"/>
      <c r="AM314" s="747"/>
      <c r="AN314" s="857"/>
      <c r="AO314" s="748"/>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thickBot="1">
      <c r="A316" s="39" t="str">
        <f t="shared" si="4"/>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Top="1">
      <c r="A317" s="39" t="str">
        <f t="shared" si="4"/>
        <v>PiècesTotal Dépt. Pièces</v>
      </c>
      <c r="B317" s="49" t="s">
        <v>195</v>
      </c>
      <c r="C317" s="759">
        <v>5415135.8399999999</v>
      </c>
      <c r="D317" s="861">
        <v>0.25054978306878406</v>
      </c>
      <c r="E317" s="761">
        <v>1356761.1099999978</v>
      </c>
      <c r="F317" s="759">
        <v>460431.98</v>
      </c>
      <c r="G317" s="861">
        <v>0.23796409623849255</v>
      </c>
      <c r="H317" s="761">
        <v>109566.27999999966</v>
      </c>
      <c r="I317" s="759">
        <v>426310.93999999989</v>
      </c>
      <c r="J317" s="861">
        <v>0.22745658368513791</v>
      </c>
      <c r="K317" s="761">
        <v>96967.229999999778</v>
      </c>
      <c r="L317" s="759">
        <v>343365.65000000008</v>
      </c>
      <c r="M317" s="861">
        <v>0.31699190061673282</v>
      </c>
      <c r="N317" s="761">
        <v>108844.12999999989</v>
      </c>
      <c r="O317" s="759">
        <v>459022.42</v>
      </c>
      <c r="P317" s="861">
        <v>0.2748362051683656</v>
      </c>
      <c r="Q317" s="761">
        <v>126155.97999999969</v>
      </c>
      <c r="R317" s="759">
        <v>445078.16</v>
      </c>
      <c r="S317" s="861">
        <v>0.27788290038765279</v>
      </c>
      <c r="T317" s="761">
        <v>123679.60999999978</v>
      </c>
      <c r="U317" s="759">
        <v>332527.23000000004</v>
      </c>
      <c r="V317" s="861">
        <v>0.25316834955140355</v>
      </c>
      <c r="W317" s="761">
        <v>84185.369999999981</v>
      </c>
      <c r="X317" s="759">
        <v>420612.72000000003</v>
      </c>
      <c r="Y317" s="861">
        <v>0.24896943202288291</v>
      </c>
      <c r="Z317" s="761">
        <v>104719.70999999989</v>
      </c>
      <c r="AA317" s="759">
        <v>451928.44999999896</v>
      </c>
      <c r="AB317" s="861">
        <v>0.236444353082883</v>
      </c>
      <c r="AC317" s="761">
        <v>106855.92999999979</v>
      </c>
      <c r="AD317" s="759">
        <v>436762.07</v>
      </c>
      <c r="AE317" s="861">
        <v>0.25768288441347481</v>
      </c>
      <c r="AF317" s="761">
        <v>112546.10999999999</v>
      </c>
      <c r="AG317" s="759">
        <v>571662.72</v>
      </c>
      <c r="AH317" s="861">
        <v>0.22739875358672995</v>
      </c>
      <c r="AI317" s="761">
        <v>129995.3899999998</v>
      </c>
      <c r="AJ317" s="759">
        <v>622656.95000000007</v>
      </c>
      <c r="AK317" s="861">
        <v>0.24380224134653883</v>
      </c>
      <c r="AL317" s="761">
        <v>151805.15999999977</v>
      </c>
      <c r="AM317" s="759">
        <v>444776.55</v>
      </c>
      <c r="AN317" s="861">
        <v>0.22807005000600838</v>
      </c>
      <c r="AO317" s="761">
        <v>101440.20999999989</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Bot="1">
      <c r="A318" s="39" t="str">
        <f t="shared" si="4"/>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thickTop="1">
      <c r="A319" s="39" t="str">
        <f t="shared" si="4"/>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
        <v>PiècesSalaires cadres</v>
      </c>
      <c r="B321" s="54" t="s">
        <v>120</v>
      </c>
      <c r="C321" s="747"/>
      <c r="D321" s="757"/>
      <c r="E321" s="758">
        <v>102195.55</v>
      </c>
      <c r="F321" s="747"/>
      <c r="G321" s="757"/>
      <c r="H321" s="771">
        <v>11123.37</v>
      </c>
      <c r="I321" s="747"/>
      <c r="J321" s="757"/>
      <c r="K321" s="771">
        <v>8856.35</v>
      </c>
      <c r="L321" s="747"/>
      <c r="M321" s="757"/>
      <c r="N321" s="771">
        <v>7736.15</v>
      </c>
      <c r="O321" s="747"/>
      <c r="P321" s="757"/>
      <c r="Q321" s="771">
        <v>7005.54</v>
      </c>
      <c r="R321" s="747"/>
      <c r="S321" s="757"/>
      <c r="T321" s="771">
        <v>7201.22</v>
      </c>
      <c r="U321" s="747"/>
      <c r="V321" s="757"/>
      <c r="W321" s="771">
        <v>6304.17</v>
      </c>
      <c r="X321" s="747"/>
      <c r="Y321" s="757"/>
      <c r="Z321" s="771">
        <v>9176.36</v>
      </c>
      <c r="AA321" s="747"/>
      <c r="AB321" s="757"/>
      <c r="AC321" s="771">
        <v>9024.27</v>
      </c>
      <c r="AD321" s="747"/>
      <c r="AE321" s="757"/>
      <c r="AF321" s="771">
        <v>9892.69</v>
      </c>
      <c r="AG321" s="747"/>
      <c r="AH321" s="757"/>
      <c r="AI321" s="771">
        <v>6958.82</v>
      </c>
      <c r="AJ321" s="747"/>
      <c r="AK321" s="757"/>
      <c r="AL321" s="771">
        <v>8668.85</v>
      </c>
      <c r="AM321" s="747"/>
      <c r="AN321" s="757"/>
      <c r="AO321" s="771">
        <v>10247.76</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
        <v>PiècesSalaires commis</v>
      </c>
      <c r="B322" s="55" t="s">
        <v>121</v>
      </c>
      <c r="C322" s="747"/>
      <c r="D322" s="757"/>
      <c r="E322" s="758">
        <v>306458.19</v>
      </c>
      <c r="F322" s="747"/>
      <c r="G322" s="757"/>
      <c r="H322" s="771">
        <v>18527.95</v>
      </c>
      <c r="I322" s="747"/>
      <c r="J322" s="757"/>
      <c r="K322" s="771">
        <v>21764.62</v>
      </c>
      <c r="L322" s="747"/>
      <c r="M322" s="757"/>
      <c r="N322" s="771">
        <v>29881.62</v>
      </c>
      <c r="O322" s="747"/>
      <c r="P322" s="757"/>
      <c r="Q322" s="771">
        <v>24992.33</v>
      </c>
      <c r="R322" s="747"/>
      <c r="S322" s="757"/>
      <c r="T322" s="771">
        <v>30808.98</v>
      </c>
      <c r="U322" s="747"/>
      <c r="V322" s="757"/>
      <c r="W322" s="771">
        <v>22540.87</v>
      </c>
      <c r="X322" s="747"/>
      <c r="Y322" s="757"/>
      <c r="Z322" s="771">
        <v>23703.279999999999</v>
      </c>
      <c r="AA322" s="747"/>
      <c r="AB322" s="757"/>
      <c r="AC322" s="771">
        <v>26468.2</v>
      </c>
      <c r="AD322" s="747"/>
      <c r="AE322" s="757"/>
      <c r="AF322" s="771">
        <v>25295.599999999999</v>
      </c>
      <c r="AG322" s="747"/>
      <c r="AH322" s="757"/>
      <c r="AI322" s="771">
        <v>25749.9</v>
      </c>
      <c r="AJ322" s="747"/>
      <c r="AK322" s="757"/>
      <c r="AL322" s="771">
        <v>33164.269999999997</v>
      </c>
      <c r="AM322" s="747"/>
      <c r="AN322" s="757"/>
      <c r="AO322" s="771">
        <v>23560.57</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
        <v>PiècesSalaires autres</v>
      </c>
      <c r="B323" s="54" t="s">
        <v>122</v>
      </c>
      <c r="C323" s="780"/>
      <c r="D323" s="781"/>
      <c r="E323" s="782">
        <v>8600.33</v>
      </c>
      <c r="F323" s="780"/>
      <c r="G323" s="781"/>
      <c r="H323" s="783">
        <v>4364.6000000000004</v>
      </c>
      <c r="I323" s="780"/>
      <c r="J323" s="781"/>
      <c r="K323" s="783">
        <v>2429.1799999999998</v>
      </c>
      <c r="L323" s="780"/>
      <c r="M323" s="781"/>
      <c r="N323" s="783">
        <v>113.92</v>
      </c>
      <c r="O323" s="780"/>
      <c r="P323" s="781"/>
      <c r="Q323" s="783">
        <v>190.37</v>
      </c>
      <c r="R323" s="780"/>
      <c r="S323" s="781"/>
      <c r="T323" s="783">
        <v>704.82</v>
      </c>
      <c r="U323" s="780"/>
      <c r="V323" s="781"/>
      <c r="W323" s="783">
        <v>113.92</v>
      </c>
      <c r="X323" s="780"/>
      <c r="Y323" s="781"/>
      <c r="Z323" s="783">
        <v>113.92</v>
      </c>
      <c r="AA323" s="780"/>
      <c r="AB323" s="781"/>
      <c r="AC323" s="783">
        <v>113.92</v>
      </c>
      <c r="AD323" s="780"/>
      <c r="AE323" s="781"/>
      <c r="AF323" s="783">
        <v>113.92</v>
      </c>
      <c r="AG323" s="780"/>
      <c r="AH323" s="781"/>
      <c r="AI323" s="783">
        <v>113.92</v>
      </c>
      <c r="AJ323" s="780"/>
      <c r="AK323" s="781"/>
      <c r="AL323" s="783">
        <v>113.92</v>
      </c>
      <c r="AM323" s="780"/>
      <c r="AN323" s="781"/>
      <c r="AO323" s="783">
        <v>113.92</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
        <v>PiècesSalaires en absences</v>
      </c>
      <c r="B328" s="55" t="s">
        <v>124</v>
      </c>
      <c r="C328" s="747"/>
      <c r="D328" s="757"/>
      <c r="E328" s="758">
        <v>45257.12000000001</v>
      </c>
      <c r="F328" s="747"/>
      <c r="G328" s="757"/>
      <c r="H328" s="771">
        <v>4085.93</v>
      </c>
      <c r="I328" s="747"/>
      <c r="J328" s="757"/>
      <c r="K328" s="771">
        <v>4202.88</v>
      </c>
      <c r="L328" s="747"/>
      <c r="M328" s="757"/>
      <c r="N328" s="771">
        <v>3891.01</v>
      </c>
      <c r="O328" s="747"/>
      <c r="P328" s="757"/>
      <c r="Q328" s="771">
        <v>3726.86</v>
      </c>
      <c r="R328" s="747"/>
      <c r="S328" s="757"/>
      <c r="T328" s="771">
        <v>5375.55</v>
      </c>
      <c r="U328" s="747"/>
      <c r="V328" s="757"/>
      <c r="W328" s="771">
        <v>3027.35</v>
      </c>
      <c r="X328" s="747"/>
      <c r="Y328" s="757"/>
      <c r="Z328" s="771">
        <v>3053.73</v>
      </c>
      <c r="AA328" s="747"/>
      <c r="AB328" s="757"/>
      <c r="AC328" s="771">
        <v>2859.89</v>
      </c>
      <c r="AD328" s="747"/>
      <c r="AE328" s="757"/>
      <c r="AF328" s="771">
        <v>3852.87</v>
      </c>
      <c r="AG328" s="747"/>
      <c r="AH328" s="757"/>
      <c r="AI328" s="771">
        <v>3956.34</v>
      </c>
      <c r="AJ328" s="747"/>
      <c r="AK328" s="757"/>
      <c r="AL328" s="771">
        <v>2955.12</v>
      </c>
      <c r="AM328" s="747"/>
      <c r="AN328" s="757"/>
      <c r="AO328" s="771">
        <v>4269.59</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
        <v>PiècesDéduction à la source</v>
      </c>
      <c r="B329" s="54" t="s">
        <v>125</v>
      </c>
      <c r="C329" s="780"/>
      <c r="D329" s="781"/>
      <c r="E329" s="782">
        <v>88155.369999999966</v>
      </c>
      <c r="F329" s="780"/>
      <c r="G329" s="781"/>
      <c r="H329" s="783">
        <v>8268.17</v>
      </c>
      <c r="I329" s="780"/>
      <c r="J329" s="781"/>
      <c r="K329" s="783">
        <v>8036.83</v>
      </c>
      <c r="L329" s="780"/>
      <c r="M329" s="781"/>
      <c r="N329" s="783">
        <v>8486.34</v>
      </c>
      <c r="O329" s="780"/>
      <c r="P329" s="781"/>
      <c r="Q329" s="783">
        <v>7350.11</v>
      </c>
      <c r="R329" s="780"/>
      <c r="S329" s="781"/>
      <c r="T329" s="783">
        <v>8164.94</v>
      </c>
      <c r="U329" s="780"/>
      <c r="V329" s="781"/>
      <c r="W329" s="783">
        <v>7018.81</v>
      </c>
      <c r="X329" s="780"/>
      <c r="Y329" s="781"/>
      <c r="Z329" s="783">
        <v>6876.95</v>
      </c>
      <c r="AA329" s="780"/>
      <c r="AB329" s="781"/>
      <c r="AC329" s="783">
        <v>8251.7099999999991</v>
      </c>
      <c r="AD329" s="780"/>
      <c r="AE329" s="781"/>
      <c r="AF329" s="783">
        <v>6777.44</v>
      </c>
      <c r="AG329" s="780"/>
      <c r="AH329" s="781"/>
      <c r="AI329" s="783">
        <v>6502.5199999999904</v>
      </c>
      <c r="AJ329" s="780"/>
      <c r="AK329" s="781"/>
      <c r="AL329" s="783">
        <v>6903.0199999999904</v>
      </c>
      <c r="AM329" s="780"/>
      <c r="AN329" s="781"/>
      <c r="AO329" s="783">
        <v>5518.53</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
        <v>PiècesBénéfices marginaux</v>
      </c>
      <c r="B330" s="54" t="s">
        <v>126</v>
      </c>
      <c r="C330" s="747"/>
      <c r="D330" s="757"/>
      <c r="E330" s="758">
        <v>11103.859999999999</v>
      </c>
      <c r="F330" s="747"/>
      <c r="G330" s="757"/>
      <c r="H330" s="771">
        <v>914.67</v>
      </c>
      <c r="I330" s="747"/>
      <c r="J330" s="757"/>
      <c r="K330" s="771">
        <v>1105.18</v>
      </c>
      <c r="L330" s="747"/>
      <c r="M330" s="757"/>
      <c r="N330" s="771">
        <v>2353.64</v>
      </c>
      <c r="O330" s="747"/>
      <c r="P330" s="757"/>
      <c r="Q330" s="771">
        <v>1026.28</v>
      </c>
      <c r="R330" s="747"/>
      <c r="S330" s="757"/>
      <c r="T330" s="771">
        <v>1439.68</v>
      </c>
      <c r="U330" s="747"/>
      <c r="V330" s="757"/>
      <c r="W330" s="771">
        <v>1006.31</v>
      </c>
      <c r="X330" s="747"/>
      <c r="Y330" s="757"/>
      <c r="Z330" s="771">
        <v>1183.98</v>
      </c>
      <c r="AA330" s="747"/>
      <c r="AB330" s="757"/>
      <c r="AC330" s="771">
        <v>1698.17</v>
      </c>
      <c r="AD330" s="747"/>
      <c r="AE330" s="757"/>
      <c r="AF330" s="771">
        <v>1354.21</v>
      </c>
      <c r="AG330" s="747"/>
      <c r="AH330" s="757"/>
      <c r="AI330" s="771">
        <v>1354.21</v>
      </c>
      <c r="AJ330" s="747"/>
      <c r="AK330" s="757"/>
      <c r="AL330" s="771">
        <v>-3783.47</v>
      </c>
      <c r="AM330" s="747"/>
      <c r="AN330" s="757"/>
      <c r="AO330" s="771">
        <v>1451</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
        <v>PiècesCsst</v>
      </c>
      <c r="B331" s="54" t="s">
        <v>127</v>
      </c>
      <c r="C331" s="747"/>
      <c r="D331" s="757"/>
      <c r="E331" s="758">
        <v>12977.3</v>
      </c>
      <c r="F331" s="747"/>
      <c r="G331" s="757"/>
      <c r="H331" s="771">
        <v>891.22</v>
      </c>
      <c r="I331" s="747"/>
      <c r="J331" s="757"/>
      <c r="K331" s="771">
        <v>956.16</v>
      </c>
      <c r="L331" s="747"/>
      <c r="M331" s="757"/>
      <c r="N331" s="771">
        <v>1190.18</v>
      </c>
      <c r="O331" s="747"/>
      <c r="P331" s="757"/>
      <c r="Q331" s="771">
        <v>1204.1600000000001</v>
      </c>
      <c r="R331" s="747"/>
      <c r="S331" s="757"/>
      <c r="T331" s="771">
        <v>1065.93</v>
      </c>
      <c r="U331" s="747"/>
      <c r="V331" s="757"/>
      <c r="W331" s="771">
        <v>788.92</v>
      </c>
      <c r="X331" s="747"/>
      <c r="Y331" s="757"/>
      <c r="Z331" s="771">
        <v>872.62</v>
      </c>
      <c r="AA331" s="747"/>
      <c r="AB331" s="757"/>
      <c r="AC331" s="771">
        <v>1640.79</v>
      </c>
      <c r="AD331" s="747"/>
      <c r="AE331" s="757"/>
      <c r="AF331" s="771">
        <v>876.26</v>
      </c>
      <c r="AG331" s="747"/>
      <c r="AH331" s="757"/>
      <c r="AI331" s="771">
        <v>738.69</v>
      </c>
      <c r="AJ331" s="747"/>
      <c r="AK331" s="757"/>
      <c r="AL331" s="771">
        <v>891.5</v>
      </c>
      <c r="AM331" s="747"/>
      <c r="AN331" s="757"/>
      <c r="AO331" s="771">
        <v>1860.87</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
        <v>Pièces[...]</v>
      </c>
      <c r="B332" s="44" t="s">
        <v>59</v>
      </c>
      <c r="C332" s="776"/>
      <c r="D332" s="784"/>
      <c r="E332" s="774"/>
      <c r="F332" s="776"/>
      <c r="G332" s="784"/>
      <c r="H332" s="774"/>
      <c r="I332" s="776"/>
      <c r="J332" s="784"/>
      <c r="K332" s="774"/>
      <c r="L332" s="776"/>
      <c r="M332" s="784"/>
      <c r="N332" s="774"/>
      <c r="O332" s="776"/>
      <c r="P332" s="784"/>
      <c r="Q332" s="774"/>
      <c r="R332" s="776"/>
      <c r="S332" s="784"/>
      <c r="T332" s="774"/>
      <c r="U332" s="776"/>
      <c r="V332" s="784"/>
      <c r="W332" s="774"/>
      <c r="X332" s="776"/>
      <c r="Y332" s="784"/>
      <c r="Z332" s="774"/>
      <c r="AA332" s="776"/>
      <c r="AB332" s="784"/>
      <c r="AC332" s="774"/>
      <c r="AD332" s="776"/>
      <c r="AE332" s="784"/>
      <c r="AF332" s="774"/>
      <c r="AG332" s="776"/>
      <c r="AH332" s="784"/>
      <c r="AI332" s="774"/>
      <c r="AJ332" s="776"/>
      <c r="AK332" s="784"/>
      <c r="AL332" s="774"/>
      <c r="AM332" s="776"/>
      <c r="AN332" s="784"/>
      <c r="AO332" s="774"/>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
        <v>PiècesTOTAL PERSONNEL</v>
      </c>
      <c r="B333" s="53" t="s">
        <v>128</v>
      </c>
      <c r="C333" s="777" t="s">
        <v>119</v>
      </c>
      <c r="D333" s="778">
        <v>0.42361747824567358</v>
      </c>
      <c r="E333" s="779">
        <v>574747.72</v>
      </c>
      <c r="F333" s="777"/>
      <c r="G333" s="778"/>
      <c r="H333" s="779">
        <v>48175.909999999902</v>
      </c>
      <c r="I333" s="777"/>
      <c r="J333" s="778"/>
      <c r="K333" s="779">
        <v>47351.199999999997</v>
      </c>
      <c r="L333" s="777"/>
      <c r="M333" s="778"/>
      <c r="N333" s="779">
        <v>53652.859999999899</v>
      </c>
      <c r="O333" s="777"/>
      <c r="P333" s="778"/>
      <c r="Q333" s="779">
        <v>45495.65</v>
      </c>
      <c r="R333" s="777"/>
      <c r="S333" s="778"/>
      <c r="T333" s="779">
        <v>54761.120000000003</v>
      </c>
      <c r="U333" s="777"/>
      <c r="V333" s="778"/>
      <c r="W333" s="779">
        <v>40800.349999999897</v>
      </c>
      <c r="X333" s="777"/>
      <c r="Y333" s="778"/>
      <c r="Z333" s="779">
        <v>44980.84</v>
      </c>
      <c r="AA333" s="777"/>
      <c r="AB333" s="778"/>
      <c r="AC333" s="779">
        <v>50056.95</v>
      </c>
      <c r="AD333" s="777"/>
      <c r="AE333" s="778"/>
      <c r="AF333" s="779">
        <v>48162.99</v>
      </c>
      <c r="AG333" s="777"/>
      <c r="AH333" s="778"/>
      <c r="AI333" s="779">
        <v>45374.3999999999</v>
      </c>
      <c r="AJ333" s="777"/>
      <c r="AK333" s="778"/>
      <c r="AL333" s="779">
        <v>48913.209999999897</v>
      </c>
      <c r="AM333" s="777"/>
      <c r="AN333" s="778"/>
      <c r="AO333" s="779">
        <v>47022.239999999998</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
        <v>PiècesPublicité 2</v>
      </c>
      <c r="B334" s="63" t="s">
        <v>129</v>
      </c>
      <c r="C334" s="747"/>
      <c r="D334" s="757"/>
      <c r="E334" s="758">
        <v>49528.759999999995</v>
      </c>
      <c r="F334" s="747"/>
      <c r="G334" s="757"/>
      <c r="H334" s="771">
        <v>4988.45</v>
      </c>
      <c r="I334" s="747"/>
      <c r="J334" s="757"/>
      <c r="K334" s="771">
        <v>5499.83</v>
      </c>
      <c r="L334" s="747"/>
      <c r="M334" s="757"/>
      <c r="N334" s="771">
        <v>4125.1899999999996</v>
      </c>
      <c r="O334" s="747"/>
      <c r="P334" s="757"/>
      <c r="Q334" s="771">
        <v>4417.4399999999996</v>
      </c>
      <c r="R334" s="747"/>
      <c r="S334" s="757"/>
      <c r="T334" s="771">
        <v>4654.3900000000003</v>
      </c>
      <c r="U334" s="747"/>
      <c r="V334" s="757"/>
      <c r="W334" s="771">
        <v>3800.67</v>
      </c>
      <c r="X334" s="747"/>
      <c r="Y334" s="757"/>
      <c r="Z334" s="771">
        <v>3503.16</v>
      </c>
      <c r="AA334" s="747"/>
      <c r="AB334" s="757"/>
      <c r="AC334" s="771">
        <v>3417.43</v>
      </c>
      <c r="AD334" s="747"/>
      <c r="AE334" s="757"/>
      <c r="AF334" s="771">
        <v>2915.97</v>
      </c>
      <c r="AG334" s="747"/>
      <c r="AH334" s="757"/>
      <c r="AI334" s="771">
        <v>4321.1400000000003</v>
      </c>
      <c r="AJ334" s="747"/>
      <c r="AK334" s="757"/>
      <c r="AL334" s="771">
        <v>3939.83</v>
      </c>
      <c r="AM334" s="747"/>
      <c r="AN334" s="757"/>
      <c r="AO334" s="771">
        <v>3945.26</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
        <v>PiècesService gratuit 2</v>
      </c>
      <c r="B335" s="54" t="s">
        <v>130</v>
      </c>
      <c r="C335" s="747"/>
      <c r="D335" s="757"/>
      <c r="E335" s="758">
        <v>4305.6000000000004</v>
      </c>
      <c r="F335" s="747"/>
      <c r="G335" s="757"/>
      <c r="H335" s="771">
        <v>-5629.4</v>
      </c>
      <c r="I335" s="747"/>
      <c r="J335" s="757"/>
      <c r="K335" s="771">
        <v>0</v>
      </c>
      <c r="L335" s="747"/>
      <c r="M335" s="757"/>
      <c r="N335" s="771">
        <v>1134.6099999999999</v>
      </c>
      <c r="O335" s="747"/>
      <c r="P335" s="757"/>
      <c r="Q335" s="771">
        <v>881.44</v>
      </c>
      <c r="R335" s="747"/>
      <c r="S335" s="757"/>
      <c r="T335" s="771">
        <v>2532.06</v>
      </c>
      <c r="U335" s="747"/>
      <c r="V335" s="757"/>
      <c r="W335" s="771">
        <v>954.5</v>
      </c>
      <c r="X335" s="747"/>
      <c r="Y335" s="757"/>
      <c r="Z335" s="771">
        <v>81.150000000000006</v>
      </c>
      <c r="AA335" s="747"/>
      <c r="AB335" s="757"/>
      <c r="AC335" s="771">
        <v>712.76</v>
      </c>
      <c r="AD335" s="747"/>
      <c r="AE335" s="757"/>
      <c r="AF335" s="771">
        <v>167.75</v>
      </c>
      <c r="AG335" s="747"/>
      <c r="AH335" s="757"/>
      <c r="AI335" s="771">
        <v>1812.7</v>
      </c>
      <c r="AJ335" s="747"/>
      <c r="AK335" s="757"/>
      <c r="AL335" s="771">
        <v>666.15</v>
      </c>
      <c r="AM335" s="747"/>
      <c r="AN335" s="757"/>
      <c r="AO335" s="771">
        <v>991.88</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
        <v>PiècesFrais véhicules de cie</v>
      </c>
      <c r="B336" s="55" t="s">
        <v>131</v>
      </c>
      <c r="C336" s="776"/>
      <c r="D336" s="784"/>
      <c r="E336" s="774">
        <v>15083.720000000001</v>
      </c>
      <c r="F336" s="776"/>
      <c r="G336" s="784"/>
      <c r="H336" s="775">
        <v>1275.97</v>
      </c>
      <c r="I336" s="776"/>
      <c r="J336" s="784"/>
      <c r="K336" s="775">
        <v>1186.93</v>
      </c>
      <c r="L336" s="776"/>
      <c r="M336" s="784"/>
      <c r="N336" s="775">
        <v>1346.53</v>
      </c>
      <c r="O336" s="776"/>
      <c r="P336" s="784"/>
      <c r="Q336" s="775">
        <v>1271.42</v>
      </c>
      <c r="R336" s="776"/>
      <c r="S336" s="784"/>
      <c r="T336" s="775">
        <v>1412.1</v>
      </c>
      <c r="U336" s="776"/>
      <c r="V336" s="784"/>
      <c r="W336" s="775">
        <v>1299.26</v>
      </c>
      <c r="X336" s="776"/>
      <c r="Y336" s="784"/>
      <c r="Z336" s="775">
        <v>1111.49</v>
      </c>
      <c r="AA336" s="776"/>
      <c r="AB336" s="784"/>
      <c r="AC336" s="775">
        <v>1351.28</v>
      </c>
      <c r="AD336" s="776"/>
      <c r="AE336" s="784"/>
      <c r="AF336" s="775">
        <v>1168.49</v>
      </c>
      <c r="AG336" s="776"/>
      <c r="AH336" s="784"/>
      <c r="AI336" s="775">
        <v>1168.49</v>
      </c>
      <c r="AJ336" s="776"/>
      <c r="AK336" s="784"/>
      <c r="AL336" s="775">
        <v>1351.28</v>
      </c>
      <c r="AM336" s="776"/>
      <c r="AN336" s="784"/>
      <c r="AO336" s="775">
        <v>1140.48</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
        <v>PiècesInformatique</v>
      </c>
      <c r="B337" s="54" t="s">
        <v>132</v>
      </c>
      <c r="C337" s="747"/>
      <c r="D337" s="757"/>
      <c r="E337" s="758">
        <v>58714.139999999985</v>
      </c>
      <c r="F337" s="747"/>
      <c r="G337" s="757"/>
      <c r="H337" s="771">
        <v>3771.86</v>
      </c>
      <c r="I337" s="747"/>
      <c r="J337" s="757"/>
      <c r="K337" s="771">
        <v>4854.71</v>
      </c>
      <c r="L337" s="747"/>
      <c r="M337" s="757"/>
      <c r="N337" s="771">
        <v>4508.04</v>
      </c>
      <c r="O337" s="747"/>
      <c r="P337" s="757"/>
      <c r="Q337" s="771">
        <v>4958.8900000000003</v>
      </c>
      <c r="R337" s="747"/>
      <c r="S337" s="757"/>
      <c r="T337" s="771">
        <v>4532.71</v>
      </c>
      <c r="U337" s="747"/>
      <c r="V337" s="757"/>
      <c r="W337" s="771">
        <v>4542.16</v>
      </c>
      <c r="X337" s="747"/>
      <c r="Y337" s="757"/>
      <c r="Z337" s="771">
        <v>4379.1499999999996</v>
      </c>
      <c r="AA337" s="747"/>
      <c r="AB337" s="757"/>
      <c r="AC337" s="771">
        <v>5565.64</v>
      </c>
      <c r="AD337" s="747"/>
      <c r="AE337" s="757"/>
      <c r="AF337" s="771">
        <v>6152.41</v>
      </c>
      <c r="AG337" s="747"/>
      <c r="AH337" s="757"/>
      <c r="AI337" s="771">
        <v>5168.38</v>
      </c>
      <c r="AJ337" s="747"/>
      <c r="AK337" s="757"/>
      <c r="AL337" s="771">
        <v>4553.7700000000004</v>
      </c>
      <c r="AM337" s="747"/>
      <c r="AN337" s="757"/>
      <c r="AO337" s="771">
        <v>5726.42</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
        <v>PiècesFrais de déplacement</v>
      </c>
      <c r="B338" s="54" t="s">
        <v>133</v>
      </c>
      <c r="C338" s="747"/>
      <c r="D338" s="757"/>
      <c r="E338" s="758">
        <v>11673.320000000002</v>
      </c>
      <c r="F338" s="747"/>
      <c r="G338" s="757"/>
      <c r="H338" s="771">
        <v>379.07</v>
      </c>
      <c r="I338" s="747"/>
      <c r="J338" s="757"/>
      <c r="K338" s="771">
        <v>620.25</v>
      </c>
      <c r="L338" s="747"/>
      <c r="M338" s="757"/>
      <c r="N338" s="771">
        <v>652.71</v>
      </c>
      <c r="O338" s="747"/>
      <c r="P338" s="757"/>
      <c r="Q338" s="771">
        <v>1821.32</v>
      </c>
      <c r="R338" s="747"/>
      <c r="S338" s="757"/>
      <c r="T338" s="771">
        <v>584.44000000000005</v>
      </c>
      <c r="U338" s="747"/>
      <c r="V338" s="757"/>
      <c r="W338" s="771">
        <v>918.93</v>
      </c>
      <c r="X338" s="747"/>
      <c r="Y338" s="757"/>
      <c r="Z338" s="771">
        <v>1002.14</v>
      </c>
      <c r="AA338" s="747"/>
      <c r="AB338" s="757"/>
      <c r="AC338" s="771">
        <v>905.44</v>
      </c>
      <c r="AD338" s="747"/>
      <c r="AE338" s="757"/>
      <c r="AF338" s="771">
        <v>1414.19</v>
      </c>
      <c r="AG338" s="747"/>
      <c r="AH338" s="757"/>
      <c r="AI338" s="771">
        <v>1039.22</v>
      </c>
      <c r="AJ338" s="747"/>
      <c r="AK338" s="757"/>
      <c r="AL338" s="771">
        <v>1461.86</v>
      </c>
      <c r="AM338" s="747"/>
      <c r="AN338" s="757"/>
      <c r="AO338" s="771">
        <v>873.75</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
        <v>PiècesServices extérieurs</v>
      </c>
      <c r="B339" s="54" t="s">
        <v>134</v>
      </c>
      <c r="C339" s="776"/>
      <c r="D339" s="784"/>
      <c r="E339" s="774">
        <v>143262.68</v>
      </c>
      <c r="F339" s="776"/>
      <c r="G339" s="784"/>
      <c r="H339" s="775">
        <v>16995.080000000002</v>
      </c>
      <c r="I339" s="776"/>
      <c r="J339" s="784"/>
      <c r="K339" s="775">
        <v>13059.98</v>
      </c>
      <c r="L339" s="776"/>
      <c r="M339" s="784"/>
      <c r="N339" s="775">
        <v>10761.48</v>
      </c>
      <c r="O339" s="776"/>
      <c r="P339" s="784"/>
      <c r="Q339" s="775">
        <v>11758.11</v>
      </c>
      <c r="R339" s="776"/>
      <c r="S339" s="784"/>
      <c r="T339" s="775">
        <v>11822.3</v>
      </c>
      <c r="U339" s="776"/>
      <c r="V339" s="784"/>
      <c r="W339" s="775">
        <v>10112.43</v>
      </c>
      <c r="X339" s="776"/>
      <c r="Y339" s="784"/>
      <c r="Z339" s="775">
        <v>10773.75</v>
      </c>
      <c r="AA339" s="776"/>
      <c r="AB339" s="784"/>
      <c r="AC339" s="775">
        <v>11251.54</v>
      </c>
      <c r="AD339" s="776"/>
      <c r="AE339" s="784"/>
      <c r="AF339" s="775">
        <v>12590.01</v>
      </c>
      <c r="AG339" s="776"/>
      <c r="AH339" s="784"/>
      <c r="AI339" s="775">
        <v>12086.68</v>
      </c>
      <c r="AJ339" s="776"/>
      <c r="AK339" s="784"/>
      <c r="AL339" s="775">
        <v>11143.02</v>
      </c>
      <c r="AM339" s="776"/>
      <c r="AN339" s="784"/>
      <c r="AO339" s="775">
        <v>10908.3</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
        <v>PiècesFournitures autres</v>
      </c>
      <c r="B341" s="63" t="s">
        <v>135</v>
      </c>
      <c r="C341" s="747"/>
      <c r="D341" s="757"/>
      <c r="E341" s="758">
        <v>2798.71</v>
      </c>
      <c r="F341" s="747"/>
      <c r="G341" s="757"/>
      <c r="H341" s="771">
        <v>0</v>
      </c>
      <c r="I341" s="747"/>
      <c r="J341" s="757"/>
      <c r="K341" s="771">
        <v>1375.72</v>
      </c>
      <c r="L341" s="747"/>
      <c r="M341" s="757"/>
      <c r="N341" s="771">
        <v>135.68</v>
      </c>
      <c r="O341" s="747"/>
      <c r="P341" s="757"/>
      <c r="Q341" s="771">
        <v>65.61</v>
      </c>
      <c r="R341" s="747"/>
      <c r="S341" s="757"/>
      <c r="T341" s="771">
        <v>99.95</v>
      </c>
      <c r="U341" s="747"/>
      <c r="V341" s="757"/>
      <c r="W341" s="771">
        <v>3.57</v>
      </c>
      <c r="X341" s="747"/>
      <c r="Y341" s="757"/>
      <c r="Z341" s="771">
        <v>9.99</v>
      </c>
      <c r="AA341" s="747"/>
      <c r="AB341" s="757"/>
      <c r="AC341" s="771">
        <v>759.58</v>
      </c>
      <c r="AD341" s="747"/>
      <c r="AE341" s="757"/>
      <c r="AF341" s="771">
        <v>0</v>
      </c>
      <c r="AG341" s="747"/>
      <c r="AH341" s="757"/>
      <c r="AI341" s="771">
        <v>68.38</v>
      </c>
      <c r="AJ341" s="747"/>
      <c r="AK341" s="757"/>
      <c r="AL341" s="771">
        <v>129.94999999999999</v>
      </c>
      <c r="AM341" s="747"/>
      <c r="AN341" s="757"/>
      <c r="AO341" s="771">
        <v>150.28</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4"/>
        <v>PiècesUniformes</v>
      </c>
      <c r="B342" s="54" t="s">
        <v>136</v>
      </c>
      <c r="C342" s="747"/>
      <c r="D342" s="757"/>
      <c r="E342" s="758">
        <v>240</v>
      </c>
      <c r="F342" s="747"/>
      <c r="G342" s="757"/>
      <c r="H342" s="771">
        <v>0</v>
      </c>
      <c r="I342" s="747"/>
      <c r="J342" s="757"/>
      <c r="K342" s="771">
        <v>0</v>
      </c>
      <c r="L342" s="747"/>
      <c r="M342" s="757"/>
      <c r="N342" s="771">
        <v>0</v>
      </c>
      <c r="O342" s="747"/>
      <c r="P342" s="757"/>
      <c r="Q342" s="771">
        <v>0</v>
      </c>
      <c r="R342" s="747"/>
      <c r="S342" s="757"/>
      <c r="T342" s="771">
        <v>0</v>
      </c>
      <c r="U342" s="747"/>
      <c r="V342" s="757"/>
      <c r="W342" s="771">
        <v>0</v>
      </c>
      <c r="X342" s="747"/>
      <c r="Y342" s="757"/>
      <c r="Z342" s="771">
        <v>0</v>
      </c>
      <c r="AA342" s="747"/>
      <c r="AB342" s="757"/>
      <c r="AC342" s="771">
        <v>0</v>
      </c>
      <c r="AD342" s="747"/>
      <c r="AE342" s="757"/>
      <c r="AF342" s="771">
        <v>0</v>
      </c>
      <c r="AG342" s="747"/>
      <c r="AH342" s="757"/>
      <c r="AI342" s="771">
        <v>0</v>
      </c>
      <c r="AJ342" s="747"/>
      <c r="AK342" s="757"/>
      <c r="AL342" s="771">
        <v>240</v>
      </c>
      <c r="AM342" s="747"/>
      <c r="AN342" s="757"/>
      <c r="AO342" s="771">
        <v>0</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4"/>
        <v>PiècesPapeterie</v>
      </c>
      <c r="B343" s="54" t="s">
        <v>137</v>
      </c>
      <c r="C343" s="747"/>
      <c r="D343" s="757"/>
      <c r="E343" s="758">
        <v>8619.15</v>
      </c>
      <c r="F343" s="747"/>
      <c r="G343" s="757"/>
      <c r="H343" s="771">
        <v>332.2</v>
      </c>
      <c r="I343" s="747"/>
      <c r="J343" s="757"/>
      <c r="K343" s="771">
        <v>1040.19</v>
      </c>
      <c r="L343" s="747"/>
      <c r="M343" s="757"/>
      <c r="N343" s="771">
        <v>145.52000000000001</v>
      </c>
      <c r="O343" s="747"/>
      <c r="P343" s="757"/>
      <c r="Q343" s="771">
        <v>297.66000000000003</v>
      </c>
      <c r="R343" s="747"/>
      <c r="S343" s="757"/>
      <c r="T343" s="771">
        <v>691.77</v>
      </c>
      <c r="U343" s="747"/>
      <c r="V343" s="757"/>
      <c r="W343" s="771">
        <v>303.14</v>
      </c>
      <c r="X343" s="747"/>
      <c r="Y343" s="757"/>
      <c r="Z343" s="771">
        <v>278.54000000000002</v>
      </c>
      <c r="AA343" s="747"/>
      <c r="AB343" s="757"/>
      <c r="AC343" s="771">
        <v>2867.51</v>
      </c>
      <c r="AD343" s="747"/>
      <c r="AE343" s="757"/>
      <c r="AF343" s="771">
        <v>490.86</v>
      </c>
      <c r="AG343" s="747"/>
      <c r="AH343" s="757"/>
      <c r="AI343" s="771">
        <v>294.99</v>
      </c>
      <c r="AJ343" s="747"/>
      <c r="AK343" s="757"/>
      <c r="AL343" s="771">
        <v>986.2</v>
      </c>
      <c r="AM343" s="747"/>
      <c r="AN343" s="757"/>
      <c r="AO343" s="771">
        <v>890.57</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4"/>
        <v>PiècesTéléphone</v>
      </c>
      <c r="B344" s="54" t="s">
        <v>138</v>
      </c>
      <c r="C344" s="747"/>
      <c r="D344" s="757"/>
      <c r="E344" s="758">
        <v>1262.1099999999999</v>
      </c>
      <c r="F344" s="747"/>
      <c r="G344" s="757"/>
      <c r="H344" s="771">
        <v>133.53</v>
      </c>
      <c r="I344" s="747"/>
      <c r="J344" s="757"/>
      <c r="K344" s="771">
        <v>84.08</v>
      </c>
      <c r="L344" s="747"/>
      <c r="M344" s="757"/>
      <c r="N344" s="771">
        <v>102.7</v>
      </c>
      <c r="O344" s="747"/>
      <c r="P344" s="757"/>
      <c r="Q344" s="771">
        <v>84.4</v>
      </c>
      <c r="R344" s="747"/>
      <c r="S344" s="757"/>
      <c r="T344" s="771">
        <v>86.59</v>
      </c>
      <c r="U344" s="747"/>
      <c r="V344" s="757"/>
      <c r="W344" s="771">
        <v>90.67</v>
      </c>
      <c r="X344" s="747"/>
      <c r="Y344" s="757"/>
      <c r="Z344" s="771">
        <v>93.83</v>
      </c>
      <c r="AA344" s="747"/>
      <c r="AB344" s="757"/>
      <c r="AC344" s="771">
        <v>158.07</v>
      </c>
      <c r="AD344" s="747"/>
      <c r="AE344" s="757"/>
      <c r="AF344" s="771">
        <v>98.17</v>
      </c>
      <c r="AG344" s="747"/>
      <c r="AH344" s="757"/>
      <c r="AI344" s="771">
        <v>142.66</v>
      </c>
      <c r="AJ344" s="747"/>
      <c r="AK344" s="757"/>
      <c r="AL344" s="771">
        <v>95.55</v>
      </c>
      <c r="AM344" s="747"/>
      <c r="AN344" s="757"/>
      <c r="AO344" s="771">
        <v>91.86</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4"/>
        <v>PiècesFrais postaux</v>
      </c>
      <c r="B345" s="54" t="s">
        <v>139</v>
      </c>
      <c r="C345" s="747"/>
      <c r="D345" s="757"/>
      <c r="E345" s="758">
        <v>-1807.2800000000002</v>
      </c>
      <c r="F345" s="747"/>
      <c r="G345" s="757"/>
      <c r="H345" s="771">
        <v>-414.68</v>
      </c>
      <c r="I345" s="747"/>
      <c r="J345" s="757"/>
      <c r="K345" s="771">
        <v>188.52</v>
      </c>
      <c r="L345" s="747"/>
      <c r="M345" s="757"/>
      <c r="N345" s="771">
        <v>-116.66</v>
      </c>
      <c r="O345" s="747"/>
      <c r="P345" s="757"/>
      <c r="Q345" s="771">
        <v>-52.37</v>
      </c>
      <c r="R345" s="747"/>
      <c r="S345" s="757"/>
      <c r="T345" s="771">
        <v>-264.58999999999997</v>
      </c>
      <c r="U345" s="747"/>
      <c r="V345" s="757"/>
      <c r="W345" s="771">
        <v>25.75</v>
      </c>
      <c r="X345" s="747"/>
      <c r="Y345" s="757"/>
      <c r="Z345" s="771">
        <v>25.75</v>
      </c>
      <c r="AA345" s="747"/>
      <c r="AB345" s="757"/>
      <c r="AC345" s="771">
        <v>-398.91</v>
      </c>
      <c r="AD345" s="747"/>
      <c r="AE345" s="757"/>
      <c r="AF345" s="771">
        <v>-183.24</v>
      </c>
      <c r="AG345" s="747"/>
      <c r="AH345" s="757"/>
      <c r="AI345" s="771">
        <v>-104.06</v>
      </c>
      <c r="AJ345" s="747"/>
      <c r="AK345" s="757"/>
      <c r="AL345" s="771">
        <v>-148.9</v>
      </c>
      <c r="AM345" s="747"/>
      <c r="AN345" s="757"/>
      <c r="AO345" s="771">
        <v>-363.89</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4"/>
        <v>PiècesDivers</v>
      </c>
      <c r="B346" s="54" t="s">
        <v>140</v>
      </c>
      <c r="C346" s="747"/>
      <c r="D346" s="757"/>
      <c r="E346" s="758">
        <v>1691.93</v>
      </c>
      <c r="F346" s="747"/>
      <c r="G346" s="757"/>
      <c r="H346" s="771">
        <v>80.69</v>
      </c>
      <c r="I346" s="747"/>
      <c r="J346" s="757"/>
      <c r="K346" s="771">
        <v>160.71</v>
      </c>
      <c r="L346" s="747"/>
      <c r="M346" s="757"/>
      <c r="N346" s="771">
        <v>199.97</v>
      </c>
      <c r="O346" s="747"/>
      <c r="P346" s="757"/>
      <c r="Q346" s="771">
        <v>157.71</v>
      </c>
      <c r="R346" s="747"/>
      <c r="S346" s="757"/>
      <c r="T346" s="771">
        <v>82.26</v>
      </c>
      <c r="U346" s="747"/>
      <c r="V346" s="757"/>
      <c r="W346" s="771">
        <v>96.66</v>
      </c>
      <c r="X346" s="747"/>
      <c r="Y346" s="757"/>
      <c r="Z346" s="771">
        <v>147.26</v>
      </c>
      <c r="AA346" s="747"/>
      <c r="AB346" s="757"/>
      <c r="AC346" s="771">
        <v>40.99</v>
      </c>
      <c r="AD346" s="747"/>
      <c r="AE346" s="757"/>
      <c r="AF346" s="771">
        <v>118.76</v>
      </c>
      <c r="AG346" s="747"/>
      <c r="AH346" s="757"/>
      <c r="AI346" s="771">
        <v>183.15</v>
      </c>
      <c r="AJ346" s="747"/>
      <c r="AK346" s="757"/>
      <c r="AL346" s="771">
        <v>349.07</v>
      </c>
      <c r="AM346" s="747"/>
      <c r="AN346" s="757"/>
      <c r="AO346" s="771">
        <v>74.7</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4"/>
        <v>PiècesFormation</v>
      </c>
      <c r="B347" s="54" t="s">
        <v>141</v>
      </c>
      <c r="C347" s="747"/>
      <c r="D347" s="757"/>
      <c r="E347" s="758">
        <v>3366.2000000000003</v>
      </c>
      <c r="F347" s="747"/>
      <c r="G347" s="757"/>
      <c r="H347" s="771">
        <v>192.25</v>
      </c>
      <c r="I347" s="747"/>
      <c r="J347" s="757"/>
      <c r="K347" s="771">
        <v>79.75</v>
      </c>
      <c r="L347" s="747"/>
      <c r="M347" s="757"/>
      <c r="N347" s="771">
        <v>329.75</v>
      </c>
      <c r="O347" s="747"/>
      <c r="P347" s="757"/>
      <c r="Q347" s="771">
        <v>79.75</v>
      </c>
      <c r="R347" s="747"/>
      <c r="S347" s="757"/>
      <c r="T347" s="771">
        <v>248.5</v>
      </c>
      <c r="U347" s="747"/>
      <c r="V347" s="757"/>
      <c r="W347" s="771">
        <v>79.75</v>
      </c>
      <c r="X347" s="747"/>
      <c r="Y347" s="757"/>
      <c r="Z347" s="771">
        <v>79.75</v>
      </c>
      <c r="AA347" s="747"/>
      <c r="AB347" s="757"/>
      <c r="AC347" s="771">
        <v>79.75</v>
      </c>
      <c r="AD347" s="747"/>
      <c r="AE347" s="757"/>
      <c r="AF347" s="771">
        <v>521.79</v>
      </c>
      <c r="AG347" s="747"/>
      <c r="AH347" s="757"/>
      <c r="AI347" s="771">
        <v>1038.3</v>
      </c>
      <c r="AJ347" s="747"/>
      <c r="AK347" s="757"/>
      <c r="AL347" s="771">
        <v>557.11</v>
      </c>
      <c r="AM347" s="747"/>
      <c r="AN347" s="757"/>
      <c r="AO347" s="771">
        <v>79.75</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4"/>
        <v>PiècesFrais bancaires</v>
      </c>
      <c r="B348" s="54" t="s">
        <v>142</v>
      </c>
      <c r="C348" s="747"/>
      <c r="D348" s="757"/>
      <c r="E348" s="758">
        <v>21103.250000000004</v>
      </c>
      <c r="F348" s="747"/>
      <c r="G348" s="757"/>
      <c r="H348" s="771">
        <v>1372.41</v>
      </c>
      <c r="I348" s="747"/>
      <c r="J348" s="757"/>
      <c r="K348" s="771">
        <v>1083.58</v>
      </c>
      <c r="L348" s="747"/>
      <c r="M348" s="757"/>
      <c r="N348" s="771">
        <v>1428.49</v>
      </c>
      <c r="O348" s="747"/>
      <c r="P348" s="757"/>
      <c r="Q348" s="771">
        <v>1900.91</v>
      </c>
      <c r="R348" s="747"/>
      <c r="S348" s="757"/>
      <c r="T348" s="771">
        <v>2111.31</v>
      </c>
      <c r="U348" s="747"/>
      <c r="V348" s="757"/>
      <c r="W348" s="771">
        <v>1492.37</v>
      </c>
      <c r="X348" s="747"/>
      <c r="Y348" s="757"/>
      <c r="Z348" s="771">
        <v>1652.78</v>
      </c>
      <c r="AA348" s="747"/>
      <c r="AB348" s="757"/>
      <c r="AC348" s="771">
        <v>1589.41</v>
      </c>
      <c r="AD348" s="747"/>
      <c r="AE348" s="757"/>
      <c r="AF348" s="771">
        <v>1452.03</v>
      </c>
      <c r="AG348" s="747"/>
      <c r="AH348" s="757"/>
      <c r="AI348" s="771">
        <v>2142.2399999999998</v>
      </c>
      <c r="AJ348" s="747"/>
      <c r="AK348" s="757"/>
      <c r="AL348" s="771">
        <v>3033.34</v>
      </c>
      <c r="AM348" s="747"/>
      <c r="AN348" s="757"/>
      <c r="AO348" s="771">
        <v>1844.38</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4"/>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4"/>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4"/>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4"/>
        <v>PiècesTOTAL SEMI-FIXES</v>
      </c>
      <c r="B352" s="53" t="s">
        <v>143</v>
      </c>
      <c r="C352" s="777" t="s">
        <v>119</v>
      </c>
      <c r="D352" s="778">
        <v>0.23573957688100339</v>
      </c>
      <c r="E352" s="779">
        <v>319842.28999999998</v>
      </c>
      <c r="F352" s="777" t="s">
        <v>119</v>
      </c>
      <c r="G352" s="778">
        <v>0.21427605281479004</v>
      </c>
      <c r="H352" s="779">
        <v>23477.43</v>
      </c>
      <c r="I352" s="777" t="s">
        <v>119</v>
      </c>
      <c r="J352" s="778">
        <v>0.3014858731140414</v>
      </c>
      <c r="K352" s="779">
        <v>29234.25</v>
      </c>
      <c r="L352" s="777" t="s">
        <v>119</v>
      </c>
      <c r="M352" s="778">
        <v>0.22742622868132648</v>
      </c>
      <c r="N352" s="779">
        <v>24754.010000000002</v>
      </c>
      <c r="O352" s="777" t="s">
        <v>119</v>
      </c>
      <c r="P352" s="778">
        <v>0.21911200721519558</v>
      </c>
      <c r="Q352" s="779">
        <v>27642.29</v>
      </c>
      <c r="R352" s="777" t="s">
        <v>119</v>
      </c>
      <c r="S352" s="778">
        <v>0.23119243341727913</v>
      </c>
      <c r="T352" s="779">
        <v>28593.79</v>
      </c>
      <c r="U352" s="777" t="s">
        <v>119</v>
      </c>
      <c r="V352" s="778">
        <v>0.28175750727234439</v>
      </c>
      <c r="W352" s="779">
        <v>23719.859999999997</v>
      </c>
      <c r="X352" s="777" t="s">
        <v>119</v>
      </c>
      <c r="Y352" s="778">
        <v>0.2209587860776164</v>
      </c>
      <c r="Z352" s="779">
        <v>23138.74</v>
      </c>
      <c r="AA352" s="777" t="s">
        <v>119</v>
      </c>
      <c r="AB352" s="778">
        <v>0.26484716384013562</v>
      </c>
      <c r="AC352" s="779">
        <v>28300.490000000009</v>
      </c>
      <c r="AD352" s="777" t="s">
        <v>119</v>
      </c>
      <c r="AE352" s="778">
        <v>0.23907703251582837</v>
      </c>
      <c r="AF352" s="779">
        <v>26907.189999999995</v>
      </c>
      <c r="AG352" s="777" t="s">
        <v>119</v>
      </c>
      <c r="AH352" s="778">
        <v>0.22587162513993805</v>
      </c>
      <c r="AI352" s="779">
        <v>29362.270000000004</v>
      </c>
      <c r="AJ352" s="777" t="s">
        <v>119</v>
      </c>
      <c r="AK352" s="778">
        <v>0.1868067594013276</v>
      </c>
      <c r="AL352" s="779">
        <v>28358.23</v>
      </c>
      <c r="AM352" s="777" t="s">
        <v>119</v>
      </c>
      <c r="AN352" s="778">
        <v>0.25979579498110295</v>
      </c>
      <c r="AO352" s="779">
        <v>26353.74</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4"/>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4"/>
        <v>PiècesTOTAL DES DÉPENSES</v>
      </c>
      <c r="B354" s="53" t="s">
        <v>144</v>
      </c>
      <c r="C354" s="777" t="s">
        <v>119</v>
      </c>
      <c r="D354" s="815">
        <v>0.65935705512667697</v>
      </c>
      <c r="E354" s="789">
        <v>894590.01</v>
      </c>
      <c r="F354" s="777" t="s">
        <v>119</v>
      </c>
      <c r="G354" s="815">
        <v>0.65397255432967272</v>
      </c>
      <c r="H354" s="789">
        <v>71653.339999999909</v>
      </c>
      <c r="I354" s="777" t="s">
        <v>119</v>
      </c>
      <c r="J354" s="815">
        <v>0.78980754632260997</v>
      </c>
      <c r="K354" s="789">
        <v>76585.45</v>
      </c>
      <c r="L354" s="777" t="s">
        <v>119</v>
      </c>
      <c r="M354" s="815">
        <v>0.72035919621940103</v>
      </c>
      <c r="N354" s="789">
        <v>78406.869999999908</v>
      </c>
      <c r="O354" s="777" t="s">
        <v>119</v>
      </c>
      <c r="P354" s="815">
        <v>0.57974215728814582</v>
      </c>
      <c r="Q354" s="789">
        <v>73137.94</v>
      </c>
      <c r="R354" s="777" t="s">
        <v>119</v>
      </c>
      <c r="S354" s="815">
        <v>0.67395838327756818</v>
      </c>
      <c r="T354" s="789">
        <v>83354.91</v>
      </c>
      <c r="U354" s="777" t="s">
        <v>119</v>
      </c>
      <c r="V354" s="815">
        <v>0.76640644330481533</v>
      </c>
      <c r="W354" s="789">
        <v>64520.20999999989</v>
      </c>
      <c r="X354" s="777" t="s">
        <v>119</v>
      </c>
      <c r="Y354" s="815">
        <v>0.65049435297328528</v>
      </c>
      <c r="Z354" s="789">
        <v>68119.58</v>
      </c>
      <c r="AA354" s="777" t="s">
        <v>119</v>
      </c>
      <c r="AB354" s="815">
        <v>0.73329987395177931</v>
      </c>
      <c r="AC354" s="789">
        <v>78357.440000000002</v>
      </c>
      <c r="AD354" s="777" t="s">
        <v>119</v>
      </c>
      <c r="AE354" s="815">
        <v>0.66701710081316901</v>
      </c>
      <c r="AF354" s="789">
        <v>75070.179999999993</v>
      </c>
      <c r="AG354" s="777" t="s">
        <v>119</v>
      </c>
      <c r="AH354" s="815">
        <v>0.57491784900987652</v>
      </c>
      <c r="AI354" s="789">
        <v>74736.669999999896</v>
      </c>
      <c r="AJ354" s="777" t="s">
        <v>119</v>
      </c>
      <c r="AK354" s="815">
        <v>0.50901721654257348</v>
      </c>
      <c r="AL354" s="789">
        <v>77271.4399999999</v>
      </c>
      <c r="AM354" s="777" t="s">
        <v>119</v>
      </c>
      <c r="AN354" s="815">
        <v>0.72334215396439017</v>
      </c>
      <c r="AO354" s="789">
        <v>73375.98</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4"/>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thickBot="1">
      <c r="A356" s="39" t="str">
        <f t="shared" si="4"/>
        <v>PiècesPROFIT DÉPARTEMENTAL</v>
      </c>
      <c r="B356" s="57" t="s">
        <v>151</v>
      </c>
      <c r="C356" s="816"/>
      <c r="D356" s="817"/>
      <c r="E356" s="798">
        <v>462171.09999999776</v>
      </c>
      <c r="F356" s="816"/>
      <c r="G356" s="817"/>
      <c r="H356" s="798">
        <v>37912.939999999755</v>
      </c>
      <c r="I356" s="816"/>
      <c r="J356" s="817"/>
      <c r="K356" s="798">
        <v>20381.779999999781</v>
      </c>
      <c r="L356" s="816"/>
      <c r="M356" s="817"/>
      <c r="N356" s="798">
        <v>30437.25999999998</v>
      </c>
      <c r="O356" s="816"/>
      <c r="P356" s="817"/>
      <c r="Q356" s="798">
        <v>53018.039999999688</v>
      </c>
      <c r="R356" s="816"/>
      <c r="S356" s="817"/>
      <c r="T356" s="798">
        <v>40324.699999999779</v>
      </c>
      <c r="U356" s="816"/>
      <c r="V356" s="817"/>
      <c r="W356" s="798">
        <v>19665.160000000091</v>
      </c>
      <c r="X356" s="816"/>
      <c r="Y356" s="817"/>
      <c r="Z356" s="798">
        <v>36600.129999999888</v>
      </c>
      <c r="AA356" s="816"/>
      <c r="AB356" s="817"/>
      <c r="AC356" s="798">
        <v>28498.489999999787</v>
      </c>
      <c r="AD356" s="816"/>
      <c r="AE356" s="817"/>
      <c r="AF356" s="798">
        <v>37475.929999999993</v>
      </c>
      <c r="AG356" s="816"/>
      <c r="AH356" s="817"/>
      <c r="AI356" s="798">
        <v>55258.719999999899</v>
      </c>
      <c r="AJ356" s="816"/>
      <c r="AK356" s="817"/>
      <c r="AL356" s="798">
        <v>74533.71999999987</v>
      </c>
      <c r="AM356" s="816"/>
      <c r="AN356" s="817"/>
      <c r="AO356" s="798">
        <v>28064.229999999894</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3935</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thickBo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Top="1">
      <c r="A361" s="39"/>
      <c r="B361" s="40" t="s">
        <v>3</v>
      </c>
      <c r="C361" s="969">
        <v>2023</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Bo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Top="1">
      <c r="A363" s="39" t="str">
        <f t="shared" ref="A363:A402" si="5">+$C$359&amp;B363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Bot="1">
      <c r="A364" s="39" t="str">
        <f t="shared" si="5"/>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thickTop="1">
      <c r="A365" s="39" t="str">
        <f t="shared" si="5"/>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5"/>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5"/>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5"/>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5"/>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5"/>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5"/>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5"/>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5"/>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5"/>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5"/>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5"/>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5"/>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5"/>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5"/>
        <v>Boutique[...]</v>
      </c>
      <c r="B379" s="44" t="s">
        <v>59</v>
      </c>
      <c r="C379" s="776"/>
      <c r="D379" s="784"/>
      <c r="E379" s="774"/>
      <c r="F379" s="776"/>
      <c r="G379" s="784"/>
      <c r="H379" s="774"/>
      <c r="I379" s="776"/>
      <c r="J379" s="784"/>
      <c r="K379" s="774"/>
      <c r="L379" s="776"/>
      <c r="M379" s="784"/>
      <c r="N379" s="774"/>
      <c r="O379" s="776"/>
      <c r="P379" s="784"/>
      <c r="Q379" s="774"/>
      <c r="R379" s="776"/>
      <c r="S379" s="784"/>
      <c r="T379" s="774"/>
      <c r="U379" s="776"/>
      <c r="V379" s="784"/>
      <c r="W379" s="774"/>
      <c r="X379" s="776"/>
      <c r="Y379" s="784"/>
      <c r="Z379" s="774"/>
      <c r="AA379" s="776"/>
      <c r="AB379" s="784"/>
      <c r="AC379" s="774"/>
      <c r="AD379" s="776"/>
      <c r="AE379" s="784"/>
      <c r="AF379" s="774"/>
      <c r="AG379" s="776"/>
      <c r="AH379" s="784"/>
      <c r="AI379" s="774"/>
      <c r="AJ379" s="776"/>
      <c r="AK379" s="784"/>
      <c r="AL379" s="774"/>
      <c r="AM379" s="776"/>
      <c r="AN379" s="784"/>
      <c r="AO379" s="774"/>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5"/>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5"/>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5"/>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5"/>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5"/>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5"/>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5"/>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5"/>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5"/>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5"/>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5"/>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5"/>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5"/>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5"/>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5"/>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5"/>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5"/>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5"/>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5"/>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5"/>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5"/>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thickBot="1">
      <c r="A401" s="39" t="str">
        <f t="shared" si="5"/>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Top="1" thickBot="1">
      <c r="A402" s="39" t="str">
        <f t="shared" si="5"/>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thickTop="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3935</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thickBot="1">
      <c r="A406" s="39"/>
      <c r="B406" s="67"/>
      <c r="C406" s="872"/>
      <c r="D406" s="872"/>
      <c r="E406" s="872"/>
      <c r="F406" s="873"/>
      <c r="G406" s="873"/>
      <c r="H406" s="874">
        <v>3999179.9999999888</v>
      </c>
      <c r="I406" s="873"/>
      <c r="J406" s="873"/>
      <c r="K406" s="874">
        <v>3439148.8599999901</v>
      </c>
      <c r="L406" s="873"/>
      <c r="M406" s="873"/>
      <c r="N406" s="874">
        <v>4656035.2599999793</v>
      </c>
      <c r="O406" s="873"/>
      <c r="P406" s="873"/>
      <c r="Q406" s="874">
        <v>3178713.4899999993</v>
      </c>
      <c r="R406" s="873"/>
      <c r="S406" s="873"/>
      <c r="T406" s="874">
        <v>5194257.959999999</v>
      </c>
      <c r="U406" s="873"/>
      <c r="V406" s="873"/>
      <c r="W406" s="874">
        <v>5520989.48999999</v>
      </c>
      <c r="X406" s="873"/>
      <c r="Y406" s="873"/>
      <c r="Z406" s="874">
        <v>4651900.0099999886</v>
      </c>
      <c r="AA406" s="873"/>
      <c r="AB406" s="873"/>
      <c r="AC406" s="874">
        <v>5316242.4199999981</v>
      </c>
      <c r="AD406" s="873"/>
      <c r="AE406" s="873"/>
      <c r="AF406" s="874">
        <v>4572850.42</v>
      </c>
      <c r="AG406" s="873"/>
      <c r="AH406" s="873"/>
      <c r="AI406" s="874">
        <v>10612462.84999999</v>
      </c>
      <c r="AJ406" s="873"/>
      <c r="AK406" s="873"/>
      <c r="AL406" s="874">
        <v>12335062.559999999</v>
      </c>
      <c r="AM406" s="873"/>
      <c r="AN406" s="873"/>
      <c r="AO406" s="874">
        <v>9614340.6600000001</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thickTop="1">
      <c r="A407" s="39"/>
      <c r="B407" s="40" t="s">
        <v>3</v>
      </c>
      <c r="C407" s="969">
        <v>2024</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B409</f>
        <v>Ventes nettes</v>
      </c>
      <c r="B409" s="55" t="s">
        <v>96</v>
      </c>
      <c r="C409" s="878"/>
      <c r="D409" s="879"/>
      <c r="E409" s="880">
        <v>62756561.019999921</v>
      </c>
      <c r="F409" s="878"/>
      <c r="G409" s="879"/>
      <c r="H409" s="880">
        <v>4219938.79</v>
      </c>
      <c r="I409" s="878"/>
      <c r="J409" s="879"/>
      <c r="K409" s="880">
        <v>5869044.6399999997</v>
      </c>
      <c r="L409" s="878"/>
      <c r="M409" s="879"/>
      <c r="N409" s="880">
        <v>6132076.5800000001</v>
      </c>
      <c r="O409" s="878"/>
      <c r="P409" s="879"/>
      <c r="Q409" s="880">
        <v>5889184.6299999896</v>
      </c>
      <c r="R409" s="878"/>
      <c r="S409" s="879"/>
      <c r="T409" s="880">
        <v>6535324.9800000004</v>
      </c>
      <c r="U409" s="878"/>
      <c r="V409" s="879"/>
      <c r="W409" s="880">
        <v>4003551.9599999897</v>
      </c>
      <c r="X409" s="878"/>
      <c r="Y409" s="879"/>
      <c r="Z409" s="880">
        <v>6651956.52999999</v>
      </c>
      <c r="AA409" s="878"/>
      <c r="AB409" s="879"/>
      <c r="AC409" s="880">
        <v>6465509.5399999879</v>
      </c>
      <c r="AD409" s="878"/>
      <c r="AE409" s="879"/>
      <c r="AF409" s="880">
        <v>4326173.8899999894</v>
      </c>
      <c r="AG409" s="878"/>
      <c r="AH409" s="879"/>
      <c r="AI409" s="880">
        <v>4756792.0799999991</v>
      </c>
      <c r="AJ409" s="878"/>
      <c r="AK409" s="879"/>
      <c r="AL409" s="880">
        <v>4218159.4199999794</v>
      </c>
      <c r="AM409" s="878"/>
      <c r="AN409" s="879"/>
      <c r="AO409" s="880">
        <v>3688847.98</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
        <v>Profit brut</v>
      </c>
      <c r="B410" s="68" t="s">
        <v>202</v>
      </c>
      <c r="C410" s="881"/>
      <c r="D410" s="882"/>
      <c r="E410" s="883">
        <v>7229609.4199999878</v>
      </c>
      <c r="F410" s="881"/>
      <c r="G410" s="882"/>
      <c r="H410" s="883">
        <v>439445.35999999946</v>
      </c>
      <c r="I410" s="881"/>
      <c r="J410" s="882"/>
      <c r="K410" s="883">
        <v>508866.40999999957</v>
      </c>
      <c r="L410" s="881"/>
      <c r="M410" s="882"/>
      <c r="N410" s="883">
        <v>638443.12999999872</v>
      </c>
      <c r="O410" s="881"/>
      <c r="P410" s="882"/>
      <c r="Q410" s="883">
        <v>725884.59999999916</v>
      </c>
      <c r="R410" s="881"/>
      <c r="S410" s="882"/>
      <c r="T410" s="883">
        <v>692227.01999999955</v>
      </c>
      <c r="U410" s="881"/>
      <c r="V410" s="882"/>
      <c r="W410" s="883">
        <v>479069.4199999994</v>
      </c>
      <c r="X410" s="881"/>
      <c r="Y410" s="882"/>
      <c r="Z410" s="883">
        <v>666917.35999999847</v>
      </c>
      <c r="AA410" s="881"/>
      <c r="AB410" s="882"/>
      <c r="AC410" s="883">
        <v>640665.66999999795</v>
      </c>
      <c r="AD410" s="881"/>
      <c r="AE410" s="882"/>
      <c r="AF410" s="883">
        <v>572539.7799999998</v>
      </c>
      <c r="AG410" s="881"/>
      <c r="AH410" s="882"/>
      <c r="AI410" s="883">
        <v>663087.62999999896</v>
      </c>
      <c r="AJ410" s="881"/>
      <c r="AK410" s="882"/>
      <c r="AL410" s="883">
        <v>744838.01999999851</v>
      </c>
      <c r="AM410" s="881"/>
      <c r="AN410" s="882"/>
      <c r="AO410" s="883">
        <v>457625.01999999973</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
        <v>DÉPENSES</v>
      </c>
      <c r="B411" s="69" t="s">
        <v>203</v>
      </c>
      <c r="C411" s="884"/>
      <c r="D411" s="885"/>
      <c r="E411" s="886"/>
      <c r="F411" s="884"/>
      <c r="G411" s="885">
        <v>0</v>
      </c>
      <c r="H411" s="886"/>
      <c r="I411" s="884"/>
      <c r="J411" s="885">
        <v>0</v>
      </c>
      <c r="K411" s="886"/>
      <c r="L411" s="884"/>
      <c r="M411" s="885">
        <v>0</v>
      </c>
      <c r="N411" s="886"/>
      <c r="O411" s="884"/>
      <c r="P411" s="885">
        <v>0</v>
      </c>
      <c r="Q411" s="886"/>
      <c r="R411" s="884"/>
      <c r="S411" s="885">
        <v>0</v>
      </c>
      <c r="T411" s="886"/>
      <c r="U411" s="884"/>
      <c r="V411" s="885">
        <v>0</v>
      </c>
      <c r="W411" s="886"/>
      <c r="X411" s="884"/>
      <c r="Y411" s="885">
        <v>0</v>
      </c>
      <c r="Z411" s="886"/>
      <c r="AA411" s="884"/>
      <c r="AB411" s="885">
        <v>0</v>
      </c>
      <c r="AC411" s="886"/>
      <c r="AD411" s="884"/>
      <c r="AE411" s="885">
        <v>0</v>
      </c>
      <c r="AF411" s="886"/>
      <c r="AG411" s="884"/>
      <c r="AH411" s="885">
        <v>0</v>
      </c>
      <c r="AI411" s="886"/>
      <c r="AJ411" s="884"/>
      <c r="AK411" s="885">
        <v>0</v>
      </c>
      <c r="AL411" s="886"/>
      <c r="AM411" s="884"/>
      <c r="AN411" s="885">
        <v>0</v>
      </c>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
        <v>Comm. vendeurs</v>
      </c>
      <c r="B412" s="54" t="s">
        <v>111</v>
      </c>
      <c r="C412" s="887">
        <v>0.35475116642965138</v>
      </c>
      <c r="D412" s="888">
        <v>644.68742180094785</v>
      </c>
      <c r="E412" s="886">
        <v>680145.23</v>
      </c>
      <c r="F412" s="889"/>
      <c r="G412" s="888">
        <v>948.56295454545466</v>
      </c>
      <c r="H412" s="886">
        <v>41736.770000000004</v>
      </c>
      <c r="I412" s="889"/>
      <c r="J412" s="888">
        <v>830.30323943661972</v>
      </c>
      <c r="K412" s="886">
        <v>58951.53</v>
      </c>
      <c r="L412" s="889"/>
      <c r="M412" s="888">
        <v>1122.4584285714286</v>
      </c>
      <c r="N412" s="886">
        <v>78572.09</v>
      </c>
      <c r="O412" s="889"/>
      <c r="P412" s="888">
        <v>892.4939130434783</v>
      </c>
      <c r="Q412" s="886">
        <v>61582.080000000002</v>
      </c>
      <c r="R412" s="889"/>
      <c r="S412" s="888">
        <v>824.02072463768104</v>
      </c>
      <c r="T412" s="886">
        <v>56857.429999999993</v>
      </c>
      <c r="U412" s="889"/>
      <c r="V412" s="888">
        <v>1069.7884999999999</v>
      </c>
      <c r="W412" s="886">
        <v>42791.539999999994</v>
      </c>
      <c r="X412" s="889"/>
      <c r="Y412" s="888">
        <v>935.36558441558429</v>
      </c>
      <c r="Z412" s="886">
        <v>72023.149999999994</v>
      </c>
      <c r="AA412" s="889"/>
      <c r="AB412" s="888">
        <v>960.39802469135805</v>
      </c>
      <c r="AC412" s="886">
        <v>77792.240000000005</v>
      </c>
      <c r="AD412" s="889"/>
      <c r="AE412" s="888">
        <v>1178.2652380952381</v>
      </c>
      <c r="AF412" s="886">
        <v>49487.14</v>
      </c>
      <c r="AG412" s="889"/>
      <c r="AH412" s="888">
        <v>1140.4980851063831</v>
      </c>
      <c r="AI412" s="886">
        <v>53603.41</v>
      </c>
      <c r="AJ412" s="889"/>
      <c r="AK412" s="888">
        <v>1306.9923684210526</v>
      </c>
      <c r="AL412" s="886">
        <v>49665.71</v>
      </c>
      <c r="AM412" s="889"/>
      <c r="AN412" s="888">
        <v>1196.1980645161291</v>
      </c>
      <c r="AO412" s="886">
        <v>37082.14</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
        <v>Comm. F&amp;I</v>
      </c>
      <c r="B413" s="55" t="s">
        <v>112</v>
      </c>
      <c r="C413" s="890">
        <v>0.28406787019291352</v>
      </c>
      <c r="D413" s="891">
        <v>344.83107645875248</v>
      </c>
      <c r="E413" s="880">
        <v>342762.08999999997</v>
      </c>
      <c r="F413" s="892"/>
      <c r="G413" s="891">
        <v>378.1336363636363</v>
      </c>
      <c r="H413" s="880">
        <v>16637.879999999997</v>
      </c>
      <c r="I413" s="892"/>
      <c r="J413" s="891">
        <v>417.47295774647893</v>
      </c>
      <c r="K413" s="880">
        <v>29640.58</v>
      </c>
      <c r="L413" s="892"/>
      <c r="M413" s="891">
        <v>430.93742857142854</v>
      </c>
      <c r="N413" s="880">
        <v>30165.62</v>
      </c>
      <c r="O413" s="892"/>
      <c r="P413" s="891">
        <v>402.80565217391307</v>
      </c>
      <c r="Q413" s="880">
        <v>27793.590000000004</v>
      </c>
      <c r="R413" s="892"/>
      <c r="S413" s="891">
        <v>612.12086956521739</v>
      </c>
      <c r="T413" s="880">
        <v>42236.34</v>
      </c>
      <c r="U413" s="892"/>
      <c r="V413" s="891">
        <v>446.24250000000001</v>
      </c>
      <c r="W413" s="880">
        <v>17849.7</v>
      </c>
      <c r="X413" s="892"/>
      <c r="Y413" s="891">
        <v>438.8764935064936</v>
      </c>
      <c r="Z413" s="880">
        <v>33793.490000000005</v>
      </c>
      <c r="AA413" s="892"/>
      <c r="AB413" s="891">
        <v>353.86259259259265</v>
      </c>
      <c r="AC413" s="880">
        <v>28662.870000000003</v>
      </c>
      <c r="AD413" s="892"/>
      <c r="AE413" s="891">
        <v>725.07357142857143</v>
      </c>
      <c r="AF413" s="880">
        <v>30453.09</v>
      </c>
      <c r="AG413" s="892"/>
      <c r="AH413" s="891">
        <v>779.25659574468079</v>
      </c>
      <c r="AI413" s="880">
        <v>36625.06</v>
      </c>
      <c r="AJ413" s="892"/>
      <c r="AK413" s="891">
        <v>670.3828947368421</v>
      </c>
      <c r="AL413" s="880">
        <v>25474.55</v>
      </c>
      <c r="AM413" s="892"/>
      <c r="AN413" s="891">
        <v>755.78451612903223</v>
      </c>
      <c r="AO413" s="880">
        <v>23429.32</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
        <v>Frais de livraison</v>
      </c>
      <c r="B414" s="54" t="s">
        <v>113</v>
      </c>
      <c r="C414" s="889"/>
      <c r="D414" s="888">
        <v>90.811971830985911</v>
      </c>
      <c r="E414" s="886">
        <v>90267.099999999991</v>
      </c>
      <c r="F414" s="889"/>
      <c r="G414" s="888">
        <v>206.27204545454543</v>
      </c>
      <c r="H414" s="886">
        <v>9075.9699999999993</v>
      </c>
      <c r="I414" s="889"/>
      <c r="J414" s="888">
        <v>129.04957746478874</v>
      </c>
      <c r="K414" s="886">
        <v>9162.52</v>
      </c>
      <c r="L414" s="889"/>
      <c r="M414" s="888">
        <v>90.755428571428567</v>
      </c>
      <c r="N414" s="886">
        <v>6352.88</v>
      </c>
      <c r="O414" s="889"/>
      <c r="P414" s="888">
        <v>81.83623188405798</v>
      </c>
      <c r="Q414" s="886">
        <v>5646.7000000000007</v>
      </c>
      <c r="R414" s="889"/>
      <c r="S414" s="888">
        <v>204.35347826086957</v>
      </c>
      <c r="T414" s="886">
        <v>14100.39</v>
      </c>
      <c r="U414" s="889"/>
      <c r="V414" s="888">
        <v>114.94475000000003</v>
      </c>
      <c r="W414" s="886">
        <v>4597.7900000000009</v>
      </c>
      <c r="X414" s="889"/>
      <c r="Y414" s="888">
        <v>82.070779220779215</v>
      </c>
      <c r="Z414" s="886">
        <v>6319.45</v>
      </c>
      <c r="AA414" s="889"/>
      <c r="AB414" s="888">
        <v>129.01493827160496</v>
      </c>
      <c r="AC414" s="886">
        <v>10450.210000000001</v>
      </c>
      <c r="AD414" s="889"/>
      <c r="AE414" s="888">
        <v>174.72095238095238</v>
      </c>
      <c r="AF414" s="886">
        <v>7338.2800000000007</v>
      </c>
      <c r="AG414" s="889"/>
      <c r="AH414" s="888">
        <v>123.74659574468086</v>
      </c>
      <c r="AI414" s="886">
        <v>5816.09</v>
      </c>
      <c r="AJ414" s="889"/>
      <c r="AK414" s="888">
        <v>193.26921052631579</v>
      </c>
      <c r="AL414" s="886">
        <v>7344.23</v>
      </c>
      <c r="AM414" s="889"/>
      <c r="AN414" s="888">
        <v>131.05129032258066</v>
      </c>
      <c r="AO414" s="886">
        <v>4062.59</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
        <v>Service gratuit 1</v>
      </c>
      <c r="B415" s="54" t="s">
        <v>114</v>
      </c>
      <c r="C415" s="889"/>
      <c r="D415" s="888">
        <v>34.408450704225359</v>
      </c>
      <c r="E415" s="886">
        <v>34202.000000000007</v>
      </c>
      <c r="F415" s="889"/>
      <c r="G415" s="888">
        <v>9.6213636363636361</v>
      </c>
      <c r="H415" s="886">
        <v>423.34</v>
      </c>
      <c r="I415" s="889"/>
      <c r="J415" s="888">
        <v>37.779154929577459</v>
      </c>
      <c r="K415" s="886">
        <v>2682.3199999999997</v>
      </c>
      <c r="L415" s="889"/>
      <c r="M415" s="888">
        <v>20.613428571428571</v>
      </c>
      <c r="N415" s="886">
        <v>1442.94</v>
      </c>
      <c r="O415" s="889"/>
      <c r="P415" s="888">
        <v>43.456086956521744</v>
      </c>
      <c r="Q415" s="886">
        <v>2998.4700000000003</v>
      </c>
      <c r="R415" s="889"/>
      <c r="S415" s="888">
        <v>8.5134782608695652</v>
      </c>
      <c r="T415" s="886">
        <v>587.42999999999995</v>
      </c>
      <c r="U415" s="889"/>
      <c r="V415" s="888">
        <v>61.338000000000001</v>
      </c>
      <c r="W415" s="886">
        <v>2453.52</v>
      </c>
      <c r="X415" s="889"/>
      <c r="Y415" s="888">
        <v>68.809870129870134</v>
      </c>
      <c r="Z415" s="886">
        <v>5298.3600000000006</v>
      </c>
      <c r="AA415" s="889"/>
      <c r="AB415" s="888">
        <v>53.25271604938272</v>
      </c>
      <c r="AC415" s="886">
        <v>4313.47</v>
      </c>
      <c r="AD415" s="889"/>
      <c r="AE415" s="888">
        <v>111.09333333333333</v>
      </c>
      <c r="AF415" s="886">
        <v>4665.92</v>
      </c>
      <c r="AG415" s="889"/>
      <c r="AH415" s="888">
        <v>67.763191489361702</v>
      </c>
      <c r="AI415" s="886">
        <v>3184.87</v>
      </c>
      <c r="AJ415" s="889"/>
      <c r="AK415" s="888">
        <v>182.45842105263159</v>
      </c>
      <c r="AL415" s="886">
        <v>6933.42</v>
      </c>
      <c r="AM415" s="889"/>
      <c r="AN415" s="888">
        <v>-25.22774193548387</v>
      </c>
      <c r="AO415" s="886">
        <v>-782.06</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
        <v>Entretien stock</v>
      </c>
      <c r="B416" s="55" t="s">
        <v>115</v>
      </c>
      <c r="C416" s="892"/>
      <c r="D416" s="891">
        <v>142.63945674044265</v>
      </c>
      <c r="E416" s="880">
        <v>141783.62</v>
      </c>
      <c r="F416" s="892"/>
      <c r="G416" s="891">
        <v>205.06613636363636</v>
      </c>
      <c r="H416" s="880">
        <v>9022.91</v>
      </c>
      <c r="I416" s="892"/>
      <c r="J416" s="891">
        <v>82.918169014084512</v>
      </c>
      <c r="K416" s="880">
        <v>5887.1900000000005</v>
      </c>
      <c r="L416" s="892"/>
      <c r="M416" s="891">
        <v>214.958</v>
      </c>
      <c r="N416" s="880">
        <v>15047.06</v>
      </c>
      <c r="O416" s="892"/>
      <c r="P416" s="891">
        <v>234.0440579710145</v>
      </c>
      <c r="Q416" s="880">
        <v>16149.04</v>
      </c>
      <c r="R416" s="892"/>
      <c r="S416" s="891">
        <v>215.15942028985506</v>
      </c>
      <c r="T416" s="880">
        <v>14846</v>
      </c>
      <c r="U416" s="892"/>
      <c r="V416" s="891">
        <v>307.06824999999998</v>
      </c>
      <c r="W416" s="880">
        <v>12282.73</v>
      </c>
      <c r="X416" s="892"/>
      <c r="Y416" s="891">
        <v>144.83896103896103</v>
      </c>
      <c r="Z416" s="880">
        <v>11152.599999999999</v>
      </c>
      <c r="AA416" s="892"/>
      <c r="AB416" s="891">
        <v>128.46617283950616</v>
      </c>
      <c r="AC416" s="880">
        <v>10405.759999999998</v>
      </c>
      <c r="AD416" s="892"/>
      <c r="AE416" s="891">
        <v>311.75333333333333</v>
      </c>
      <c r="AF416" s="880">
        <v>13093.64</v>
      </c>
      <c r="AG416" s="892"/>
      <c r="AH416" s="891">
        <v>294.73042553191488</v>
      </c>
      <c r="AI416" s="880">
        <v>13852.33</v>
      </c>
      <c r="AJ416" s="892"/>
      <c r="AK416" s="891">
        <v>338.85578947368424</v>
      </c>
      <c r="AL416" s="880">
        <v>12876.52</v>
      </c>
      <c r="AM416" s="892"/>
      <c r="AN416" s="891">
        <v>231.22064516129032</v>
      </c>
      <c r="AO416" s="880">
        <v>7167.84</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
        <v>Publicité 1</v>
      </c>
      <c r="B417" s="54" t="s">
        <v>116</v>
      </c>
      <c r="C417" s="889"/>
      <c r="D417" s="888">
        <v>248.43306841046243</v>
      </c>
      <c r="E417" s="886">
        <v>246942.46999999965</v>
      </c>
      <c r="F417" s="889"/>
      <c r="G417" s="888">
        <v>428.56409090909074</v>
      </c>
      <c r="H417" s="886">
        <v>18856.819999999992</v>
      </c>
      <c r="I417" s="889"/>
      <c r="J417" s="888">
        <v>155.29605633802817</v>
      </c>
      <c r="K417" s="886">
        <v>11026.02</v>
      </c>
      <c r="L417" s="889"/>
      <c r="M417" s="888">
        <v>336.98571428571427</v>
      </c>
      <c r="N417" s="886">
        <v>23589</v>
      </c>
      <c r="O417" s="889"/>
      <c r="P417" s="888">
        <v>305.23434782608683</v>
      </c>
      <c r="Q417" s="886">
        <v>21061.169999999991</v>
      </c>
      <c r="R417" s="889"/>
      <c r="S417" s="888">
        <v>323.73376811594198</v>
      </c>
      <c r="T417" s="886">
        <v>22337.629999999997</v>
      </c>
      <c r="U417" s="889"/>
      <c r="V417" s="888">
        <v>537.85349999999755</v>
      </c>
      <c r="W417" s="886">
        <v>21514.139999999901</v>
      </c>
      <c r="X417" s="889"/>
      <c r="Y417" s="888">
        <v>204.16116883116882</v>
      </c>
      <c r="Z417" s="886">
        <v>15720.41</v>
      </c>
      <c r="AA417" s="889"/>
      <c r="AB417" s="888">
        <v>140.38037037037037</v>
      </c>
      <c r="AC417" s="886">
        <v>11370.81</v>
      </c>
      <c r="AD417" s="889"/>
      <c r="AE417" s="888">
        <v>525.8449999999973</v>
      </c>
      <c r="AF417" s="886">
        <v>22085.489999999889</v>
      </c>
      <c r="AG417" s="889"/>
      <c r="AH417" s="888">
        <v>516.18319148936166</v>
      </c>
      <c r="AI417" s="886">
        <v>24260.61</v>
      </c>
      <c r="AJ417" s="889"/>
      <c r="AK417" s="888">
        <v>798.60973684210535</v>
      </c>
      <c r="AL417" s="886">
        <v>30347.170000000002</v>
      </c>
      <c r="AM417" s="889"/>
      <c r="AN417" s="888">
        <v>799.13548387096455</v>
      </c>
      <c r="AO417" s="886">
        <v>24773.199999999903</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
        <v>Intérêt de gros</v>
      </c>
      <c r="B418" s="54" t="s">
        <v>117</v>
      </c>
      <c r="C418" s="889"/>
      <c r="D418" s="888">
        <v>368.30723340040242</v>
      </c>
      <c r="E418" s="886">
        <v>366097.39</v>
      </c>
      <c r="F418" s="889"/>
      <c r="G418" s="888"/>
      <c r="H418" s="886">
        <v>28992.99</v>
      </c>
      <c r="I418" s="889"/>
      <c r="J418" s="888"/>
      <c r="K418" s="886">
        <v>38833.89</v>
      </c>
      <c r="L418" s="889"/>
      <c r="M418" s="888"/>
      <c r="N418" s="886">
        <v>43149.67</v>
      </c>
      <c r="O418" s="889"/>
      <c r="P418" s="888"/>
      <c r="Q418" s="886">
        <v>43374.68</v>
      </c>
      <c r="R418" s="889"/>
      <c r="S418" s="888"/>
      <c r="T418" s="886">
        <v>51836.43</v>
      </c>
      <c r="U418" s="889"/>
      <c r="V418" s="888"/>
      <c r="W418" s="886">
        <v>47211.58</v>
      </c>
      <c r="X418" s="889"/>
      <c r="Y418" s="888"/>
      <c r="Z418" s="886">
        <v>49031.799999999996</v>
      </c>
      <c r="AA418" s="889"/>
      <c r="AB418" s="888"/>
      <c r="AC418" s="886">
        <v>36756.18</v>
      </c>
      <c r="AD418" s="889"/>
      <c r="AE418" s="888"/>
      <c r="AF418" s="886">
        <v>33130.21</v>
      </c>
      <c r="AG418" s="889"/>
      <c r="AH418" s="888"/>
      <c r="AI418" s="886">
        <v>29735.25</v>
      </c>
      <c r="AJ418" s="889"/>
      <c r="AK418" s="888"/>
      <c r="AL418" s="886">
        <v>-34841</v>
      </c>
      <c r="AM418" s="889"/>
      <c r="AN418" s="888"/>
      <c r="AO418" s="886">
        <v>-1114.2900000000004</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
        <v>[...]</v>
      </c>
      <c r="B419" s="44" t="s">
        <v>59</v>
      </c>
      <c r="C419" s="889"/>
      <c r="D419" s="888"/>
      <c r="E419" s="886"/>
      <c r="F419" s="889"/>
      <c r="G419" s="888"/>
      <c r="H419" s="886"/>
      <c r="I419" s="889"/>
      <c r="J419" s="888"/>
      <c r="K419" s="886"/>
      <c r="L419" s="889"/>
      <c r="M419" s="888"/>
      <c r="N419" s="886"/>
      <c r="O419" s="889"/>
      <c r="P419" s="888"/>
      <c r="Q419" s="886"/>
      <c r="R419" s="889"/>
      <c r="S419" s="888"/>
      <c r="T419" s="886"/>
      <c r="U419" s="889"/>
      <c r="V419" s="888"/>
      <c r="W419" s="886"/>
      <c r="X419" s="889"/>
      <c r="Y419" s="888"/>
      <c r="Z419" s="886"/>
      <c r="AA419" s="889"/>
      <c r="AB419" s="888"/>
      <c r="AC419" s="886"/>
      <c r="AD419" s="889"/>
      <c r="AE419" s="888"/>
      <c r="AF419" s="886"/>
      <c r="AG419" s="889"/>
      <c r="AH419" s="888"/>
      <c r="AI419" s="886"/>
      <c r="AJ419" s="889"/>
      <c r="AK419" s="888"/>
      <c r="AL419" s="886"/>
      <c r="AM419" s="889"/>
      <c r="AN419" s="888"/>
      <c r="AO419" s="886"/>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
        <v>[...]</v>
      </c>
      <c r="B420" s="44" t="s">
        <v>59</v>
      </c>
      <c r="C420" s="889"/>
      <c r="D420" s="888"/>
      <c r="E420" s="886"/>
      <c r="F420" s="889"/>
      <c r="G420" s="888"/>
      <c r="H420" s="886"/>
      <c r="I420" s="889"/>
      <c r="J420" s="888"/>
      <c r="K420" s="886"/>
      <c r="L420" s="889"/>
      <c r="M420" s="888"/>
      <c r="N420" s="886"/>
      <c r="O420" s="889"/>
      <c r="P420" s="888"/>
      <c r="Q420" s="886"/>
      <c r="R420" s="889"/>
      <c r="S420" s="888"/>
      <c r="T420" s="886"/>
      <c r="U420" s="889"/>
      <c r="V420" s="888"/>
      <c r="W420" s="886"/>
      <c r="X420" s="889"/>
      <c r="Y420" s="888"/>
      <c r="Z420" s="886"/>
      <c r="AA420" s="889"/>
      <c r="AB420" s="888"/>
      <c r="AC420" s="886"/>
      <c r="AD420" s="889"/>
      <c r="AE420" s="888"/>
      <c r="AF420" s="886"/>
      <c r="AG420" s="889"/>
      <c r="AH420" s="888"/>
      <c r="AI420" s="886"/>
      <c r="AJ420" s="889"/>
      <c r="AK420" s="888"/>
      <c r="AL420" s="886"/>
      <c r="AM420" s="889"/>
      <c r="AN420" s="888"/>
      <c r="AO420" s="886"/>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
        <v>[...]</v>
      </c>
      <c r="B421" s="43" t="s">
        <v>59</v>
      </c>
      <c r="C421" s="889"/>
      <c r="D421" s="888"/>
      <c r="E421" s="886"/>
      <c r="F421" s="889"/>
      <c r="G421" s="888"/>
      <c r="H421" s="886"/>
      <c r="I421" s="889"/>
      <c r="J421" s="888"/>
      <c r="K421" s="886"/>
      <c r="L421" s="889"/>
      <c r="M421" s="888"/>
      <c r="N421" s="886"/>
      <c r="O421" s="889"/>
      <c r="P421" s="888"/>
      <c r="Q421" s="886"/>
      <c r="R421" s="889"/>
      <c r="S421" s="888"/>
      <c r="T421" s="886"/>
      <c r="U421" s="889"/>
      <c r="V421" s="888"/>
      <c r="W421" s="886"/>
      <c r="X421" s="889"/>
      <c r="Y421" s="888"/>
      <c r="Z421" s="886"/>
      <c r="AA421" s="889"/>
      <c r="AB421" s="888"/>
      <c r="AC421" s="886"/>
      <c r="AD421" s="889"/>
      <c r="AE421" s="888"/>
      <c r="AF421" s="886"/>
      <c r="AG421" s="889"/>
      <c r="AH421" s="888"/>
      <c r="AI421" s="886"/>
      <c r="AJ421" s="889"/>
      <c r="AK421" s="888"/>
      <c r="AL421" s="886"/>
      <c r="AM421" s="889"/>
      <c r="AN421" s="888"/>
      <c r="AO421" s="886"/>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
        <v>TOTAL VARIABLES</v>
      </c>
      <c r="B422" s="70" t="s">
        <v>118</v>
      </c>
      <c r="C422" s="893">
        <v>0.26311240199750696</v>
      </c>
      <c r="D422" s="894">
        <v>1874.1186793462193</v>
      </c>
      <c r="E422" s="895">
        <v>1902199.9</v>
      </c>
      <c r="F422" s="893"/>
      <c r="G422" s="896"/>
      <c r="H422" s="895">
        <v>124746.68</v>
      </c>
      <c r="I422" s="893"/>
      <c r="J422" s="896"/>
      <c r="K422" s="895">
        <v>156184.04999999999</v>
      </c>
      <c r="L422" s="893"/>
      <c r="M422" s="896"/>
      <c r="N422" s="895">
        <v>198319.26</v>
      </c>
      <c r="O422" s="893"/>
      <c r="P422" s="896"/>
      <c r="Q422" s="895">
        <v>178605.72999999899</v>
      </c>
      <c r="R422" s="893"/>
      <c r="S422" s="896"/>
      <c r="T422" s="895">
        <v>202801.649999999</v>
      </c>
      <c r="U422" s="893"/>
      <c r="V422" s="896"/>
      <c r="W422" s="895">
        <v>148701</v>
      </c>
      <c r="X422" s="893"/>
      <c r="Y422" s="896"/>
      <c r="Z422" s="895">
        <v>193339.25999999899</v>
      </c>
      <c r="AA422" s="893"/>
      <c r="AB422" s="896"/>
      <c r="AC422" s="895">
        <v>179751.54</v>
      </c>
      <c r="AD422" s="893"/>
      <c r="AE422" s="896"/>
      <c r="AF422" s="895">
        <v>160253.76999999999</v>
      </c>
      <c r="AG422" s="893"/>
      <c r="AH422" s="896"/>
      <c r="AI422" s="895">
        <v>167077.62</v>
      </c>
      <c r="AJ422" s="893"/>
      <c r="AK422" s="896"/>
      <c r="AL422" s="895">
        <v>97800.6</v>
      </c>
      <c r="AM422" s="893"/>
      <c r="AN422" s="896"/>
      <c r="AO422" s="895">
        <v>94618.74</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
        <v>Salaires propriétaire</v>
      </c>
      <c r="B423" s="54" t="s">
        <v>204</v>
      </c>
      <c r="C423" s="889"/>
      <c r="D423" s="888"/>
      <c r="E423" s="886">
        <v>187237.77999999988</v>
      </c>
      <c r="F423" s="889"/>
      <c r="G423" s="888"/>
      <c r="H423" s="897">
        <v>13279.16</v>
      </c>
      <c r="I423" s="889"/>
      <c r="J423" s="888"/>
      <c r="K423" s="897">
        <v>18048.38</v>
      </c>
      <c r="L423" s="889"/>
      <c r="M423" s="888"/>
      <c r="N423" s="897">
        <v>16471.45</v>
      </c>
      <c r="O423" s="889"/>
      <c r="P423" s="888"/>
      <c r="Q423" s="897">
        <v>14884.91</v>
      </c>
      <c r="R423" s="889"/>
      <c r="S423" s="888"/>
      <c r="T423" s="897">
        <v>18548.37</v>
      </c>
      <c r="U423" s="889"/>
      <c r="V423" s="888"/>
      <c r="W423" s="897">
        <v>15663.76</v>
      </c>
      <c r="X423" s="889"/>
      <c r="Y423" s="888"/>
      <c r="Z423" s="897">
        <v>15663.77</v>
      </c>
      <c r="AA423" s="889"/>
      <c r="AB423" s="888"/>
      <c r="AC423" s="897">
        <v>13875.31</v>
      </c>
      <c r="AD423" s="889"/>
      <c r="AE423" s="888"/>
      <c r="AF423" s="897">
        <v>15144.54</v>
      </c>
      <c r="AG423" s="889"/>
      <c r="AH423" s="888"/>
      <c r="AI423" s="897">
        <v>15663.77</v>
      </c>
      <c r="AJ423" s="889"/>
      <c r="AK423" s="888"/>
      <c r="AL423" s="897">
        <v>18548.379999999899</v>
      </c>
      <c r="AM423" s="889"/>
      <c r="AN423" s="888"/>
      <c r="AO423" s="897">
        <v>11445.98</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
        <v>Salaires cadres</v>
      </c>
      <c r="B424" s="54" t="s">
        <v>120</v>
      </c>
      <c r="C424" s="889"/>
      <c r="D424" s="888"/>
      <c r="E424" s="886">
        <v>611283.19999999984</v>
      </c>
      <c r="F424" s="889"/>
      <c r="G424" s="888"/>
      <c r="H424" s="886">
        <v>48979.11</v>
      </c>
      <c r="I424" s="889"/>
      <c r="J424" s="888"/>
      <c r="K424" s="886">
        <v>57197.599999999999</v>
      </c>
      <c r="L424" s="889"/>
      <c r="M424" s="888"/>
      <c r="N424" s="886">
        <v>59565.27</v>
      </c>
      <c r="O424" s="889"/>
      <c r="P424" s="888"/>
      <c r="Q424" s="886">
        <v>39822.400000000001</v>
      </c>
      <c r="R424" s="889"/>
      <c r="S424" s="888"/>
      <c r="T424" s="886">
        <v>43996.639999999999</v>
      </c>
      <c r="U424" s="889"/>
      <c r="V424" s="888"/>
      <c r="W424" s="886">
        <v>52828.59</v>
      </c>
      <c r="X424" s="889"/>
      <c r="Y424" s="888"/>
      <c r="Z424" s="886">
        <v>49132.22</v>
      </c>
      <c r="AA424" s="889"/>
      <c r="AB424" s="888"/>
      <c r="AC424" s="886">
        <v>51795.89</v>
      </c>
      <c r="AD424" s="889"/>
      <c r="AE424" s="888"/>
      <c r="AF424" s="886">
        <v>49140.14</v>
      </c>
      <c r="AG424" s="889"/>
      <c r="AH424" s="888"/>
      <c r="AI424" s="886">
        <v>40554.18</v>
      </c>
      <c r="AJ424" s="889"/>
      <c r="AK424" s="888"/>
      <c r="AL424" s="886">
        <v>62349.029999999897</v>
      </c>
      <c r="AM424" s="889"/>
      <c r="AN424" s="888"/>
      <c r="AO424" s="886">
        <v>55922.13</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
        <v>Salaires commis</v>
      </c>
      <c r="B425" s="55" t="s">
        <v>121</v>
      </c>
      <c r="C425" s="892"/>
      <c r="D425" s="891"/>
      <c r="E425" s="880">
        <v>569519.33999999962</v>
      </c>
      <c r="F425" s="892"/>
      <c r="G425" s="891"/>
      <c r="H425" s="880">
        <v>40623.769999999997</v>
      </c>
      <c r="I425" s="892"/>
      <c r="J425" s="891"/>
      <c r="K425" s="880">
        <v>43825.0099999999</v>
      </c>
      <c r="L425" s="892"/>
      <c r="M425" s="891"/>
      <c r="N425" s="880">
        <v>52347.41</v>
      </c>
      <c r="O425" s="892"/>
      <c r="P425" s="891"/>
      <c r="Q425" s="880">
        <v>44942.65</v>
      </c>
      <c r="R425" s="892"/>
      <c r="S425" s="891"/>
      <c r="T425" s="880">
        <v>52421.8999999999</v>
      </c>
      <c r="U425" s="892"/>
      <c r="V425" s="891"/>
      <c r="W425" s="880">
        <v>40340.3999999999</v>
      </c>
      <c r="X425" s="892"/>
      <c r="Y425" s="891"/>
      <c r="Z425" s="880">
        <v>43942.53</v>
      </c>
      <c r="AA425" s="892"/>
      <c r="AB425" s="891"/>
      <c r="AC425" s="880">
        <v>49307.78</v>
      </c>
      <c r="AD425" s="892"/>
      <c r="AE425" s="891"/>
      <c r="AF425" s="880">
        <v>45500.27</v>
      </c>
      <c r="AG425" s="892"/>
      <c r="AH425" s="891"/>
      <c r="AI425" s="880">
        <v>46590.48</v>
      </c>
      <c r="AJ425" s="892"/>
      <c r="AK425" s="891"/>
      <c r="AL425" s="880">
        <v>64124.239999999903</v>
      </c>
      <c r="AM425" s="892"/>
      <c r="AN425" s="891"/>
      <c r="AO425" s="880">
        <v>45552.9</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
        <v>Salaires autres</v>
      </c>
      <c r="B426" s="54" t="s">
        <v>122</v>
      </c>
      <c r="C426" s="889"/>
      <c r="D426" s="888"/>
      <c r="E426" s="886">
        <v>339631.84</v>
      </c>
      <c r="F426" s="889"/>
      <c r="G426" s="888"/>
      <c r="H426" s="886">
        <v>26828.1</v>
      </c>
      <c r="I426" s="889"/>
      <c r="J426" s="888"/>
      <c r="K426" s="886">
        <v>27362.47</v>
      </c>
      <c r="L426" s="889"/>
      <c r="M426" s="888"/>
      <c r="N426" s="886">
        <v>22523.51</v>
      </c>
      <c r="O426" s="889"/>
      <c r="P426" s="888"/>
      <c r="Q426" s="886">
        <v>32259.46</v>
      </c>
      <c r="R426" s="889"/>
      <c r="S426" s="888"/>
      <c r="T426" s="886">
        <v>33599.85</v>
      </c>
      <c r="U426" s="889"/>
      <c r="V426" s="888"/>
      <c r="W426" s="886">
        <v>25752.15</v>
      </c>
      <c r="X426" s="889"/>
      <c r="Y426" s="888"/>
      <c r="Z426" s="886">
        <v>21717.47</v>
      </c>
      <c r="AA426" s="889"/>
      <c r="AB426" s="888"/>
      <c r="AC426" s="886">
        <v>28541</v>
      </c>
      <c r="AD426" s="889"/>
      <c r="AE426" s="888"/>
      <c r="AF426" s="886">
        <v>23355.3</v>
      </c>
      <c r="AG426" s="889"/>
      <c r="AH426" s="888"/>
      <c r="AI426" s="886">
        <v>25086.19</v>
      </c>
      <c r="AJ426" s="889"/>
      <c r="AK426" s="888"/>
      <c r="AL426" s="886">
        <v>51665.94</v>
      </c>
      <c r="AM426" s="889"/>
      <c r="AN426" s="888"/>
      <c r="AO426" s="886">
        <v>20940.400000000001</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
        <v>Salaires spécialistes</v>
      </c>
      <c r="B427" s="54" t="s">
        <v>123</v>
      </c>
      <c r="C427" s="889"/>
      <c r="D427" s="888"/>
      <c r="E427" s="886">
        <v>347460.79000000004</v>
      </c>
      <c r="F427" s="889"/>
      <c r="G427" s="888"/>
      <c r="H427" s="886">
        <v>23791.11</v>
      </c>
      <c r="I427" s="889"/>
      <c r="J427" s="888"/>
      <c r="K427" s="886">
        <v>19491.41</v>
      </c>
      <c r="L427" s="889"/>
      <c r="M427" s="888"/>
      <c r="N427" s="886">
        <v>20859.560000000001</v>
      </c>
      <c r="O427" s="889"/>
      <c r="P427" s="888"/>
      <c r="Q427" s="886">
        <v>43948.92</v>
      </c>
      <c r="R427" s="889"/>
      <c r="S427" s="888"/>
      <c r="T427" s="886">
        <v>37414.44</v>
      </c>
      <c r="U427" s="889"/>
      <c r="V427" s="888"/>
      <c r="W427" s="886">
        <v>26139.54</v>
      </c>
      <c r="X427" s="889"/>
      <c r="Y427" s="888"/>
      <c r="Z427" s="886">
        <v>25122.77</v>
      </c>
      <c r="AA427" s="889"/>
      <c r="AB427" s="888"/>
      <c r="AC427" s="886">
        <v>32163.66</v>
      </c>
      <c r="AD427" s="889"/>
      <c r="AE427" s="888"/>
      <c r="AF427" s="886">
        <v>29269.82</v>
      </c>
      <c r="AG427" s="889"/>
      <c r="AH427" s="888"/>
      <c r="AI427" s="886">
        <v>29317.81</v>
      </c>
      <c r="AJ427" s="889"/>
      <c r="AK427" s="888"/>
      <c r="AL427" s="886">
        <v>39319.25</v>
      </c>
      <c r="AM427" s="889"/>
      <c r="AN427" s="888"/>
      <c r="AO427" s="886">
        <v>20622.5</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
        <v>[...]</v>
      </c>
      <c r="B430" s="44" t="s">
        <v>59</v>
      </c>
      <c r="C430" s="889"/>
      <c r="D430" s="888"/>
      <c r="E430" s="886">
        <v>0</v>
      </c>
      <c r="F430" s="889"/>
      <c r="G430" s="888">
        <v>0</v>
      </c>
      <c r="H430" s="886">
        <v>0</v>
      </c>
      <c r="I430" s="889"/>
      <c r="J430" s="888">
        <v>0</v>
      </c>
      <c r="K430" s="886">
        <v>0</v>
      </c>
      <c r="L430" s="889"/>
      <c r="M430" s="888">
        <v>0</v>
      </c>
      <c r="N430" s="886">
        <v>0</v>
      </c>
      <c r="O430" s="889"/>
      <c r="P430" s="888">
        <v>0</v>
      </c>
      <c r="Q430" s="886">
        <v>0</v>
      </c>
      <c r="R430" s="889"/>
      <c r="S430" s="888">
        <v>0</v>
      </c>
      <c r="T430" s="886">
        <v>0</v>
      </c>
      <c r="U430" s="889"/>
      <c r="V430" s="888">
        <v>0</v>
      </c>
      <c r="W430" s="886">
        <v>0</v>
      </c>
      <c r="X430" s="889"/>
      <c r="Y430" s="888">
        <v>0</v>
      </c>
      <c r="Z430" s="886">
        <v>0</v>
      </c>
      <c r="AA430" s="889"/>
      <c r="AB430" s="888">
        <v>0</v>
      </c>
      <c r="AC430" s="886">
        <v>0</v>
      </c>
      <c r="AD430" s="889"/>
      <c r="AE430" s="888">
        <v>0</v>
      </c>
      <c r="AF430" s="886">
        <v>0</v>
      </c>
      <c r="AG430" s="889"/>
      <c r="AH430" s="888">
        <v>0</v>
      </c>
      <c r="AI430" s="886">
        <v>0</v>
      </c>
      <c r="AJ430" s="889"/>
      <c r="AK430" s="888">
        <v>0</v>
      </c>
      <c r="AL430" s="886">
        <v>0</v>
      </c>
      <c r="AM430" s="889"/>
      <c r="AN430" s="888">
        <v>0</v>
      </c>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
        <v>Salaires en absences</v>
      </c>
      <c r="B431" s="55" t="s">
        <v>124</v>
      </c>
      <c r="C431" s="892"/>
      <c r="D431" s="898">
        <v>0.1123011330339406</v>
      </c>
      <c r="E431" s="880">
        <v>456964.49999999988</v>
      </c>
      <c r="F431" s="892"/>
      <c r="G431" s="898">
        <v>0.11738073062283352</v>
      </c>
      <c r="H431" s="880">
        <v>34767.42</v>
      </c>
      <c r="I431" s="892"/>
      <c r="J431" s="898">
        <v>9.4776449886306388E-2</v>
      </c>
      <c r="K431" s="880">
        <v>34268.229999999901</v>
      </c>
      <c r="L431" s="892"/>
      <c r="M431" s="898">
        <v>8.165278744580487E-2</v>
      </c>
      <c r="N431" s="880">
        <v>34930.980000000003</v>
      </c>
      <c r="O431" s="892"/>
      <c r="P431" s="898">
        <v>0.11497193892037333</v>
      </c>
      <c r="Q431" s="880">
        <v>42780.74</v>
      </c>
      <c r="R431" s="892"/>
      <c r="S431" s="898">
        <v>0.13599469842477427</v>
      </c>
      <c r="T431" s="880">
        <v>55516.55</v>
      </c>
      <c r="U431" s="892"/>
      <c r="V431" s="898">
        <v>0.10914413459575742</v>
      </c>
      <c r="W431" s="880">
        <v>35589.440000000002</v>
      </c>
      <c r="X431" s="892"/>
      <c r="Y431" s="898">
        <v>9.4593606563009941E-2</v>
      </c>
      <c r="Z431" s="880">
        <v>37441.89</v>
      </c>
      <c r="AA431" s="892"/>
      <c r="AB431" s="898">
        <v>9.3821042320053796E-2</v>
      </c>
      <c r="AC431" s="880">
        <v>37628.219999999899</v>
      </c>
      <c r="AD431" s="892"/>
      <c r="AE431" s="898">
        <v>0.10775363102481338</v>
      </c>
      <c r="AF431" s="880">
        <v>36946.69</v>
      </c>
      <c r="AG431" s="892"/>
      <c r="AH431" s="898">
        <v>0.11879584818962539</v>
      </c>
      <c r="AI431" s="880">
        <v>41409.339999999997</v>
      </c>
      <c r="AJ431" s="892"/>
      <c r="AK431" s="898">
        <v>8.9664652935794203E-2</v>
      </c>
      <c r="AL431" s="880">
        <v>30858.44</v>
      </c>
      <c r="AM431" s="892"/>
      <c r="AN431" s="898">
        <v>0.13114271608367287</v>
      </c>
      <c r="AO431" s="880">
        <v>34826.559999999998</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
        <v>Déduction à la source</v>
      </c>
      <c r="B432" s="54" t="s">
        <v>125</v>
      </c>
      <c r="C432" s="889"/>
      <c r="D432" s="899">
        <v>0.15182162263296148</v>
      </c>
      <c r="E432" s="886">
        <v>617777.30999999947</v>
      </c>
      <c r="F432" s="889"/>
      <c r="G432" s="899">
        <v>0.18118130105381414</v>
      </c>
      <c r="H432" s="886">
        <v>53664.74</v>
      </c>
      <c r="I432" s="889"/>
      <c r="J432" s="899">
        <v>0.14307593924524073</v>
      </c>
      <c r="K432" s="886">
        <v>51731.83</v>
      </c>
      <c r="L432" s="889"/>
      <c r="M432" s="899">
        <v>0.13317481184329119</v>
      </c>
      <c r="N432" s="886">
        <v>56972.05</v>
      </c>
      <c r="O432" s="889"/>
      <c r="P432" s="899">
        <v>0.14939173290809002</v>
      </c>
      <c r="Q432" s="886">
        <v>55588.25</v>
      </c>
      <c r="R432" s="889"/>
      <c r="S432" s="899">
        <v>0.14382090560460398</v>
      </c>
      <c r="T432" s="886">
        <v>58711.41</v>
      </c>
      <c r="U432" s="889"/>
      <c r="V432" s="899">
        <v>0.1435855237332577</v>
      </c>
      <c r="W432" s="886">
        <v>46819.999999999898</v>
      </c>
      <c r="X432" s="889"/>
      <c r="Y432" s="899">
        <v>0.1142982994221593</v>
      </c>
      <c r="Z432" s="886">
        <v>45241.369999999901</v>
      </c>
      <c r="AA432" s="889"/>
      <c r="AB432" s="899">
        <v>0.13438219898003251</v>
      </c>
      <c r="AC432" s="886">
        <v>53895.83</v>
      </c>
      <c r="AD432" s="889"/>
      <c r="AE432" s="899">
        <v>0.14071400131754103</v>
      </c>
      <c r="AF432" s="886">
        <v>48248.18</v>
      </c>
      <c r="AG432" s="889"/>
      <c r="AH432" s="899">
        <v>0.15713010934642135</v>
      </c>
      <c r="AI432" s="886">
        <v>54771.729999999901</v>
      </c>
      <c r="AJ432" s="889"/>
      <c r="AK432" s="899">
        <v>0.14969480223818454</v>
      </c>
      <c r="AL432" s="886">
        <v>51518.049999999901</v>
      </c>
      <c r="AM432" s="889"/>
      <c r="AN432" s="899">
        <v>0.15293538099855933</v>
      </c>
      <c r="AO432" s="886">
        <v>40613.869999999901</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
        <v>Bénéfices marginaux</v>
      </c>
      <c r="B433" s="54" t="s">
        <v>126</v>
      </c>
      <c r="C433" s="889"/>
      <c r="D433" s="899">
        <v>5.9005773080552958E-2</v>
      </c>
      <c r="E433" s="886">
        <v>240100.36999999976</v>
      </c>
      <c r="F433" s="889"/>
      <c r="G433" s="899">
        <v>6.7862947337921795E-2</v>
      </c>
      <c r="H433" s="886">
        <v>20100.57</v>
      </c>
      <c r="I433" s="889"/>
      <c r="J433" s="899">
        <v>5.757060947474929E-2</v>
      </c>
      <c r="K433" s="886">
        <v>20815.75</v>
      </c>
      <c r="L433" s="889"/>
      <c r="M433" s="899">
        <v>5.1632029332280331E-2</v>
      </c>
      <c r="N433" s="886">
        <v>22088.129999999899</v>
      </c>
      <c r="O433" s="889"/>
      <c r="P433" s="899">
        <v>5.6091925220728076E-2</v>
      </c>
      <c r="Q433" s="886">
        <v>20871.650000000001</v>
      </c>
      <c r="R433" s="889"/>
      <c r="S433" s="899">
        <v>6.2939058438829035E-2</v>
      </c>
      <c r="T433" s="886">
        <v>25693.35</v>
      </c>
      <c r="U433" s="889"/>
      <c r="V433" s="899">
        <v>5.9506723310879792E-2</v>
      </c>
      <c r="W433" s="886">
        <v>19403.8</v>
      </c>
      <c r="X433" s="889"/>
      <c r="Y433" s="899">
        <v>5.2480935701827026E-2</v>
      </c>
      <c r="Z433" s="886">
        <v>20772.919999999998</v>
      </c>
      <c r="AA433" s="889"/>
      <c r="AB433" s="899">
        <v>6.3966961263216604E-2</v>
      </c>
      <c r="AC433" s="886">
        <v>25654.83</v>
      </c>
      <c r="AD433" s="889"/>
      <c r="AE433" s="899">
        <v>6.6497091878713888E-2</v>
      </c>
      <c r="AF433" s="886">
        <v>22800.6</v>
      </c>
      <c r="AG433" s="889"/>
      <c r="AH433" s="899">
        <v>7.0514248485228373E-2</v>
      </c>
      <c r="AI433" s="886">
        <v>24579.55</v>
      </c>
      <c r="AJ433" s="889"/>
      <c r="AK433" s="899">
        <v>4.7205915725493774E-3</v>
      </c>
      <c r="AL433" s="886">
        <v>1624.61</v>
      </c>
      <c r="AM433" s="889"/>
      <c r="AN433" s="899">
        <v>5.9099543086482277E-2</v>
      </c>
      <c r="AO433" s="886">
        <v>15694.609999999901</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
        <v>Csst</v>
      </c>
      <c r="B434" s="54" t="s">
        <v>127</v>
      </c>
      <c r="C434" s="889"/>
      <c r="D434" s="899">
        <v>2.6335349212534883E-2</v>
      </c>
      <c r="E434" s="886">
        <v>107161.15999999999</v>
      </c>
      <c r="F434" s="889"/>
      <c r="G434" s="899"/>
      <c r="H434" s="886">
        <v>8050.6699999999992</v>
      </c>
      <c r="I434" s="889"/>
      <c r="J434" s="899"/>
      <c r="K434" s="886">
        <v>8165.579999999999</v>
      </c>
      <c r="L434" s="889"/>
      <c r="M434" s="899"/>
      <c r="N434" s="886">
        <v>9927.369999999999</v>
      </c>
      <c r="O434" s="889"/>
      <c r="P434" s="899"/>
      <c r="Q434" s="886">
        <v>10619.84</v>
      </c>
      <c r="R434" s="889"/>
      <c r="S434" s="899"/>
      <c r="T434" s="886">
        <v>10441.59</v>
      </c>
      <c r="U434" s="889"/>
      <c r="V434" s="899"/>
      <c r="W434" s="886">
        <v>7407.93</v>
      </c>
      <c r="X434" s="889"/>
      <c r="Y434" s="899"/>
      <c r="Z434" s="886">
        <v>7524.12</v>
      </c>
      <c r="AA434" s="889"/>
      <c r="AB434" s="899"/>
      <c r="AC434" s="886">
        <v>11755.279999999999</v>
      </c>
      <c r="AD434" s="889"/>
      <c r="AE434" s="899"/>
      <c r="AF434" s="886">
        <v>7864.39</v>
      </c>
      <c r="AG434" s="889"/>
      <c r="AH434" s="899"/>
      <c r="AI434" s="886">
        <v>5884.51</v>
      </c>
      <c r="AJ434" s="889"/>
      <c r="AK434" s="899"/>
      <c r="AL434" s="886">
        <v>8487.58</v>
      </c>
      <c r="AM434" s="889"/>
      <c r="AN434" s="899"/>
      <c r="AO434" s="886">
        <v>11032.3</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c r="B435" s="44"/>
      <c r="C435" s="889"/>
      <c r="D435" s="888"/>
      <c r="E435" s="886"/>
      <c r="F435" s="889"/>
      <c r="G435" s="888"/>
      <c r="H435" s="886"/>
      <c r="I435" s="889"/>
      <c r="J435" s="888"/>
      <c r="K435" s="886"/>
      <c r="L435" s="889"/>
      <c r="M435" s="888"/>
      <c r="N435" s="886"/>
      <c r="O435" s="889"/>
      <c r="P435" s="888"/>
      <c r="Q435" s="886"/>
      <c r="R435" s="889"/>
      <c r="S435" s="888"/>
      <c r="T435" s="886"/>
      <c r="U435" s="889"/>
      <c r="V435" s="888"/>
      <c r="W435" s="886"/>
      <c r="X435" s="889"/>
      <c r="Y435" s="888"/>
      <c r="Z435" s="886"/>
      <c r="AA435" s="889"/>
      <c r="AB435" s="888"/>
      <c r="AC435" s="886"/>
      <c r="AD435" s="889"/>
      <c r="AE435" s="888"/>
      <c r="AF435" s="886"/>
      <c r="AG435" s="889"/>
      <c r="AH435" s="888"/>
      <c r="AI435" s="886"/>
      <c r="AJ435" s="889"/>
      <c r="AK435" s="888"/>
      <c r="AL435" s="886"/>
      <c r="AM435" s="889"/>
      <c r="AN435" s="888"/>
      <c r="AO435" s="886"/>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
        <v>TOTAL PERSONNEL</v>
      </c>
      <c r="B436" s="70" t="s">
        <v>128</v>
      </c>
      <c r="C436" s="893">
        <v>0.48095769605213395</v>
      </c>
      <c r="D436" s="900"/>
      <c r="E436" s="895">
        <v>3477136.2899999986</v>
      </c>
      <c r="F436" s="893"/>
      <c r="G436" s="900"/>
      <c r="H436" s="895">
        <v>270084.64999999898</v>
      </c>
      <c r="I436" s="893"/>
      <c r="J436" s="900"/>
      <c r="K436" s="895">
        <v>280906.26</v>
      </c>
      <c r="L436" s="893"/>
      <c r="M436" s="900"/>
      <c r="N436" s="895">
        <v>295685.73</v>
      </c>
      <c r="O436" s="893"/>
      <c r="P436" s="900"/>
      <c r="Q436" s="895">
        <v>305718.82</v>
      </c>
      <c r="R436" s="893"/>
      <c r="S436" s="900"/>
      <c r="T436" s="895">
        <v>336344.1</v>
      </c>
      <c r="U436" s="893"/>
      <c r="V436" s="900"/>
      <c r="W436" s="895">
        <v>269945.61</v>
      </c>
      <c r="X436" s="893"/>
      <c r="Y436" s="900"/>
      <c r="Z436" s="895">
        <v>266559.06</v>
      </c>
      <c r="AA436" s="893"/>
      <c r="AB436" s="900"/>
      <c r="AC436" s="895">
        <v>304617.8</v>
      </c>
      <c r="AD436" s="893"/>
      <c r="AE436" s="900"/>
      <c r="AF436" s="895">
        <v>278269.93</v>
      </c>
      <c r="AG436" s="893"/>
      <c r="AH436" s="900"/>
      <c r="AI436" s="895">
        <v>283857.56</v>
      </c>
      <c r="AJ436" s="893"/>
      <c r="AK436" s="900"/>
      <c r="AL436" s="895">
        <v>328495.51999999897</v>
      </c>
      <c r="AM436" s="893"/>
      <c r="AN436" s="900"/>
      <c r="AO436" s="895">
        <v>256651.24999999901</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
        <v>Publicité 2</v>
      </c>
      <c r="B437" s="63" t="s">
        <v>129</v>
      </c>
      <c r="C437" s="901"/>
      <c r="D437" s="902"/>
      <c r="E437" s="903">
        <v>184727.43999999992</v>
      </c>
      <c r="F437" s="901"/>
      <c r="G437" s="902"/>
      <c r="H437" s="903">
        <v>16759.11</v>
      </c>
      <c r="I437" s="901"/>
      <c r="J437" s="902"/>
      <c r="K437" s="903">
        <v>17676.28</v>
      </c>
      <c r="L437" s="901"/>
      <c r="M437" s="902"/>
      <c r="N437" s="903">
        <v>17021.64</v>
      </c>
      <c r="O437" s="901"/>
      <c r="P437" s="902"/>
      <c r="Q437" s="903">
        <v>15551.54</v>
      </c>
      <c r="R437" s="901"/>
      <c r="S437" s="902"/>
      <c r="T437" s="903">
        <v>16013.77</v>
      </c>
      <c r="U437" s="901"/>
      <c r="V437" s="902"/>
      <c r="W437" s="903">
        <v>14517.59</v>
      </c>
      <c r="X437" s="901"/>
      <c r="Y437" s="902"/>
      <c r="Z437" s="903">
        <v>13920.66</v>
      </c>
      <c r="AA437" s="901"/>
      <c r="AB437" s="902"/>
      <c r="AC437" s="903">
        <v>13400.82</v>
      </c>
      <c r="AD437" s="901"/>
      <c r="AE437" s="902"/>
      <c r="AF437" s="903">
        <v>12561.539999999901</v>
      </c>
      <c r="AG437" s="901"/>
      <c r="AH437" s="902"/>
      <c r="AI437" s="903">
        <v>15405.01</v>
      </c>
      <c r="AJ437" s="901"/>
      <c r="AK437" s="902"/>
      <c r="AL437" s="903">
        <v>16041.85</v>
      </c>
      <c r="AM437" s="901"/>
      <c r="AN437" s="902"/>
      <c r="AO437" s="903">
        <v>15857.63</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
        <v>Service gratuit 2</v>
      </c>
      <c r="B438" s="54" t="s">
        <v>130</v>
      </c>
      <c r="C438" s="889"/>
      <c r="D438" s="888"/>
      <c r="E438" s="886">
        <v>74078.119999999981</v>
      </c>
      <c r="F438" s="889"/>
      <c r="G438" s="888"/>
      <c r="H438" s="886">
        <v>-2619.91</v>
      </c>
      <c r="I438" s="889"/>
      <c r="J438" s="888"/>
      <c r="K438" s="886">
        <v>3288.27</v>
      </c>
      <c r="L438" s="889"/>
      <c r="M438" s="888"/>
      <c r="N438" s="886">
        <v>895.45</v>
      </c>
      <c r="O438" s="889"/>
      <c r="P438" s="888"/>
      <c r="Q438" s="886">
        <v>3957.41</v>
      </c>
      <c r="R438" s="889"/>
      <c r="S438" s="888"/>
      <c r="T438" s="886">
        <v>6870.41</v>
      </c>
      <c r="U438" s="889"/>
      <c r="V438" s="888"/>
      <c r="W438" s="886">
        <v>6353.59</v>
      </c>
      <c r="X438" s="889"/>
      <c r="Y438" s="888"/>
      <c r="Z438" s="886">
        <v>6479.70999999999</v>
      </c>
      <c r="AA438" s="889"/>
      <c r="AB438" s="888"/>
      <c r="AC438" s="886">
        <v>4493.88</v>
      </c>
      <c r="AD438" s="889"/>
      <c r="AE438" s="888"/>
      <c r="AF438" s="886">
        <v>6673.85</v>
      </c>
      <c r="AG438" s="889"/>
      <c r="AH438" s="888"/>
      <c r="AI438" s="886">
        <v>12189.38</v>
      </c>
      <c r="AJ438" s="889"/>
      <c r="AK438" s="888"/>
      <c r="AL438" s="886">
        <v>9244.6799999999894</v>
      </c>
      <c r="AM438" s="889"/>
      <c r="AN438" s="888"/>
      <c r="AO438" s="886">
        <v>16251.4</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
        <v>Frais véhicules de cie</v>
      </c>
      <c r="B439" s="55" t="s">
        <v>131</v>
      </c>
      <c r="C439" s="892"/>
      <c r="D439" s="891"/>
      <c r="E439" s="880">
        <v>278853.1299999996</v>
      </c>
      <c r="F439" s="892"/>
      <c r="G439" s="891"/>
      <c r="H439" s="880">
        <v>19209.72</v>
      </c>
      <c r="I439" s="892"/>
      <c r="J439" s="891"/>
      <c r="K439" s="880">
        <v>17688.3999999999</v>
      </c>
      <c r="L439" s="892"/>
      <c r="M439" s="891"/>
      <c r="N439" s="880">
        <v>19342.02</v>
      </c>
      <c r="O439" s="892"/>
      <c r="P439" s="891"/>
      <c r="Q439" s="880">
        <v>26786.48</v>
      </c>
      <c r="R439" s="892"/>
      <c r="S439" s="891"/>
      <c r="T439" s="880">
        <v>22664.019999999899</v>
      </c>
      <c r="U439" s="892"/>
      <c r="V439" s="891"/>
      <c r="W439" s="880">
        <v>22511.9</v>
      </c>
      <c r="X439" s="892"/>
      <c r="Y439" s="891"/>
      <c r="Z439" s="880">
        <v>26599.97</v>
      </c>
      <c r="AA439" s="892"/>
      <c r="AB439" s="891"/>
      <c r="AC439" s="880">
        <v>26004.389999999901</v>
      </c>
      <c r="AD439" s="892"/>
      <c r="AE439" s="891"/>
      <c r="AF439" s="880">
        <v>17512.330000000002</v>
      </c>
      <c r="AG439" s="892"/>
      <c r="AH439" s="891"/>
      <c r="AI439" s="880">
        <v>20642.87</v>
      </c>
      <c r="AJ439" s="892"/>
      <c r="AK439" s="891"/>
      <c r="AL439" s="880">
        <v>31171.79</v>
      </c>
      <c r="AM439" s="892"/>
      <c r="AN439" s="891"/>
      <c r="AO439" s="880">
        <v>28719.2399999999</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
        <v>Informatique</v>
      </c>
      <c r="B440" s="54" t="s">
        <v>132</v>
      </c>
      <c r="C440" s="889"/>
      <c r="D440" s="888"/>
      <c r="E440" s="886">
        <v>268902.5499999997</v>
      </c>
      <c r="F440" s="889"/>
      <c r="G440" s="888"/>
      <c r="H440" s="886">
        <v>20331.73</v>
      </c>
      <c r="I440" s="889"/>
      <c r="J440" s="888"/>
      <c r="K440" s="886">
        <v>21884.6499999999</v>
      </c>
      <c r="L440" s="889"/>
      <c r="M440" s="888"/>
      <c r="N440" s="886">
        <v>21562.63</v>
      </c>
      <c r="O440" s="889"/>
      <c r="P440" s="888"/>
      <c r="Q440" s="886">
        <v>22793.11</v>
      </c>
      <c r="R440" s="889"/>
      <c r="S440" s="888"/>
      <c r="T440" s="886">
        <v>22579.48</v>
      </c>
      <c r="U440" s="889"/>
      <c r="V440" s="888"/>
      <c r="W440" s="886">
        <v>21215.53</v>
      </c>
      <c r="X440" s="889"/>
      <c r="Y440" s="888"/>
      <c r="Z440" s="886">
        <v>17673.09</v>
      </c>
      <c r="AA440" s="889"/>
      <c r="AB440" s="888"/>
      <c r="AC440" s="886">
        <v>26430.91</v>
      </c>
      <c r="AD440" s="889"/>
      <c r="AE440" s="888"/>
      <c r="AF440" s="886">
        <v>26753.58</v>
      </c>
      <c r="AG440" s="889"/>
      <c r="AH440" s="888"/>
      <c r="AI440" s="886">
        <v>22270.73</v>
      </c>
      <c r="AJ440" s="889"/>
      <c r="AK440" s="888"/>
      <c r="AL440" s="886">
        <v>20276.379999999899</v>
      </c>
      <c r="AM440" s="889"/>
      <c r="AN440" s="888"/>
      <c r="AO440" s="886">
        <v>25130.729999999901</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
        <v>Frais de déplacement</v>
      </c>
      <c r="B441" s="54" t="s">
        <v>133</v>
      </c>
      <c r="C441" s="889"/>
      <c r="D441" s="888"/>
      <c r="E441" s="886">
        <v>54107.670000000006</v>
      </c>
      <c r="F441" s="889"/>
      <c r="G441" s="888"/>
      <c r="H441" s="886">
        <v>3173.5</v>
      </c>
      <c r="I441" s="889"/>
      <c r="J441" s="888"/>
      <c r="K441" s="886">
        <v>1268.96</v>
      </c>
      <c r="L441" s="889"/>
      <c r="M441" s="888"/>
      <c r="N441" s="886">
        <v>3103.79</v>
      </c>
      <c r="O441" s="889"/>
      <c r="P441" s="888"/>
      <c r="Q441" s="886">
        <v>7708.47</v>
      </c>
      <c r="R441" s="889"/>
      <c r="S441" s="888"/>
      <c r="T441" s="886">
        <v>2910.03</v>
      </c>
      <c r="U441" s="889"/>
      <c r="V441" s="888"/>
      <c r="W441" s="886">
        <v>4364.88</v>
      </c>
      <c r="X441" s="889"/>
      <c r="Y441" s="888"/>
      <c r="Z441" s="886">
        <v>5104.3599999999997</v>
      </c>
      <c r="AA441" s="889"/>
      <c r="AB441" s="888"/>
      <c r="AC441" s="886">
        <v>3954.67</v>
      </c>
      <c r="AD441" s="889"/>
      <c r="AE441" s="888"/>
      <c r="AF441" s="886">
        <v>6229.24</v>
      </c>
      <c r="AG441" s="889"/>
      <c r="AH441" s="888"/>
      <c r="AI441" s="886">
        <v>5287.25</v>
      </c>
      <c r="AJ441" s="889"/>
      <c r="AK441" s="888"/>
      <c r="AL441" s="886">
        <v>7234.8</v>
      </c>
      <c r="AM441" s="889"/>
      <c r="AN441" s="888"/>
      <c r="AO441" s="886">
        <v>3767.72</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
        <v>Services extérieurs</v>
      </c>
      <c r="B442" s="54" t="s">
        <v>134</v>
      </c>
      <c r="C442" s="904"/>
      <c r="D442" s="905"/>
      <c r="E442" s="906">
        <v>409895.26999999979</v>
      </c>
      <c r="F442" s="904"/>
      <c r="G442" s="905"/>
      <c r="H442" s="906">
        <v>39217.94</v>
      </c>
      <c r="I442" s="904"/>
      <c r="J442" s="905"/>
      <c r="K442" s="906">
        <v>32381.999999999902</v>
      </c>
      <c r="L442" s="904"/>
      <c r="M442" s="905"/>
      <c r="N442" s="906">
        <v>26042.879999999899</v>
      </c>
      <c r="O442" s="904"/>
      <c r="P442" s="905"/>
      <c r="Q442" s="906">
        <v>31322.5</v>
      </c>
      <c r="R442" s="904"/>
      <c r="S442" s="905"/>
      <c r="T442" s="906">
        <v>32122.880000000001</v>
      </c>
      <c r="U442" s="904"/>
      <c r="V442" s="905"/>
      <c r="W442" s="906">
        <v>29035.8</v>
      </c>
      <c r="X442" s="904"/>
      <c r="Y442" s="905"/>
      <c r="Z442" s="906">
        <v>31737.46</v>
      </c>
      <c r="AA442" s="904"/>
      <c r="AB442" s="905"/>
      <c r="AC442" s="906">
        <v>35276</v>
      </c>
      <c r="AD442" s="904"/>
      <c r="AE442" s="905"/>
      <c r="AF442" s="906">
        <v>37356.06</v>
      </c>
      <c r="AG442" s="904"/>
      <c r="AH442" s="905"/>
      <c r="AI442" s="906">
        <v>41642.44</v>
      </c>
      <c r="AJ442" s="904"/>
      <c r="AK442" s="905"/>
      <c r="AL442" s="906">
        <v>36937.01</v>
      </c>
      <c r="AM442" s="904"/>
      <c r="AN442" s="905"/>
      <c r="AO442" s="906">
        <v>36822.300000000003</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7">B444</f>
        <v>Fournitures autres</v>
      </c>
      <c r="B444" s="63" t="s">
        <v>135</v>
      </c>
      <c r="C444" s="889"/>
      <c r="D444" s="888"/>
      <c r="E444" s="886">
        <v>61597.399999999958</v>
      </c>
      <c r="F444" s="889"/>
      <c r="G444" s="888"/>
      <c r="H444" s="886">
        <v>7192.02</v>
      </c>
      <c r="I444" s="889"/>
      <c r="J444" s="888"/>
      <c r="K444" s="886">
        <v>6925.84</v>
      </c>
      <c r="L444" s="889"/>
      <c r="M444" s="888"/>
      <c r="N444" s="886">
        <v>4035.3699999999899</v>
      </c>
      <c r="O444" s="889"/>
      <c r="P444" s="888"/>
      <c r="Q444" s="886">
        <v>4652.8900000000003</v>
      </c>
      <c r="R444" s="889"/>
      <c r="S444" s="888"/>
      <c r="T444" s="886">
        <v>1656.44</v>
      </c>
      <c r="U444" s="889"/>
      <c r="V444" s="888"/>
      <c r="W444" s="886">
        <v>2791.05</v>
      </c>
      <c r="X444" s="889"/>
      <c r="Y444" s="888"/>
      <c r="Z444" s="886">
        <v>3621.82</v>
      </c>
      <c r="AA444" s="889"/>
      <c r="AB444" s="888"/>
      <c r="AC444" s="886">
        <v>5399.2</v>
      </c>
      <c r="AD444" s="889"/>
      <c r="AE444" s="888"/>
      <c r="AF444" s="886">
        <v>4068.2599999999902</v>
      </c>
      <c r="AG444" s="889"/>
      <c r="AH444" s="888"/>
      <c r="AI444" s="886">
        <v>6914.34</v>
      </c>
      <c r="AJ444" s="889"/>
      <c r="AK444" s="888"/>
      <c r="AL444" s="886">
        <v>4505.9299999999903</v>
      </c>
      <c r="AM444" s="889"/>
      <c r="AN444" s="888"/>
      <c r="AO444" s="886">
        <v>9834.24</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7"/>
        <v>Uniformes</v>
      </c>
      <c r="B445" s="54" t="s">
        <v>136</v>
      </c>
      <c r="C445" s="889"/>
      <c r="D445" s="888"/>
      <c r="E445" s="886">
        <v>15645.359999999991</v>
      </c>
      <c r="F445" s="889"/>
      <c r="G445" s="888"/>
      <c r="H445" s="886">
        <v>1327.56</v>
      </c>
      <c r="I445" s="889"/>
      <c r="J445" s="888"/>
      <c r="K445" s="886">
        <v>786.75</v>
      </c>
      <c r="L445" s="889"/>
      <c r="M445" s="888"/>
      <c r="N445" s="886">
        <v>858.19</v>
      </c>
      <c r="O445" s="889"/>
      <c r="P445" s="888"/>
      <c r="Q445" s="886">
        <v>893.35</v>
      </c>
      <c r="R445" s="889"/>
      <c r="S445" s="888"/>
      <c r="T445" s="886">
        <v>1556.43</v>
      </c>
      <c r="U445" s="889"/>
      <c r="V445" s="888"/>
      <c r="W445" s="886">
        <v>1811.25</v>
      </c>
      <c r="X445" s="889"/>
      <c r="Y445" s="888"/>
      <c r="Z445" s="886">
        <v>1654</v>
      </c>
      <c r="AA445" s="889"/>
      <c r="AB445" s="888"/>
      <c r="AC445" s="886">
        <v>583.12</v>
      </c>
      <c r="AD445" s="889"/>
      <c r="AE445" s="888"/>
      <c r="AF445" s="886">
        <v>798.78</v>
      </c>
      <c r="AG445" s="889"/>
      <c r="AH445" s="888"/>
      <c r="AI445" s="886">
        <v>3130.8199999999902</v>
      </c>
      <c r="AJ445" s="889"/>
      <c r="AK445" s="888"/>
      <c r="AL445" s="886">
        <v>1200.28</v>
      </c>
      <c r="AM445" s="889"/>
      <c r="AN445" s="888"/>
      <c r="AO445" s="886">
        <v>1044.83</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7"/>
        <v>Papeterie</v>
      </c>
      <c r="B446" s="54" t="s">
        <v>137</v>
      </c>
      <c r="C446" s="889"/>
      <c r="D446" s="888"/>
      <c r="E446" s="886">
        <v>35578.489999999969</v>
      </c>
      <c r="F446" s="889"/>
      <c r="G446" s="888"/>
      <c r="H446" s="886">
        <v>1328.81</v>
      </c>
      <c r="I446" s="889"/>
      <c r="J446" s="888"/>
      <c r="K446" s="886">
        <v>4208.28</v>
      </c>
      <c r="L446" s="889"/>
      <c r="M446" s="888"/>
      <c r="N446" s="886">
        <v>1313.78</v>
      </c>
      <c r="O446" s="889"/>
      <c r="P446" s="888"/>
      <c r="Q446" s="886">
        <v>1384.85</v>
      </c>
      <c r="R446" s="889"/>
      <c r="S446" s="888"/>
      <c r="T446" s="886">
        <v>3223.6699999999901</v>
      </c>
      <c r="U446" s="889"/>
      <c r="V446" s="888"/>
      <c r="W446" s="886">
        <v>1450.33</v>
      </c>
      <c r="X446" s="889"/>
      <c r="Y446" s="888"/>
      <c r="Z446" s="886">
        <v>1541.95999999999</v>
      </c>
      <c r="AA446" s="889"/>
      <c r="AB446" s="888"/>
      <c r="AC446" s="886">
        <v>7677.95</v>
      </c>
      <c r="AD446" s="889"/>
      <c r="AE446" s="888"/>
      <c r="AF446" s="886">
        <v>2156.9699999999998</v>
      </c>
      <c r="AG446" s="889"/>
      <c r="AH446" s="888"/>
      <c r="AI446" s="886">
        <v>1565.73999999999</v>
      </c>
      <c r="AJ446" s="889"/>
      <c r="AK446" s="888"/>
      <c r="AL446" s="886">
        <v>4314.07</v>
      </c>
      <c r="AM446" s="889"/>
      <c r="AN446" s="888"/>
      <c r="AO446" s="886">
        <v>5412.08</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7"/>
        <v>Téléphone</v>
      </c>
      <c r="B447" s="54" t="s">
        <v>138</v>
      </c>
      <c r="C447" s="889"/>
      <c r="D447" s="888"/>
      <c r="E447" s="886">
        <v>8789.1999999999953</v>
      </c>
      <c r="F447" s="889"/>
      <c r="G447" s="888"/>
      <c r="H447" s="886">
        <v>772.76999999999896</v>
      </c>
      <c r="I447" s="889"/>
      <c r="J447" s="888"/>
      <c r="K447" s="886">
        <v>547.28</v>
      </c>
      <c r="L447" s="889"/>
      <c r="M447" s="888"/>
      <c r="N447" s="886">
        <v>640.21</v>
      </c>
      <c r="O447" s="889"/>
      <c r="P447" s="888"/>
      <c r="Q447" s="886">
        <v>797.78</v>
      </c>
      <c r="R447" s="889"/>
      <c r="S447" s="888"/>
      <c r="T447" s="886">
        <v>621.94000000000005</v>
      </c>
      <c r="U447" s="889"/>
      <c r="V447" s="888"/>
      <c r="W447" s="886">
        <v>610.55999999999995</v>
      </c>
      <c r="X447" s="889"/>
      <c r="Y447" s="888"/>
      <c r="Z447" s="886">
        <v>623.20000000000005</v>
      </c>
      <c r="AA447" s="889"/>
      <c r="AB447" s="888"/>
      <c r="AC447" s="886">
        <v>917.099999999999</v>
      </c>
      <c r="AD447" s="889"/>
      <c r="AE447" s="888"/>
      <c r="AF447" s="886">
        <v>686.729999999999</v>
      </c>
      <c r="AG447" s="889"/>
      <c r="AH447" s="888"/>
      <c r="AI447" s="886">
        <v>1132.3599999999999</v>
      </c>
      <c r="AJ447" s="889"/>
      <c r="AK447" s="888"/>
      <c r="AL447" s="886">
        <v>750.08999999999901</v>
      </c>
      <c r="AM447" s="889"/>
      <c r="AN447" s="888"/>
      <c r="AO447" s="886">
        <v>689.18</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7"/>
        <v>Frais postaux</v>
      </c>
      <c r="B448" s="54" t="s">
        <v>139</v>
      </c>
      <c r="C448" s="889"/>
      <c r="D448" s="888"/>
      <c r="E448" s="886">
        <v>557.96999999999889</v>
      </c>
      <c r="F448" s="889"/>
      <c r="G448" s="888"/>
      <c r="H448" s="886">
        <v>59.52</v>
      </c>
      <c r="I448" s="889"/>
      <c r="J448" s="888"/>
      <c r="K448" s="886">
        <v>730.92</v>
      </c>
      <c r="L448" s="889"/>
      <c r="M448" s="888"/>
      <c r="N448" s="886">
        <v>535.47</v>
      </c>
      <c r="O448" s="889"/>
      <c r="P448" s="888"/>
      <c r="Q448" s="886">
        <v>-27.62</v>
      </c>
      <c r="R448" s="889"/>
      <c r="S448" s="888"/>
      <c r="T448" s="886">
        <v>-212.039999999999</v>
      </c>
      <c r="U448" s="889"/>
      <c r="V448" s="888"/>
      <c r="W448" s="886">
        <v>102.99999999999901</v>
      </c>
      <c r="X448" s="889"/>
      <c r="Y448" s="888"/>
      <c r="Z448" s="886">
        <v>102.99999999999901</v>
      </c>
      <c r="AA448" s="889"/>
      <c r="AB448" s="888"/>
      <c r="AC448" s="886">
        <v>-374.16</v>
      </c>
      <c r="AD448" s="889"/>
      <c r="AE448" s="888"/>
      <c r="AF448" s="886">
        <v>-92.09</v>
      </c>
      <c r="AG448" s="889"/>
      <c r="AH448" s="888"/>
      <c r="AI448" s="886">
        <v>73.19</v>
      </c>
      <c r="AJ448" s="889"/>
      <c r="AK448" s="888"/>
      <c r="AL448" s="886">
        <v>-54.58</v>
      </c>
      <c r="AM448" s="889"/>
      <c r="AN448" s="888"/>
      <c r="AO448" s="886">
        <v>-286.64</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7"/>
        <v>Divers</v>
      </c>
      <c r="B449" s="54" t="s">
        <v>140</v>
      </c>
      <c r="C449" s="889"/>
      <c r="D449" s="888"/>
      <c r="E449" s="886">
        <v>6768.0999999999995</v>
      </c>
      <c r="F449" s="889"/>
      <c r="G449" s="888"/>
      <c r="H449" s="886">
        <v>322.69</v>
      </c>
      <c r="I449" s="889"/>
      <c r="J449" s="888"/>
      <c r="K449" s="886">
        <v>642.70000000000005</v>
      </c>
      <c r="L449" s="889"/>
      <c r="M449" s="888"/>
      <c r="N449" s="886">
        <v>799.93</v>
      </c>
      <c r="O449" s="889"/>
      <c r="P449" s="888"/>
      <c r="Q449" s="886">
        <v>631.05999999999995</v>
      </c>
      <c r="R449" s="889"/>
      <c r="S449" s="888"/>
      <c r="T449" s="886">
        <v>329.1</v>
      </c>
      <c r="U449" s="889"/>
      <c r="V449" s="888"/>
      <c r="W449" s="886">
        <v>386.75</v>
      </c>
      <c r="X449" s="889"/>
      <c r="Y449" s="888"/>
      <c r="Z449" s="886">
        <v>589.04</v>
      </c>
      <c r="AA449" s="889"/>
      <c r="AB449" s="888"/>
      <c r="AC449" s="886">
        <v>163.98</v>
      </c>
      <c r="AD449" s="889"/>
      <c r="AE449" s="888"/>
      <c r="AF449" s="886">
        <v>475.02</v>
      </c>
      <c r="AG449" s="889"/>
      <c r="AH449" s="888"/>
      <c r="AI449" s="886">
        <v>732.69999999999902</v>
      </c>
      <c r="AJ449" s="889"/>
      <c r="AK449" s="888"/>
      <c r="AL449" s="886">
        <v>1396.28</v>
      </c>
      <c r="AM449" s="889"/>
      <c r="AN449" s="888"/>
      <c r="AO449" s="886">
        <v>298.85000000000002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7"/>
        <v>Formation</v>
      </c>
      <c r="B450" s="54" t="s">
        <v>141</v>
      </c>
      <c r="C450" s="889"/>
      <c r="D450" s="888"/>
      <c r="E450" s="886">
        <v>51205.879999999976</v>
      </c>
      <c r="F450" s="889"/>
      <c r="G450" s="888"/>
      <c r="H450" s="886">
        <v>5266.9</v>
      </c>
      <c r="I450" s="889"/>
      <c r="J450" s="888"/>
      <c r="K450" s="886">
        <v>5281.3899999999903</v>
      </c>
      <c r="L450" s="889"/>
      <c r="M450" s="888"/>
      <c r="N450" s="886">
        <v>5210.92</v>
      </c>
      <c r="O450" s="889"/>
      <c r="P450" s="888"/>
      <c r="Q450" s="886">
        <v>2402.5699999999902</v>
      </c>
      <c r="R450" s="889"/>
      <c r="S450" s="888"/>
      <c r="T450" s="886">
        <v>2278.56</v>
      </c>
      <c r="U450" s="889"/>
      <c r="V450" s="888"/>
      <c r="W450" s="886">
        <v>4618.51</v>
      </c>
      <c r="X450" s="889"/>
      <c r="Y450" s="888"/>
      <c r="Z450" s="886">
        <v>6583.58</v>
      </c>
      <c r="AA450" s="889"/>
      <c r="AB450" s="888"/>
      <c r="AC450" s="886">
        <v>5711.08</v>
      </c>
      <c r="AD450" s="889"/>
      <c r="AE450" s="888"/>
      <c r="AF450" s="886">
        <v>4612.0599999999904</v>
      </c>
      <c r="AG450" s="889"/>
      <c r="AH450" s="888"/>
      <c r="AI450" s="886">
        <v>5551.54</v>
      </c>
      <c r="AJ450" s="889"/>
      <c r="AK450" s="888"/>
      <c r="AL450" s="886">
        <v>3108.06</v>
      </c>
      <c r="AM450" s="889"/>
      <c r="AN450" s="888"/>
      <c r="AO450" s="886">
        <v>580.71</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7"/>
        <v>Frais bancaires</v>
      </c>
      <c r="B451" s="54" t="s">
        <v>142</v>
      </c>
      <c r="C451" s="889"/>
      <c r="D451" s="888"/>
      <c r="E451" s="886">
        <v>105490.88999999977</v>
      </c>
      <c r="F451" s="889"/>
      <c r="G451" s="888"/>
      <c r="H451" s="886">
        <v>6862.04</v>
      </c>
      <c r="I451" s="889"/>
      <c r="J451" s="888"/>
      <c r="K451" s="886">
        <v>5432.78</v>
      </c>
      <c r="L451" s="889"/>
      <c r="M451" s="888"/>
      <c r="N451" s="886">
        <v>7157.2599999999902</v>
      </c>
      <c r="O451" s="889"/>
      <c r="P451" s="888"/>
      <c r="Q451" s="886">
        <v>9504.61</v>
      </c>
      <c r="R451" s="889"/>
      <c r="S451" s="888"/>
      <c r="T451" s="886">
        <v>10571.46</v>
      </c>
      <c r="U451" s="889"/>
      <c r="V451" s="888"/>
      <c r="W451" s="886">
        <v>7461.8099999999904</v>
      </c>
      <c r="X451" s="889"/>
      <c r="Y451" s="888"/>
      <c r="Z451" s="886">
        <v>8293.56</v>
      </c>
      <c r="AA451" s="889"/>
      <c r="AB451" s="888"/>
      <c r="AC451" s="886">
        <v>7961.99</v>
      </c>
      <c r="AD451" s="889"/>
      <c r="AE451" s="888"/>
      <c r="AF451" s="886">
        <v>7260.23</v>
      </c>
      <c r="AG451" s="889"/>
      <c r="AH451" s="888"/>
      <c r="AI451" s="886">
        <v>10659.9399999999</v>
      </c>
      <c r="AJ451" s="889"/>
      <c r="AK451" s="888"/>
      <c r="AL451" s="886">
        <v>15108.859999999901</v>
      </c>
      <c r="AM451" s="889"/>
      <c r="AN451" s="888"/>
      <c r="AO451" s="886">
        <v>9216.3499999999894</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7"/>
        <v>[...]</v>
      </c>
      <c r="B452" s="54" t="s">
        <v>59</v>
      </c>
      <c r="C452" s="889"/>
      <c r="D452" s="888"/>
      <c r="E452" s="886">
        <v>0</v>
      </c>
      <c r="F452" s="889"/>
      <c r="G452" s="888"/>
      <c r="H452" s="886"/>
      <c r="I452" s="889"/>
      <c r="J452" s="888"/>
      <c r="K452" s="886"/>
      <c r="L452" s="889"/>
      <c r="M452" s="888"/>
      <c r="N452" s="886"/>
      <c r="O452" s="889"/>
      <c r="P452" s="888"/>
      <c r="Q452" s="886"/>
      <c r="R452" s="889"/>
      <c r="S452" s="888"/>
      <c r="T452" s="886"/>
      <c r="U452" s="889"/>
      <c r="V452" s="888"/>
      <c r="W452" s="886"/>
      <c r="X452" s="889"/>
      <c r="Y452" s="888"/>
      <c r="Z452" s="886"/>
      <c r="AA452" s="889"/>
      <c r="AB452" s="888"/>
      <c r="AC452" s="886"/>
      <c r="AD452" s="889"/>
      <c r="AE452" s="888"/>
      <c r="AF452" s="886"/>
      <c r="AG452" s="889"/>
      <c r="AH452" s="888"/>
      <c r="AI452" s="886"/>
      <c r="AJ452" s="889"/>
      <c r="AK452" s="888"/>
      <c r="AL452" s="886"/>
      <c r="AM452" s="889"/>
      <c r="AN452" s="888"/>
      <c r="AO452" s="886"/>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7"/>
        <v>[...]</v>
      </c>
      <c r="B453" s="54" t="s">
        <v>59</v>
      </c>
      <c r="C453" s="889"/>
      <c r="D453" s="888"/>
      <c r="E453" s="886">
        <v>0</v>
      </c>
      <c r="F453" s="889"/>
      <c r="G453" s="888"/>
      <c r="H453" s="886"/>
      <c r="I453" s="889"/>
      <c r="J453" s="888"/>
      <c r="K453" s="886"/>
      <c r="L453" s="889"/>
      <c r="M453" s="888"/>
      <c r="N453" s="886"/>
      <c r="O453" s="889"/>
      <c r="P453" s="888"/>
      <c r="Q453" s="886"/>
      <c r="R453" s="889"/>
      <c r="S453" s="888"/>
      <c r="T453" s="886"/>
      <c r="U453" s="889"/>
      <c r="V453" s="888"/>
      <c r="W453" s="886"/>
      <c r="X453" s="889"/>
      <c r="Y453" s="888"/>
      <c r="Z453" s="886"/>
      <c r="AA453" s="889"/>
      <c r="AB453" s="888"/>
      <c r="AC453" s="886"/>
      <c r="AD453" s="889"/>
      <c r="AE453" s="888"/>
      <c r="AF453" s="886"/>
      <c r="AG453" s="889"/>
      <c r="AH453" s="888"/>
      <c r="AI453" s="886"/>
      <c r="AJ453" s="889"/>
      <c r="AK453" s="888"/>
      <c r="AL453" s="886"/>
      <c r="AM453" s="889"/>
      <c r="AN453" s="888"/>
      <c r="AO453" s="886"/>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f t="shared" si="7"/>
        <v>0</v>
      </c>
      <c r="B454" s="54"/>
      <c r="C454" s="889"/>
      <c r="D454" s="888"/>
      <c r="E454" s="886"/>
      <c r="F454" s="889"/>
      <c r="G454" s="888"/>
      <c r="H454" s="886"/>
      <c r="I454" s="889"/>
      <c r="J454" s="888"/>
      <c r="K454" s="886"/>
      <c r="L454" s="889"/>
      <c r="M454" s="888"/>
      <c r="N454" s="886"/>
      <c r="O454" s="889"/>
      <c r="P454" s="888"/>
      <c r="Q454" s="886"/>
      <c r="R454" s="889"/>
      <c r="S454" s="888"/>
      <c r="T454" s="886"/>
      <c r="U454" s="889"/>
      <c r="V454" s="888"/>
      <c r="W454" s="886"/>
      <c r="X454" s="889"/>
      <c r="Y454" s="888"/>
      <c r="Z454" s="886"/>
      <c r="AA454" s="889"/>
      <c r="AB454" s="888"/>
      <c r="AC454" s="886"/>
      <c r="AD454" s="889"/>
      <c r="AE454" s="888"/>
      <c r="AF454" s="886"/>
      <c r="AG454" s="889"/>
      <c r="AH454" s="888"/>
      <c r="AI454" s="886"/>
      <c r="AJ454" s="889"/>
      <c r="AK454" s="888"/>
      <c r="AL454" s="886"/>
      <c r="AM454" s="889"/>
      <c r="AN454" s="888"/>
      <c r="AO454" s="886"/>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7"/>
        <v>TOTAL SEMI-FIXES</v>
      </c>
      <c r="B455" s="70" t="s">
        <v>143</v>
      </c>
      <c r="C455" s="893">
        <v>0.21525332553857401</v>
      </c>
      <c r="D455" s="896"/>
      <c r="E455" s="895">
        <v>1556197.4699999986</v>
      </c>
      <c r="F455" s="893"/>
      <c r="G455" s="896"/>
      <c r="H455" s="895">
        <v>119204.4</v>
      </c>
      <c r="I455" s="893"/>
      <c r="J455" s="896"/>
      <c r="K455" s="895">
        <v>118744.499999999</v>
      </c>
      <c r="L455" s="893"/>
      <c r="M455" s="896"/>
      <c r="N455" s="895">
        <v>108519.54</v>
      </c>
      <c r="O455" s="893"/>
      <c r="P455" s="896"/>
      <c r="Q455" s="895">
        <v>128359</v>
      </c>
      <c r="R455" s="893"/>
      <c r="S455" s="896"/>
      <c r="T455" s="895">
        <v>123186.15</v>
      </c>
      <c r="U455" s="893"/>
      <c r="V455" s="896"/>
      <c r="W455" s="895">
        <v>117232.55</v>
      </c>
      <c r="X455" s="893"/>
      <c r="Y455" s="896"/>
      <c r="Z455" s="895">
        <v>124525.41</v>
      </c>
      <c r="AA455" s="893"/>
      <c r="AB455" s="896"/>
      <c r="AC455" s="895">
        <v>137600.93</v>
      </c>
      <c r="AD455" s="893"/>
      <c r="AE455" s="896"/>
      <c r="AF455" s="895">
        <v>127052.56</v>
      </c>
      <c r="AG455" s="893"/>
      <c r="AH455" s="896"/>
      <c r="AI455" s="895">
        <v>147198.31</v>
      </c>
      <c r="AJ455" s="893"/>
      <c r="AK455" s="896"/>
      <c r="AL455" s="895">
        <v>151235.5</v>
      </c>
      <c r="AM455" s="893"/>
      <c r="AN455" s="896"/>
      <c r="AO455" s="895">
        <v>153338.61999999901</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7"/>
        <v>Loyer</v>
      </c>
      <c r="B456" s="54" t="s">
        <v>205</v>
      </c>
      <c r="C456" s="889"/>
      <c r="D456" s="888"/>
      <c r="E456" s="886">
        <v>432000</v>
      </c>
      <c r="F456" s="889"/>
      <c r="G456" s="888"/>
      <c r="H456" s="897">
        <v>36000</v>
      </c>
      <c r="I456" s="889"/>
      <c r="J456" s="888"/>
      <c r="K456" s="897">
        <v>36000</v>
      </c>
      <c r="L456" s="889"/>
      <c r="M456" s="888"/>
      <c r="N456" s="897">
        <v>36000</v>
      </c>
      <c r="O456" s="889"/>
      <c r="P456" s="888"/>
      <c r="Q456" s="897">
        <v>36000</v>
      </c>
      <c r="R456" s="889"/>
      <c r="S456" s="888"/>
      <c r="T456" s="897">
        <v>36000</v>
      </c>
      <c r="U456" s="889"/>
      <c r="V456" s="888"/>
      <c r="W456" s="897">
        <v>36000</v>
      </c>
      <c r="X456" s="889"/>
      <c r="Y456" s="888"/>
      <c r="Z456" s="897">
        <v>36000</v>
      </c>
      <c r="AA456" s="889"/>
      <c r="AB456" s="888"/>
      <c r="AC456" s="897">
        <v>36000</v>
      </c>
      <c r="AD456" s="889"/>
      <c r="AE456" s="888"/>
      <c r="AF456" s="897">
        <v>36000</v>
      </c>
      <c r="AG456" s="889"/>
      <c r="AH456" s="888"/>
      <c r="AI456" s="897">
        <v>36000</v>
      </c>
      <c r="AJ456" s="889"/>
      <c r="AK456" s="888"/>
      <c r="AL456" s="897">
        <v>36000</v>
      </c>
      <c r="AM456" s="889"/>
      <c r="AN456" s="888"/>
      <c r="AO456" s="897">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7"/>
        <v>Taxes foncières</v>
      </c>
      <c r="B457" s="54" t="s">
        <v>206</v>
      </c>
      <c r="C457" s="889"/>
      <c r="D457" s="888"/>
      <c r="E457" s="886">
        <v>62124</v>
      </c>
      <c r="F457" s="889"/>
      <c r="G457" s="888"/>
      <c r="H457" s="897">
        <v>5177</v>
      </c>
      <c r="I457" s="889"/>
      <c r="J457" s="888"/>
      <c r="K457" s="897">
        <v>5177</v>
      </c>
      <c r="L457" s="889"/>
      <c r="M457" s="888"/>
      <c r="N457" s="897">
        <v>5177</v>
      </c>
      <c r="O457" s="889"/>
      <c r="P457" s="888"/>
      <c r="Q457" s="897">
        <v>5177</v>
      </c>
      <c r="R457" s="889"/>
      <c r="S457" s="888"/>
      <c r="T457" s="897">
        <v>5177</v>
      </c>
      <c r="U457" s="889"/>
      <c r="V457" s="888"/>
      <c r="W457" s="897">
        <v>5177</v>
      </c>
      <c r="X457" s="889"/>
      <c r="Y457" s="888"/>
      <c r="Z457" s="897">
        <v>5177</v>
      </c>
      <c r="AA457" s="889"/>
      <c r="AB457" s="888"/>
      <c r="AC457" s="897">
        <v>5177</v>
      </c>
      <c r="AD457" s="889"/>
      <c r="AE457" s="888"/>
      <c r="AF457" s="897">
        <v>5177</v>
      </c>
      <c r="AG457" s="889"/>
      <c r="AH457" s="888"/>
      <c r="AI457" s="897">
        <v>5177</v>
      </c>
      <c r="AJ457" s="889"/>
      <c r="AK457" s="888"/>
      <c r="AL457" s="897">
        <v>5177</v>
      </c>
      <c r="AM457" s="889"/>
      <c r="AN457" s="888"/>
      <c r="AO457" s="897">
        <v>5177</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7"/>
        <v>Taxes d`affaires</v>
      </c>
      <c r="B458" s="55" t="s">
        <v>207</v>
      </c>
      <c r="C458" s="892"/>
      <c r="D458" s="891"/>
      <c r="E458" s="880">
        <v>41937.979999999996</v>
      </c>
      <c r="F458" s="892"/>
      <c r="G458" s="891"/>
      <c r="H458" s="909">
        <v>3445</v>
      </c>
      <c r="I458" s="892"/>
      <c r="J458" s="891"/>
      <c r="K458" s="909">
        <v>3445</v>
      </c>
      <c r="L458" s="892"/>
      <c r="M458" s="891"/>
      <c r="N458" s="909">
        <v>3445</v>
      </c>
      <c r="O458" s="892"/>
      <c r="P458" s="891"/>
      <c r="Q458" s="909">
        <v>3445</v>
      </c>
      <c r="R458" s="892"/>
      <c r="S458" s="891"/>
      <c r="T458" s="909">
        <v>3445</v>
      </c>
      <c r="U458" s="892"/>
      <c r="V458" s="891"/>
      <c r="W458" s="909">
        <v>3761.7</v>
      </c>
      <c r="X458" s="892"/>
      <c r="Y458" s="891"/>
      <c r="Z458" s="909">
        <v>3726.28</v>
      </c>
      <c r="AA458" s="892"/>
      <c r="AB458" s="891"/>
      <c r="AC458" s="909">
        <v>3445</v>
      </c>
      <c r="AD458" s="892"/>
      <c r="AE458" s="891"/>
      <c r="AF458" s="909">
        <v>3445</v>
      </c>
      <c r="AG458" s="892"/>
      <c r="AH458" s="891"/>
      <c r="AI458" s="909">
        <v>3445</v>
      </c>
      <c r="AJ458" s="892"/>
      <c r="AK458" s="891"/>
      <c r="AL458" s="909">
        <v>3445</v>
      </c>
      <c r="AM458" s="892"/>
      <c r="AN458" s="891"/>
      <c r="AO458" s="909">
        <v>3445</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7"/>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7"/>
        <v>Assurances</v>
      </c>
      <c r="B460" s="55" t="s">
        <v>209</v>
      </c>
      <c r="C460" s="892"/>
      <c r="D460" s="891"/>
      <c r="E460" s="880">
        <v>46716.960000000014</v>
      </c>
      <c r="F460" s="892"/>
      <c r="G460" s="891"/>
      <c r="H460" s="909">
        <v>3893.08</v>
      </c>
      <c r="I460" s="892"/>
      <c r="J460" s="891"/>
      <c r="K460" s="909">
        <v>3893.08</v>
      </c>
      <c r="L460" s="892"/>
      <c r="M460" s="891"/>
      <c r="N460" s="909">
        <v>3893.08</v>
      </c>
      <c r="O460" s="892"/>
      <c r="P460" s="891"/>
      <c r="Q460" s="909">
        <v>3893.08</v>
      </c>
      <c r="R460" s="892"/>
      <c r="S460" s="891"/>
      <c r="T460" s="909">
        <v>3893.08</v>
      </c>
      <c r="U460" s="892"/>
      <c r="V460" s="891"/>
      <c r="W460" s="909">
        <v>3893.08</v>
      </c>
      <c r="X460" s="892"/>
      <c r="Y460" s="891"/>
      <c r="Z460" s="909">
        <v>3893.08</v>
      </c>
      <c r="AA460" s="892"/>
      <c r="AB460" s="891"/>
      <c r="AC460" s="909">
        <v>3893.08</v>
      </c>
      <c r="AD460" s="892"/>
      <c r="AE460" s="891"/>
      <c r="AF460" s="909">
        <v>3893.08</v>
      </c>
      <c r="AG460" s="892"/>
      <c r="AH460" s="891"/>
      <c r="AI460" s="909">
        <v>3893.08</v>
      </c>
      <c r="AJ460" s="892"/>
      <c r="AK460" s="891"/>
      <c r="AL460" s="909">
        <v>3893.08</v>
      </c>
      <c r="AM460" s="892"/>
      <c r="AN460" s="891"/>
      <c r="AO460" s="909">
        <v>3893.08</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7"/>
        <v>Chauffage, éclairage</v>
      </c>
      <c r="B461" s="54" t="s">
        <v>210</v>
      </c>
      <c r="C461" s="889"/>
      <c r="D461" s="888"/>
      <c r="E461" s="886">
        <v>48185.749999999978</v>
      </c>
      <c r="F461" s="889"/>
      <c r="G461" s="888"/>
      <c r="H461" s="897">
        <v>3759.83</v>
      </c>
      <c r="I461" s="889"/>
      <c r="J461" s="888"/>
      <c r="K461" s="897">
        <v>3668.39</v>
      </c>
      <c r="L461" s="889"/>
      <c r="M461" s="888"/>
      <c r="N461" s="897">
        <v>5234.0599999999904</v>
      </c>
      <c r="O461" s="889"/>
      <c r="P461" s="888"/>
      <c r="Q461" s="897">
        <v>8641.99</v>
      </c>
      <c r="R461" s="889"/>
      <c r="S461" s="888"/>
      <c r="T461" s="897">
        <v>2432.3200000000002</v>
      </c>
      <c r="U461" s="889"/>
      <c r="V461" s="888"/>
      <c r="W461" s="897">
        <v>767.85</v>
      </c>
      <c r="X461" s="889"/>
      <c r="Y461" s="888"/>
      <c r="Z461" s="897">
        <v>4087.0299999999902</v>
      </c>
      <c r="AA461" s="889"/>
      <c r="AB461" s="888"/>
      <c r="AC461" s="897">
        <v>3536.68</v>
      </c>
      <c r="AD461" s="889"/>
      <c r="AE461" s="888"/>
      <c r="AF461" s="897">
        <v>3249.79</v>
      </c>
      <c r="AG461" s="889"/>
      <c r="AH461" s="888"/>
      <c r="AI461" s="897">
        <v>2723.54</v>
      </c>
      <c r="AJ461" s="889"/>
      <c r="AK461" s="888"/>
      <c r="AL461" s="897">
        <v>4271.4799999999996</v>
      </c>
      <c r="AM461" s="889"/>
      <c r="AN461" s="888"/>
      <c r="AO461" s="897">
        <v>5812.79</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7"/>
        <v>Honoraires</v>
      </c>
      <c r="B462" s="54" t="s">
        <v>211</v>
      </c>
      <c r="C462" s="889"/>
      <c r="D462" s="888"/>
      <c r="E462" s="886">
        <v>83256.219999999914</v>
      </c>
      <c r="F462" s="889"/>
      <c r="G462" s="888"/>
      <c r="H462" s="897">
        <v>6423.3299999999899</v>
      </c>
      <c r="I462" s="889"/>
      <c r="J462" s="888"/>
      <c r="K462" s="897">
        <v>6423.3299999999899</v>
      </c>
      <c r="L462" s="889"/>
      <c r="M462" s="888"/>
      <c r="N462" s="897">
        <v>6423.3299999999899</v>
      </c>
      <c r="O462" s="889"/>
      <c r="P462" s="888"/>
      <c r="Q462" s="897">
        <v>6423.3299999999899</v>
      </c>
      <c r="R462" s="889"/>
      <c r="S462" s="888"/>
      <c r="T462" s="897">
        <v>7623.3299999999899</v>
      </c>
      <c r="U462" s="889"/>
      <c r="V462" s="888"/>
      <c r="W462" s="897">
        <v>7623.3299999999899</v>
      </c>
      <c r="X462" s="889"/>
      <c r="Y462" s="888"/>
      <c r="Z462" s="897">
        <v>7623.3299999999899</v>
      </c>
      <c r="AA462" s="889"/>
      <c r="AB462" s="888"/>
      <c r="AC462" s="897">
        <v>7223.3299999999899</v>
      </c>
      <c r="AD462" s="889"/>
      <c r="AE462" s="888"/>
      <c r="AF462" s="897">
        <v>6866.77</v>
      </c>
      <c r="AG462" s="889"/>
      <c r="AH462" s="888"/>
      <c r="AI462" s="897">
        <v>6837.21</v>
      </c>
      <c r="AJ462" s="889"/>
      <c r="AK462" s="888"/>
      <c r="AL462" s="897">
        <v>7342.27</v>
      </c>
      <c r="AM462" s="889"/>
      <c r="AN462" s="888"/>
      <c r="AO462" s="897">
        <v>6423.3299999999899</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7"/>
        <v>Réparation équipement</v>
      </c>
      <c r="B463" s="55" t="s">
        <v>212</v>
      </c>
      <c r="C463" s="892"/>
      <c r="D463" s="891"/>
      <c r="E463" s="880">
        <v>9055.1299999999992</v>
      </c>
      <c r="F463" s="892"/>
      <c r="G463" s="891"/>
      <c r="H463" s="909">
        <v>1130.2</v>
      </c>
      <c r="I463" s="892"/>
      <c r="J463" s="891"/>
      <c r="K463" s="909">
        <v>287.2</v>
      </c>
      <c r="L463" s="892"/>
      <c r="M463" s="891"/>
      <c r="N463" s="909">
        <v>74.7</v>
      </c>
      <c r="O463" s="892"/>
      <c r="P463" s="891"/>
      <c r="Q463" s="909">
        <v>254.6</v>
      </c>
      <c r="R463" s="892"/>
      <c r="S463" s="891"/>
      <c r="T463" s="909">
        <v>311.39999999999998</v>
      </c>
      <c r="U463" s="892"/>
      <c r="V463" s="891"/>
      <c r="W463" s="909">
        <v>329.85</v>
      </c>
      <c r="X463" s="892"/>
      <c r="Y463" s="891"/>
      <c r="Z463" s="909">
        <v>274.05</v>
      </c>
      <c r="AA463" s="892"/>
      <c r="AB463" s="891"/>
      <c r="AC463" s="909">
        <v>4436.45</v>
      </c>
      <c r="AD463" s="892"/>
      <c r="AE463" s="891"/>
      <c r="AF463" s="909">
        <v>369.7</v>
      </c>
      <c r="AG463" s="892"/>
      <c r="AH463" s="891"/>
      <c r="AI463" s="909">
        <v>282.25</v>
      </c>
      <c r="AJ463" s="892"/>
      <c r="AK463" s="891"/>
      <c r="AL463" s="909">
        <v>1304.73</v>
      </c>
      <c r="AM463" s="892"/>
      <c r="AN463" s="891"/>
      <c r="AO463" s="909">
        <v>0</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7"/>
        <v>Location équipement</v>
      </c>
      <c r="B464" s="54" t="s">
        <v>213</v>
      </c>
      <c r="C464" s="889"/>
      <c r="D464" s="888"/>
      <c r="E464" s="886">
        <v>10467.630000000001</v>
      </c>
      <c r="F464" s="889"/>
      <c r="G464" s="888"/>
      <c r="H464" s="897">
        <v>1775.46</v>
      </c>
      <c r="I464" s="889"/>
      <c r="J464" s="888"/>
      <c r="K464" s="897">
        <v>562.73</v>
      </c>
      <c r="L464" s="889"/>
      <c r="M464" s="888"/>
      <c r="N464" s="897">
        <v>562.74</v>
      </c>
      <c r="O464" s="889"/>
      <c r="P464" s="888"/>
      <c r="Q464" s="897">
        <v>830.07</v>
      </c>
      <c r="R464" s="889"/>
      <c r="S464" s="888"/>
      <c r="T464" s="897">
        <v>614.35</v>
      </c>
      <c r="U464" s="889"/>
      <c r="V464" s="888"/>
      <c r="W464" s="897">
        <v>1067.6300000000001</v>
      </c>
      <c r="X464" s="889"/>
      <c r="Y464" s="888"/>
      <c r="Z464" s="897">
        <v>897.64</v>
      </c>
      <c r="AA464" s="889"/>
      <c r="AB464" s="888"/>
      <c r="AC464" s="897">
        <v>1171.24</v>
      </c>
      <c r="AD464" s="889"/>
      <c r="AE464" s="888"/>
      <c r="AF464" s="897">
        <v>698.08</v>
      </c>
      <c r="AG464" s="889"/>
      <c r="AH464" s="888"/>
      <c r="AI464" s="897">
        <v>1159.0899999999999</v>
      </c>
      <c r="AJ464" s="889"/>
      <c r="AK464" s="888"/>
      <c r="AL464" s="897">
        <v>1128.5999999999999</v>
      </c>
      <c r="AM464" s="889"/>
      <c r="AN464" s="888"/>
      <c r="AO464" s="897">
        <v>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7"/>
        <v>Dons</v>
      </c>
      <c r="B465" s="54" t="s">
        <v>214</v>
      </c>
      <c r="C465" s="889"/>
      <c r="D465" s="888"/>
      <c r="E465" s="886">
        <v>0</v>
      </c>
      <c r="F465" s="889"/>
      <c r="G465" s="888"/>
      <c r="H465" s="897"/>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7"/>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7"/>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7"/>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7"/>
        <v>TOTAL DÉPENSES FIXES</v>
      </c>
      <c r="B469" s="70" t="s">
        <v>215</v>
      </c>
      <c r="C469" s="893">
        <v>0.10149146757087206</v>
      </c>
      <c r="D469" s="896"/>
      <c r="E469" s="895">
        <v>733743.66999999993</v>
      </c>
      <c r="F469" s="893"/>
      <c r="G469" s="896"/>
      <c r="H469" s="895">
        <v>61603.899999999987</v>
      </c>
      <c r="I469" s="893"/>
      <c r="J469" s="896"/>
      <c r="K469" s="895">
        <v>59456.729999999989</v>
      </c>
      <c r="L469" s="893"/>
      <c r="M469" s="896"/>
      <c r="N469" s="895">
        <v>60809.909999999974</v>
      </c>
      <c r="O469" s="893"/>
      <c r="P469" s="896"/>
      <c r="Q469" s="895">
        <v>64665.069999999985</v>
      </c>
      <c r="R469" s="893"/>
      <c r="S469" s="896"/>
      <c r="T469" s="895">
        <v>59496.479999999989</v>
      </c>
      <c r="U469" s="893"/>
      <c r="V469" s="896"/>
      <c r="W469" s="895">
        <v>58620.439999999981</v>
      </c>
      <c r="X469" s="893"/>
      <c r="Y469" s="896"/>
      <c r="Z469" s="895">
        <v>61678.409999999982</v>
      </c>
      <c r="AA469" s="893"/>
      <c r="AB469" s="896"/>
      <c r="AC469" s="895">
        <v>64882.779999999984</v>
      </c>
      <c r="AD469" s="893"/>
      <c r="AE469" s="896"/>
      <c r="AF469" s="895">
        <v>59699.42</v>
      </c>
      <c r="AG469" s="893"/>
      <c r="AH469" s="896"/>
      <c r="AI469" s="895">
        <v>59517.17</v>
      </c>
      <c r="AJ469" s="893"/>
      <c r="AK469" s="896"/>
      <c r="AL469" s="895">
        <v>62562.16</v>
      </c>
      <c r="AM469" s="893"/>
      <c r="AN469" s="896"/>
      <c r="AO469" s="895">
        <v>60751.19999999999</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7"/>
        <v>0</v>
      </c>
      <c r="B470" s="54"/>
      <c r="C470" s="910"/>
      <c r="D470" s="911"/>
      <c r="E470" s="912">
        <v>339740.95999999967</v>
      </c>
      <c r="F470" s="910"/>
      <c r="G470" s="911"/>
      <c r="H470" s="912"/>
      <c r="I470" s="910"/>
      <c r="J470" s="911"/>
      <c r="K470" s="912"/>
      <c r="L470" s="910"/>
      <c r="M470" s="911"/>
      <c r="N470" s="912"/>
      <c r="O470" s="910"/>
      <c r="P470" s="911"/>
      <c r="Q470" s="912"/>
      <c r="R470" s="910"/>
      <c r="S470" s="911"/>
      <c r="T470" s="912"/>
      <c r="U470" s="910"/>
      <c r="V470" s="911"/>
      <c r="W470" s="912"/>
      <c r="X470" s="910"/>
      <c r="Y470" s="911"/>
      <c r="Z470" s="912"/>
      <c r="AA470" s="910"/>
      <c r="AB470" s="911"/>
      <c r="AC470" s="912"/>
      <c r="AD470" s="910"/>
      <c r="AE470" s="911"/>
      <c r="AF470" s="912"/>
      <c r="AG470" s="910"/>
      <c r="AH470" s="911"/>
      <c r="AI470" s="912"/>
      <c r="AJ470" s="910"/>
      <c r="AK470" s="911"/>
      <c r="AL470" s="912"/>
      <c r="AM470" s="910"/>
      <c r="AN470" s="911"/>
      <c r="AO470" s="912"/>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7"/>
        <v>TOTAL DES DÉPENSES</v>
      </c>
      <c r="B471" s="70" t="s">
        <v>144</v>
      </c>
      <c r="C471" s="893">
        <v>1.0608148911590871</v>
      </c>
      <c r="D471" s="896"/>
      <c r="E471" s="895">
        <v>7669277.3299999973</v>
      </c>
      <c r="F471" s="893"/>
      <c r="G471" s="896"/>
      <c r="H471" s="895">
        <v>575639.63</v>
      </c>
      <c r="I471" s="893"/>
      <c r="J471" s="896"/>
      <c r="K471" s="895">
        <v>615291.54</v>
      </c>
      <c r="L471" s="893"/>
      <c r="M471" s="896"/>
      <c r="N471" s="895">
        <v>663334.43999999994</v>
      </c>
      <c r="O471" s="893"/>
      <c r="P471" s="896"/>
      <c r="Q471" s="895">
        <v>677348.62</v>
      </c>
      <c r="R471" s="893"/>
      <c r="S471" s="896"/>
      <c r="T471" s="895">
        <v>721828.38</v>
      </c>
      <c r="U471" s="893"/>
      <c r="V471" s="896"/>
      <c r="W471" s="895">
        <v>594499.6</v>
      </c>
      <c r="X471" s="893"/>
      <c r="Y471" s="896"/>
      <c r="Z471" s="895">
        <v>646102.14</v>
      </c>
      <c r="AA471" s="893"/>
      <c r="AB471" s="896"/>
      <c r="AC471" s="895">
        <v>686853.05</v>
      </c>
      <c r="AD471" s="893"/>
      <c r="AE471" s="896"/>
      <c r="AF471" s="895">
        <v>625275.68000000005</v>
      </c>
      <c r="AG471" s="893"/>
      <c r="AH471" s="896"/>
      <c r="AI471" s="895">
        <v>657650.66</v>
      </c>
      <c r="AJ471" s="893"/>
      <c r="AK471" s="896"/>
      <c r="AL471" s="895">
        <v>640093.78</v>
      </c>
      <c r="AM471" s="893"/>
      <c r="AN471" s="896"/>
      <c r="AO471" s="895">
        <v>565359.80999999901</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7"/>
        <v>Revenus autres</v>
      </c>
      <c r="B472" s="54" t="s">
        <v>216</v>
      </c>
      <c r="C472" s="913"/>
      <c r="D472" s="914"/>
      <c r="E472" s="915">
        <v>183398.22</v>
      </c>
      <c r="F472" s="913"/>
      <c r="G472" s="914"/>
      <c r="H472" s="915">
        <v>7.62</v>
      </c>
      <c r="I472" s="913"/>
      <c r="J472" s="914"/>
      <c r="K472" s="915">
        <v>1162.58</v>
      </c>
      <c r="L472" s="913"/>
      <c r="M472" s="914"/>
      <c r="N472" s="915">
        <v>31389.32</v>
      </c>
      <c r="O472" s="913"/>
      <c r="P472" s="914"/>
      <c r="Q472" s="915">
        <v>39288.01</v>
      </c>
      <c r="R472" s="913"/>
      <c r="S472" s="914"/>
      <c r="T472" s="915">
        <v>125.88</v>
      </c>
      <c r="U472" s="913"/>
      <c r="V472" s="914"/>
      <c r="W472" s="915">
        <v>22818.3</v>
      </c>
      <c r="X472" s="913"/>
      <c r="Y472" s="914"/>
      <c r="Z472" s="915">
        <v>7191.32</v>
      </c>
      <c r="AA472" s="913"/>
      <c r="AB472" s="914"/>
      <c r="AC472" s="915">
        <v>19034.12</v>
      </c>
      <c r="AD472" s="913"/>
      <c r="AE472" s="914"/>
      <c r="AF472" s="915">
        <v>15409.31</v>
      </c>
      <c r="AG472" s="913"/>
      <c r="AH472" s="914"/>
      <c r="AI472" s="915">
        <v>32956.15</v>
      </c>
      <c r="AJ472" s="913"/>
      <c r="AK472" s="914"/>
      <c r="AL472" s="915">
        <v>52.79</v>
      </c>
      <c r="AM472" s="913"/>
      <c r="AN472" s="914"/>
      <c r="AO472" s="915">
        <v>13962.82</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7"/>
        <v>Holdbacks</v>
      </c>
      <c r="B473" s="54" t="s">
        <v>148</v>
      </c>
      <c r="C473" s="916"/>
      <c r="D473" s="917"/>
      <c r="E473" s="886">
        <v>953913.25</v>
      </c>
      <c r="F473" s="916"/>
      <c r="G473" s="917"/>
      <c r="H473" s="886">
        <v>51590</v>
      </c>
      <c r="I473" s="916"/>
      <c r="J473" s="917"/>
      <c r="K473" s="886">
        <v>91804.85</v>
      </c>
      <c r="L473" s="916"/>
      <c r="M473" s="917"/>
      <c r="N473" s="886">
        <v>83565</v>
      </c>
      <c r="O473" s="916"/>
      <c r="P473" s="917"/>
      <c r="Q473" s="886">
        <v>106078.85</v>
      </c>
      <c r="R473" s="916"/>
      <c r="S473" s="917"/>
      <c r="T473" s="886">
        <v>99044.7</v>
      </c>
      <c r="U473" s="916"/>
      <c r="V473" s="917"/>
      <c r="W473" s="886">
        <v>55522</v>
      </c>
      <c r="X473" s="916"/>
      <c r="Y473" s="917"/>
      <c r="Z473" s="886">
        <v>127510</v>
      </c>
      <c r="AA473" s="916"/>
      <c r="AB473" s="917"/>
      <c r="AC473" s="886">
        <v>110039</v>
      </c>
      <c r="AD473" s="916"/>
      <c r="AE473" s="917"/>
      <c r="AF473" s="886">
        <v>52835</v>
      </c>
      <c r="AG473" s="916"/>
      <c r="AH473" s="917"/>
      <c r="AI473" s="886">
        <v>66750.850000000006</v>
      </c>
      <c r="AJ473" s="916"/>
      <c r="AK473" s="917"/>
      <c r="AL473" s="886">
        <v>55120</v>
      </c>
      <c r="AM473" s="916"/>
      <c r="AN473" s="917"/>
      <c r="AO473" s="886">
        <v>54053</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7"/>
        <v>Programme neuf 1</v>
      </c>
      <c r="B474" s="54" t="s">
        <v>145</v>
      </c>
      <c r="C474" s="916"/>
      <c r="D474" s="917"/>
      <c r="E474" s="886">
        <v>87295</v>
      </c>
      <c r="F474" s="916"/>
      <c r="G474" s="917"/>
      <c r="H474" s="886">
        <v>0</v>
      </c>
      <c r="I474" s="916"/>
      <c r="J474" s="917"/>
      <c r="K474" s="886">
        <v>0</v>
      </c>
      <c r="L474" s="916"/>
      <c r="M474" s="917"/>
      <c r="N474" s="886">
        <v>0</v>
      </c>
      <c r="O474" s="916"/>
      <c r="P474" s="917"/>
      <c r="Q474" s="886">
        <v>695</v>
      </c>
      <c r="R474" s="916"/>
      <c r="S474" s="917"/>
      <c r="T474" s="886">
        <v>0</v>
      </c>
      <c r="U474" s="916"/>
      <c r="V474" s="917"/>
      <c r="W474" s="886">
        <v>20000</v>
      </c>
      <c r="X474" s="916"/>
      <c r="Y474" s="917"/>
      <c r="Z474" s="886">
        <v>18100</v>
      </c>
      <c r="AA474" s="916"/>
      <c r="AB474" s="917"/>
      <c r="AC474" s="886">
        <v>0</v>
      </c>
      <c r="AD474" s="916"/>
      <c r="AE474" s="917"/>
      <c r="AF474" s="886">
        <v>16000</v>
      </c>
      <c r="AG474" s="916"/>
      <c r="AH474" s="917"/>
      <c r="AI474" s="886">
        <v>0</v>
      </c>
      <c r="AJ474" s="916"/>
      <c r="AK474" s="917"/>
      <c r="AL474" s="886">
        <v>12500</v>
      </c>
      <c r="AM474" s="916"/>
      <c r="AN474" s="917"/>
      <c r="AO474" s="886">
        <v>20000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7"/>
        <v>Programme neuf 2</v>
      </c>
      <c r="B475" s="54" t="s">
        <v>146</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7"/>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7"/>
        <v>Programme used 1</v>
      </c>
      <c r="B477" s="54" t="s">
        <v>158</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7"/>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7"/>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7"/>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7"/>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7"/>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7"/>
        <v>Frais administration</v>
      </c>
      <c r="B483" s="55" t="s">
        <v>149</v>
      </c>
      <c r="C483" s="918"/>
      <c r="D483" s="917"/>
      <c r="E483" s="886">
        <v>459937.5</v>
      </c>
      <c r="F483" s="918"/>
      <c r="G483" s="917"/>
      <c r="H483" s="886">
        <v>28662</v>
      </c>
      <c r="I483" s="918"/>
      <c r="J483" s="917"/>
      <c r="K483" s="886">
        <v>38314</v>
      </c>
      <c r="L483" s="918"/>
      <c r="M483" s="917"/>
      <c r="N483" s="886">
        <v>40545</v>
      </c>
      <c r="O483" s="918"/>
      <c r="P483" s="917"/>
      <c r="Q483" s="886">
        <v>42466</v>
      </c>
      <c r="R483" s="918"/>
      <c r="S483" s="917"/>
      <c r="T483" s="886">
        <v>43463</v>
      </c>
      <c r="U483" s="918"/>
      <c r="V483" s="917"/>
      <c r="W483" s="886">
        <v>32999.5</v>
      </c>
      <c r="X483" s="918"/>
      <c r="Y483" s="917"/>
      <c r="Z483" s="886">
        <v>48184</v>
      </c>
      <c r="AA483" s="918"/>
      <c r="AB483" s="917"/>
      <c r="AC483" s="886">
        <v>50928</v>
      </c>
      <c r="AD483" s="918"/>
      <c r="AE483" s="917"/>
      <c r="AF483" s="886">
        <v>32595</v>
      </c>
      <c r="AG483" s="918"/>
      <c r="AH483" s="917"/>
      <c r="AI483" s="886">
        <v>44706</v>
      </c>
      <c r="AJ483" s="918"/>
      <c r="AK483" s="917"/>
      <c r="AL483" s="886">
        <v>31851</v>
      </c>
      <c r="AM483" s="918"/>
      <c r="AN483" s="917"/>
      <c r="AO483" s="886">
        <v>25224</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7"/>
        <v>TOTAL AUTRES REVENUS</v>
      </c>
      <c r="B484" s="70" t="s">
        <v>217</v>
      </c>
      <c r="C484" s="893">
        <v>0.23300622096400925</v>
      </c>
      <c r="D484" s="919"/>
      <c r="E484" s="895">
        <v>1684543.97</v>
      </c>
      <c r="F484" s="893"/>
      <c r="G484" s="919"/>
      <c r="H484" s="895">
        <v>80259.62</v>
      </c>
      <c r="I484" s="893"/>
      <c r="J484" s="919"/>
      <c r="K484" s="895">
        <v>131281.43</v>
      </c>
      <c r="L484" s="893"/>
      <c r="M484" s="919"/>
      <c r="N484" s="895">
        <v>155499.32</v>
      </c>
      <c r="O484" s="893"/>
      <c r="P484" s="919"/>
      <c r="Q484" s="895">
        <v>188527.86000000002</v>
      </c>
      <c r="R484" s="893"/>
      <c r="S484" s="919"/>
      <c r="T484" s="895">
        <v>142633.58000000002</v>
      </c>
      <c r="U484" s="893"/>
      <c r="V484" s="919"/>
      <c r="W484" s="895">
        <v>131339.79999999999</v>
      </c>
      <c r="X484" s="893"/>
      <c r="Y484" s="919"/>
      <c r="Z484" s="895">
        <v>200985.32</v>
      </c>
      <c r="AA484" s="893"/>
      <c r="AB484" s="919"/>
      <c r="AC484" s="895">
        <v>180001.12</v>
      </c>
      <c r="AD484" s="893"/>
      <c r="AE484" s="919"/>
      <c r="AF484" s="895">
        <v>116839.31</v>
      </c>
      <c r="AG484" s="893"/>
      <c r="AH484" s="919"/>
      <c r="AI484" s="895">
        <v>144413</v>
      </c>
      <c r="AJ484" s="893"/>
      <c r="AK484" s="919"/>
      <c r="AL484" s="895">
        <v>99523.790000000008</v>
      </c>
      <c r="AM484" s="893"/>
      <c r="AN484" s="919"/>
      <c r="AO484" s="895">
        <v>113239.82</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thickBot="1">
      <c r="A485" s="39">
        <f t="shared" si="7"/>
        <v>0</v>
      </c>
      <c r="B485" s="71"/>
      <c r="C485" s="920"/>
      <c r="D485" s="921"/>
      <c r="E485" s="922">
        <v>218487.45</v>
      </c>
      <c r="F485" s="920"/>
      <c r="G485" s="921"/>
      <c r="H485" s="922"/>
      <c r="I485" s="920"/>
      <c r="J485" s="921"/>
      <c r="K485" s="922"/>
      <c r="L485" s="920"/>
      <c r="M485" s="921"/>
      <c r="N485" s="922"/>
      <c r="O485" s="920"/>
      <c r="P485" s="921"/>
      <c r="Q485" s="922"/>
      <c r="R485" s="920"/>
      <c r="S485" s="921"/>
      <c r="T485" s="922"/>
      <c r="U485" s="920"/>
      <c r="V485" s="921"/>
      <c r="W485" s="922"/>
      <c r="X485" s="920"/>
      <c r="Y485" s="921"/>
      <c r="Z485" s="922"/>
      <c r="AA485" s="920"/>
      <c r="AB485" s="921"/>
      <c r="AC485" s="922"/>
      <c r="AD485" s="920"/>
      <c r="AE485" s="921"/>
      <c r="AF485" s="922"/>
      <c r="AG485" s="920"/>
      <c r="AH485" s="921"/>
      <c r="AI485" s="922"/>
      <c r="AJ485" s="920"/>
      <c r="AK485" s="921"/>
      <c r="AL485" s="922"/>
      <c r="AM485" s="920"/>
      <c r="AN485" s="921"/>
      <c r="AO485" s="922"/>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Top="1" thickBot="1">
      <c r="A486" s="39" t="str">
        <f t="shared" si="7"/>
        <v>BAIIA OPÉRATIONNEL</v>
      </c>
      <c r="B486" s="72" t="s">
        <v>218</v>
      </c>
      <c r="C486" s="923" t="s">
        <v>219</v>
      </c>
      <c r="D486" s="924">
        <v>1.9836588235025501E-2</v>
      </c>
      <c r="E486" s="925">
        <v>1244876.0599999905</v>
      </c>
      <c r="F486" s="926" t="s">
        <v>219</v>
      </c>
      <c r="G486" s="927">
        <v>-1.3254848656229098E-2</v>
      </c>
      <c r="H486" s="928">
        <v>-55934.650000000547</v>
      </c>
      <c r="I486" s="926" t="s">
        <v>219</v>
      </c>
      <c r="J486" s="927">
        <v>4.2351526568043833E-3</v>
      </c>
      <c r="K486" s="928">
        <v>24856.299999999523</v>
      </c>
      <c r="L486" s="926" t="s">
        <v>219</v>
      </c>
      <c r="M486" s="927">
        <v>2.129914855042446E-2</v>
      </c>
      <c r="N486" s="928">
        <v>130608.00999999879</v>
      </c>
      <c r="O486" s="926" t="s">
        <v>219</v>
      </c>
      <c r="P486" s="927">
        <v>4.0254102204976987E-2</v>
      </c>
      <c r="Q486" s="928">
        <v>237063.83999999918</v>
      </c>
      <c r="R486" s="926" t="s">
        <v>219</v>
      </c>
      <c r="S486" s="927">
        <v>1.7295577549075389E-2</v>
      </c>
      <c r="T486" s="928">
        <v>113032.21999999956</v>
      </c>
      <c r="U486" s="926" t="s">
        <v>219</v>
      </c>
      <c r="V486" s="927">
        <v>3.9738762376396019E-3</v>
      </c>
      <c r="W486" s="928">
        <v>15909.619999999413</v>
      </c>
      <c r="X486" s="926" t="s">
        <v>219</v>
      </c>
      <c r="Y486" s="927">
        <v>3.3343654457104334E-2</v>
      </c>
      <c r="Z486" s="928">
        <v>221800.53999999847</v>
      </c>
      <c r="AA486" s="926" t="s">
        <v>219</v>
      </c>
      <c r="AB486" s="927">
        <v>2.0696549772625986E-2</v>
      </c>
      <c r="AC486" s="928">
        <v>133813.7399999979</v>
      </c>
      <c r="AD486" s="926" t="s">
        <v>219</v>
      </c>
      <c r="AE486" s="927">
        <v>1.4817575906547737E-2</v>
      </c>
      <c r="AF486" s="928">
        <v>64103.409999999742</v>
      </c>
      <c r="AG486" s="926" t="s">
        <v>219</v>
      </c>
      <c r="AH486" s="927">
        <v>3.1502316578024353E-2</v>
      </c>
      <c r="AI486" s="928">
        <v>149849.96999999892</v>
      </c>
      <c r="AJ486" s="926" t="s">
        <v>219</v>
      </c>
      <c r="AK486" s="927">
        <v>4.8425867697527533E-2</v>
      </c>
      <c r="AL486" s="928">
        <v>204268.02999999849</v>
      </c>
      <c r="AM486" s="926" t="s">
        <v>219</v>
      </c>
      <c r="AN486" s="927">
        <v>1.4923439593736596E-3</v>
      </c>
      <c r="AO486" s="928">
        <v>5505.0300000007264</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thickTop="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3935</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Bot="1">
      <c r="A491" s="39"/>
      <c r="B491" s="61" t="s">
        <v>3915</v>
      </c>
      <c r="C491" s="757" t="s">
        <v>219</v>
      </c>
      <c r="D491" s="757">
        <v>2.5670199638354759E-2</v>
      </c>
      <c r="E491" s="929">
        <v>1610973.4499999904</v>
      </c>
      <c r="F491" s="757" t="s">
        <v>219</v>
      </c>
      <c r="G491" s="757">
        <v>-6.3843722245081535E-3</v>
      </c>
      <c r="H491" s="929">
        <v>-26941.660000000546</v>
      </c>
      <c r="I491" s="757" t="s">
        <v>219</v>
      </c>
      <c r="J491" s="757">
        <v>1.0851883723276558E-2</v>
      </c>
      <c r="K491" s="929">
        <v>63690.189999999522</v>
      </c>
      <c r="L491" s="757" t="s">
        <v>219</v>
      </c>
      <c r="M491" s="757">
        <v>2.8335862694004184E-2</v>
      </c>
      <c r="N491" s="929">
        <v>173757.67999999877</v>
      </c>
      <c r="O491" s="757" t="s">
        <v>219</v>
      </c>
      <c r="P491" s="757">
        <v>4.7619244024278397E-2</v>
      </c>
      <c r="Q491" s="929">
        <v>280438.5199999992</v>
      </c>
      <c r="R491" s="757" t="s">
        <v>219</v>
      </c>
      <c r="S491" s="757">
        <v>2.5227307058875523E-2</v>
      </c>
      <c r="T491" s="929">
        <v>164868.64999999956</v>
      </c>
      <c r="U491" s="757" t="s">
        <v>219</v>
      </c>
      <c r="V491" s="757">
        <v>1.5766299683543903E-2</v>
      </c>
      <c r="W491" s="929">
        <v>63121.199999999415</v>
      </c>
      <c r="X491" s="757" t="s">
        <v>219</v>
      </c>
      <c r="Y491" s="757">
        <v>4.0714688795478175E-2</v>
      </c>
      <c r="Z491" s="929">
        <v>270832.33999999845</v>
      </c>
      <c r="AA491" s="757" t="s">
        <v>219</v>
      </c>
      <c r="AB491" s="757">
        <v>2.6381512384250259E-2</v>
      </c>
      <c r="AC491" s="929">
        <v>170569.91999999789</v>
      </c>
      <c r="AD491" s="757" t="s">
        <v>219</v>
      </c>
      <c r="AE491" s="757">
        <v>2.247566151345802E-2</v>
      </c>
      <c r="AF491" s="929">
        <v>97233.619999999733</v>
      </c>
      <c r="AG491" s="757" t="s">
        <v>219</v>
      </c>
      <c r="AH491" s="757">
        <v>3.7753430669183033E-2</v>
      </c>
      <c r="AI491" s="929">
        <v>179585.21999999892</v>
      </c>
      <c r="AJ491" s="757" t="s">
        <v>219</v>
      </c>
      <c r="AK491" s="757">
        <v>4.0166104011308164E-2</v>
      </c>
      <c r="AL491" s="929">
        <v>169427.02999999849</v>
      </c>
      <c r="AM491" s="757" t="s">
        <v>219</v>
      </c>
      <c r="AN491" s="757">
        <v>1.190274043226017E-3</v>
      </c>
      <c r="AO491" s="929">
        <v>4390.7400000007256</v>
      </c>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thickTop="1">
      <c r="A492" s="39"/>
      <c r="B492" s="73" t="s">
        <v>218</v>
      </c>
      <c r="C492" s="930" t="s">
        <v>219</v>
      </c>
      <c r="D492" s="931">
        <v>1.9836588235025501E-2</v>
      </c>
      <c r="E492" s="932">
        <v>1244876.0599999905</v>
      </c>
      <c r="F492" s="933" t="s">
        <v>219</v>
      </c>
      <c r="G492" s="931">
        <v>-1.3254848656229098E-2</v>
      </c>
      <c r="H492" s="934">
        <v>-55934.650000000547</v>
      </c>
      <c r="I492" s="933" t="s">
        <v>219</v>
      </c>
      <c r="J492" s="931">
        <v>4.2351526568043833E-3</v>
      </c>
      <c r="K492" s="934">
        <v>24856.299999999523</v>
      </c>
      <c r="L492" s="933" t="s">
        <v>219</v>
      </c>
      <c r="M492" s="931">
        <v>2.129914855042446E-2</v>
      </c>
      <c r="N492" s="934">
        <v>130608.00999999879</v>
      </c>
      <c r="O492" s="933" t="s">
        <v>219</v>
      </c>
      <c r="P492" s="931">
        <v>4.0254102204976987E-2</v>
      </c>
      <c r="Q492" s="934">
        <v>237063.83999999918</v>
      </c>
      <c r="R492" s="933" t="s">
        <v>219</v>
      </c>
      <c r="S492" s="931">
        <v>1.7295577549075389E-2</v>
      </c>
      <c r="T492" s="934">
        <v>113032.21999999956</v>
      </c>
      <c r="U492" s="933" t="s">
        <v>219</v>
      </c>
      <c r="V492" s="931">
        <v>3.9738762376396019E-3</v>
      </c>
      <c r="W492" s="934">
        <v>15909.619999999413</v>
      </c>
      <c r="X492" s="933" t="s">
        <v>219</v>
      </c>
      <c r="Y492" s="931">
        <v>3.3343654457104334E-2</v>
      </c>
      <c r="Z492" s="934">
        <v>221800.53999999847</v>
      </c>
      <c r="AA492" s="933" t="s">
        <v>219</v>
      </c>
      <c r="AB492" s="931">
        <v>2.0696549772625986E-2</v>
      </c>
      <c r="AC492" s="934">
        <v>133813.7399999979</v>
      </c>
      <c r="AD492" s="933" t="s">
        <v>219</v>
      </c>
      <c r="AE492" s="931">
        <v>1.4817575906547737E-2</v>
      </c>
      <c r="AF492" s="934">
        <v>64103.409999999742</v>
      </c>
      <c r="AG492" s="933" t="s">
        <v>219</v>
      </c>
      <c r="AH492" s="931">
        <v>3.1502316578024353E-2</v>
      </c>
      <c r="AI492" s="934">
        <v>149849.96999999892</v>
      </c>
      <c r="AJ492" s="933" t="s">
        <v>219</v>
      </c>
      <c r="AK492" s="931">
        <v>4.8425867697527533E-2</v>
      </c>
      <c r="AL492" s="934">
        <v>204268.02999999849</v>
      </c>
      <c r="AM492" s="933" t="s">
        <v>219</v>
      </c>
      <c r="AN492" s="931">
        <v>1.4923439593736596E-3</v>
      </c>
      <c r="AO492" s="934">
        <v>5505.0300000007264</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8">B494</f>
        <v>Amortissement</v>
      </c>
      <c r="B494" s="75" t="s">
        <v>221</v>
      </c>
      <c r="C494" s="885"/>
      <c r="D494" s="888"/>
      <c r="E494" s="938">
        <v>256355.76</v>
      </c>
      <c r="F494" s="889"/>
      <c r="G494" s="888"/>
      <c r="H494" s="897">
        <v>6315</v>
      </c>
      <c r="I494" s="889"/>
      <c r="J494" s="888"/>
      <c r="K494" s="897">
        <v>6315</v>
      </c>
      <c r="L494" s="889"/>
      <c r="M494" s="888"/>
      <c r="N494" s="897">
        <v>6315</v>
      </c>
      <c r="O494" s="889"/>
      <c r="P494" s="888"/>
      <c r="Q494" s="897">
        <v>6315</v>
      </c>
      <c r="R494" s="889"/>
      <c r="S494" s="888"/>
      <c r="T494" s="897">
        <v>6315</v>
      </c>
      <c r="U494" s="889"/>
      <c r="V494" s="888"/>
      <c r="W494" s="897">
        <v>6315</v>
      </c>
      <c r="X494" s="889"/>
      <c r="Y494" s="888"/>
      <c r="Z494" s="897">
        <v>34648</v>
      </c>
      <c r="AA494" s="889"/>
      <c r="AB494" s="888"/>
      <c r="AC494" s="897">
        <v>34648</v>
      </c>
      <c r="AD494" s="889"/>
      <c r="AE494" s="888"/>
      <c r="AF494" s="897">
        <v>34648</v>
      </c>
      <c r="AG494" s="889"/>
      <c r="AH494" s="888"/>
      <c r="AI494" s="897">
        <v>34648</v>
      </c>
      <c r="AJ494" s="889"/>
      <c r="AK494" s="888"/>
      <c r="AL494" s="897">
        <v>34648</v>
      </c>
      <c r="AM494" s="889"/>
      <c r="AN494" s="888"/>
      <c r="AO494" s="897">
        <v>45225.760000000002</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8"/>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8"/>
        <v>Intérêts sur prêt</v>
      </c>
      <c r="B496" s="75" t="s">
        <v>223</v>
      </c>
      <c r="C496" s="757"/>
      <c r="D496" s="757"/>
      <c r="E496" s="938">
        <v>-1916.75</v>
      </c>
      <c r="F496" s="940"/>
      <c r="G496" s="757"/>
      <c r="H496" s="897">
        <v>0</v>
      </c>
      <c r="I496" s="940"/>
      <c r="J496" s="757"/>
      <c r="K496" s="897">
        <v>0</v>
      </c>
      <c r="L496" s="940"/>
      <c r="M496" s="757"/>
      <c r="N496" s="897">
        <v>0</v>
      </c>
      <c r="O496" s="940"/>
      <c r="P496" s="757"/>
      <c r="Q496" s="897">
        <v>-917.02</v>
      </c>
      <c r="R496" s="940"/>
      <c r="S496" s="757"/>
      <c r="T496" s="897">
        <v>0</v>
      </c>
      <c r="U496" s="940"/>
      <c r="V496" s="757"/>
      <c r="W496" s="897">
        <v>0</v>
      </c>
      <c r="X496" s="940"/>
      <c r="Y496" s="757"/>
      <c r="Z496" s="897">
        <v>-666.79</v>
      </c>
      <c r="AA496" s="940"/>
      <c r="AB496" s="757"/>
      <c r="AC496" s="897">
        <v>0</v>
      </c>
      <c r="AD496" s="940"/>
      <c r="AE496" s="757"/>
      <c r="AF496" s="897">
        <v>-332.94</v>
      </c>
      <c r="AG496" s="940"/>
      <c r="AH496" s="757"/>
      <c r="AI496" s="897">
        <v>0</v>
      </c>
      <c r="AJ496" s="940"/>
      <c r="AK496" s="757"/>
      <c r="AL496" s="897">
        <v>0</v>
      </c>
      <c r="AM496" s="940"/>
      <c r="AN496" s="757"/>
      <c r="AO496" s="89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8"/>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8"/>
        <v>Intérêts sur hypothèque</v>
      </c>
      <c r="B498" s="76" t="s">
        <v>3934</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8"/>
        <v>Revenus d'intérêts Floor plan</v>
      </c>
      <c r="B499" s="76" t="s">
        <v>3936</v>
      </c>
      <c r="C499" s="810"/>
      <c r="D499" s="810"/>
      <c r="E499" s="938">
        <v>-39335.24</v>
      </c>
      <c r="F499" s="941"/>
      <c r="G499" s="810"/>
      <c r="H499" s="886">
        <v>-4607.6499999999996</v>
      </c>
      <c r="I499" s="941"/>
      <c r="J499" s="810"/>
      <c r="K499" s="886">
        <v>-6685.45</v>
      </c>
      <c r="L499" s="941"/>
      <c r="M499" s="810"/>
      <c r="N499" s="886">
        <v>-4519.5600000000004</v>
      </c>
      <c r="O499" s="941"/>
      <c r="P499" s="810"/>
      <c r="Q499" s="886">
        <v>-4354.1000000000004</v>
      </c>
      <c r="R499" s="941"/>
      <c r="S499" s="810"/>
      <c r="T499" s="886">
        <v>-4607.6499999999996</v>
      </c>
      <c r="U499" s="941"/>
      <c r="V499" s="810"/>
      <c r="W499" s="886">
        <v>-4255.74</v>
      </c>
      <c r="X499" s="941"/>
      <c r="Y499" s="810"/>
      <c r="Z499" s="886">
        <v>-2872.23</v>
      </c>
      <c r="AA499" s="941"/>
      <c r="AB499" s="810"/>
      <c r="AC499" s="886">
        <v>-1789.84</v>
      </c>
      <c r="AD499" s="941"/>
      <c r="AE499" s="810"/>
      <c r="AF499" s="886">
        <v>-1458.19</v>
      </c>
      <c r="AG499" s="941"/>
      <c r="AH499" s="810"/>
      <c r="AI499" s="886">
        <v>-1488.59</v>
      </c>
      <c r="AJ499" s="941"/>
      <c r="AK499" s="810"/>
      <c r="AL499" s="886">
        <v>-1488.59</v>
      </c>
      <c r="AM499" s="941"/>
      <c r="AN499" s="810"/>
      <c r="AO499" s="886">
        <v>-1207.6500000000001</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thickBot="1">
      <c r="A500" s="39" t="str">
        <f t="shared" si="8"/>
        <v>[...]</v>
      </c>
      <c r="B500" s="77" t="s">
        <v>59</v>
      </c>
      <c r="C500" s="810"/>
      <c r="D500" s="810"/>
      <c r="E500" s="938"/>
      <c r="F500" s="941"/>
      <c r="G500" s="810"/>
      <c r="H500" s="886">
        <v>0</v>
      </c>
      <c r="I500" s="941"/>
      <c r="J500" s="810"/>
      <c r="K500" s="886">
        <v>0</v>
      </c>
      <c r="L500" s="941"/>
      <c r="M500" s="810"/>
      <c r="N500" s="886">
        <v>0</v>
      </c>
      <c r="O500" s="941"/>
      <c r="P500" s="810"/>
      <c r="Q500" s="886">
        <v>0</v>
      </c>
      <c r="R500" s="941"/>
      <c r="S500" s="810"/>
      <c r="T500" s="886">
        <v>0</v>
      </c>
      <c r="U500" s="941"/>
      <c r="V500" s="810"/>
      <c r="W500" s="886">
        <v>0</v>
      </c>
      <c r="X500" s="941"/>
      <c r="Y500" s="810"/>
      <c r="Z500" s="886">
        <v>0</v>
      </c>
      <c r="AA500" s="941"/>
      <c r="AB500" s="810"/>
      <c r="AC500" s="886">
        <v>0</v>
      </c>
      <c r="AD500" s="941"/>
      <c r="AE500" s="810"/>
      <c r="AF500" s="886">
        <v>0</v>
      </c>
      <c r="AG500" s="941"/>
      <c r="AH500" s="810"/>
      <c r="AI500" s="886">
        <v>0</v>
      </c>
      <c r="AJ500" s="941"/>
      <c r="AK500" s="810"/>
      <c r="AL500" s="886">
        <v>0</v>
      </c>
      <c r="AM500" s="941"/>
      <c r="AN500" s="810"/>
      <c r="AO500" s="886">
        <v>0</v>
      </c>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Top="1" thickBot="1">
      <c r="A501" s="33"/>
      <c r="B501" s="78" t="s">
        <v>225</v>
      </c>
      <c r="C501" s="942" t="s">
        <v>219</v>
      </c>
      <c r="D501" s="943">
        <v>1.6408998091399746E-2</v>
      </c>
      <c r="E501" s="944">
        <v>1029772.2899999905</v>
      </c>
      <c r="F501" s="945" t="s">
        <v>219</v>
      </c>
      <c r="G501" s="943">
        <v>9.0147187851284342E-3</v>
      </c>
      <c r="H501" s="946">
        <v>-57642.000000000546</v>
      </c>
      <c r="I501" s="945" t="s">
        <v>219</v>
      </c>
      <c r="J501" s="943">
        <v>1.0090147187851299</v>
      </c>
      <c r="K501" s="946">
        <v>25226.749999999523</v>
      </c>
      <c r="L501" s="945" t="s">
        <v>219</v>
      </c>
      <c r="M501" s="943">
        <v>1.0090147187851299</v>
      </c>
      <c r="N501" s="946">
        <v>128812.56999999878</v>
      </c>
      <c r="O501" s="945" t="s">
        <v>219</v>
      </c>
      <c r="P501" s="943">
        <v>1.0090147187851299</v>
      </c>
      <c r="Q501" s="946">
        <v>236019.95999999918</v>
      </c>
      <c r="R501" s="945" t="s">
        <v>219</v>
      </c>
      <c r="S501" s="943">
        <v>2.0090147187851302</v>
      </c>
      <c r="T501" s="946">
        <v>111324.86999999956</v>
      </c>
      <c r="U501" s="945" t="s">
        <v>219</v>
      </c>
      <c r="V501" s="943">
        <v>3.0090147187851302</v>
      </c>
      <c r="W501" s="946">
        <v>13850.359999999413</v>
      </c>
      <c r="X501" s="945" t="s">
        <v>219</v>
      </c>
      <c r="Y501" s="943">
        <v>3.0090147187851302</v>
      </c>
      <c r="Z501" s="946">
        <v>190691.55999999848</v>
      </c>
      <c r="AA501" s="945" t="s">
        <v>219</v>
      </c>
      <c r="AB501" s="943">
        <v>3.0090147187851302</v>
      </c>
      <c r="AC501" s="946">
        <v>100955.57999999789</v>
      </c>
      <c r="AD501" s="945" t="s">
        <v>219</v>
      </c>
      <c r="AE501" s="943">
        <v>3.0090147187851302</v>
      </c>
      <c r="AF501" s="946">
        <v>31246.539999999739</v>
      </c>
      <c r="AG501" s="945" t="s">
        <v>219</v>
      </c>
      <c r="AH501" s="943">
        <v>3.0090147187851302</v>
      </c>
      <c r="AI501" s="946">
        <v>116690.55999999892</v>
      </c>
      <c r="AJ501" s="945" t="s">
        <v>219</v>
      </c>
      <c r="AK501" s="943">
        <v>3.0090147187851302</v>
      </c>
      <c r="AL501" s="946">
        <v>171108.61999999848</v>
      </c>
      <c r="AM501" s="945" t="s">
        <v>219</v>
      </c>
      <c r="AN501" s="943">
        <v>3.0090147187851302</v>
      </c>
      <c r="AO501" s="946">
        <v>-38513.079999999274</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thickTop="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autoFilter ref="B1:B701" xr:uid="{A58933B5-D005-40E5-92F8-0EE03050FDEC}"/>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34" stopIfTrue="1">
      <formula>"esterreur(reference)"</formula>
    </cfRule>
  </conditionalFormatting>
  <conditionalFormatting sqref="C94">
    <cfRule type="expression" priority="12" stopIfTrue="1">
      <formula>"esterreur(reference)"</formula>
    </cfRule>
  </conditionalFormatting>
  <conditionalFormatting sqref="C173">
    <cfRule type="expression" priority="10" stopIfTrue="1">
      <formula>"esterreur(reference)"</formula>
    </cfRule>
  </conditionalFormatting>
  <conditionalFormatting sqref="C241">
    <cfRule type="expression" priority="8" stopIfTrue="1">
      <formula>"esterreur(reference)"</formula>
    </cfRule>
  </conditionalFormatting>
  <conditionalFormatting sqref="C296">
    <cfRule type="expression" priority="6" stopIfTrue="1">
      <formula>"esterreur(reference)"</formula>
    </cfRule>
  </conditionalFormatting>
  <conditionalFormatting sqref="C361">
    <cfRule type="expression" priority="4" stopIfTrue="1">
      <formula>"esterreur(reference)"</formula>
    </cfRule>
  </conditionalFormatting>
  <conditionalFormatting sqref="C407">
    <cfRule type="expression" priority="2" stopIfTrue="1">
      <formula>"esterreur(reference)"</formula>
    </cfRule>
  </conditionalFormatting>
  <conditionalFormatting sqref="C253:D257 F253:G257 I253:J257 L253:M257 O253:P257 R253:S257 U253:V257 X253:Y257 AA253:AB257 AD253:AE257 AG253:AH257 AJ253:AK257 AM253:AN257">
    <cfRule type="expression" priority="29" stopIfTrue="1">
      <formula>"esterreur(reference)"</formula>
    </cfRule>
  </conditionalFormatting>
  <conditionalFormatting sqref="C28:AO75">
    <cfRule type="expression" priority="27" stopIfTrue="1">
      <formula>"esterreur(reference)"</formula>
    </cfRule>
  </conditionalFormatting>
  <conditionalFormatting sqref="C86:AO91 C93:AO93 H169:AO170 C172:AO172 H237:AO238 C240:AO240 H293:AO293 C295:AO295 AM356:AN358 C362:AO397 AM403:AN403">
    <cfRule type="expression" priority="16"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14" stopIfTrue="1">
      <formula>"esterreur(reference)"</formula>
    </cfRule>
  </conditionalFormatting>
  <conditionalFormatting sqref="C174:AO212 E256">
    <cfRule type="expression" priority="28" stopIfTrue="1">
      <formula>"esterreur(reference)"</formula>
    </cfRule>
  </conditionalFormatting>
  <conditionalFormatting sqref="C270:AO288">
    <cfRule type="expression" priority="33" stopIfTrue="1">
      <formula>"esterreur(reference)"</formula>
    </cfRule>
  </conditionalFormatting>
  <conditionalFormatting sqref="C334:AO352">
    <cfRule type="expression" priority="32" stopIfTrue="1">
      <formula>"esterreur(reference)"</formula>
    </cfRule>
  </conditionalFormatting>
  <conditionalFormatting sqref="C360:AO360">
    <cfRule type="expression" priority="15" stopIfTrue="1">
      <formula>"esterreur(reference)"</formula>
    </cfRule>
  </conditionalFormatting>
  <conditionalFormatting sqref="D398">
    <cfRule type="expression" priority="31" stopIfTrue="1">
      <formula>"esterreur(reference)"</formula>
    </cfRule>
  </conditionalFormatting>
  <conditionalFormatting sqref="E253:E254">
    <cfRule type="expression" priority="30"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36" stopIfTrue="1">
      <formula>"esterreur(reference)"</formula>
    </cfRule>
  </conditionalFormatting>
  <conditionalFormatting sqref="F94 I94 L94 O94 R94 U94 X94 AA94 AD94 AG94 AJ94 AM94">
    <cfRule type="expression" priority="13" stopIfTrue="1">
      <formula>"esterreur(reference)"</formula>
    </cfRule>
  </conditionalFormatting>
  <conditionalFormatting sqref="F173 I173 L173 O173 R173 U173 X173 AA173 AD173 AG173 AJ173 AM173">
    <cfRule type="expression" priority="11" stopIfTrue="1">
      <formula>"esterreur(reference)"</formula>
    </cfRule>
  </conditionalFormatting>
  <conditionalFormatting sqref="F241 I241 L241 O241 R241 U241 X241 AA241 AD241 AG241 AJ241 AM241">
    <cfRule type="expression" priority="9" stopIfTrue="1">
      <formula>"esterreur(reference)"</formula>
    </cfRule>
  </conditionalFormatting>
  <conditionalFormatting sqref="F296 I296 L296 O296 R296 U296 X296 AA296 AD296 AG296 AJ296 AM296">
    <cfRule type="expression" priority="7" stopIfTrue="1">
      <formula>"esterreur(reference)"</formula>
    </cfRule>
  </conditionalFormatting>
  <conditionalFormatting sqref="F361 I361 L361 O361 R361 U361 X361 AA361 AD361 AG361 AJ361 AM361">
    <cfRule type="expression" priority="5" stopIfTrue="1">
      <formula>"esterreur(reference)"</formula>
    </cfRule>
  </conditionalFormatting>
  <conditionalFormatting sqref="F407 I407 L407 O407 R407 U407 X407 AA407 AD407 AG407 AJ407 AM407">
    <cfRule type="expression" priority="3" stopIfTrue="1">
      <formula>"esterreur(reference)"</formula>
    </cfRule>
  </conditionalFormatting>
  <conditionalFormatting sqref="G398 J398 M398 P398 S398 V398 Y398 AB398 AE398 AH398 AK398 AN398">
    <cfRule type="expression" priority="35" stopIfTrue="1">
      <formula>"esterreur(reference)"</formula>
    </cfRule>
  </conditionalFormatting>
  <conditionalFormatting sqref="I356:J358 I403:J403">
    <cfRule type="expression" priority="26" stopIfTrue="1">
      <formula>"esterreur(reference)"</formula>
    </cfRule>
  </conditionalFormatting>
  <conditionalFormatting sqref="L356:M358 L403:M403">
    <cfRule type="expression" priority="25" stopIfTrue="1">
      <formula>"esterreur(reference)"</formula>
    </cfRule>
  </conditionalFormatting>
  <conditionalFormatting sqref="O356:P358 O403:P403">
    <cfRule type="expression" priority="24" stopIfTrue="1">
      <formula>"esterreur(reference)"</formula>
    </cfRule>
  </conditionalFormatting>
  <conditionalFormatting sqref="R356:S358 R403:S403">
    <cfRule type="expression" priority="23" stopIfTrue="1">
      <formula>"esterreur(reference)"</formula>
    </cfRule>
  </conditionalFormatting>
  <conditionalFormatting sqref="U356:V358 U403:V403">
    <cfRule type="expression" priority="22" stopIfTrue="1">
      <formula>"esterreur(reference)"</formula>
    </cfRule>
  </conditionalFormatting>
  <conditionalFormatting sqref="X356:Y358 X403:Y403">
    <cfRule type="expression" priority="21" stopIfTrue="1">
      <formula>"esterreur(reference)"</formula>
    </cfRule>
  </conditionalFormatting>
  <conditionalFormatting sqref="AA356:AB358 AA403:AB403">
    <cfRule type="expression" priority="20" stopIfTrue="1">
      <formula>"esterreur(reference)"</formula>
    </cfRule>
  </conditionalFormatting>
  <conditionalFormatting sqref="AD356:AE358 AD403:AE403">
    <cfRule type="expression" priority="19" stopIfTrue="1">
      <formula>"esterreur(reference)"</formula>
    </cfRule>
  </conditionalFormatting>
  <conditionalFormatting sqref="AG356:AH358 AG403:AH403">
    <cfRule type="expression" priority="18" stopIfTrue="1">
      <formula>"esterreur(reference)"</formula>
    </cfRule>
  </conditionalFormatting>
  <conditionalFormatting sqref="AJ356:AK358 AJ403:AK403">
    <cfRule type="expression" priority="17"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topLeftCell="B1" workbookViewId="0">
      <selection activeCell="I7" sqref="I7"/>
    </sheetView>
  </sheetViews>
  <sheetFormatPr baseColWidth="10" defaultColWidth="12.625" defaultRowHeight="15" customHeight="1"/>
  <cols>
    <col min="1" max="1" width="11.625" hidden="1" customWidth="1"/>
    <col min="2" max="2" width="12.125" customWidth="1"/>
    <col min="3" max="3" width="27" customWidth="1"/>
    <col min="4" max="4" width="22.75" customWidth="1"/>
    <col min="5" max="7" width="13.625" customWidth="1"/>
    <col min="8" max="19" width="10.5" customWidth="1"/>
    <col min="20" max="20" width="37.875" customWidth="1"/>
    <col min="21" max="26" width="11" customWidth="1"/>
  </cols>
  <sheetData>
    <row r="1" spans="1:26" ht="31.5">
      <c r="A1" s="95" t="s">
        <v>226</v>
      </c>
      <c r="B1" s="95" t="s">
        <v>226</v>
      </c>
      <c r="C1" s="3"/>
      <c r="D1" s="95"/>
      <c r="E1" s="95"/>
      <c r="F1" s="95"/>
      <c r="G1" s="95"/>
      <c r="H1" s="95"/>
      <c r="I1" s="95"/>
      <c r="J1" s="95"/>
      <c r="K1" s="95"/>
      <c r="L1" s="95"/>
      <c r="M1" s="95"/>
      <c r="N1" s="95"/>
      <c r="O1" s="95"/>
      <c r="P1" s="95"/>
      <c r="Q1" s="95"/>
      <c r="R1" s="95"/>
      <c r="S1" s="95"/>
      <c r="T1" s="95"/>
      <c r="U1" s="3"/>
      <c r="V1" s="3"/>
      <c r="W1" s="3"/>
      <c r="X1" s="3"/>
      <c r="Y1" s="3"/>
      <c r="Z1" s="3"/>
    </row>
    <row r="2" spans="1:26" ht="21">
      <c r="A2" s="96" t="s">
        <v>227</v>
      </c>
      <c r="B2" s="96" t="s">
        <v>3930</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c r="A3" s="3"/>
      <c r="B3" s="3"/>
      <c r="C3" s="3"/>
      <c r="D3" s="33"/>
      <c r="E3" s="33"/>
      <c r="F3" s="33"/>
      <c r="G3" s="33"/>
      <c r="H3" s="98" t="str">
        <f>+IF(VLOOKUP(H2,Parametres!$L$3:$N$14,3,0)="X","REEL","FORECAST")</f>
        <v>REEL</v>
      </c>
      <c r="I3" s="98" t="str">
        <f>+IF(VLOOKUP(I2,Parametres!$L$3:$N$14,3,0)="X","REEL","FORECAST")</f>
        <v>REEL</v>
      </c>
      <c r="J3" s="98" t="str">
        <f>+IF(VLOOKUP(J2,Parametres!$L$3:$N$14,3,0)="X","REEL","FORECAST")</f>
        <v>REEL</v>
      </c>
      <c r="K3" s="98" t="str">
        <f>+IF(VLOOKUP(K2,Parametres!$L$3:$N$14,3,0)="X","REEL","FORECAST")</f>
        <v>REEL</v>
      </c>
      <c r="L3" s="98" t="str">
        <f>+IF(VLOOKUP(L2,Parametres!$L$3:$N$14,3,0)="X","REEL","FORECAST")</f>
        <v>REEL</v>
      </c>
      <c r="M3" s="98" t="str">
        <f>+IF(VLOOKUP(M2,Parametres!$L$3:$N$14,3,0)="X","REEL","FORECAST")</f>
        <v>FORECAST</v>
      </c>
      <c r="N3" s="98" t="str">
        <f>+IF(VLOOKUP(N2,Parametres!$L$3:$N$14,3,0)="X","REEL","FORECAST")</f>
        <v>FORECAST</v>
      </c>
      <c r="O3" s="98" t="str">
        <f>+IF(VLOOKUP(O2,Parametres!$L$3:$N$14,3,0)="X","REEL","FORECAST")</f>
        <v>FORECAST</v>
      </c>
      <c r="P3" s="98" t="str">
        <f>+IF(VLOOKUP(P2,Parametres!$L$3:$N$14,3,0)="X","REEL","FORECAST")</f>
        <v>FORECAST</v>
      </c>
      <c r="Q3" s="98" t="str">
        <f>+IF(VLOOKUP(Q2,Parametres!$L$3:$N$14,3,0)="X","REEL","FORECAST")</f>
        <v>FORECAST</v>
      </c>
      <c r="R3" s="98" t="str">
        <f>+IF(VLOOKUP(R2,Parametres!$L$3:$N$14,3,0)="X","REEL","FORECAST")</f>
        <v>FORECAST</v>
      </c>
      <c r="S3" s="98" t="str">
        <f>+IF(VLOOKUP(S2,Parametres!$L$3:$N$14,3,0)="X","REEL","FORECAST")</f>
        <v>FORECAST</v>
      </c>
      <c r="T3" s="3"/>
      <c r="U3" s="3"/>
      <c r="V3" s="3"/>
      <c r="W3" s="3"/>
      <c r="X3" s="3"/>
      <c r="Y3" s="3"/>
      <c r="Z3" s="3"/>
    </row>
    <row r="4" spans="1:26" ht="30" customHeight="1">
      <c r="A4" s="1214" t="s">
        <v>228</v>
      </c>
      <c r="B4" s="1214" t="s">
        <v>229</v>
      </c>
      <c r="C4" s="99" t="s">
        <v>230</v>
      </c>
      <c r="D4" s="100" t="s">
        <v>231</v>
      </c>
      <c r="E4" s="101" t="s">
        <v>232</v>
      </c>
      <c r="F4" s="99" t="s">
        <v>233</v>
      </c>
      <c r="G4" s="99" t="s">
        <v>234</v>
      </c>
      <c r="H4" s="101" t="s">
        <v>235</v>
      </c>
      <c r="I4" s="99" t="s">
        <v>236</v>
      </c>
      <c r="J4" s="99" t="s">
        <v>237</v>
      </c>
      <c r="K4" s="99" t="s">
        <v>238</v>
      </c>
      <c r="L4" s="99" t="s">
        <v>239</v>
      </c>
      <c r="M4" s="99" t="s">
        <v>240</v>
      </c>
      <c r="N4" s="99" t="s">
        <v>241</v>
      </c>
      <c r="O4" s="99" t="s">
        <v>242</v>
      </c>
      <c r="P4" s="99" t="s">
        <v>243</v>
      </c>
      <c r="Q4" s="99" t="s">
        <v>244</v>
      </c>
      <c r="R4" s="99" t="s">
        <v>245</v>
      </c>
      <c r="S4" s="99" t="s">
        <v>246</v>
      </c>
      <c r="T4" s="102" t="s">
        <v>247</v>
      </c>
      <c r="U4" s="1"/>
      <c r="V4" s="1"/>
      <c r="W4" s="1"/>
      <c r="X4" s="1"/>
      <c r="Y4" s="1"/>
      <c r="Z4" s="1"/>
    </row>
    <row r="5" spans="1:26" ht="30" customHeight="1">
      <c r="A5" s="1215"/>
      <c r="B5" s="1215"/>
      <c r="C5" s="1216" t="s">
        <v>248</v>
      </c>
      <c r="D5" s="1217"/>
      <c r="E5" s="103">
        <f t="shared" ref="E5:S5" si="0">+SUM(E6:E20)</f>
        <v>36004.54</v>
      </c>
      <c r="F5" s="104">
        <f t="shared" si="0"/>
        <v>40000</v>
      </c>
      <c r="G5" s="104">
        <f t="shared" si="0"/>
        <v>-3995.4600000000028</v>
      </c>
      <c r="H5" s="105">
        <f t="shared" si="0"/>
        <v>30931.3</v>
      </c>
      <c r="I5" s="106">
        <f t="shared" si="0"/>
        <v>5073.24</v>
      </c>
      <c r="J5" s="106">
        <f t="shared" si="0"/>
        <v>0</v>
      </c>
      <c r="K5" s="106">
        <f t="shared" si="0"/>
        <v>0</v>
      </c>
      <c r="L5" s="106">
        <f t="shared" si="0"/>
        <v>0</v>
      </c>
      <c r="M5" s="106">
        <f t="shared" si="0"/>
        <v>0</v>
      </c>
      <c r="N5" s="106">
        <f t="shared" si="0"/>
        <v>0</v>
      </c>
      <c r="O5" s="106">
        <f t="shared" si="0"/>
        <v>0</v>
      </c>
      <c r="P5" s="106">
        <f t="shared" si="0"/>
        <v>0</v>
      </c>
      <c r="Q5" s="106">
        <f t="shared" si="0"/>
        <v>0</v>
      </c>
      <c r="R5" s="106">
        <f t="shared" si="0"/>
        <v>0</v>
      </c>
      <c r="S5" s="106">
        <f t="shared" si="0"/>
        <v>0</v>
      </c>
      <c r="T5" s="107"/>
      <c r="U5" s="3"/>
      <c r="V5" s="3"/>
      <c r="W5" s="3"/>
      <c r="X5" s="1" t="s">
        <v>66</v>
      </c>
      <c r="Y5" s="3"/>
      <c r="Z5" s="3"/>
    </row>
    <row r="6" spans="1:26" ht="30" customHeight="1">
      <c r="A6" s="108" t="str">
        <f>+Parametres!$B$1</f>
        <v>Volks</v>
      </c>
      <c r="B6" s="109" t="s">
        <v>249</v>
      </c>
      <c r="C6" t="s">
        <v>3886</v>
      </c>
      <c r="D6" s="110"/>
      <c r="E6" s="111">
        <f t="shared" ref="E6:E20" si="1">+SUM(H6:S6)</f>
        <v>2000</v>
      </c>
      <c r="F6" s="111">
        <v>40000</v>
      </c>
      <c r="G6" s="111">
        <f t="shared" ref="G6:G20" si="2">+E6-F6</f>
        <v>-38000</v>
      </c>
      <c r="H6" s="112"/>
      <c r="I6" s="111">
        <v>2000</v>
      </c>
      <c r="J6" s="111"/>
      <c r="K6" s="111"/>
      <c r="L6" s="111"/>
      <c r="M6" s="111"/>
      <c r="N6" s="111"/>
      <c r="O6" s="111"/>
      <c r="P6" s="111"/>
      <c r="Q6" s="111"/>
      <c r="R6" s="111"/>
      <c r="S6" s="111"/>
      <c r="T6" s="113"/>
      <c r="U6" s="3"/>
      <c r="V6" s="3"/>
      <c r="W6" s="3"/>
      <c r="X6" s="3" t="s">
        <v>68</v>
      </c>
      <c r="Y6" s="3"/>
      <c r="Z6" s="3"/>
    </row>
    <row r="7" spans="1:26" ht="30" customHeight="1">
      <c r="A7" s="113" t="str">
        <f>+Parametres!$B$1</f>
        <v>Volks</v>
      </c>
      <c r="B7" s="114" t="s">
        <v>250</v>
      </c>
      <c r="C7" t="s">
        <v>3931</v>
      </c>
      <c r="D7" s="110"/>
      <c r="E7" s="112">
        <f t="shared" si="1"/>
        <v>3073.24</v>
      </c>
      <c r="F7" s="111"/>
      <c r="G7" s="111">
        <f t="shared" si="2"/>
        <v>3073.24</v>
      </c>
      <c r="H7" s="112"/>
      <c r="I7" s="111">
        <v>3073.24</v>
      </c>
      <c r="J7" s="111"/>
      <c r="K7" s="111"/>
      <c r="L7" s="111"/>
      <c r="M7" s="111"/>
      <c r="N7" s="111"/>
      <c r="O7" s="111"/>
      <c r="P7" s="111"/>
      <c r="Q7" s="111"/>
      <c r="R7" s="111"/>
      <c r="S7" s="111"/>
      <c r="T7" s="113"/>
      <c r="U7" s="3"/>
      <c r="V7" s="3"/>
      <c r="W7" s="3"/>
      <c r="X7" s="3" t="s">
        <v>70</v>
      </c>
      <c r="Y7" s="3"/>
      <c r="Z7" s="3"/>
    </row>
    <row r="8" spans="1:26" ht="30" customHeight="1">
      <c r="A8" s="113" t="str">
        <f>+Parametres!$B$1</f>
        <v>Volks</v>
      </c>
      <c r="B8" s="114"/>
      <c r="C8" t="s">
        <v>3938</v>
      </c>
      <c r="D8" s="110"/>
      <c r="E8" s="112">
        <f t="shared" si="1"/>
        <v>30931.3</v>
      </c>
      <c r="F8" s="111"/>
      <c r="G8" s="111">
        <f t="shared" si="2"/>
        <v>30931.3</v>
      </c>
      <c r="H8" s="112">
        <v>30931.3</v>
      </c>
      <c r="I8" s="111"/>
      <c r="J8" s="111"/>
      <c r="K8" s="111"/>
      <c r="L8" s="111"/>
      <c r="M8" s="33"/>
      <c r="N8" s="111"/>
      <c r="O8" s="111"/>
      <c r="P8" s="111"/>
      <c r="Q8" s="111"/>
      <c r="R8" s="111"/>
      <c r="S8" s="111"/>
      <c r="T8" s="113"/>
      <c r="U8" s="3"/>
      <c r="V8" s="3"/>
      <c r="W8" s="3"/>
      <c r="X8" s="3" t="s">
        <v>75</v>
      </c>
      <c r="Y8" s="3"/>
      <c r="Z8" s="3"/>
    </row>
    <row r="9" spans="1:26" ht="30" customHeight="1">
      <c r="A9" s="113" t="str">
        <f>+Parametres!$B$1</f>
        <v>Volks</v>
      </c>
      <c r="B9" s="114"/>
      <c r="D9" s="110"/>
      <c r="E9" s="112">
        <f t="shared" si="1"/>
        <v>0</v>
      </c>
      <c r="F9" s="111"/>
      <c r="G9" s="111">
        <f t="shared" si="2"/>
        <v>0</v>
      </c>
      <c r="H9" s="112"/>
      <c r="I9" s="111"/>
      <c r="J9" s="111"/>
      <c r="K9" s="111"/>
      <c r="L9" s="111"/>
      <c r="M9" s="33"/>
      <c r="N9" s="111"/>
      <c r="O9" s="111"/>
      <c r="P9" s="111"/>
      <c r="Q9" s="111"/>
      <c r="R9" s="111"/>
      <c r="S9" s="111"/>
      <c r="T9" s="113"/>
      <c r="U9" s="3"/>
      <c r="V9" s="3"/>
      <c r="W9" s="3"/>
      <c r="X9" s="3" t="s">
        <v>76</v>
      </c>
      <c r="Y9" s="3"/>
      <c r="Z9" s="3"/>
    </row>
    <row r="10" spans="1:26" ht="30" customHeight="1">
      <c r="A10" s="113" t="str">
        <f>+Parametres!$B$1</f>
        <v>Volks</v>
      </c>
      <c r="B10" s="114"/>
      <c r="D10" s="110"/>
      <c r="E10" s="112">
        <f t="shared" si="1"/>
        <v>0</v>
      </c>
      <c r="F10" s="111"/>
      <c r="G10" s="111">
        <f t="shared" si="2"/>
        <v>0</v>
      </c>
      <c r="H10" s="112"/>
      <c r="I10" s="111"/>
      <c r="J10" s="111"/>
      <c r="K10" s="111"/>
      <c r="L10" s="111"/>
      <c r="M10" s="111"/>
      <c r="N10" s="111"/>
      <c r="O10" s="111"/>
      <c r="P10" s="111"/>
      <c r="Q10" s="111"/>
      <c r="R10" s="111"/>
      <c r="S10" s="111"/>
      <c r="T10" s="113"/>
      <c r="U10" s="3"/>
      <c r="V10" s="3"/>
      <c r="W10" s="3"/>
      <c r="X10" s="3" t="s">
        <v>77</v>
      </c>
      <c r="Y10" s="3"/>
      <c r="Z10" s="3"/>
    </row>
    <row r="11" spans="1:26" ht="30" customHeight="1">
      <c r="A11" s="113" t="str">
        <f>+Parametres!$B$1</f>
        <v>Volks</v>
      </c>
      <c r="B11" s="114"/>
      <c r="C11" s="115"/>
      <c r="D11" s="110"/>
      <c r="E11" s="112">
        <f t="shared" si="1"/>
        <v>0</v>
      </c>
      <c r="F11" s="111"/>
      <c r="G11" s="111">
        <f t="shared" si="2"/>
        <v>0</v>
      </c>
      <c r="H11" s="112"/>
      <c r="I11" s="111"/>
      <c r="J11" s="33"/>
      <c r="K11" s="33"/>
      <c r="L11" s="111"/>
      <c r="M11" s="111"/>
      <c r="N11" s="111"/>
      <c r="O11" s="111"/>
      <c r="P11" s="111"/>
      <c r="Q11" s="111"/>
      <c r="R11" s="111"/>
      <c r="S11" s="111"/>
      <c r="T11" s="113"/>
      <c r="U11" s="3"/>
      <c r="V11" s="3"/>
      <c r="W11" s="3"/>
      <c r="X11" s="3" t="s">
        <v>79</v>
      </c>
      <c r="Y11" s="3"/>
      <c r="Z11" s="3"/>
    </row>
    <row r="12" spans="1:26" ht="30" customHeight="1">
      <c r="A12" s="113" t="str">
        <f>+Parametres!$B$1</f>
        <v>Volks</v>
      </c>
      <c r="B12" s="114"/>
      <c r="C12" s="115"/>
      <c r="D12" s="110"/>
      <c r="E12" s="112">
        <f t="shared" si="1"/>
        <v>0</v>
      </c>
      <c r="F12" s="111"/>
      <c r="G12" s="111">
        <f t="shared" si="2"/>
        <v>0</v>
      </c>
      <c r="H12" s="112"/>
      <c r="I12" s="111"/>
      <c r="J12" s="33"/>
      <c r="K12" s="111"/>
      <c r="L12" s="111"/>
      <c r="M12" s="111"/>
      <c r="N12" s="111"/>
      <c r="O12" s="111"/>
      <c r="P12" s="111"/>
      <c r="Q12" s="111"/>
      <c r="R12" s="111"/>
      <c r="S12" s="111"/>
      <c r="T12" s="113"/>
      <c r="U12" s="3"/>
      <c r="V12" s="3"/>
      <c r="W12" s="3"/>
      <c r="X12" s="3"/>
      <c r="Y12" s="3"/>
      <c r="Z12" s="3"/>
    </row>
    <row r="13" spans="1:26" ht="30" customHeight="1">
      <c r="A13" s="113" t="str">
        <f>+Parametres!$B$1</f>
        <v>Volks</v>
      </c>
      <c r="B13" s="114"/>
      <c r="C13" s="115"/>
      <c r="D13" s="110"/>
      <c r="E13" s="112">
        <f t="shared" si="1"/>
        <v>0</v>
      </c>
      <c r="F13" s="111"/>
      <c r="G13" s="111">
        <f t="shared" si="2"/>
        <v>0</v>
      </c>
      <c r="H13" s="112"/>
      <c r="I13" s="111"/>
      <c r="J13" s="111"/>
      <c r="K13" s="111"/>
      <c r="L13" s="111"/>
      <c r="M13" s="111"/>
      <c r="N13" s="111"/>
      <c r="O13" s="111"/>
      <c r="P13" s="111"/>
      <c r="Q13" s="111"/>
      <c r="R13" s="111"/>
      <c r="S13" s="111"/>
      <c r="T13" s="113"/>
      <c r="U13" s="3"/>
      <c r="V13" s="3"/>
      <c r="W13" s="3"/>
      <c r="X13" s="3"/>
      <c r="Y13" s="3"/>
      <c r="Z13" s="3"/>
    </row>
    <row r="14" spans="1:26" ht="30" customHeight="1">
      <c r="A14" s="113" t="str">
        <f>+Parametres!$B$1</f>
        <v>Volks</v>
      </c>
      <c r="B14" s="114"/>
      <c r="C14" s="115"/>
      <c r="D14" s="110"/>
      <c r="E14" s="112">
        <f t="shared" si="1"/>
        <v>0</v>
      </c>
      <c r="F14" s="111"/>
      <c r="G14" s="111">
        <f t="shared" si="2"/>
        <v>0</v>
      </c>
      <c r="H14" s="112"/>
      <c r="I14" s="111"/>
      <c r="J14" s="111"/>
      <c r="K14" s="111"/>
      <c r="L14" s="111"/>
      <c r="M14" s="111"/>
      <c r="N14" s="111"/>
      <c r="O14" s="111"/>
      <c r="P14" s="111"/>
      <c r="Q14" s="111"/>
      <c r="R14" s="111"/>
      <c r="S14" s="111"/>
      <c r="T14" s="113"/>
      <c r="U14" s="3"/>
      <c r="V14" s="3"/>
      <c r="W14" s="3"/>
      <c r="X14" s="3"/>
      <c r="Y14" s="3"/>
      <c r="Z14" s="3"/>
    </row>
    <row r="15" spans="1:26" ht="30" customHeight="1">
      <c r="A15" s="113" t="str">
        <f>+Parametres!$B$1</f>
        <v>Volks</v>
      </c>
      <c r="B15" s="114"/>
      <c r="C15" s="115"/>
      <c r="D15" s="110"/>
      <c r="E15" s="112">
        <f t="shared" si="1"/>
        <v>0</v>
      </c>
      <c r="F15" s="111"/>
      <c r="G15" s="111">
        <f t="shared" si="2"/>
        <v>0</v>
      </c>
      <c r="H15" s="112"/>
      <c r="I15" s="111"/>
      <c r="J15" s="111"/>
      <c r="K15" s="111"/>
      <c r="L15" s="111"/>
      <c r="M15" s="111"/>
      <c r="N15" s="111"/>
      <c r="O15" s="111"/>
      <c r="P15" s="111"/>
      <c r="Q15" s="111"/>
      <c r="R15" s="111"/>
      <c r="S15" s="111"/>
      <c r="T15" s="113"/>
      <c r="U15" s="3"/>
      <c r="V15" s="3"/>
      <c r="W15" s="3"/>
      <c r="X15" s="3"/>
      <c r="Y15" s="3"/>
      <c r="Z15" s="3"/>
    </row>
    <row r="16" spans="1:26" ht="30" customHeight="1">
      <c r="A16" s="113" t="str">
        <f>+Parametres!$B$1</f>
        <v>Volks</v>
      </c>
      <c r="B16" s="114"/>
      <c r="C16" s="115"/>
      <c r="D16" s="110"/>
      <c r="E16" s="112">
        <f t="shared" si="1"/>
        <v>0</v>
      </c>
      <c r="F16" s="111"/>
      <c r="G16" s="111">
        <f t="shared" si="2"/>
        <v>0</v>
      </c>
      <c r="H16" s="112"/>
      <c r="I16" s="111"/>
      <c r="J16" s="111"/>
      <c r="K16" s="111"/>
      <c r="L16" s="111"/>
      <c r="M16" s="111"/>
      <c r="N16" s="111"/>
      <c r="O16" s="111"/>
      <c r="P16" s="111"/>
      <c r="Q16" s="111"/>
      <c r="R16" s="111"/>
      <c r="S16" s="111"/>
      <c r="T16" s="113"/>
      <c r="U16" s="3"/>
      <c r="V16" s="3"/>
      <c r="W16" s="3"/>
      <c r="X16" s="3"/>
      <c r="Y16" s="3"/>
      <c r="Z16" s="3"/>
    </row>
    <row r="17" spans="1:26" ht="30" customHeight="1">
      <c r="A17" s="113" t="str">
        <f>+Parametres!$B$1</f>
        <v>Volks</v>
      </c>
      <c r="B17" s="114"/>
      <c r="C17" s="115"/>
      <c r="D17" s="116"/>
      <c r="E17" s="112">
        <f t="shared" si="1"/>
        <v>0</v>
      </c>
      <c r="F17" s="111"/>
      <c r="G17" s="111">
        <f t="shared" si="2"/>
        <v>0</v>
      </c>
      <c r="H17" s="112"/>
      <c r="I17" s="111"/>
      <c r="J17" s="111"/>
      <c r="K17" s="111"/>
      <c r="L17" s="111"/>
      <c r="M17" s="111"/>
      <c r="N17" s="111"/>
      <c r="O17" s="111"/>
      <c r="P17" s="111"/>
      <c r="Q17" s="111"/>
      <c r="R17" s="111"/>
      <c r="S17" s="111"/>
      <c r="T17" s="113"/>
      <c r="U17" s="3"/>
      <c r="V17" s="3"/>
      <c r="W17" s="3"/>
      <c r="X17" s="3" t="s">
        <v>250</v>
      </c>
      <c r="Y17" s="3"/>
      <c r="Z17" s="3"/>
    </row>
    <row r="18" spans="1:26" ht="30" customHeight="1">
      <c r="A18" s="113" t="str">
        <f>+Parametres!$B$1</f>
        <v>Volks</v>
      </c>
      <c r="B18" s="114"/>
      <c r="C18" s="115"/>
      <c r="D18" s="110"/>
      <c r="E18" s="112">
        <f t="shared" si="1"/>
        <v>0</v>
      </c>
      <c r="F18" s="111"/>
      <c r="G18" s="111">
        <f t="shared" si="2"/>
        <v>0</v>
      </c>
      <c r="H18" s="112"/>
      <c r="I18" s="111"/>
      <c r="J18" s="111"/>
      <c r="K18" s="111"/>
      <c r="L18" s="111"/>
      <c r="M18" s="111"/>
      <c r="N18" s="33"/>
      <c r="O18" s="111"/>
      <c r="P18" s="111"/>
      <c r="Q18" s="111"/>
      <c r="R18" s="111"/>
      <c r="S18" s="111"/>
      <c r="T18" s="113"/>
      <c r="U18" s="3"/>
      <c r="V18" s="3"/>
      <c r="W18" s="3"/>
      <c r="X18" s="3"/>
      <c r="Y18" s="3"/>
      <c r="Z18" s="3"/>
    </row>
    <row r="19" spans="1:26" ht="30" customHeight="1">
      <c r="A19" s="113" t="str">
        <f>+Parametres!$B$1</f>
        <v>Volks</v>
      </c>
      <c r="B19" s="114"/>
      <c r="C19" s="117"/>
      <c r="D19" s="116"/>
      <c r="E19" s="112">
        <f t="shared" si="1"/>
        <v>0</v>
      </c>
      <c r="F19" s="111"/>
      <c r="G19" s="111">
        <f t="shared" si="2"/>
        <v>0</v>
      </c>
      <c r="H19" s="112"/>
      <c r="I19" s="111"/>
      <c r="J19" s="111"/>
      <c r="K19" s="111"/>
      <c r="L19" s="111"/>
      <c r="M19" s="111"/>
      <c r="N19" s="111"/>
      <c r="O19" s="111"/>
      <c r="P19" s="111"/>
      <c r="Q19" s="111"/>
      <c r="R19" s="111"/>
      <c r="S19" s="111"/>
      <c r="T19" s="113"/>
      <c r="U19" s="3"/>
      <c r="V19" s="3"/>
      <c r="W19" s="3"/>
      <c r="X19" s="3"/>
      <c r="Y19" s="3"/>
      <c r="Z19" s="3"/>
    </row>
    <row r="20" spans="1:26" ht="30" customHeight="1">
      <c r="A20" s="118" t="str">
        <f>+Parametres!$B$1</f>
        <v>Volks</v>
      </c>
      <c r="B20" s="119"/>
      <c r="C20" s="120"/>
      <c r="D20" s="121"/>
      <c r="E20" s="122">
        <f t="shared" si="1"/>
        <v>0</v>
      </c>
      <c r="F20" s="123"/>
      <c r="G20" s="123">
        <f t="shared" si="2"/>
        <v>0</v>
      </c>
      <c r="H20" s="122"/>
      <c r="I20" s="123"/>
      <c r="J20" s="123"/>
      <c r="K20" s="123"/>
      <c r="L20" s="123"/>
      <c r="M20" s="123"/>
      <c r="N20" s="123"/>
      <c r="O20" s="123"/>
      <c r="P20" s="123"/>
      <c r="Q20" s="123"/>
      <c r="R20" s="123"/>
      <c r="S20" s="123"/>
      <c r="T20" s="118"/>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4"/>
      <c r="U21" s="3"/>
      <c r="V21" s="3"/>
      <c r="W21" s="3"/>
      <c r="X21" s="3"/>
      <c r="Y21" s="3"/>
      <c r="Z21" s="3"/>
    </row>
    <row r="22" spans="1:26" ht="30" customHeight="1">
      <c r="A22" s="3"/>
      <c r="B22" s="3"/>
      <c r="C22" s="125"/>
      <c r="D22" s="125"/>
      <c r="E22" s="33"/>
      <c r="F22" s="33"/>
      <c r="G22" s="126"/>
      <c r="H22" s="127"/>
      <c r="I22" s="127"/>
      <c r="J22" s="127"/>
      <c r="K22" s="127"/>
      <c r="L22" s="127"/>
      <c r="M22" s="127"/>
      <c r="N22" s="127"/>
      <c r="O22" s="127"/>
      <c r="P22" s="127"/>
      <c r="Q22" s="127"/>
      <c r="R22" s="127"/>
      <c r="S22" s="127"/>
      <c r="T22" s="124"/>
      <c r="U22" s="3"/>
      <c r="V22" s="3"/>
      <c r="W22" s="3"/>
      <c r="X22" s="3"/>
      <c r="Y22" s="3"/>
      <c r="Z22" s="3"/>
    </row>
    <row r="23" spans="1:26" ht="30" customHeight="1">
      <c r="A23" s="128"/>
      <c r="B23" s="129"/>
      <c r="C23" s="130"/>
      <c r="D23" s="131"/>
      <c r="E23" s="132"/>
      <c r="F23" s="33"/>
      <c r="G23" s="33"/>
      <c r="H23" s="33"/>
      <c r="I23" s="33"/>
      <c r="J23" s="33"/>
      <c r="K23" s="33"/>
      <c r="L23" s="33"/>
      <c r="M23" s="33"/>
      <c r="N23" s="33"/>
      <c r="O23" s="33"/>
      <c r="P23" s="33"/>
      <c r="Q23" s="127"/>
      <c r="R23" s="33"/>
      <c r="S23" s="33"/>
      <c r="T23" s="124"/>
      <c r="U23" s="3"/>
      <c r="V23" s="3"/>
      <c r="W23" s="3"/>
      <c r="X23" s="3"/>
      <c r="Y23" s="3"/>
      <c r="Z23" s="3"/>
    </row>
    <row r="24" spans="1:26" ht="15.75" customHeight="1">
      <c r="A24" s="126"/>
      <c r="B24" s="133"/>
      <c r="C24" s="134"/>
      <c r="D24" s="127"/>
      <c r="E24" s="127"/>
      <c r="F24" s="33"/>
      <c r="G24" s="33"/>
      <c r="H24" s="33"/>
      <c r="I24" s="33"/>
      <c r="J24" s="33"/>
      <c r="K24" s="33"/>
      <c r="L24" s="33"/>
      <c r="M24" s="33"/>
      <c r="N24" s="33"/>
      <c r="O24" s="33"/>
      <c r="P24" s="33"/>
      <c r="Q24" s="33"/>
      <c r="R24" s="33"/>
      <c r="S24" s="33"/>
      <c r="T24" s="124"/>
      <c r="U24" s="3"/>
      <c r="V24" s="3"/>
      <c r="W24" s="3"/>
      <c r="X24" s="3"/>
      <c r="Y24" s="3"/>
      <c r="Z24" s="3"/>
    </row>
    <row r="25" spans="1:26" ht="15.75" customHeight="1">
      <c r="A25" s="126"/>
      <c r="B25" s="133"/>
      <c r="C25" s="134"/>
      <c r="D25" s="127"/>
      <c r="E25" s="127"/>
      <c r="F25" s="33"/>
      <c r="G25" s="33"/>
      <c r="H25" s="33"/>
      <c r="I25" s="33"/>
      <c r="J25" s="33"/>
      <c r="K25" s="33"/>
      <c r="L25" s="33"/>
      <c r="M25" s="33"/>
      <c r="N25" s="33"/>
      <c r="O25" s="33"/>
      <c r="P25" s="33"/>
      <c r="Q25" s="127"/>
      <c r="R25" s="33"/>
      <c r="S25" s="33"/>
      <c r="T25" s="124"/>
      <c r="U25" s="3"/>
      <c r="V25" s="3"/>
      <c r="W25" s="3"/>
      <c r="X25" s="3"/>
      <c r="Y25" s="3"/>
      <c r="Z25" s="3"/>
    </row>
    <row r="26" spans="1:26" ht="15.75" customHeight="1">
      <c r="A26" s="126"/>
      <c r="B26" s="133"/>
      <c r="C26" s="134"/>
      <c r="D26" s="127"/>
      <c r="E26" s="127"/>
      <c r="F26" s="33"/>
      <c r="G26" s="33"/>
      <c r="H26" s="33"/>
      <c r="I26" s="33"/>
      <c r="J26" s="33"/>
      <c r="K26" s="33"/>
      <c r="L26" s="33"/>
      <c r="M26" s="33"/>
      <c r="N26" s="33"/>
      <c r="O26" s="33"/>
      <c r="P26" s="33"/>
      <c r="Q26" s="33"/>
      <c r="R26" s="33"/>
      <c r="S26" s="33"/>
      <c r="T26" s="124"/>
      <c r="U26" s="3"/>
      <c r="V26" s="3"/>
      <c r="W26" s="3"/>
      <c r="X26" s="3"/>
      <c r="Y26" s="3"/>
      <c r="Z26" s="3"/>
    </row>
    <row r="27" spans="1:26" ht="15.75" customHeight="1">
      <c r="A27" s="126"/>
      <c r="B27" s="133"/>
      <c r="C27" s="134"/>
      <c r="D27" s="127"/>
      <c r="E27" s="127"/>
      <c r="F27" s="33"/>
      <c r="G27" s="33"/>
      <c r="H27" s="33"/>
      <c r="I27" s="33"/>
      <c r="J27" s="33"/>
      <c r="K27" s="33"/>
      <c r="L27" s="33"/>
      <c r="M27" s="33"/>
      <c r="N27" s="33"/>
      <c r="O27" s="33"/>
      <c r="P27" s="33"/>
      <c r="Q27" s="33"/>
      <c r="R27" s="33"/>
      <c r="S27" s="33"/>
      <c r="T27" s="124"/>
      <c r="U27" s="3"/>
      <c r="V27" s="3"/>
      <c r="W27" s="3"/>
      <c r="X27" s="3"/>
      <c r="Y27" s="3"/>
      <c r="Z27" s="3"/>
    </row>
    <row r="28" spans="1:26" ht="15.75" customHeight="1">
      <c r="A28" s="126"/>
      <c r="B28" s="133"/>
      <c r="C28" s="134"/>
      <c r="D28" s="127"/>
      <c r="E28" s="127"/>
      <c r="F28" s="33"/>
      <c r="G28" s="33"/>
      <c r="H28" s="33"/>
      <c r="I28" s="33"/>
      <c r="J28" s="33"/>
      <c r="K28" s="33"/>
      <c r="L28" s="33"/>
      <c r="M28" s="33"/>
      <c r="N28" s="33"/>
      <c r="O28" s="33"/>
      <c r="P28" s="33"/>
      <c r="Q28" s="33"/>
      <c r="R28" s="33"/>
      <c r="S28" s="33"/>
      <c r="T28" s="124"/>
      <c r="U28" s="3"/>
      <c r="V28" s="3"/>
      <c r="W28" s="3"/>
      <c r="X28" s="3"/>
      <c r="Y28" s="3"/>
      <c r="Z28" s="3"/>
    </row>
    <row r="29" spans="1:26" ht="15.75" customHeight="1">
      <c r="A29" s="126"/>
      <c r="B29" s="133"/>
      <c r="C29" s="134"/>
      <c r="D29" s="127"/>
      <c r="E29" s="127"/>
      <c r="F29" s="33"/>
      <c r="G29" s="33"/>
      <c r="H29" s="33"/>
      <c r="I29" s="33"/>
      <c r="J29" s="33"/>
      <c r="K29" s="33"/>
      <c r="L29" s="33"/>
      <c r="M29" s="33"/>
      <c r="N29" s="33"/>
      <c r="O29" s="33"/>
      <c r="P29" s="33"/>
      <c r="Q29" s="33"/>
      <c r="R29" s="33"/>
      <c r="S29" s="33"/>
      <c r="T29" s="124"/>
      <c r="U29" s="3"/>
      <c r="V29" s="3"/>
      <c r="W29" s="3"/>
      <c r="X29" s="3"/>
      <c r="Y29" s="3"/>
      <c r="Z29" s="3"/>
    </row>
    <row r="30" spans="1:26" ht="15.75" customHeight="1">
      <c r="A30" s="126"/>
      <c r="B30" s="133"/>
      <c r="C30" s="134"/>
      <c r="D30" s="127"/>
      <c r="E30" s="127"/>
      <c r="F30" s="33"/>
      <c r="G30" s="33"/>
      <c r="H30" s="33"/>
      <c r="I30" s="33"/>
      <c r="J30" s="33"/>
      <c r="K30" s="33"/>
      <c r="L30" s="33"/>
      <c r="M30" s="33"/>
      <c r="N30" s="33"/>
      <c r="O30" s="33"/>
      <c r="P30" s="33"/>
      <c r="Q30" s="33"/>
      <c r="R30" s="33"/>
      <c r="S30" s="33"/>
      <c r="T30" s="124"/>
      <c r="U30" s="3"/>
      <c r="V30" s="3"/>
      <c r="W30" s="3"/>
      <c r="X30" s="3"/>
      <c r="Y30" s="3"/>
      <c r="Z30" s="3"/>
    </row>
    <row r="31" spans="1:26" ht="15.75" customHeight="1">
      <c r="A31" s="126"/>
      <c r="B31" s="133"/>
      <c r="C31" s="134"/>
      <c r="D31" s="127"/>
      <c r="E31" s="127"/>
      <c r="F31" s="33"/>
      <c r="G31" s="33"/>
      <c r="H31" s="33"/>
      <c r="I31" s="33"/>
      <c r="J31" s="33"/>
      <c r="K31" s="33"/>
      <c r="L31" s="33"/>
      <c r="M31" s="33"/>
      <c r="N31" s="33"/>
      <c r="O31" s="33"/>
      <c r="P31" s="33"/>
      <c r="Q31" s="33"/>
      <c r="R31" s="33"/>
      <c r="S31" s="33"/>
      <c r="T31" s="124"/>
      <c r="U31" s="3"/>
      <c r="V31" s="3"/>
      <c r="W31" s="3"/>
      <c r="X31" s="3"/>
      <c r="Y31" s="3"/>
      <c r="Z31" s="3"/>
    </row>
    <row r="32" spans="1:26" ht="15.75" customHeight="1">
      <c r="A32" s="126"/>
      <c r="B32" s="3"/>
      <c r="C32" s="135"/>
      <c r="D32" s="135"/>
      <c r="E32" s="135"/>
      <c r="F32" s="33"/>
      <c r="G32" s="33"/>
      <c r="H32" s="33"/>
      <c r="I32" s="33"/>
      <c r="J32" s="33"/>
      <c r="K32" s="33"/>
      <c r="L32" s="33"/>
      <c r="M32" s="33"/>
      <c r="N32" s="33"/>
      <c r="O32" s="33"/>
      <c r="P32" s="33"/>
      <c r="Q32" s="33"/>
      <c r="R32" s="33"/>
      <c r="S32" s="33"/>
      <c r="T32" s="124"/>
      <c r="U32" s="3"/>
      <c r="V32" s="3"/>
      <c r="W32" s="3"/>
      <c r="X32" s="3"/>
      <c r="Y32" s="3"/>
      <c r="Z32" s="3"/>
    </row>
    <row r="33" spans="1:26" ht="15.75" customHeight="1">
      <c r="A33" s="126"/>
      <c r="B33" s="3"/>
      <c r="C33" s="3"/>
      <c r="D33" s="33"/>
      <c r="E33" s="33"/>
      <c r="F33" s="33"/>
      <c r="G33" s="33"/>
      <c r="H33" s="33"/>
      <c r="I33" s="33"/>
      <c r="J33" s="33"/>
      <c r="K33" s="33"/>
      <c r="L33" s="33"/>
      <c r="M33" s="33"/>
      <c r="N33" s="33"/>
      <c r="O33" s="33"/>
      <c r="P33" s="33"/>
      <c r="Q33" s="33"/>
      <c r="R33" s="33"/>
      <c r="S33" s="33"/>
      <c r="T33" s="124"/>
      <c r="U33" s="3"/>
      <c r="V33" s="3"/>
      <c r="W33" s="3"/>
      <c r="X33" s="3"/>
      <c r="Y33" s="3"/>
      <c r="Z33" s="3"/>
    </row>
    <row r="34" spans="1:26" ht="15.75" customHeight="1">
      <c r="A34" s="126"/>
      <c r="B34" s="133"/>
      <c r="C34" s="134"/>
      <c r="D34" s="127"/>
      <c r="E34" s="127"/>
      <c r="F34" s="33"/>
      <c r="G34" s="33"/>
      <c r="H34" s="33"/>
      <c r="I34" s="33"/>
      <c r="J34" s="33"/>
      <c r="K34" s="33"/>
      <c r="L34" s="33"/>
      <c r="M34" s="33"/>
      <c r="N34" s="33"/>
      <c r="O34" s="33"/>
      <c r="P34" s="33"/>
      <c r="Q34" s="33"/>
      <c r="R34" s="33"/>
      <c r="S34" s="33"/>
      <c r="T34" s="124"/>
      <c r="U34" s="3"/>
      <c r="V34" s="3"/>
      <c r="W34" s="3"/>
      <c r="X34" s="3"/>
      <c r="Y34" s="3"/>
      <c r="Z34" s="3"/>
    </row>
    <row r="35" spans="1:26" ht="15.75" customHeight="1">
      <c r="A35" s="126"/>
      <c r="B35" s="133"/>
      <c r="C35" s="134"/>
      <c r="D35" s="127"/>
      <c r="E35" s="127"/>
      <c r="F35" s="33"/>
      <c r="G35" s="33"/>
      <c r="H35" s="33"/>
      <c r="I35" s="33"/>
      <c r="J35" s="33"/>
      <c r="K35" s="33"/>
      <c r="L35" s="33"/>
      <c r="M35" s="33"/>
      <c r="N35" s="33"/>
      <c r="O35" s="33"/>
      <c r="P35" s="33"/>
      <c r="Q35" s="33"/>
      <c r="R35" s="33"/>
      <c r="S35" s="33"/>
      <c r="T35" s="124"/>
      <c r="U35" s="3"/>
      <c r="V35" s="3"/>
      <c r="W35" s="3"/>
      <c r="X35" s="3"/>
      <c r="Y35" s="3"/>
      <c r="Z35" s="3"/>
    </row>
    <row r="36" spans="1:26" ht="15.75" customHeight="1">
      <c r="A36" s="126"/>
      <c r="B36" s="133"/>
      <c r="C36" s="134"/>
      <c r="D36" s="127"/>
      <c r="E36" s="127"/>
      <c r="F36" s="33"/>
      <c r="G36" s="33"/>
      <c r="H36" s="33"/>
      <c r="I36" s="33"/>
      <c r="J36" s="33"/>
      <c r="K36" s="33"/>
      <c r="L36" s="33"/>
      <c r="M36" s="33"/>
      <c r="N36" s="33"/>
      <c r="O36" s="33"/>
      <c r="P36" s="33"/>
      <c r="Q36" s="33"/>
      <c r="R36" s="33"/>
      <c r="S36" s="33"/>
      <c r="T36" s="124"/>
      <c r="U36" s="3"/>
      <c r="V36" s="3"/>
      <c r="W36" s="3"/>
      <c r="X36" s="3"/>
      <c r="Y36" s="3"/>
      <c r="Z36" s="3"/>
    </row>
    <row r="37" spans="1:26" ht="15.75" customHeight="1">
      <c r="A37" s="126"/>
      <c r="B37" s="133"/>
      <c r="C37" s="134"/>
      <c r="D37" s="127"/>
      <c r="E37" s="127"/>
      <c r="F37" s="33"/>
      <c r="G37" s="33"/>
      <c r="H37" s="33"/>
      <c r="I37" s="33"/>
      <c r="J37" s="33"/>
      <c r="K37" s="33"/>
      <c r="L37" s="33"/>
      <c r="M37" s="33"/>
      <c r="N37" s="33"/>
      <c r="O37" s="33"/>
      <c r="P37" s="33"/>
      <c r="Q37" s="33"/>
      <c r="R37" s="33"/>
      <c r="S37" s="33"/>
      <c r="T37" s="124"/>
      <c r="U37" s="3"/>
      <c r="V37" s="3"/>
      <c r="W37" s="3"/>
      <c r="X37" s="3"/>
      <c r="Y37" s="3"/>
      <c r="Z37" s="3"/>
    </row>
    <row r="38" spans="1:26" ht="15.75" customHeight="1">
      <c r="A38" s="126"/>
      <c r="B38" s="133"/>
      <c r="C38" s="134"/>
      <c r="D38" s="127"/>
      <c r="E38" s="127"/>
      <c r="F38" s="33"/>
      <c r="G38" s="33"/>
      <c r="H38" s="33"/>
      <c r="I38" s="33"/>
      <c r="J38" s="33"/>
      <c r="K38" s="33"/>
      <c r="L38" s="33"/>
      <c r="M38" s="33"/>
      <c r="N38" s="33"/>
      <c r="O38" s="33"/>
      <c r="P38" s="33"/>
      <c r="Q38" s="33"/>
      <c r="R38" s="33"/>
      <c r="S38" s="33"/>
      <c r="T38" s="124"/>
      <c r="U38" s="3"/>
      <c r="V38" s="3"/>
      <c r="W38" s="3"/>
      <c r="X38" s="3"/>
      <c r="Y38" s="3"/>
      <c r="Z38" s="3"/>
    </row>
    <row r="39" spans="1:26" ht="15.75" customHeight="1">
      <c r="A39" s="126"/>
      <c r="B39" s="133"/>
      <c r="C39" s="134"/>
      <c r="D39" s="127"/>
      <c r="E39" s="127"/>
      <c r="F39" s="33"/>
      <c r="G39" s="33"/>
      <c r="H39" s="33"/>
      <c r="I39" s="33"/>
      <c r="J39" s="33"/>
      <c r="K39" s="33"/>
      <c r="L39" s="33"/>
      <c r="M39" s="33"/>
      <c r="N39" s="33"/>
      <c r="O39" s="33"/>
      <c r="P39" s="33"/>
      <c r="Q39" s="33"/>
      <c r="R39" s="33"/>
      <c r="S39" s="33"/>
      <c r="T39" s="124"/>
      <c r="U39" s="3"/>
      <c r="V39" s="3"/>
      <c r="W39" s="3"/>
      <c r="X39" s="3"/>
      <c r="Y39" s="3"/>
      <c r="Z39" s="3"/>
    </row>
    <row r="40" spans="1:26" ht="15.75" customHeight="1">
      <c r="A40" s="126"/>
      <c r="B40" s="133"/>
      <c r="C40" s="134"/>
      <c r="D40" s="127"/>
      <c r="E40" s="127"/>
      <c r="F40" s="33"/>
      <c r="G40" s="33"/>
      <c r="H40" s="33"/>
      <c r="I40" s="33"/>
      <c r="J40" s="33"/>
      <c r="K40" s="33"/>
      <c r="L40" s="33"/>
      <c r="M40" s="33"/>
      <c r="N40" s="33"/>
      <c r="O40" s="33"/>
      <c r="P40" s="33"/>
      <c r="Q40" s="33"/>
      <c r="R40" s="33"/>
      <c r="S40" s="33"/>
      <c r="T40" s="124"/>
      <c r="U40" s="3"/>
      <c r="V40" s="3"/>
      <c r="W40" s="3"/>
      <c r="X40" s="3"/>
      <c r="Y40" s="3"/>
      <c r="Z40" s="3"/>
    </row>
    <row r="41" spans="1:26" ht="15.75" customHeight="1">
      <c r="A41" s="3"/>
      <c r="B41" s="3"/>
      <c r="C41" s="134"/>
      <c r="D41" s="127"/>
      <c r="E41" s="127"/>
      <c r="F41" s="33"/>
      <c r="G41" s="33"/>
      <c r="H41" s="33"/>
      <c r="I41" s="33"/>
      <c r="J41" s="33"/>
      <c r="K41" s="33"/>
      <c r="L41" s="33"/>
      <c r="M41" s="33"/>
      <c r="N41" s="33"/>
      <c r="O41" s="33"/>
      <c r="P41" s="33"/>
      <c r="Q41" s="33"/>
      <c r="R41" s="33"/>
      <c r="S41" s="33"/>
      <c r="T41" s="124"/>
      <c r="U41" s="3"/>
      <c r="V41" s="3"/>
      <c r="W41" s="3"/>
      <c r="X41" s="3"/>
      <c r="Y41" s="3"/>
      <c r="Z41" s="3"/>
    </row>
    <row r="42" spans="1:26" ht="15.75" customHeight="1">
      <c r="A42" s="3"/>
      <c r="B42" s="3"/>
      <c r="C42" s="136"/>
      <c r="D42" s="136"/>
      <c r="E42" s="136"/>
      <c r="F42" s="33"/>
      <c r="G42" s="33"/>
      <c r="H42" s="33"/>
      <c r="I42" s="33"/>
      <c r="J42" s="33"/>
      <c r="K42" s="33"/>
      <c r="L42" s="33"/>
      <c r="M42" s="33"/>
      <c r="N42" s="33"/>
      <c r="O42" s="33"/>
      <c r="P42" s="33"/>
      <c r="Q42" s="33"/>
      <c r="R42" s="33"/>
      <c r="S42" s="33"/>
      <c r="T42" s="124"/>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4"/>
      <c r="U43" s="3"/>
      <c r="V43" s="3"/>
      <c r="W43" s="3"/>
      <c r="X43" s="3"/>
      <c r="Y43" s="3"/>
      <c r="Z43" s="3"/>
    </row>
    <row r="44" spans="1:26" ht="15.75" customHeight="1">
      <c r="A44" s="3"/>
      <c r="B44" s="3"/>
      <c r="C44" s="137"/>
      <c r="D44" s="137"/>
      <c r="E44" s="137"/>
      <c r="F44" s="33"/>
      <c r="G44" s="33"/>
      <c r="H44" s="33"/>
      <c r="I44" s="33"/>
      <c r="J44" s="33"/>
      <c r="K44" s="33"/>
      <c r="L44" s="33"/>
      <c r="M44" s="33"/>
      <c r="N44" s="33"/>
      <c r="O44" s="33"/>
      <c r="P44" s="33"/>
      <c r="Q44" s="33"/>
      <c r="R44" s="33"/>
      <c r="S44" s="33"/>
      <c r="T44" s="124"/>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4"/>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4"/>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4"/>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4"/>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4"/>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4"/>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4"/>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4"/>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4"/>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4"/>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4"/>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4"/>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4"/>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4"/>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4"/>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4"/>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4"/>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4"/>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4"/>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4"/>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4"/>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4"/>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4"/>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4"/>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4"/>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4"/>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4"/>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4"/>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4"/>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4"/>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4"/>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4"/>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4"/>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4"/>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4"/>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4"/>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4"/>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4"/>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4"/>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4"/>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4"/>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4"/>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4"/>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4"/>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4"/>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4"/>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4"/>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4"/>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4"/>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4"/>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4"/>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4"/>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4"/>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4"/>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4"/>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4"/>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4"/>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4"/>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4"/>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4"/>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4"/>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4"/>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4"/>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4"/>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4"/>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4"/>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4"/>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4"/>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4"/>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4"/>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4"/>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4"/>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4"/>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4"/>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4"/>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4"/>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4"/>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4"/>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4"/>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4"/>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4"/>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4"/>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4"/>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4"/>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4"/>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4"/>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4"/>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4"/>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4"/>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4"/>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4"/>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4"/>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4"/>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4"/>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4"/>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4"/>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4"/>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4"/>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4"/>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4"/>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4"/>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4"/>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4"/>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4"/>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4"/>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4"/>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4"/>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4"/>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4"/>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4"/>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4"/>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4"/>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4"/>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4"/>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4"/>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4"/>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4"/>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4"/>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4"/>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4"/>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4"/>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4"/>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4"/>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4"/>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4"/>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4"/>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4"/>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4"/>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4"/>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4"/>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4"/>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4"/>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4"/>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4"/>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4"/>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4"/>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4"/>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4"/>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4"/>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4"/>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4"/>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4"/>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4"/>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4"/>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4"/>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4"/>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4"/>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4"/>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4"/>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4"/>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4"/>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4"/>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4"/>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4"/>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4"/>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4"/>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4"/>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4"/>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4"/>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4"/>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4"/>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4"/>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4"/>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4"/>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4"/>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4"/>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4"/>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4"/>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4"/>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4"/>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4"/>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4"/>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4"/>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4"/>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4"/>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4"/>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4"/>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4"/>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4"/>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4"/>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4"/>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4"/>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4"/>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4"/>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4"/>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4"/>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4"/>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4"/>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4"/>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4"/>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4"/>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4"/>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4"/>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4"/>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4"/>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4"/>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4"/>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4"/>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4"/>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4"/>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4"/>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4"/>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4"/>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4"/>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4"/>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4"/>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4"/>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4"/>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4"/>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4"/>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4"/>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4"/>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4"/>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4"/>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4"/>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4"/>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4"/>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4"/>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4"/>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4"/>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4"/>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4"/>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4"/>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4"/>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4"/>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4"/>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4"/>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4"/>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4"/>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4"/>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4"/>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4"/>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4"/>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4"/>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4"/>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4"/>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4"/>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4"/>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4"/>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4"/>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4"/>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4"/>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4"/>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4"/>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4"/>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4"/>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4"/>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4"/>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4"/>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4"/>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4"/>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4"/>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4"/>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4"/>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4"/>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4"/>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4"/>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4"/>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4"/>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4"/>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4"/>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4"/>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4"/>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4"/>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4"/>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4"/>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4"/>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4"/>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4"/>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4"/>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4"/>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4"/>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4"/>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4"/>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4"/>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4"/>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4"/>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4"/>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4"/>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4"/>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4"/>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4"/>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4"/>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4"/>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4"/>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4"/>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4"/>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4"/>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4"/>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4"/>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4"/>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4"/>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4"/>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4"/>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4"/>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4"/>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4"/>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4"/>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4"/>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4"/>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4"/>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4"/>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4"/>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4"/>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4"/>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4"/>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4"/>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4"/>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4"/>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4"/>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4"/>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4"/>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4"/>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4"/>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4"/>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4"/>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4"/>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4"/>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4"/>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4"/>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4"/>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4"/>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4"/>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4"/>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4"/>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4"/>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4"/>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4"/>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4"/>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4"/>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4"/>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4"/>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4"/>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4"/>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4"/>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4"/>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4"/>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4"/>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4"/>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4"/>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4"/>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4"/>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4"/>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4"/>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4"/>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4"/>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4"/>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4"/>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4"/>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4"/>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4"/>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4"/>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4"/>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4"/>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4"/>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4"/>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4"/>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4"/>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4"/>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4"/>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4"/>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4"/>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4"/>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4"/>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4"/>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4"/>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4"/>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4"/>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4"/>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4"/>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4"/>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4"/>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4"/>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4"/>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4"/>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4"/>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4"/>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4"/>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4"/>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4"/>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4"/>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4"/>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4"/>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4"/>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4"/>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4"/>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4"/>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4"/>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4"/>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4"/>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4"/>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4"/>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4"/>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4"/>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4"/>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4"/>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4"/>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4"/>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4"/>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4"/>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4"/>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4"/>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4"/>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4"/>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4"/>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4"/>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4"/>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4"/>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4"/>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4"/>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4"/>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4"/>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4"/>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4"/>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4"/>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4"/>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4"/>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4"/>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4"/>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4"/>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4"/>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4"/>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4"/>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4"/>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4"/>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4"/>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4"/>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4"/>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4"/>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4"/>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4"/>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4"/>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4"/>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4"/>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4"/>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4"/>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4"/>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4"/>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4"/>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4"/>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4"/>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4"/>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4"/>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4"/>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4"/>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4"/>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4"/>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4"/>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4"/>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4"/>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4"/>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4"/>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4"/>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4"/>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4"/>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4"/>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4"/>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4"/>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4"/>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4"/>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4"/>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4"/>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4"/>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4"/>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4"/>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4"/>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4"/>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4"/>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4"/>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4"/>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4"/>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4"/>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4"/>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4"/>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4"/>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4"/>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4"/>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4"/>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4"/>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4"/>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4"/>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4"/>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4"/>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4"/>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4"/>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4"/>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4"/>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4"/>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4"/>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4"/>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4"/>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4"/>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4"/>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4"/>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4"/>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4"/>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4"/>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4"/>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4"/>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4"/>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4"/>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4"/>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4"/>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4"/>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4"/>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4"/>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4"/>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4"/>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4"/>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4"/>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4"/>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4"/>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4"/>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4"/>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4"/>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4"/>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4"/>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4"/>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4"/>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4"/>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4"/>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4"/>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4"/>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4"/>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4"/>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4"/>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4"/>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4"/>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4"/>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4"/>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4"/>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4"/>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4"/>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4"/>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4"/>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4"/>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4"/>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4"/>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4"/>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4"/>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4"/>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4"/>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4"/>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4"/>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4"/>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4"/>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4"/>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4"/>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4"/>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4"/>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4"/>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4"/>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4"/>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4"/>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4"/>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4"/>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4"/>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4"/>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4"/>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4"/>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4"/>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4"/>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4"/>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4"/>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4"/>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4"/>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4"/>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4"/>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4"/>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4"/>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4"/>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4"/>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4"/>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4"/>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4"/>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4"/>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4"/>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4"/>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4"/>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4"/>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4"/>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4"/>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4"/>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4"/>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4"/>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4"/>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4"/>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4"/>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4"/>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4"/>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4"/>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4"/>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4"/>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4"/>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4"/>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4"/>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4"/>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4"/>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4"/>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4"/>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4"/>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4"/>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4"/>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4"/>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4"/>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4"/>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4"/>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4"/>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4"/>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4"/>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4"/>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4"/>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4"/>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4"/>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4"/>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4"/>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4"/>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4"/>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4"/>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4"/>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4"/>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4"/>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4"/>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4"/>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4"/>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4"/>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4"/>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4"/>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4"/>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4"/>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4"/>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4"/>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4"/>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4"/>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4"/>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4"/>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4"/>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4"/>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4"/>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4"/>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4"/>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4"/>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4"/>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4"/>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4"/>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4"/>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4"/>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4"/>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4"/>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4"/>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4"/>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4"/>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4"/>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4"/>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4"/>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4"/>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4"/>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4"/>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4"/>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4"/>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4"/>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4"/>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4"/>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4"/>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4"/>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4"/>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4"/>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4"/>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4"/>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4"/>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4"/>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4"/>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4"/>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4"/>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4"/>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4"/>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4"/>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4"/>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4"/>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4"/>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4"/>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4"/>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4"/>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4"/>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4"/>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4"/>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4"/>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4"/>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4"/>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4"/>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4"/>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4"/>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4"/>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4"/>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4"/>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4"/>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4"/>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4"/>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4"/>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4"/>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4"/>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4"/>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4"/>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4"/>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4"/>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4"/>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4"/>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4"/>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4"/>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4"/>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4"/>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4"/>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4"/>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4"/>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4"/>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4"/>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4"/>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4"/>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4"/>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4"/>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4"/>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4"/>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4"/>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4"/>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4"/>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4"/>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4"/>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4"/>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4"/>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4"/>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4"/>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4"/>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4"/>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4"/>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4"/>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4"/>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4"/>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4"/>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4"/>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4"/>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4"/>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4"/>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4"/>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4"/>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4"/>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4"/>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4"/>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4"/>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4"/>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4"/>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4"/>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4"/>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4"/>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4"/>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4"/>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4"/>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4"/>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4"/>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4"/>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4"/>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4"/>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4"/>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4"/>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4"/>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4"/>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4"/>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4"/>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4"/>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4"/>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4"/>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4"/>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4"/>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4"/>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4"/>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4"/>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4"/>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4"/>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4"/>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4"/>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4"/>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4"/>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4"/>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4"/>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4"/>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4"/>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4"/>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4"/>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4"/>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4"/>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4"/>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4"/>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4"/>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4"/>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4"/>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4"/>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4"/>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4"/>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4"/>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4"/>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4"/>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4"/>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4"/>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4"/>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4"/>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4"/>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4"/>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4"/>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4"/>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4"/>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4"/>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4"/>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4"/>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4"/>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4"/>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4"/>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4"/>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4"/>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4"/>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4"/>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4"/>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4"/>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4"/>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4"/>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4"/>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4"/>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4"/>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4"/>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4"/>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4"/>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4"/>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4"/>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4"/>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4"/>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4"/>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4"/>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4"/>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4"/>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4"/>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4"/>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4"/>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4"/>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4"/>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4"/>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4"/>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4"/>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4"/>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4"/>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4"/>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4"/>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4"/>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4"/>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4"/>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4"/>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4"/>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4"/>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4"/>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4"/>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4"/>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4"/>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4"/>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4"/>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4"/>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4"/>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4"/>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4"/>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4"/>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4"/>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4"/>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4"/>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4"/>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4"/>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4"/>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4"/>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4"/>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4"/>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4"/>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4"/>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4"/>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4"/>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4"/>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4"/>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4"/>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4"/>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4"/>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4"/>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4"/>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4"/>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4"/>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4"/>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4"/>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4"/>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4"/>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4"/>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4"/>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4"/>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4"/>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4"/>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4"/>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4"/>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4"/>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4"/>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4"/>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4"/>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4"/>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4"/>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4"/>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4"/>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4"/>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4"/>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4"/>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4"/>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4"/>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4"/>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4"/>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4"/>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4"/>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4"/>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4"/>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4"/>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4"/>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4"/>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4"/>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4"/>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4"/>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4"/>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4"/>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4"/>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4"/>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4"/>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4"/>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4"/>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4"/>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4"/>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4"/>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4"/>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4"/>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4"/>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4"/>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4"/>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4"/>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4"/>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4"/>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4"/>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4"/>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4"/>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4"/>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4"/>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4"/>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4"/>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4"/>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4"/>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4"/>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4"/>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4"/>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4"/>
      <c r="U999" s="3"/>
      <c r="V999" s="3"/>
      <c r="W999" s="3"/>
      <c r="X999" s="3"/>
      <c r="Y999" s="3"/>
      <c r="Z999" s="3"/>
    </row>
  </sheetData>
  <mergeCells count="3">
    <mergeCell ref="A4:A5"/>
    <mergeCell ref="B4:B5"/>
    <mergeCell ref="C5:D5"/>
  </mergeCells>
  <dataValidations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68"/>
  <sheetViews>
    <sheetView workbookViewId="0"/>
  </sheetViews>
  <sheetFormatPr baseColWidth="10" defaultColWidth="12.625" defaultRowHeight="15" customHeight="1"/>
  <cols>
    <col min="1" max="2" width="11" customWidth="1"/>
    <col min="3" max="3" width="25.625" customWidth="1"/>
    <col min="4" max="4" width="18.625" customWidth="1"/>
    <col min="5" max="5" width="12" customWidth="1"/>
    <col min="6" max="6" width="12.625" customWidth="1"/>
    <col min="7" max="7" width="23.625" customWidth="1"/>
    <col min="8" max="9" width="11" customWidth="1"/>
    <col min="10" max="10" width="13.625" customWidth="1"/>
    <col min="11" max="12" width="11" customWidth="1"/>
    <col min="13" max="13" width="14.625" bestFit="1" customWidth="1"/>
    <col min="14" max="14" width="12.625" customWidth="1"/>
    <col min="15" max="15" width="13.25" customWidth="1"/>
    <col min="16" max="28" width="11" customWidth="1"/>
  </cols>
  <sheetData>
    <row r="1" spans="1:28" ht="14.25" customHeight="1">
      <c r="A1" s="1066" t="s">
        <v>252</v>
      </c>
      <c r="B1" s="1072" t="s">
        <v>9</v>
      </c>
      <c r="C1" s="1072" t="s">
        <v>253</v>
      </c>
      <c r="D1" s="1072" t="s">
        <v>254</v>
      </c>
      <c r="E1" s="1068" t="s">
        <v>848</v>
      </c>
      <c r="F1" s="1068" t="s">
        <v>905</v>
      </c>
      <c r="G1" s="1066" t="s">
        <v>257</v>
      </c>
      <c r="H1" s="1070" t="s">
        <v>258</v>
      </c>
      <c r="I1" s="138"/>
      <c r="J1" s="138"/>
      <c r="K1" s="138"/>
      <c r="L1" s="138"/>
      <c r="M1" s="988">
        <v>45169</v>
      </c>
      <c r="N1" s="140" t="s">
        <v>255</v>
      </c>
      <c r="O1" s="140" t="s">
        <v>256</v>
      </c>
      <c r="P1" s="138"/>
      <c r="Q1" s="138"/>
      <c r="R1" s="138"/>
      <c r="S1" s="138"/>
      <c r="T1" s="138"/>
      <c r="U1" s="138"/>
      <c r="V1" s="138"/>
      <c r="W1" s="138"/>
      <c r="X1" s="138"/>
      <c r="Y1" s="138"/>
      <c r="Z1" s="138"/>
      <c r="AA1" s="138"/>
      <c r="AB1" s="138"/>
    </row>
    <row r="2" spans="1:28" ht="14.25" customHeight="1">
      <c r="A2" s="1067" t="s">
        <v>281</v>
      </c>
      <c r="B2" s="1067" t="s">
        <v>278</v>
      </c>
      <c r="C2" s="1067" t="s">
        <v>267</v>
      </c>
      <c r="D2" s="1067" t="s">
        <v>282</v>
      </c>
      <c r="E2" s="1069">
        <v>32007.51</v>
      </c>
      <c r="F2" s="1069">
        <v>-22494.36</v>
      </c>
      <c r="G2" s="1067" t="s">
        <v>283</v>
      </c>
      <c r="H2" s="1064">
        <v>423</v>
      </c>
      <c r="I2" s="1026"/>
      <c r="J2" s="1025"/>
      <c r="K2" s="1025"/>
      <c r="L2" s="138"/>
      <c r="M2" s="140" t="s">
        <v>261</v>
      </c>
      <c r="N2" s="142">
        <f>+SUM(E:E)</f>
        <v>2779322.1000000006</v>
      </c>
      <c r="O2" s="143">
        <f>+SUM(F:F)</f>
        <v>-640715.52999999991</v>
      </c>
      <c r="P2" s="138"/>
      <c r="Q2" s="138"/>
      <c r="R2" s="138"/>
      <c r="S2" s="138"/>
      <c r="T2" s="138"/>
      <c r="U2" s="138"/>
      <c r="V2" s="138"/>
      <c r="W2" s="138"/>
      <c r="X2" s="138"/>
      <c r="Y2" s="138"/>
      <c r="Z2" s="138"/>
      <c r="AA2" s="138"/>
      <c r="AB2" s="138"/>
    </row>
    <row r="3" spans="1:28" ht="14.25" customHeight="1">
      <c r="A3" s="1067" t="s">
        <v>3341</v>
      </c>
      <c r="B3" s="1067" t="s">
        <v>278</v>
      </c>
      <c r="C3" s="1067" t="s">
        <v>267</v>
      </c>
      <c r="D3" s="1067" t="s">
        <v>282</v>
      </c>
      <c r="E3" s="1069">
        <v>24454.46</v>
      </c>
      <c r="F3" s="1065"/>
      <c r="G3" s="1067" t="s">
        <v>3342</v>
      </c>
      <c r="H3" s="1064">
        <v>306</v>
      </c>
      <c r="I3" s="1025"/>
      <c r="J3" s="1025"/>
      <c r="K3" s="1025"/>
      <c r="L3" s="138"/>
      <c r="M3" s="138" t="s">
        <v>263</v>
      </c>
      <c r="N3" s="149">
        <f>COUNT(E:E)</f>
        <v>111</v>
      </c>
      <c r="O3" s="144">
        <f>-O2/N2</f>
        <v>0.23052942658211503</v>
      </c>
      <c r="P3" s="138"/>
      <c r="Q3" s="138"/>
      <c r="R3" s="138"/>
      <c r="S3" s="138"/>
      <c r="T3" s="138"/>
      <c r="U3" s="138"/>
      <c r="V3" s="138"/>
      <c r="W3" s="138"/>
      <c r="X3" s="138"/>
      <c r="Y3" s="138"/>
      <c r="Z3" s="138"/>
      <c r="AA3" s="138"/>
      <c r="AB3" s="138"/>
    </row>
    <row r="4" spans="1:28" ht="14.25" customHeight="1">
      <c r="A4" s="1067" t="s">
        <v>3419</v>
      </c>
      <c r="B4" s="1067" t="s">
        <v>268</v>
      </c>
      <c r="C4" s="1067" t="s">
        <v>267</v>
      </c>
      <c r="D4" s="1067" t="s">
        <v>269</v>
      </c>
      <c r="E4" s="1069">
        <v>37735.15</v>
      </c>
      <c r="F4" s="1065"/>
      <c r="G4" s="1067" t="s">
        <v>3420</v>
      </c>
      <c r="H4" s="1064">
        <v>188</v>
      </c>
      <c r="I4" s="1025"/>
      <c r="J4" s="1025"/>
      <c r="K4" s="1025"/>
      <c r="L4" s="138"/>
      <c r="M4" s="138"/>
      <c r="N4" s="138"/>
      <c r="O4" s="138"/>
      <c r="P4" s="138"/>
      <c r="Q4" s="138"/>
      <c r="R4" s="138"/>
      <c r="S4" s="138"/>
      <c r="T4" s="138"/>
      <c r="U4" s="138"/>
      <c r="V4" s="138"/>
      <c r="W4" s="138"/>
      <c r="X4" s="138"/>
      <c r="Y4" s="138"/>
      <c r="Z4" s="138"/>
      <c r="AA4" s="138"/>
      <c r="AB4" s="138"/>
    </row>
    <row r="5" spans="1:28" ht="14.25" customHeight="1">
      <c r="A5" s="1067" t="s">
        <v>3421</v>
      </c>
      <c r="B5" s="1067" t="s">
        <v>266</v>
      </c>
      <c r="C5" s="1067" t="s">
        <v>267</v>
      </c>
      <c r="D5" s="1067" t="s">
        <v>3408</v>
      </c>
      <c r="E5" s="1069">
        <v>29929.55</v>
      </c>
      <c r="F5" s="1065"/>
      <c r="G5" s="1067" t="s">
        <v>3422</v>
      </c>
      <c r="H5" s="1064">
        <v>187</v>
      </c>
      <c r="I5" s="1025"/>
      <c r="J5" s="1025"/>
      <c r="K5" s="1025"/>
      <c r="L5" s="138"/>
      <c r="M5" s="138" t="s">
        <v>274</v>
      </c>
      <c r="N5" s="150">
        <f>+N2/N3</f>
        <v>25038.937837837842</v>
      </c>
      <c r="O5" s="138"/>
      <c r="P5" s="138"/>
      <c r="Q5" s="138"/>
      <c r="R5" s="138"/>
      <c r="S5" s="138"/>
      <c r="T5" s="138"/>
      <c r="U5" s="138"/>
      <c r="V5" s="138"/>
      <c r="W5" s="138"/>
      <c r="X5" s="138"/>
      <c r="Y5" s="138"/>
      <c r="Z5" s="138"/>
      <c r="AA5" s="138"/>
      <c r="AB5" s="138"/>
    </row>
    <row r="6" spans="1:28" ht="14.25" customHeight="1">
      <c r="A6" s="1067" t="s">
        <v>3441</v>
      </c>
      <c r="B6" s="1067" t="s">
        <v>266</v>
      </c>
      <c r="C6" s="1067" t="s">
        <v>267</v>
      </c>
      <c r="D6" s="1067" t="s">
        <v>262</v>
      </c>
      <c r="E6" s="1069">
        <v>31306.12</v>
      </c>
      <c r="F6" s="1065"/>
      <c r="G6" s="1067" t="s">
        <v>3442</v>
      </c>
      <c r="H6" s="1064">
        <v>131</v>
      </c>
      <c r="I6" s="1025"/>
      <c r="J6" s="1025"/>
      <c r="K6" s="1025"/>
      <c r="L6" s="138"/>
      <c r="M6" s="138"/>
      <c r="N6" s="138"/>
      <c r="O6" s="138"/>
      <c r="P6" s="138"/>
      <c r="Q6" s="138"/>
      <c r="R6" s="138"/>
      <c r="S6" s="138"/>
      <c r="T6" s="138"/>
      <c r="U6" s="138"/>
      <c r="V6" s="138"/>
      <c r="W6" s="138"/>
      <c r="X6" s="138"/>
      <c r="Y6" s="138"/>
      <c r="Z6" s="138"/>
      <c r="AA6" s="138"/>
      <c r="AB6" s="138"/>
    </row>
    <row r="7" spans="1:28" ht="14.25" customHeight="1">
      <c r="A7" s="1067" t="s">
        <v>3548</v>
      </c>
      <c r="B7" s="1067" t="s">
        <v>3549</v>
      </c>
      <c r="C7" s="1067" t="s">
        <v>3543</v>
      </c>
      <c r="D7" s="1067" t="s">
        <v>3544</v>
      </c>
      <c r="E7" s="1069">
        <v>17680.419999999998</v>
      </c>
      <c r="F7" s="1065"/>
      <c r="G7" s="1067" t="s">
        <v>3550</v>
      </c>
      <c r="H7" s="1064">
        <v>121</v>
      </c>
      <c r="I7" s="1025"/>
      <c r="J7" s="1025"/>
      <c r="K7" s="1025"/>
      <c r="L7" s="138"/>
      <c r="M7" s="151" t="s">
        <v>276</v>
      </c>
      <c r="N7" s="152">
        <f>SUM(E2:E13)</f>
        <v>337989.36</v>
      </c>
      <c r="O7" s="144">
        <f>+N7/N2</f>
        <v>0.12160856059108799</v>
      </c>
      <c r="P7" s="138"/>
      <c r="Q7" s="138"/>
      <c r="R7" s="138"/>
      <c r="S7" s="138"/>
      <c r="T7" s="138"/>
      <c r="U7" s="138"/>
      <c r="V7" s="138"/>
      <c r="W7" s="138"/>
      <c r="X7" s="138"/>
      <c r="Y7" s="138"/>
      <c r="Z7" s="138"/>
      <c r="AA7" s="138"/>
      <c r="AB7" s="138"/>
    </row>
    <row r="8" spans="1:28" ht="14.25" customHeight="1">
      <c r="A8" s="1067" t="s">
        <v>3463</v>
      </c>
      <c r="B8" s="1067" t="s">
        <v>268</v>
      </c>
      <c r="C8" s="1067" t="s">
        <v>267</v>
      </c>
      <c r="D8" s="1067" t="s">
        <v>260</v>
      </c>
      <c r="E8" s="1069">
        <v>28635.15</v>
      </c>
      <c r="F8" s="1069">
        <v>-31332.799999999999</v>
      </c>
      <c r="G8" s="1067" t="s">
        <v>3464</v>
      </c>
      <c r="H8" s="1064">
        <v>104</v>
      </c>
      <c r="I8" s="1025"/>
      <c r="J8" s="1025"/>
      <c r="K8" s="1025"/>
      <c r="L8" s="138"/>
      <c r="M8" s="138"/>
      <c r="N8" s="148">
        <f>COUNT(H2:H13)</f>
        <v>12</v>
      </c>
      <c r="O8" s="144">
        <f>+N8/(N3)</f>
        <v>0.10810810810810811</v>
      </c>
      <c r="P8" s="138"/>
      <c r="Q8" s="138"/>
      <c r="R8" s="138"/>
      <c r="S8" s="138"/>
      <c r="T8" s="138"/>
      <c r="U8" s="138"/>
      <c r="V8" s="138"/>
      <c r="W8" s="138"/>
      <c r="X8" s="138"/>
      <c r="Y8" s="138"/>
      <c r="Z8" s="138"/>
      <c r="AA8" s="138"/>
      <c r="AB8" s="138"/>
    </row>
    <row r="9" spans="1:28" ht="14.25" customHeight="1">
      <c r="A9" s="1067" t="s">
        <v>3459</v>
      </c>
      <c r="B9" s="1067" t="s">
        <v>259</v>
      </c>
      <c r="C9" s="1067" t="s">
        <v>267</v>
      </c>
      <c r="D9" s="1067" t="s">
        <v>260</v>
      </c>
      <c r="E9" s="1069">
        <v>38815.25</v>
      </c>
      <c r="F9" s="1065"/>
      <c r="G9" s="1067" t="s">
        <v>3460</v>
      </c>
      <c r="H9" s="1064">
        <v>94</v>
      </c>
      <c r="I9" s="1025"/>
      <c r="J9" s="1025"/>
      <c r="K9" s="1025"/>
      <c r="L9" s="138"/>
      <c r="M9" s="138"/>
      <c r="N9" s="138"/>
      <c r="O9" s="138"/>
      <c r="P9" s="138"/>
      <c r="Q9" s="138"/>
      <c r="R9" s="138"/>
      <c r="S9" s="138"/>
      <c r="T9" s="138"/>
      <c r="U9" s="138"/>
      <c r="V9" s="138"/>
      <c r="W9" s="138"/>
      <c r="X9" s="138"/>
      <c r="Y9" s="138"/>
      <c r="Z9" s="138"/>
      <c r="AA9" s="138"/>
      <c r="AB9" s="138"/>
    </row>
    <row r="10" spans="1:28" ht="14.25" customHeight="1">
      <c r="A10" s="1067" t="s">
        <v>3461</v>
      </c>
      <c r="B10" s="1067" t="s">
        <v>278</v>
      </c>
      <c r="C10" s="1067" t="s">
        <v>267</v>
      </c>
      <c r="D10" s="1067" t="s">
        <v>260</v>
      </c>
      <c r="E10" s="1069">
        <v>31315.25</v>
      </c>
      <c r="F10" s="1069">
        <v>-24944.54</v>
      </c>
      <c r="G10" s="1067" t="s">
        <v>3462</v>
      </c>
      <c r="H10" s="1064">
        <v>94</v>
      </c>
      <c r="I10" s="1025"/>
      <c r="J10" s="1025"/>
      <c r="K10" s="1025"/>
      <c r="L10" s="138"/>
      <c r="M10" s="138"/>
      <c r="N10" s="138"/>
      <c r="O10" s="138"/>
      <c r="P10" s="138"/>
      <c r="Q10" s="138"/>
      <c r="R10" s="138"/>
      <c r="S10" s="138"/>
      <c r="T10" s="138"/>
      <c r="U10" s="138"/>
      <c r="V10" s="138"/>
      <c r="W10" s="138"/>
      <c r="X10" s="138"/>
      <c r="Y10" s="138"/>
      <c r="Z10" s="138"/>
      <c r="AA10" s="138"/>
      <c r="AB10" s="138"/>
    </row>
    <row r="11" spans="1:28" ht="14.25" customHeight="1">
      <c r="A11" s="1067" t="s">
        <v>3466</v>
      </c>
      <c r="B11" s="1067" t="s">
        <v>275</v>
      </c>
      <c r="C11" s="1067" t="s">
        <v>267</v>
      </c>
      <c r="D11" s="1067" t="s">
        <v>277</v>
      </c>
      <c r="E11" s="1069">
        <v>21280.25</v>
      </c>
      <c r="F11" s="1069">
        <v>-10962</v>
      </c>
      <c r="G11" s="1067" t="s">
        <v>3467</v>
      </c>
      <c r="H11" s="1064">
        <v>94</v>
      </c>
      <c r="I11" s="1025"/>
      <c r="J11" s="1025"/>
      <c r="K11" s="1025"/>
      <c r="L11" s="138"/>
      <c r="M11" s="138"/>
      <c r="N11" s="138"/>
      <c r="O11" s="138"/>
      <c r="P11" s="138"/>
      <c r="Q11" s="138"/>
      <c r="R11" s="138"/>
      <c r="S11" s="138"/>
      <c r="T11" s="138"/>
      <c r="U11" s="138"/>
      <c r="V11" s="138"/>
      <c r="W11" s="138"/>
      <c r="X11" s="138"/>
      <c r="Y11" s="138"/>
      <c r="Z11" s="138"/>
      <c r="AA11" s="138"/>
      <c r="AB11" s="138"/>
    </row>
    <row r="12" spans="1:28" ht="14.25" customHeight="1">
      <c r="A12" s="1067" t="s">
        <v>3468</v>
      </c>
      <c r="B12" s="1067" t="s">
        <v>266</v>
      </c>
      <c r="C12" s="1067" t="s">
        <v>3469</v>
      </c>
      <c r="D12" s="1067" t="s">
        <v>3470</v>
      </c>
      <c r="E12" s="1069">
        <v>17550</v>
      </c>
      <c r="F12" s="1065"/>
      <c r="G12" s="1067" t="s">
        <v>3471</v>
      </c>
      <c r="H12" s="1064">
        <v>93</v>
      </c>
      <c r="I12" s="1025"/>
      <c r="J12" s="1025"/>
      <c r="K12" s="1025"/>
      <c r="L12" s="138"/>
      <c r="M12" s="138"/>
      <c r="N12" s="138"/>
      <c r="O12" s="138"/>
      <c r="P12" s="138"/>
      <c r="Q12" s="138"/>
      <c r="R12" s="138"/>
      <c r="S12" s="138"/>
      <c r="T12" s="138"/>
      <c r="U12" s="138"/>
      <c r="V12" s="138"/>
      <c r="W12" s="138"/>
      <c r="X12" s="138"/>
      <c r="Y12" s="138"/>
      <c r="Z12" s="138"/>
      <c r="AA12" s="138"/>
      <c r="AB12" s="138"/>
    </row>
    <row r="13" spans="1:28" ht="14.25" customHeight="1">
      <c r="A13" s="1067" t="s">
        <v>3534</v>
      </c>
      <c r="B13" s="1067" t="s">
        <v>275</v>
      </c>
      <c r="C13" s="1067" t="s">
        <v>267</v>
      </c>
      <c r="D13" s="1067" t="s">
        <v>279</v>
      </c>
      <c r="E13" s="1069">
        <v>27280.25</v>
      </c>
      <c r="F13" s="1069">
        <v>-17480.23</v>
      </c>
      <c r="G13" s="1067" t="s">
        <v>3535</v>
      </c>
      <c r="H13" s="1064">
        <v>90</v>
      </c>
      <c r="I13" s="1025"/>
      <c r="J13" s="1025"/>
      <c r="K13" s="1025"/>
      <c r="L13" s="138"/>
      <c r="M13" s="138"/>
      <c r="N13" s="138"/>
      <c r="O13" s="138"/>
      <c r="P13" s="138"/>
      <c r="Q13" s="138"/>
      <c r="R13" s="138"/>
      <c r="S13" s="138"/>
      <c r="T13" s="138"/>
      <c r="U13" s="138"/>
      <c r="V13" s="138"/>
      <c r="W13" s="138"/>
      <c r="X13" s="138"/>
      <c r="Y13" s="138"/>
      <c r="Z13" s="138"/>
      <c r="AA13" s="138"/>
      <c r="AB13" s="138"/>
    </row>
    <row r="14" spans="1:28" ht="14.25" customHeight="1">
      <c r="A14" s="1067" t="s">
        <v>3511</v>
      </c>
      <c r="B14" s="1067" t="s">
        <v>259</v>
      </c>
      <c r="C14" s="1067" t="s">
        <v>267</v>
      </c>
      <c r="D14" s="1067" t="s">
        <v>269</v>
      </c>
      <c r="E14" s="1069">
        <v>44105.05</v>
      </c>
      <c r="F14" s="1069">
        <v>-38250</v>
      </c>
      <c r="G14" s="1067" t="s">
        <v>3512</v>
      </c>
      <c r="H14" s="1071">
        <v>88</v>
      </c>
      <c r="I14" s="1025"/>
      <c r="J14" s="1025"/>
      <c r="K14" s="1025"/>
      <c r="L14" s="138"/>
      <c r="M14" s="138"/>
      <c r="N14" s="138"/>
      <c r="O14" s="138"/>
      <c r="P14" s="138"/>
      <c r="Q14" s="138"/>
      <c r="R14" s="138"/>
      <c r="S14" s="138"/>
      <c r="T14" s="138"/>
      <c r="U14" s="138"/>
      <c r="V14" s="138"/>
      <c r="W14" s="138"/>
      <c r="X14" s="138"/>
      <c r="Y14" s="138"/>
      <c r="Z14" s="138"/>
      <c r="AA14" s="138"/>
      <c r="AB14" s="138"/>
    </row>
    <row r="15" spans="1:28" ht="14.25" customHeight="1">
      <c r="A15" s="1067" t="s">
        <v>3525</v>
      </c>
      <c r="B15" s="1067" t="s">
        <v>278</v>
      </c>
      <c r="C15" s="1067" t="s">
        <v>267</v>
      </c>
      <c r="D15" s="1067" t="s">
        <v>269</v>
      </c>
      <c r="E15" s="1069">
        <v>36415.129999999997</v>
      </c>
      <c r="F15" s="1069">
        <v>-26892</v>
      </c>
      <c r="G15" s="1067" t="s">
        <v>3526</v>
      </c>
      <c r="H15" s="1071">
        <v>82</v>
      </c>
      <c r="I15" s="1025"/>
      <c r="J15" s="1025"/>
      <c r="K15" s="1025"/>
      <c r="L15" s="138"/>
      <c r="M15" s="138"/>
      <c r="N15" s="138"/>
      <c r="O15" s="138"/>
      <c r="P15" s="138"/>
      <c r="Q15" s="138"/>
      <c r="R15" s="138"/>
      <c r="S15" s="138"/>
      <c r="T15" s="138"/>
      <c r="U15" s="138"/>
      <c r="V15" s="138"/>
      <c r="W15" s="138"/>
      <c r="X15" s="138"/>
      <c r="Y15" s="138"/>
      <c r="Z15" s="138"/>
      <c r="AA15" s="138"/>
      <c r="AB15" s="138"/>
    </row>
    <row r="16" spans="1:28" ht="14.25" customHeight="1">
      <c r="A16" s="1067" t="s">
        <v>3519</v>
      </c>
      <c r="B16" s="1067" t="s">
        <v>278</v>
      </c>
      <c r="C16" s="1067" t="s">
        <v>267</v>
      </c>
      <c r="D16" s="1067" t="s">
        <v>260</v>
      </c>
      <c r="E16" s="1069">
        <v>27935.05</v>
      </c>
      <c r="F16" s="1065"/>
      <c r="G16" s="1067" t="s">
        <v>3520</v>
      </c>
      <c r="H16" s="1071">
        <v>76</v>
      </c>
      <c r="I16" s="1025"/>
      <c r="J16" s="1025"/>
      <c r="K16" s="1025"/>
      <c r="L16" s="138"/>
      <c r="M16" s="138"/>
      <c r="N16" s="138"/>
      <c r="O16" s="138"/>
      <c r="P16" s="138"/>
      <c r="Q16" s="138"/>
      <c r="R16" s="138"/>
      <c r="S16" s="138"/>
      <c r="T16" s="138"/>
      <c r="U16" s="138"/>
      <c r="V16" s="138"/>
      <c r="W16" s="138"/>
      <c r="X16" s="138"/>
      <c r="Y16" s="138"/>
      <c r="Z16" s="138"/>
      <c r="AA16" s="138"/>
      <c r="AB16" s="138"/>
    </row>
    <row r="17" spans="1:28" ht="14.25" customHeight="1">
      <c r="A17" s="1067" t="s">
        <v>3545</v>
      </c>
      <c r="B17" s="1067" t="s">
        <v>280</v>
      </c>
      <c r="C17" s="1067" t="s">
        <v>3351</v>
      </c>
      <c r="D17" s="1067" t="s">
        <v>3546</v>
      </c>
      <c r="E17" s="1069">
        <v>20050</v>
      </c>
      <c r="F17" s="1065"/>
      <c r="G17" s="1067" t="s">
        <v>3547</v>
      </c>
      <c r="H17" s="1071">
        <v>74</v>
      </c>
      <c r="I17" s="1025"/>
      <c r="J17" s="1025"/>
      <c r="K17" s="1025"/>
      <c r="L17" s="138"/>
      <c r="M17" s="138"/>
      <c r="N17" s="138"/>
      <c r="O17" s="138"/>
      <c r="P17" s="138"/>
      <c r="Q17" s="138"/>
      <c r="R17" s="138"/>
      <c r="S17" s="138"/>
      <c r="T17" s="138"/>
      <c r="U17" s="138"/>
      <c r="V17" s="138"/>
      <c r="W17" s="138"/>
      <c r="X17" s="138"/>
      <c r="Y17" s="138"/>
      <c r="Z17" s="138"/>
      <c r="AA17" s="138"/>
      <c r="AB17" s="138"/>
    </row>
    <row r="18" spans="1:28" ht="14.25" customHeight="1">
      <c r="A18" s="1067" t="s">
        <v>3538</v>
      </c>
      <c r="B18" s="1067" t="s">
        <v>266</v>
      </c>
      <c r="C18" s="1067" t="s">
        <v>267</v>
      </c>
      <c r="D18" s="1067" t="s">
        <v>260</v>
      </c>
      <c r="E18" s="1069">
        <v>20497.05</v>
      </c>
      <c r="F18" s="1065"/>
      <c r="G18" s="1067" t="s">
        <v>3539</v>
      </c>
      <c r="H18" s="1071">
        <v>72</v>
      </c>
      <c r="I18" s="1025"/>
      <c r="J18" s="1025"/>
      <c r="K18" s="1025"/>
      <c r="L18" s="138"/>
      <c r="M18" s="138"/>
      <c r="N18" s="138"/>
      <c r="O18" s="138"/>
      <c r="P18" s="138"/>
      <c r="Q18" s="138"/>
      <c r="R18" s="138"/>
      <c r="S18" s="138"/>
      <c r="T18" s="138"/>
      <c r="U18" s="138"/>
      <c r="V18" s="138"/>
      <c r="W18" s="138"/>
      <c r="X18" s="138"/>
      <c r="Y18" s="138"/>
      <c r="Z18" s="138"/>
      <c r="AA18" s="138"/>
      <c r="AB18" s="138"/>
    </row>
    <row r="19" spans="1:28" ht="14.25" customHeight="1">
      <c r="A19" s="1067" t="s">
        <v>3521</v>
      </c>
      <c r="B19" s="1067" t="s">
        <v>278</v>
      </c>
      <c r="C19" s="1067" t="s">
        <v>267</v>
      </c>
      <c r="D19" s="1067" t="s">
        <v>260</v>
      </c>
      <c r="E19" s="1069">
        <v>28075.78</v>
      </c>
      <c r="F19" s="1069">
        <v>-23850</v>
      </c>
      <c r="G19" s="1067" t="s">
        <v>3522</v>
      </c>
      <c r="H19" s="1071">
        <v>69</v>
      </c>
      <c r="I19" s="1025"/>
      <c r="J19" s="1025"/>
      <c r="K19" s="1025"/>
      <c r="L19" s="138"/>
      <c r="M19" s="138"/>
      <c r="N19" s="138"/>
      <c r="O19" s="138"/>
      <c r="P19" s="138"/>
      <c r="Q19" s="138"/>
      <c r="R19" s="138"/>
      <c r="S19" s="138"/>
      <c r="T19" s="138"/>
      <c r="U19" s="138"/>
      <c r="V19" s="138"/>
      <c r="W19" s="138"/>
      <c r="X19" s="138"/>
      <c r="Y19" s="138"/>
      <c r="Z19" s="138"/>
      <c r="AA19" s="138"/>
      <c r="AB19" s="138"/>
    </row>
    <row r="20" spans="1:28" ht="14.25" customHeight="1">
      <c r="A20" s="1067" t="s">
        <v>3532</v>
      </c>
      <c r="B20" s="1067" t="s">
        <v>275</v>
      </c>
      <c r="C20" s="1067" t="s">
        <v>267</v>
      </c>
      <c r="D20" s="1067" t="s">
        <v>260</v>
      </c>
      <c r="E20" s="1069">
        <v>26815.25</v>
      </c>
      <c r="F20" s="1065"/>
      <c r="G20" s="1067" t="s">
        <v>3533</v>
      </c>
      <c r="H20" s="1071">
        <v>69</v>
      </c>
      <c r="I20" s="1025"/>
      <c r="J20" s="1025"/>
      <c r="K20" s="1025"/>
      <c r="L20" s="138"/>
      <c r="M20" s="138"/>
      <c r="N20" s="138"/>
      <c r="O20" s="138"/>
      <c r="P20" s="138"/>
      <c r="Q20" s="138"/>
      <c r="R20" s="138"/>
      <c r="S20" s="138"/>
      <c r="T20" s="138"/>
      <c r="U20" s="138"/>
      <c r="V20" s="138"/>
      <c r="W20" s="138"/>
      <c r="X20" s="138"/>
      <c r="Y20" s="138"/>
      <c r="Z20" s="138"/>
      <c r="AA20" s="138"/>
      <c r="AB20" s="138"/>
    </row>
    <row r="21" spans="1:28" ht="14.25" customHeight="1">
      <c r="A21" s="1067" t="s">
        <v>3582</v>
      </c>
      <c r="B21" s="1067" t="s">
        <v>268</v>
      </c>
      <c r="C21" s="1067" t="s">
        <v>267</v>
      </c>
      <c r="D21" s="1067" t="s">
        <v>260</v>
      </c>
      <c r="E21" s="1069">
        <v>28447.25</v>
      </c>
      <c r="F21" s="1069">
        <v>-24418.799999999999</v>
      </c>
      <c r="G21" s="1067" t="s">
        <v>3583</v>
      </c>
      <c r="H21" s="1071">
        <v>68</v>
      </c>
      <c r="I21" s="1025"/>
      <c r="J21" s="1025"/>
      <c r="K21" s="1025"/>
      <c r="L21" s="138"/>
      <c r="M21" s="138"/>
      <c r="N21" s="138"/>
      <c r="O21" s="138"/>
      <c r="P21" s="138"/>
      <c r="Q21" s="138"/>
      <c r="R21" s="138"/>
      <c r="S21" s="138"/>
      <c r="T21" s="138"/>
      <c r="U21" s="138"/>
      <c r="V21" s="138"/>
      <c r="W21" s="138"/>
      <c r="X21" s="138"/>
      <c r="Y21" s="138"/>
      <c r="Z21" s="138"/>
      <c r="AA21" s="138"/>
      <c r="AB21" s="138"/>
    </row>
    <row r="22" spans="1:28" ht="14.25" customHeight="1">
      <c r="A22" s="1067" t="s">
        <v>3536</v>
      </c>
      <c r="B22" s="1067" t="s">
        <v>275</v>
      </c>
      <c r="C22" s="1067" t="s">
        <v>267</v>
      </c>
      <c r="D22" s="1067" t="s">
        <v>262</v>
      </c>
      <c r="E22" s="1069">
        <v>29352</v>
      </c>
      <c r="F22" s="1065"/>
      <c r="G22" s="1067" t="s">
        <v>3537</v>
      </c>
      <c r="H22" s="1071">
        <v>66</v>
      </c>
      <c r="I22" s="1025"/>
      <c r="J22" s="1025"/>
      <c r="K22" s="1025"/>
      <c r="L22" s="138"/>
      <c r="M22" s="138"/>
      <c r="N22" s="138"/>
      <c r="O22" s="138"/>
      <c r="P22" s="138"/>
      <c r="Q22" s="138"/>
      <c r="R22" s="138"/>
      <c r="S22" s="138"/>
      <c r="T22" s="138"/>
      <c r="U22" s="138"/>
      <c r="V22" s="138"/>
      <c r="W22" s="138"/>
      <c r="X22" s="138"/>
      <c r="Y22" s="138"/>
      <c r="Z22" s="138"/>
      <c r="AA22" s="138"/>
      <c r="AB22" s="138"/>
    </row>
    <row r="23" spans="1:28" ht="14.25" customHeight="1">
      <c r="A23" s="1067" t="s">
        <v>3541</v>
      </c>
      <c r="B23" s="1067" t="s">
        <v>266</v>
      </c>
      <c r="C23" s="1067" t="s">
        <v>267</v>
      </c>
      <c r="D23" s="1067" t="s">
        <v>273</v>
      </c>
      <c r="E23" s="1069">
        <v>18787.5</v>
      </c>
      <c r="F23" s="1065"/>
      <c r="G23" s="1067" t="s">
        <v>3542</v>
      </c>
      <c r="H23" s="1071">
        <v>66</v>
      </c>
      <c r="I23" s="1025"/>
      <c r="J23" s="1025"/>
      <c r="K23" s="1025"/>
      <c r="L23" s="138"/>
      <c r="M23" s="138"/>
      <c r="N23" s="138"/>
      <c r="O23" s="138"/>
      <c r="P23" s="138"/>
      <c r="Q23" s="138"/>
      <c r="R23" s="138"/>
      <c r="S23" s="138"/>
      <c r="T23" s="138"/>
      <c r="U23" s="138"/>
      <c r="V23" s="138"/>
      <c r="W23" s="138"/>
      <c r="X23" s="138"/>
      <c r="Y23" s="138"/>
      <c r="Z23" s="138"/>
      <c r="AA23" s="138"/>
      <c r="AB23" s="138"/>
    </row>
    <row r="24" spans="1:28" ht="14.25" customHeight="1">
      <c r="A24" s="1067" t="s">
        <v>3523</v>
      </c>
      <c r="B24" s="1067" t="s">
        <v>278</v>
      </c>
      <c r="C24" s="1067" t="s">
        <v>267</v>
      </c>
      <c r="D24" s="1067" t="s">
        <v>277</v>
      </c>
      <c r="E24" s="1069">
        <v>18043.82</v>
      </c>
      <c r="F24" s="1065"/>
      <c r="G24" s="1067" t="s">
        <v>3524</v>
      </c>
      <c r="H24" s="1071">
        <v>65</v>
      </c>
      <c r="I24" s="1025"/>
      <c r="J24" s="1025"/>
      <c r="K24" s="1025"/>
      <c r="L24" s="138"/>
      <c r="M24" s="138"/>
      <c r="N24" s="138"/>
      <c r="O24" s="138"/>
      <c r="P24" s="138"/>
      <c r="Q24" s="138"/>
      <c r="R24" s="138"/>
      <c r="S24" s="138"/>
      <c r="T24" s="138"/>
      <c r="U24" s="138"/>
      <c r="V24" s="138"/>
      <c r="W24" s="138"/>
      <c r="X24" s="138"/>
      <c r="Y24" s="138"/>
      <c r="Z24" s="138"/>
      <c r="AA24" s="138"/>
      <c r="AB24" s="138"/>
    </row>
    <row r="25" spans="1:28" ht="14.25" customHeight="1">
      <c r="A25" s="1067" t="s">
        <v>3515</v>
      </c>
      <c r="B25" s="1067" t="s">
        <v>268</v>
      </c>
      <c r="C25" s="1067" t="s">
        <v>267</v>
      </c>
      <c r="D25" s="1067" t="s">
        <v>262</v>
      </c>
      <c r="E25" s="1069">
        <v>40209.65</v>
      </c>
      <c r="F25" s="1065"/>
      <c r="G25" s="1067" t="s">
        <v>3516</v>
      </c>
      <c r="H25" s="1071">
        <v>62</v>
      </c>
      <c r="I25" s="1025"/>
      <c r="J25" s="1025"/>
      <c r="K25" s="1025"/>
      <c r="L25" s="138"/>
      <c r="M25" s="138"/>
      <c r="N25" s="138"/>
      <c r="O25" s="138"/>
      <c r="P25" s="138"/>
      <c r="Q25" s="138"/>
      <c r="R25" s="138"/>
      <c r="S25" s="138"/>
      <c r="T25" s="138"/>
      <c r="U25" s="138"/>
      <c r="V25" s="138"/>
      <c r="W25" s="138"/>
      <c r="X25" s="138"/>
      <c r="Y25" s="138"/>
      <c r="Z25" s="138"/>
      <c r="AA25" s="138"/>
      <c r="AB25" s="138"/>
    </row>
    <row r="26" spans="1:28" ht="14.25" customHeight="1">
      <c r="A26" s="1067" t="s">
        <v>3517</v>
      </c>
      <c r="B26" s="1067" t="s">
        <v>278</v>
      </c>
      <c r="C26" s="1067" t="s">
        <v>267</v>
      </c>
      <c r="D26" s="1067" t="s">
        <v>260</v>
      </c>
      <c r="E26" s="1069">
        <v>30620.3</v>
      </c>
      <c r="F26" s="1065"/>
      <c r="G26" s="1067" t="s">
        <v>3518</v>
      </c>
      <c r="H26" s="1071">
        <v>62</v>
      </c>
      <c r="I26" s="1025"/>
      <c r="J26" s="1025"/>
      <c r="K26" s="1025"/>
      <c r="L26" s="138"/>
      <c r="M26" s="138"/>
      <c r="N26" s="138"/>
      <c r="O26" s="138"/>
      <c r="P26" s="138"/>
      <c r="Q26" s="138"/>
      <c r="R26" s="138"/>
      <c r="S26" s="138"/>
      <c r="T26" s="138"/>
      <c r="U26" s="138"/>
      <c r="V26" s="138"/>
      <c r="W26" s="138"/>
      <c r="X26" s="138"/>
      <c r="Y26" s="138"/>
      <c r="Z26" s="138"/>
      <c r="AA26" s="138"/>
      <c r="AB26" s="138"/>
    </row>
    <row r="27" spans="1:28" ht="14.25" customHeight="1">
      <c r="A27" s="1067" t="s">
        <v>3530</v>
      </c>
      <c r="B27" s="1067" t="s">
        <v>278</v>
      </c>
      <c r="C27" s="1067" t="s">
        <v>3473</v>
      </c>
      <c r="D27" s="1067" t="s">
        <v>3474</v>
      </c>
      <c r="E27" s="1069">
        <v>28211.38</v>
      </c>
      <c r="F27" s="1065"/>
      <c r="G27" s="1067" t="s">
        <v>3531</v>
      </c>
      <c r="H27" s="1071">
        <v>62</v>
      </c>
      <c r="I27" s="1025"/>
      <c r="J27" s="1025"/>
      <c r="K27" s="1025"/>
      <c r="L27" s="138"/>
      <c r="M27" s="138"/>
      <c r="N27" s="138"/>
      <c r="O27" s="138"/>
      <c r="P27" s="138"/>
      <c r="Q27" s="138"/>
      <c r="R27" s="138"/>
      <c r="S27" s="138"/>
      <c r="T27" s="138"/>
      <c r="U27" s="138"/>
      <c r="V27" s="138"/>
      <c r="W27" s="138"/>
      <c r="X27" s="138"/>
      <c r="Y27" s="138"/>
      <c r="Z27" s="138"/>
      <c r="AA27" s="138"/>
      <c r="AB27" s="138"/>
    </row>
    <row r="28" spans="1:28" ht="14.25" customHeight="1">
      <c r="A28" s="1067" t="s">
        <v>3527</v>
      </c>
      <c r="B28" s="1067" t="s">
        <v>278</v>
      </c>
      <c r="C28" s="1067" t="s">
        <v>3434</v>
      </c>
      <c r="D28" s="1067" t="s">
        <v>3528</v>
      </c>
      <c r="E28" s="1069">
        <v>23550</v>
      </c>
      <c r="F28" s="1065"/>
      <c r="G28" s="1067" t="s">
        <v>3529</v>
      </c>
      <c r="H28" s="1071">
        <v>61</v>
      </c>
      <c r="I28" s="1025"/>
      <c r="J28" s="1025"/>
      <c r="K28" s="1025"/>
      <c r="L28" s="138"/>
      <c r="M28" s="138"/>
      <c r="N28" s="138"/>
      <c r="O28" s="138"/>
      <c r="P28" s="138"/>
      <c r="Q28" s="138"/>
      <c r="R28" s="138"/>
      <c r="S28" s="138"/>
      <c r="T28" s="138"/>
      <c r="U28" s="138"/>
      <c r="V28" s="138"/>
      <c r="W28" s="138"/>
      <c r="X28" s="138"/>
      <c r="Y28" s="138"/>
      <c r="Z28" s="138"/>
      <c r="AA28" s="138"/>
      <c r="AB28" s="138"/>
    </row>
    <row r="29" spans="1:28" ht="14.25" customHeight="1">
      <c r="A29" s="1067" t="s">
        <v>3584</v>
      </c>
      <c r="B29" s="1067" t="s">
        <v>259</v>
      </c>
      <c r="C29" s="1067" t="s">
        <v>267</v>
      </c>
      <c r="D29" s="1067" t="s">
        <v>260</v>
      </c>
      <c r="E29" s="1069">
        <v>36524.6</v>
      </c>
      <c r="F29" s="1065"/>
      <c r="G29" s="1067" t="s">
        <v>3585</v>
      </c>
      <c r="H29" s="1071">
        <v>60</v>
      </c>
      <c r="I29" s="1025"/>
      <c r="J29" s="1025"/>
      <c r="K29" s="1025"/>
      <c r="L29" s="138"/>
      <c r="M29" s="138"/>
      <c r="N29" s="138"/>
      <c r="O29" s="138"/>
      <c r="P29" s="138"/>
      <c r="Q29" s="138"/>
      <c r="R29" s="138"/>
      <c r="S29" s="138"/>
      <c r="T29" s="138"/>
      <c r="U29" s="138"/>
      <c r="V29" s="138"/>
      <c r="W29" s="138"/>
      <c r="X29" s="138"/>
      <c r="Y29" s="138"/>
      <c r="Z29" s="138"/>
      <c r="AA29" s="138"/>
      <c r="AB29" s="138"/>
    </row>
    <row r="30" spans="1:28" ht="14.25" customHeight="1">
      <c r="A30" s="1067" t="s">
        <v>3586</v>
      </c>
      <c r="B30" s="1067" t="s">
        <v>278</v>
      </c>
      <c r="C30" s="1067" t="s">
        <v>267</v>
      </c>
      <c r="D30" s="1067" t="s">
        <v>260</v>
      </c>
      <c r="E30" s="1069">
        <v>24346.21</v>
      </c>
      <c r="F30" s="1069">
        <v>-16047.88</v>
      </c>
      <c r="G30" s="1067" t="s">
        <v>3587</v>
      </c>
      <c r="H30" s="1071">
        <v>60</v>
      </c>
      <c r="I30" s="1025"/>
      <c r="J30" s="1025"/>
      <c r="K30" s="1025"/>
      <c r="L30" s="138"/>
      <c r="M30" s="138"/>
      <c r="N30" s="138"/>
      <c r="O30" s="138"/>
      <c r="P30" s="138"/>
      <c r="Q30" s="138"/>
      <c r="R30" s="138"/>
      <c r="S30" s="138"/>
      <c r="T30" s="138"/>
      <c r="U30" s="138"/>
      <c r="V30" s="138"/>
      <c r="W30" s="138"/>
      <c r="X30" s="138"/>
      <c r="Y30" s="138"/>
      <c r="Z30" s="138"/>
      <c r="AA30" s="138"/>
      <c r="AB30" s="138"/>
    </row>
    <row r="31" spans="1:28" ht="14.25" customHeight="1">
      <c r="A31" s="1067" t="s">
        <v>3588</v>
      </c>
      <c r="B31" s="1067" t="s">
        <v>275</v>
      </c>
      <c r="C31" s="1067" t="s">
        <v>267</v>
      </c>
      <c r="D31" s="1067" t="s">
        <v>273</v>
      </c>
      <c r="E31" s="1069">
        <v>18530.25</v>
      </c>
      <c r="F31" s="1065"/>
      <c r="G31" s="1067" t="s">
        <v>3589</v>
      </c>
      <c r="H31" s="1071">
        <v>60</v>
      </c>
      <c r="I31" s="1025"/>
      <c r="J31" s="1025"/>
      <c r="K31" s="1025"/>
      <c r="L31" s="138"/>
      <c r="M31" s="138"/>
      <c r="N31" s="138"/>
      <c r="O31" s="138"/>
      <c r="P31" s="138"/>
      <c r="Q31" s="138"/>
      <c r="R31" s="138"/>
      <c r="S31" s="138"/>
      <c r="T31" s="138"/>
      <c r="U31" s="138"/>
      <c r="V31" s="138"/>
      <c r="W31" s="138"/>
      <c r="X31" s="138"/>
      <c r="Y31" s="138"/>
      <c r="Z31" s="138"/>
      <c r="AA31" s="138"/>
      <c r="AB31" s="138"/>
    </row>
    <row r="32" spans="1:28" ht="14.25" customHeight="1">
      <c r="A32" s="1067" t="s">
        <v>3513</v>
      </c>
      <c r="B32" s="1067" t="s">
        <v>268</v>
      </c>
      <c r="C32" s="1067" t="s">
        <v>267</v>
      </c>
      <c r="D32" s="1067" t="s">
        <v>260</v>
      </c>
      <c r="E32" s="1069">
        <v>29670.31</v>
      </c>
      <c r="F32" s="1069">
        <v>-25505.1</v>
      </c>
      <c r="G32" s="1067" t="s">
        <v>3514</v>
      </c>
      <c r="H32" s="1071">
        <v>59</v>
      </c>
      <c r="I32" s="1025"/>
      <c r="J32" s="1025"/>
      <c r="K32" s="1025"/>
      <c r="L32" s="138"/>
      <c r="M32" s="138"/>
      <c r="N32" s="138"/>
      <c r="O32" s="138"/>
      <c r="P32" s="138"/>
      <c r="Q32" s="138"/>
      <c r="R32" s="138"/>
      <c r="S32" s="138"/>
      <c r="T32" s="138"/>
      <c r="U32" s="138"/>
      <c r="V32" s="138"/>
      <c r="W32" s="138"/>
      <c r="X32" s="138"/>
      <c r="Y32" s="138"/>
      <c r="Z32" s="138"/>
      <c r="AA32" s="138"/>
      <c r="AB32" s="138"/>
    </row>
    <row r="33" spans="1:28" ht="14.25" customHeight="1">
      <c r="A33" s="1067" t="s">
        <v>3590</v>
      </c>
      <c r="B33" s="1067" t="s">
        <v>278</v>
      </c>
      <c r="C33" s="1067" t="s">
        <v>267</v>
      </c>
      <c r="D33" s="1067" t="s">
        <v>277</v>
      </c>
      <c r="E33" s="1069">
        <v>22965.200000000001</v>
      </c>
      <c r="F33" s="1065"/>
      <c r="G33" s="1067" t="s">
        <v>3591</v>
      </c>
      <c r="H33" s="1071">
        <v>55</v>
      </c>
      <c r="I33" s="1025"/>
      <c r="J33" s="1025"/>
      <c r="K33" s="1025"/>
      <c r="L33" s="1000"/>
      <c r="M33" s="138"/>
      <c r="N33" s="138"/>
      <c r="O33" s="138"/>
      <c r="P33" s="138"/>
      <c r="Q33" s="138"/>
      <c r="R33" s="138"/>
      <c r="S33" s="138"/>
      <c r="T33" s="138"/>
      <c r="U33" s="138"/>
      <c r="V33" s="138"/>
      <c r="W33" s="138"/>
      <c r="X33" s="138"/>
      <c r="Y33" s="138"/>
      <c r="Z33" s="138"/>
      <c r="AA33" s="138"/>
      <c r="AB33" s="138"/>
    </row>
    <row r="34" spans="1:28" ht="14.25" customHeight="1">
      <c r="A34" s="1067" t="s">
        <v>3751</v>
      </c>
      <c r="B34" s="1067" t="s">
        <v>268</v>
      </c>
      <c r="C34" s="1067" t="s">
        <v>267</v>
      </c>
      <c r="D34" s="1067" t="s">
        <v>260</v>
      </c>
      <c r="E34" s="1069">
        <v>31666.799999999999</v>
      </c>
      <c r="F34" s="1069">
        <v>-33046.589999999997</v>
      </c>
      <c r="G34" s="1067" t="s">
        <v>3752</v>
      </c>
      <c r="H34" s="1071">
        <v>54</v>
      </c>
      <c r="I34" s="1025"/>
      <c r="J34" s="1025"/>
      <c r="K34" s="1025"/>
      <c r="L34" s="138"/>
      <c r="M34" s="138"/>
      <c r="N34" s="138"/>
      <c r="O34" s="138"/>
      <c r="P34" s="138"/>
      <c r="Q34" s="138"/>
      <c r="R34" s="138"/>
      <c r="S34" s="138"/>
      <c r="T34" s="138"/>
      <c r="U34" s="138"/>
      <c r="V34" s="138"/>
      <c r="W34" s="138"/>
      <c r="X34" s="138"/>
      <c r="Y34" s="138"/>
      <c r="Z34" s="138"/>
      <c r="AA34" s="138"/>
      <c r="AB34" s="138"/>
    </row>
    <row r="35" spans="1:28" ht="14.25" customHeight="1">
      <c r="A35" s="1067" t="s">
        <v>3592</v>
      </c>
      <c r="B35" s="1067" t="s">
        <v>275</v>
      </c>
      <c r="C35" s="1067" t="s">
        <v>267</v>
      </c>
      <c r="D35" s="1067" t="s">
        <v>260</v>
      </c>
      <c r="E35" s="1069">
        <v>24846.26</v>
      </c>
      <c r="F35" s="1065"/>
      <c r="G35" s="1067" t="s">
        <v>3593</v>
      </c>
      <c r="H35" s="1071">
        <v>53</v>
      </c>
      <c r="I35" s="1025"/>
      <c r="J35" s="1025"/>
      <c r="K35" s="1025"/>
      <c r="L35" s="138"/>
      <c r="M35" s="138"/>
      <c r="N35" s="138"/>
      <c r="O35" s="138"/>
      <c r="P35" s="138"/>
      <c r="Q35" s="138"/>
      <c r="R35" s="138"/>
      <c r="S35" s="138"/>
      <c r="T35" s="138"/>
      <c r="U35" s="138"/>
      <c r="V35" s="138"/>
      <c r="W35" s="138"/>
      <c r="X35" s="138"/>
      <c r="Y35" s="138"/>
      <c r="Z35" s="138"/>
      <c r="AA35" s="138"/>
      <c r="AB35" s="138"/>
    </row>
    <row r="36" spans="1:28" ht="14.25" customHeight="1">
      <c r="A36" s="1067" t="s">
        <v>3594</v>
      </c>
      <c r="B36" s="1067" t="s">
        <v>278</v>
      </c>
      <c r="C36" s="1067" t="s">
        <v>267</v>
      </c>
      <c r="D36" s="1067" t="s">
        <v>277</v>
      </c>
      <c r="E36" s="1069">
        <v>19323.740000000002</v>
      </c>
      <c r="F36" s="1065"/>
      <c r="G36" s="1067" t="s">
        <v>3595</v>
      </c>
      <c r="H36" s="1071">
        <v>51</v>
      </c>
      <c r="I36" s="1025"/>
      <c r="J36" s="1025"/>
      <c r="K36" s="1025"/>
      <c r="L36" s="138"/>
      <c r="M36" s="138"/>
      <c r="N36" s="138"/>
      <c r="O36" s="138"/>
      <c r="P36" s="138"/>
      <c r="Q36" s="138"/>
      <c r="R36" s="138"/>
      <c r="S36" s="138"/>
      <c r="T36" s="138"/>
      <c r="U36" s="138"/>
      <c r="V36" s="138"/>
      <c r="W36" s="138"/>
      <c r="X36" s="138"/>
      <c r="Y36" s="138"/>
      <c r="Z36" s="138"/>
      <c r="AA36" s="138"/>
      <c r="AB36" s="138"/>
    </row>
    <row r="37" spans="1:28" ht="14.25" customHeight="1">
      <c r="A37" s="1067" t="s">
        <v>3596</v>
      </c>
      <c r="B37" s="1067" t="s">
        <v>275</v>
      </c>
      <c r="C37" s="1067" t="s">
        <v>267</v>
      </c>
      <c r="D37" s="1067" t="s">
        <v>273</v>
      </c>
      <c r="E37" s="1069">
        <v>18294.75</v>
      </c>
      <c r="F37" s="1065"/>
      <c r="G37" s="1067" t="s">
        <v>3597</v>
      </c>
      <c r="H37" s="1071">
        <v>48</v>
      </c>
      <c r="I37" s="1025"/>
      <c r="J37" s="1025"/>
      <c r="K37" s="1025"/>
      <c r="L37" s="138"/>
      <c r="M37" s="138"/>
      <c r="N37" s="138"/>
      <c r="O37" s="138"/>
      <c r="P37" s="138"/>
      <c r="Q37" s="138"/>
      <c r="R37" s="138"/>
      <c r="S37" s="138"/>
      <c r="T37" s="138"/>
      <c r="U37" s="138"/>
      <c r="V37" s="138"/>
      <c r="W37" s="138"/>
      <c r="X37" s="138"/>
      <c r="Y37" s="138"/>
      <c r="Z37" s="138"/>
      <c r="AA37" s="138"/>
      <c r="AB37" s="138"/>
    </row>
    <row r="38" spans="1:28" ht="14.25" customHeight="1">
      <c r="A38" s="1067" t="s">
        <v>3598</v>
      </c>
      <c r="B38" s="1067" t="s">
        <v>266</v>
      </c>
      <c r="C38" s="1067" t="s">
        <v>267</v>
      </c>
      <c r="D38" s="1067" t="s">
        <v>273</v>
      </c>
      <c r="E38" s="1069">
        <v>16745.3</v>
      </c>
      <c r="F38" s="1065"/>
      <c r="G38" s="1067" t="s">
        <v>3599</v>
      </c>
      <c r="H38" s="1071">
        <v>48</v>
      </c>
      <c r="I38" s="1025"/>
      <c r="J38" s="1025"/>
      <c r="K38" s="1025"/>
      <c r="L38" s="138"/>
      <c r="M38" s="138"/>
      <c r="N38" s="138"/>
      <c r="O38" s="138"/>
      <c r="P38" s="138"/>
      <c r="Q38" s="138"/>
      <c r="R38" s="138"/>
      <c r="S38" s="138"/>
      <c r="T38" s="138"/>
      <c r="U38" s="138"/>
      <c r="V38" s="138"/>
      <c r="W38" s="138"/>
      <c r="X38" s="138"/>
      <c r="Y38" s="138"/>
      <c r="Z38" s="138"/>
      <c r="AA38" s="138"/>
      <c r="AB38" s="138"/>
    </row>
    <row r="39" spans="1:28" ht="14.25" customHeight="1">
      <c r="A39" s="1067" t="s">
        <v>3600</v>
      </c>
      <c r="B39" s="1067" t="s">
        <v>259</v>
      </c>
      <c r="C39" s="1067" t="s">
        <v>267</v>
      </c>
      <c r="D39" s="1067" t="s">
        <v>262</v>
      </c>
      <c r="E39" s="1069">
        <v>49927.29</v>
      </c>
      <c r="F39" s="1065"/>
      <c r="G39" s="1067" t="s">
        <v>3601</v>
      </c>
      <c r="H39" s="1071">
        <v>47</v>
      </c>
      <c r="I39" s="1025"/>
      <c r="J39" s="1025"/>
      <c r="K39" s="1025"/>
      <c r="L39" s="138"/>
      <c r="M39" s="138"/>
      <c r="N39" s="138"/>
      <c r="O39" s="138"/>
      <c r="P39" s="138"/>
      <c r="Q39" s="138"/>
      <c r="R39" s="138"/>
      <c r="S39" s="138"/>
      <c r="T39" s="138"/>
      <c r="U39" s="138"/>
      <c r="V39" s="138"/>
      <c r="W39" s="138"/>
      <c r="X39" s="138"/>
      <c r="Y39" s="138"/>
      <c r="Z39" s="138"/>
      <c r="AA39" s="138"/>
      <c r="AB39" s="138"/>
    </row>
    <row r="40" spans="1:28" ht="14.25" customHeight="1">
      <c r="A40" s="1067" t="s">
        <v>3602</v>
      </c>
      <c r="B40" s="1067" t="s">
        <v>278</v>
      </c>
      <c r="C40" s="1067" t="s">
        <v>267</v>
      </c>
      <c r="D40" s="1067" t="s">
        <v>260</v>
      </c>
      <c r="E40" s="1069">
        <v>24483.1</v>
      </c>
      <c r="F40" s="1069">
        <v>-18876</v>
      </c>
      <c r="G40" s="1067" t="s">
        <v>3603</v>
      </c>
      <c r="H40" s="1071">
        <v>47</v>
      </c>
      <c r="I40" s="1025"/>
      <c r="J40" s="1025"/>
      <c r="K40" s="1025"/>
      <c r="L40" s="138"/>
      <c r="M40" s="138"/>
      <c r="N40" s="138"/>
      <c r="O40" s="138"/>
      <c r="P40" s="138"/>
      <c r="Q40" s="138"/>
      <c r="R40" s="138"/>
      <c r="S40" s="138"/>
      <c r="T40" s="138"/>
      <c r="U40" s="138"/>
      <c r="V40" s="138"/>
      <c r="W40" s="138"/>
      <c r="X40" s="138"/>
      <c r="Y40" s="138"/>
      <c r="Z40" s="138"/>
      <c r="AA40" s="138"/>
      <c r="AB40" s="138"/>
    </row>
    <row r="41" spans="1:28" ht="14.25" customHeight="1">
      <c r="A41" s="1067" t="s">
        <v>3604</v>
      </c>
      <c r="B41" s="1067" t="s">
        <v>275</v>
      </c>
      <c r="C41" s="1067" t="s">
        <v>267</v>
      </c>
      <c r="D41" s="1067" t="s">
        <v>273</v>
      </c>
      <c r="E41" s="1069">
        <v>21779.599999999999</v>
      </c>
      <c r="F41" s="1065"/>
      <c r="G41" s="1067" t="s">
        <v>3605</v>
      </c>
      <c r="H41" s="1071">
        <v>47</v>
      </c>
      <c r="I41" s="1025"/>
      <c r="J41" s="1025"/>
      <c r="K41" s="1025"/>
      <c r="L41" s="138"/>
      <c r="M41" s="138"/>
      <c r="N41" s="138"/>
      <c r="O41" s="138"/>
      <c r="P41" s="138"/>
      <c r="Q41" s="138"/>
      <c r="R41" s="138"/>
      <c r="S41" s="138"/>
      <c r="T41" s="138"/>
      <c r="U41" s="138"/>
      <c r="V41" s="138"/>
      <c r="W41" s="138"/>
      <c r="X41" s="138"/>
      <c r="Y41" s="138"/>
      <c r="Z41" s="138"/>
      <c r="AA41" s="138"/>
      <c r="AB41" s="138"/>
    </row>
    <row r="42" spans="1:28" ht="14.25" customHeight="1">
      <c r="A42" s="1067" t="s">
        <v>3606</v>
      </c>
      <c r="B42" s="1067" t="s">
        <v>268</v>
      </c>
      <c r="C42" s="1067" t="s">
        <v>267</v>
      </c>
      <c r="D42" s="1067" t="s">
        <v>273</v>
      </c>
      <c r="E42" s="1069">
        <v>21350</v>
      </c>
      <c r="F42" s="1065"/>
      <c r="G42" s="1067" t="s">
        <v>3607</v>
      </c>
      <c r="H42" s="1071">
        <v>45</v>
      </c>
      <c r="I42" s="1025"/>
      <c r="J42" s="1025"/>
      <c r="K42" s="1025"/>
      <c r="L42" s="138"/>
      <c r="M42" s="138"/>
      <c r="N42" s="138"/>
      <c r="O42" s="138"/>
      <c r="P42" s="138"/>
      <c r="Q42" s="138"/>
      <c r="R42" s="138"/>
      <c r="S42" s="138"/>
      <c r="T42" s="138"/>
      <c r="U42" s="138"/>
      <c r="V42" s="138"/>
      <c r="W42" s="138"/>
      <c r="X42" s="138"/>
      <c r="Y42" s="138"/>
      <c r="Z42" s="138"/>
      <c r="AA42" s="138"/>
      <c r="AB42" s="138"/>
    </row>
    <row r="43" spans="1:28" ht="14.25" customHeight="1">
      <c r="A43" s="1067" t="s">
        <v>3608</v>
      </c>
      <c r="B43" s="1067" t="s">
        <v>275</v>
      </c>
      <c r="C43" s="1067" t="s">
        <v>267</v>
      </c>
      <c r="D43" s="1067" t="s">
        <v>277</v>
      </c>
      <c r="E43" s="1069">
        <v>17488.18</v>
      </c>
      <c r="F43" s="1065"/>
      <c r="G43" s="1067" t="s">
        <v>3609</v>
      </c>
      <c r="H43" s="1071">
        <v>45</v>
      </c>
      <c r="I43" s="1025"/>
      <c r="J43" s="1025"/>
      <c r="K43" s="1025"/>
      <c r="L43" s="138"/>
      <c r="M43" s="138"/>
      <c r="N43" s="138"/>
      <c r="O43" s="138"/>
      <c r="P43" s="138"/>
      <c r="Q43" s="138"/>
      <c r="R43" s="138"/>
      <c r="S43" s="138"/>
      <c r="T43" s="138"/>
      <c r="U43" s="138"/>
      <c r="V43" s="138"/>
      <c r="W43" s="138"/>
      <c r="X43" s="138"/>
      <c r="Y43" s="138"/>
      <c r="Z43" s="138"/>
      <c r="AA43" s="138"/>
      <c r="AB43" s="138"/>
    </row>
    <row r="44" spans="1:28" ht="14.25" customHeight="1">
      <c r="A44" s="1067" t="s">
        <v>3610</v>
      </c>
      <c r="B44" s="1067" t="s">
        <v>278</v>
      </c>
      <c r="C44" s="1067" t="s">
        <v>267</v>
      </c>
      <c r="D44" s="1067" t="s">
        <v>277</v>
      </c>
      <c r="E44" s="1069">
        <v>18370.25</v>
      </c>
      <c r="F44" s="1065"/>
      <c r="G44" s="1067" t="s">
        <v>3611</v>
      </c>
      <c r="H44" s="1071">
        <v>44</v>
      </c>
      <c r="I44" s="1025"/>
      <c r="J44" s="1025"/>
      <c r="K44" s="1025"/>
      <c r="L44" s="138"/>
      <c r="M44" s="138"/>
      <c r="N44" s="138"/>
      <c r="O44" s="138"/>
      <c r="P44" s="138"/>
      <c r="Q44" s="138"/>
      <c r="R44" s="138"/>
      <c r="S44" s="138"/>
      <c r="T44" s="138"/>
      <c r="U44" s="138"/>
      <c r="V44" s="138"/>
      <c r="W44" s="138"/>
      <c r="X44" s="138"/>
      <c r="Y44" s="138"/>
      <c r="Z44" s="138"/>
      <c r="AA44" s="138"/>
      <c r="AB44" s="138"/>
    </row>
    <row r="45" spans="1:28" ht="14.25" customHeight="1">
      <c r="A45" s="1067" t="s">
        <v>3612</v>
      </c>
      <c r="B45" s="1067" t="s">
        <v>266</v>
      </c>
      <c r="C45" s="1067" t="s">
        <v>267</v>
      </c>
      <c r="D45" s="1067" t="s">
        <v>260</v>
      </c>
      <c r="E45" s="1069">
        <v>20165.3</v>
      </c>
      <c r="F45" s="1065"/>
      <c r="G45" s="1067" t="s">
        <v>3613</v>
      </c>
      <c r="H45" s="1071">
        <v>44</v>
      </c>
      <c r="I45" s="1025"/>
      <c r="J45" s="1025"/>
      <c r="K45" s="1025"/>
      <c r="L45" s="138"/>
      <c r="M45" s="138"/>
      <c r="N45" s="138"/>
      <c r="O45" s="138"/>
      <c r="P45" s="138"/>
      <c r="Q45" s="138"/>
      <c r="R45" s="138"/>
      <c r="S45" s="138"/>
      <c r="T45" s="138"/>
      <c r="U45" s="138"/>
      <c r="V45" s="138"/>
      <c r="W45" s="138"/>
      <c r="X45" s="138"/>
      <c r="Y45" s="138"/>
      <c r="Z45" s="138"/>
      <c r="AA45" s="138"/>
      <c r="AB45" s="138"/>
    </row>
    <row r="46" spans="1:28" ht="14.25" customHeight="1">
      <c r="A46" s="1067" t="s">
        <v>3753</v>
      </c>
      <c r="B46" s="1067" t="s">
        <v>3340</v>
      </c>
      <c r="C46" s="1067" t="s">
        <v>3473</v>
      </c>
      <c r="D46" s="1067" t="s">
        <v>3754</v>
      </c>
      <c r="E46" s="1069">
        <v>15050</v>
      </c>
      <c r="F46" s="1065"/>
      <c r="G46" s="1067" t="s">
        <v>3755</v>
      </c>
      <c r="H46" s="1071">
        <v>44</v>
      </c>
      <c r="I46" s="1025"/>
      <c r="J46" s="1025"/>
      <c r="K46" s="1025"/>
      <c r="L46" s="138"/>
      <c r="M46" s="138"/>
      <c r="N46" s="138"/>
      <c r="O46" s="138"/>
      <c r="P46" s="138"/>
      <c r="Q46" s="138"/>
      <c r="R46" s="138"/>
      <c r="S46" s="138"/>
      <c r="T46" s="138"/>
      <c r="U46" s="138"/>
      <c r="V46" s="138"/>
      <c r="W46" s="138"/>
      <c r="X46" s="138"/>
      <c r="Y46" s="138"/>
      <c r="Z46" s="138"/>
      <c r="AA46" s="138"/>
      <c r="AB46" s="138"/>
    </row>
    <row r="47" spans="1:28" ht="14.25" customHeight="1">
      <c r="A47" s="1067" t="s">
        <v>3614</v>
      </c>
      <c r="B47" s="1067" t="s">
        <v>278</v>
      </c>
      <c r="C47" s="1067" t="s">
        <v>267</v>
      </c>
      <c r="D47" s="1067" t="s">
        <v>277</v>
      </c>
      <c r="E47" s="1069">
        <v>21360.2</v>
      </c>
      <c r="F47" s="1065"/>
      <c r="G47" s="1067" t="s">
        <v>3615</v>
      </c>
      <c r="H47" s="1071">
        <v>41</v>
      </c>
      <c r="I47" s="1025"/>
      <c r="J47" s="1025"/>
      <c r="K47" s="1025"/>
      <c r="L47" s="138"/>
      <c r="M47" s="138"/>
      <c r="N47" s="138"/>
      <c r="O47" s="138"/>
      <c r="P47" s="138"/>
      <c r="Q47" s="138"/>
      <c r="R47" s="138"/>
      <c r="S47" s="138"/>
      <c r="T47" s="138"/>
      <c r="U47" s="138"/>
      <c r="V47" s="138"/>
      <c r="W47" s="138"/>
      <c r="X47" s="138"/>
      <c r="Y47" s="138"/>
      <c r="Z47" s="138"/>
      <c r="AA47" s="138"/>
      <c r="AB47" s="138"/>
    </row>
    <row r="48" spans="1:28" ht="14.25" customHeight="1">
      <c r="A48" s="1067" t="s">
        <v>3616</v>
      </c>
      <c r="B48" s="1067" t="s">
        <v>268</v>
      </c>
      <c r="C48" s="1067" t="s">
        <v>267</v>
      </c>
      <c r="D48" s="1067" t="s">
        <v>277</v>
      </c>
      <c r="E48" s="1069">
        <v>25003.85</v>
      </c>
      <c r="F48" s="1069">
        <v>-21330</v>
      </c>
      <c r="G48" s="1067" t="s">
        <v>3617</v>
      </c>
      <c r="H48" s="1071">
        <v>40</v>
      </c>
      <c r="I48" s="1025"/>
      <c r="J48" s="1025"/>
      <c r="K48" s="1025"/>
      <c r="L48" s="138"/>
      <c r="M48" s="138"/>
      <c r="N48" s="138"/>
      <c r="O48" s="138"/>
      <c r="P48" s="138"/>
      <c r="Q48" s="138"/>
      <c r="R48" s="138"/>
      <c r="S48" s="138"/>
      <c r="T48" s="138"/>
      <c r="U48" s="138"/>
      <c r="V48" s="138"/>
      <c r="W48" s="138"/>
      <c r="X48" s="138"/>
      <c r="Y48" s="138"/>
      <c r="Z48" s="138"/>
      <c r="AA48" s="138"/>
      <c r="AB48" s="138"/>
    </row>
    <row r="49" spans="1:28" ht="14.25" customHeight="1">
      <c r="A49" s="1067" t="s">
        <v>3618</v>
      </c>
      <c r="B49" s="1067" t="s">
        <v>278</v>
      </c>
      <c r="C49" s="1067" t="s">
        <v>267</v>
      </c>
      <c r="D49" s="1067" t="s">
        <v>260</v>
      </c>
      <c r="E49" s="1069">
        <v>24894.97</v>
      </c>
      <c r="F49" s="1065"/>
      <c r="G49" s="1067" t="s">
        <v>3619</v>
      </c>
      <c r="H49" s="1071">
        <v>40</v>
      </c>
      <c r="I49" s="1025"/>
      <c r="J49" s="1025"/>
      <c r="K49" s="1025"/>
      <c r="L49" s="138"/>
      <c r="M49" s="138"/>
      <c r="N49" s="138"/>
      <c r="O49" s="138"/>
      <c r="P49" s="138"/>
      <c r="Q49" s="138"/>
      <c r="R49" s="138"/>
      <c r="S49" s="138"/>
      <c r="T49" s="138"/>
      <c r="U49" s="138"/>
      <c r="V49" s="138"/>
      <c r="W49" s="138"/>
      <c r="X49" s="138"/>
      <c r="Y49" s="138"/>
      <c r="Z49" s="138"/>
      <c r="AA49" s="138"/>
      <c r="AB49" s="138"/>
    </row>
    <row r="50" spans="1:28" ht="14.25" customHeight="1">
      <c r="A50" s="1067" t="s">
        <v>3620</v>
      </c>
      <c r="B50" s="1067" t="s">
        <v>275</v>
      </c>
      <c r="C50" s="1067" t="s">
        <v>267</v>
      </c>
      <c r="D50" s="1067" t="s">
        <v>260</v>
      </c>
      <c r="E50" s="1069">
        <v>27870.3</v>
      </c>
      <c r="F50" s="1065"/>
      <c r="G50" s="1067" t="s">
        <v>3621</v>
      </c>
      <c r="H50" s="1071">
        <v>40</v>
      </c>
      <c r="I50" s="1025"/>
      <c r="J50" s="1025"/>
      <c r="K50" s="1025"/>
      <c r="L50" s="138"/>
      <c r="M50" s="138"/>
      <c r="N50" s="138"/>
      <c r="O50" s="138"/>
      <c r="P50" s="138"/>
      <c r="Q50" s="138"/>
      <c r="R50" s="138"/>
      <c r="S50" s="138"/>
      <c r="T50" s="138"/>
      <c r="U50" s="138"/>
      <c r="V50" s="138"/>
      <c r="W50" s="138"/>
      <c r="X50" s="138"/>
      <c r="Y50" s="138"/>
      <c r="Z50" s="138"/>
      <c r="AA50" s="138"/>
      <c r="AB50" s="138"/>
    </row>
    <row r="51" spans="1:28" ht="14.25" customHeight="1">
      <c r="A51" s="1067" t="s">
        <v>3622</v>
      </c>
      <c r="B51" s="1067" t="s">
        <v>268</v>
      </c>
      <c r="C51" s="1067" t="s">
        <v>267</v>
      </c>
      <c r="D51" s="1067" t="s">
        <v>277</v>
      </c>
      <c r="E51" s="1069">
        <v>24530.400000000001</v>
      </c>
      <c r="F51" s="1065"/>
      <c r="G51" s="1067" t="s">
        <v>3623</v>
      </c>
      <c r="H51" s="1071">
        <v>37</v>
      </c>
      <c r="I51" s="1025"/>
      <c r="J51" s="1025"/>
      <c r="K51" s="1025"/>
      <c r="L51" s="138"/>
      <c r="M51" s="138"/>
      <c r="N51" s="138"/>
      <c r="O51" s="138"/>
      <c r="P51" s="138"/>
      <c r="Q51" s="138"/>
      <c r="R51" s="138"/>
      <c r="S51" s="138"/>
      <c r="T51" s="138"/>
      <c r="U51" s="138"/>
      <c r="V51" s="138"/>
      <c r="W51" s="138"/>
      <c r="X51" s="138"/>
      <c r="Y51" s="138"/>
      <c r="Z51" s="138"/>
      <c r="AA51" s="138"/>
      <c r="AB51" s="138"/>
    </row>
    <row r="52" spans="1:28" ht="14.25" customHeight="1">
      <c r="A52" s="1067" t="s">
        <v>3624</v>
      </c>
      <c r="B52" s="1067" t="s">
        <v>3625</v>
      </c>
      <c r="C52" s="1067" t="s">
        <v>267</v>
      </c>
      <c r="D52" s="1067" t="s">
        <v>3626</v>
      </c>
      <c r="E52" s="1069">
        <v>4314.03</v>
      </c>
      <c r="F52" s="1065"/>
      <c r="G52" s="1067" t="s">
        <v>3627</v>
      </c>
      <c r="H52" s="1071">
        <v>37</v>
      </c>
      <c r="I52" s="1025"/>
      <c r="J52" s="1025"/>
      <c r="K52" s="1025"/>
      <c r="L52" s="138"/>
      <c r="M52" s="138"/>
      <c r="N52" s="138"/>
      <c r="O52" s="138"/>
      <c r="P52" s="138"/>
      <c r="Q52" s="138"/>
      <c r="R52" s="138"/>
      <c r="S52" s="138"/>
      <c r="T52" s="138"/>
      <c r="U52" s="138"/>
      <c r="V52" s="138"/>
      <c r="W52" s="138"/>
      <c r="X52" s="138"/>
      <c r="Y52" s="138"/>
      <c r="Z52" s="138"/>
      <c r="AA52" s="138"/>
      <c r="AB52" s="138"/>
    </row>
    <row r="53" spans="1:28" ht="14.25" customHeight="1">
      <c r="A53" s="1067" t="s">
        <v>3630</v>
      </c>
      <c r="B53" s="1067" t="s">
        <v>268</v>
      </c>
      <c r="C53" s="1067" t="s">
        <v>267</v>
      </c>
      <c r="D53" s="1067" t="s">
        <v>277</v>
      </c>
      <c r="E53" s="1069">
        <v>24447.5</v>
      </c>
      <c r="F53" s="1065"/>
      <c r="G53" s="1067" t="s">
        <v>3631</v>
      </c>
      <c r="H53" s="1071">
        <v>33</v>
      </c>
      <c r="I53" s="1025"/>
      <c r="J53" s="1025"/>
      <c r="K53" s="1025"/>
      <c r="L53" s="138"/>
      <c r="M53" s="138"/>
      <c r="N53" s="138"/>
      <c r="O53" s="138"/>
      <c r="P53" s="138"/>
      <c r="Q53" s="138"/>
      <c r="R53" s="138"/>
      <c r="S53" s="138"/>
      <c r="T53" s="138"/>
      <c r="U53" s="138"/>
      <c r="V53" s="138"/>
      <c r="W53" s="138"/>
      <c r="X53" s="138"/>
      <c r="Y53" s="138"/>
      <c r="Z53" s="138"/>
      <c r="AA53" s="138"/>
      <c r="AB53" s="138"/>
    </row>
    <row r="54" spans="1:28" ht="14.25" customHeight="1">
      <c r="A54" s="1067" t="s">
        <v>3632</v>
      </c>
      <c r="B54" s="1067" t="s">
        <v>275</v>
      </c>
      <c r="C54" s="1067" t="s">
        <v>267</v>
      </c>
      <c r="D54" s="1067" t="s">
        <v>273</v>
      </c>
      <c r="E54" s="1069">
        <v>20373.45</v>
      </c>
      <c r="F54" s="1069">
        <v>-12553.38</v>
      </c>
      <c r="G54" s="1067" t="s">
        <v>3633</v>
      </c>
      <c r="H54" s="1071">
        <v>33</v>
      </c>
      <c r="I54" s="1025"/>
      <c r="J54" s="1025"/>
      <c r="K54" s="1025"/>
      <c r="L54" s="138"/>
      <c r="M54" s="138"/>
      <c r="N54" s="138"/>
      <c r="O54" s="138"/>
      <c r="P54" s="138"/>
      <c r="Q54" s="138"/>
      <c r="R54" s="138"/>
      <c r="S54" s="138"/>
      <c r="T54" s="138"/>
      <c r="U54" s="138"/>
      <c r="V54" s="138"/>
      <c r="W54" s="138"/>
      <c r="X54" s="138"/>
      <c r="Y54" s="138"/>
      <c r="Z54" s="138"/>
      <c r="AA54" s="138"/>
      <c r="AB54" s="138"/>
    </row>
    <row r="55" spans="1:28" ht="14.25" customHeight="1">
      <c r="A55" s="1067" t="s">
        <v>3638</v>
      </c>
      <c r="B55" s="1067" t="s">
        <v>268</v>
      </c>
      <c r="C55" s="1067" t="s">
        <v>267</v>
      </c>
      <c r="D55" s="1067" t="s">
        <v>279</v>
      </c>
      <c r="E55" s="1069">
        <v>32388.2</v>
      </c>
      <c r="F55" s="1065"/>
      <c r="G55" s="1067" t="s">
        <v>3639</v>
      </c>
      <c r="H55" s="1071">
        <v>32</v>
      </c>
      <c r="I55" s="1025"/>
      <c r="J55" s="1025"/>
      <c r="K55" s="1025"/>
      <c r="L55" s="138"/>
      <c r="M55" s="138"/>
      <c r="N55" s="138"/>
      <c r="O55" s="138"/>
      <c r="P55" s="138"/>
      <c r="Q55" s="138"/>
      <c r="R55" s="138"/>
      <c r="S55" s="138"/>
      <c r="T55" s="138"/>
      <c r="U55" s="138"/>
      <c r="V55" s="138"/>
      <c r="W55" s="138"/>
      <c r="X55" s="138"/>
      <c r="Y55" s="138"/>
      <c r="Z55" s="138"/>
      <c r="AA55" s="138"/>
      <c r="AB55" s="138"/>
    </row>
    <row r="56" spans="1:28" ht="14.25" customHeight="1">
      <c r="A56" s="1067" t="s">
        <v>3642</v>
      </c>
      <c r="B56" s="1067" t="s">
        <v>278</v>
      </c>
      <c r="C56" s="1067" t="s">
        <v>267</v>
      </c>
      <c r="D56" s="1067" t="s">
        <v>3643</v>
      </c>
      <c r="E56" s="1069">
        <v>23491.599999999999</v>
      </c>
      <c r="F56" s="1065"/>
      <c r="G56" s="1067" t="s">
        <v>3644</v>
      </c>
      <c r="H56" s="1071">
        <v>32</v>
      </c>
      <c r="I56" s="1025"/>
      <c r="J56" s="1025"/>
      <c r="K56" s="1025"/>
      <c r="L56" s="138"/>
      <c r="M56" s="138"/>
      <c r="N56" s="138"/>
      <c r="O56" s="138"/>
      <c r="P56" s="138"/>
      <c r="Q56" s="138"/>
      <c r="R56" s="138"/>
      <c r="S56" s="138"/>
      <c r="T56" s="138"/>
      <c r="U56" s="138"/>
      <c r="V56" s="138"/>
      <c r="W56" s="138"/>
      <c r="X56" s="138"/>
      <c r="Y56" s="138"/>
      <c r="Z56" s="138"/>
      <c r="AA56" s="138"/>
      <c r="AB56" s="138"/>
    </row>
    <row r="57" spans="1:28" ht="14.25" customHeight="1">
      <c r="A57" s="1067" t="s">
        <v>3645</v>
      </c>
      <c r="B57" s="1067" t="s">
        <v>268</v>
      </c>
      <c r="C57" s="1067" t="s">
        <v>267</v>
      </c>
      <c r="D57" s="1067" t="s">
        <v>260</v>
      </c>
      <c r="E57" s="1069">
        <v>29343.25</v>
      </c>
      <c r="F57" s="1065"/>
      <c r="G57" s="1067" t="s">
        <v>3646</v>
      </c>
      <c r="H57" s="1071">
        <v>31</v>
      </c>
      <c r="I57" s="1025"/>
      <c r="J57" s="1025"/>
      <c r="K57" s="1025"/>
      <c r="L57" s="138"/>
      <c r="M57" s="138"/>
      <c r="N57" s="138"/>
      <c r="O57" s="138"/>
      <c r="P57" s="138"/>
      <c r="Q57" s="138"/>
      <c r="R57" s="138"/>
      <c r="S57" s="138"/>
      <c r="T57" s="138"/>
      <c r="U57" s="138"/>
      <c r="V57" s="138"/>
      <c r="W57" s="138"/>
      <c r="X57" s="138"/>
      <c r="Y57" s="138"/>
      <c r="Z57" s="138"/>
      <c r="AA57" s="138"/>
      <c r="AB57" s="138"/>
    </row>
    <row r="58" spans="1:28" ht="14.25" customHeight="1">
      <c r="A58" s="1067" t="s">
        <v>3647</v>
      </c>
      <c r="B58" s="1067" t="s">
        <v>278</v>
      </c>
      <c r="C58" s="1067" t="s">
        <v>267</v>
      </c>
      <c r="D58" s="1067" t="s">
        <v>260</v>
      </c>
      <c r="E58" s="1069">
        <v>29950</v>
      </c>
      <c r="F58" s="1065"/>
      <c r="G58" s="1067" t="s">
        <v>3648</v>
      </c>
      <c r="H58" s="1071">
        <v>31</v>
      </c>
      <c r="I58" s="1025"/>
      <c r="J58" s="1025"/>
      <c r="K58" s="1025"/>
      <c r="L58" s="138"/>
      <c r="M58" s="138"/>
      <c r="N58" s="138"/>
      <c r="O58" s="138"/>
      <c r="P58" s="138"/>
      <c r="Q58" s="138"/>
      <c r="R58" s="138"/>
      <c r="S58" s="138"/>
      <c r="T58" s="138"/>
      <c r="U58" s="138"/>
      <c r="V58" s="138"/>
      <c r="W58" s="138"/>
      <c r="X58" s="138"/>
      <c r="Y58" s="138"/>
      <c r="Z58" s="138"/>
      <c r="AA58" s="138"/>
      <c r="AB58" s="138"/>
    </row>
    <row r="59" spans="1:28" ht="14.25" customHeight="1">
      <c r="A59" s="1067" t="s">
        <v>3649</v>
      </c>
      <c r="B59" s="1067" t="s">
        <v>275</v>
      </c>
      <c r="C59" s="1067" t="s">
        <v>267</v>
      </c>
      <c r="D59" s="1067" t="s">
        <v>260</v>
      </c>
      <c r="E59" s="1069">
        <v>21448.99</v>
      </c>
      <c r="F59" s="1069">
        <v>-18000</v>
      </c>
      <c r="G59" s="1067" t="s">
        <v>3650</v>
      </c>
      <c r="H59" s="1071">
        <v>31</v>
      </c>
      <c r="I59" s="1025"/>
      <c r="J59" s="1025"/>
      <c r="K59" s="1025"/>
      <c r="L59" s="138"/>
      <c r="M59" s="138"/>
      <c r="N59" s="138"/>
      <c r="O59" s="138"/>
      <c r="P59" s="138"/>
      <c r="Q59" s="138"/>
      <c r="R59" s="138"/>
      <c r="S59" s="138"/>
      <c r="T59" s="138"/>
      <c r="U59" s="138"/>
      <c r="V59" s="138"/>
      <c r="W59" s="138"/>
      <c r="X59" s="138"/>
      <c r="Y59" s="138"/>
      <c r="Z59" s="138"/>
      <c r="AA59" s="138"/>
      <c r="AB59" s="138"/>
    </row>
    <row r="60" spans="1:28" ht="14.25" customHeight="1">
      <c r="A60" s="1067" t="s">
        <v>3651</v>
      </c>
      <c r="B60" s="1067" t="s">
        <v>275</v>
      </c>
      <c r="C60" s="1067" t="s">
        <v>267</v>
      </c>
      <c r="D60" s="1067" t="s">
        <v>3540</v>
      </c>
      <c r="E60" s="1069">
        <v>23680.2</v>
      </c>
      <c r="F60" s="1065"/>
      <c r="G60" s="1067" t="s">
        <v>3652</v>
      </c>
      <c r="H60" s="1071">
        <v>31</v>
      </c>
      <c r="I60" s="1025"/>
      <c r="J60" s="1025"/>
      <c r="K60" s="1025"/>
      <c r="L60" s="138"/>
      <c r="M60" s="138"/>
      <c r="N60" s="138"/>
      <c r="O60" s="138"/>
      <c r="P60" s="138"/>
      <c r="Q60" s="138"/>
      <c r="R60" s="138"/>
      <c r="S60" s="138"/>
      <c r="T60" s="138"/>
      <c r="U60" s="138"/>
      <c r="V60" s="138"/>
      <c r="W60" s="138"/>
      <c r="X60" s="138"/>
      <c r="Y60" s="138"/>
      <c r="Z60" s="138"/>
      <c r="AA60" s="138"/>
      <c r="AB60" s="138"/>
    </row>
    <row r="61" spans="1:28" ht="14.25" customHeight="1">
      <c r="A61" s="1067" t="s">
        <v>3653</v>
      </c>
      <c r="B61" s="1067" t="s">
        <v>275</v>
      </c>
      <c r="C61" s="1067" t="s">
        <v>267</v>
      </c>
      <c r="D61" s="1067" t="s">
        <v>273</v>
      </c>
      <c r="E61" s="1069">
        <v>19433.849999999999</v>
      </c>
      <c r="F61" s="1065"/>
      <c r="G61" s="1067" t="s">
        <v>3654</v>
      </c>
      <c r="H61" s="1071">
        <v>31</v>
      </c>
      <c r="I61" s="1025"/>
      <c r="J61" s="1025"/>
      <c r="K61" s="1025"/>
      <c r="L61" s="138"/>
      <c r="M61" s="138"/>
      <c r="N61" s="138"/>
      <c r="O61" s="138"/>
      <c r="P61" s="138"/>
      <c r="Q61" s="138"/>
      <c r="R61" s="138"/>
      <c r="S61" s="138"/>
      <c r="T61" s="138"/>
      <c r="U61" s="138"/>
      <c r="V61" s="138"/>
      <c r="W61" s="138"/>
      <c r="X61" s="138"/>
      <c r="Y61" s="138"/>
      <c r="Z61" s="138"/>
      <c r="AA61" s="138"/>
      <c r="AB61" s="138"/>
    </row>
    <row r="62" spans="1:28" ht="14.25" customHeight="1">
      <c r="A62" s="1067" t="s">
        <v>3655</v>
      </c>
      <c r="B62" s="1067" t="s">
        <v>275</v>
      </c>
      <c r="C62" s="1067" t="s">
        <v>3434</v>
      </c>
      <c r="D62" s="1067" t="s">
        <v>3528</v>
      </c>
      <c r="E62" s="1069">
        <v>17516.849999999999</v>
      </c>
      <c r="F62" s="1065"/>
      <c r="G62" s="1067" t="s">
        <v>3656</v>
      </c>
      <c r="H62" s="1071">
        <v>31</v>
      </c>
      <c r="I62" s="1025"/>
      <c r="J62" s="1025"/>
      <c r="K62" s="1025"/>
      <c r="L62" s="138"/>
      <c r="M62" s="138"/>
      <c r="N62" s="138"/>
      <c r="O62" s="138"/>
      <c r="P62" s="138"/>
      <c r="Q62" s="138"/>
      <c r="R62" s="138"/>
      <c r="S62" s="138"/>
      <c r="T62" s="138"/>
      <c r="U62" s="138"/>
      <c r="V62" s="138"/>
      <c r="W62" s="138"/>
      <c r="X62" s="138"/>
      <c r="Y62" s="138"/>
      <c r="Z62" s="138"/>
      <c r="AA62" s="138"/>
      <c r="AB62" s="138"/>
    </row>
    <row r="63" spans="1:28" ht="14.25" customHeight="1">
      <c r="A63" s="1067" t="s">
        <v>3636</v>
      </c>
      <c r="B63" s="1067" t="s">
        <v>268</v>
      </c>
      <c r="C63" s="1067" t="s">
        <v>267</v>
      </c>
      <c r="D63" s="1067" t="s">
        <v>260</v>
      </c>
      <c r="E63" s="1069">
        <v>28418.09</v>
      </c>
      <c r="F63" s="1065"/>
      <c r="G63" s="1067" t="s">
        <v>3637</v>
      </c>
      <c r="H63" s="1071">
        <v>30</v>
      </c>
      <c r="I63" s="1025"/>
      <c r="J63" s="1025"/>
      <c r="K63" s="1025"/>
      <c r="L63" s="138"/>
      <c r="M63" s="138"/>
      <c r="N63" s="138"/>
      <c r="O63" s="138"/>
      <c r="P63" s="138"/>
      <c r="Q63" s="138"/>
      <c r="R63" s="138"/>
      <c r="S63" s="138"/>
      <c r="T63" s="138"/>
      <c r="U63" s="138"/>
      <c r="V63" s="138"/>
      <c r="W63" s="138"/>
      <c r="X63" s="138"/>
      <c r="Y63" s="138"/>
      <c r="Z63" s="138"/>
      <c r="AA63" s="138"/>
      <c r="AB63" s="138"/>
    </row>
    <row r="64" spans="1:28" ht="14.25" customHeight="1">
      <c r="A64" s="1067" t="s">
        <v>3640</v>
      </c>
      <c r="B64" s="1067" t="s">
        <v>278</v>
      </c>
      <c r="C64" s="1067" t="s">
        <v>267</v>
      </c>
      <c r="D64" s="1067" t="s">
        <v>260</v>
      </c>
      <c r="E64" s="1069">
        <v>26650</v>
      </c>
      <c r="F64" s="1065"/>
      <c r="G64" s="1067" t="s">
        <v>3641</v>
      </c>
      <c r="H64" s="1071">
        <v>30</v>
      </c>
      <c r="I64" s="1025"/>
      <c r="J64" s="1025"/>
      <c r="K64" s="1025"/>
      <c r="L64" s="138"/>
      <c r="M64" s="138"/>
      <c r="N64" s="138"/>
      <c r="O64" s="138"/>
      <c r="P64" s="138"/>
      <c r="Q64" s="138"/>
      <c r="R64" s="138"/>
      <c r="S64" s="138"/>
      <c r="T64" s="138"/>
      <c r="U64" s="138"/>
      <c r="V64" s="138"/>
      <c r="W64" s="138"/>
      <c r="X64" s="138"/>
      <c r="Y64" s="138"/>
      <c r="Z64" s="138"/>
      <c r="AA64" s="138"/>
      <c r="AB64" s="138"/>
    </row>
    <row r="65" spans="1:28" ht="14.25" customHeight="1">
      <c r="A65" s="1067" t="s">
        <v>3756</v>
      </c>
      <c r="B65" s="1067" t="s">
        <v>275</v>
      </c>
      <c r="C65" s="1067" t="s">
        <v>267</v>
      </c>
      <c r="D65" s="1067" t="s">
        <v>260</v>
      </c>
      <c r="E65" s="1069">
        <v>22943.200000000001</v>
      </c>
      <c r="F65" s="1069">
        <v>-14910</v>
      </c>
      <c r="G65" s="1067" t="s">
        <v>3757</v>
      </c>
      <c r="H65" s="1071">
        <v>27</v>
      </c>
      <c r="I65" s="1025"/>
      <c r="J65" s="1025"/>
      <c r="K65" s="1025"/>
      <c r="L65" s="138"/>
      <c r="M65" s="138"/>
      <c r="N65" s="138"/>
      <c r="O65" s="138"/>
      <c r="P65" s="138"/>
      <c r="Q65" s="138"/>
      <c r="R65" s="138"/>
      <c r="S65" s="138"/>
      <c r="T65" s="138"/>
      <c r="U65" s="138"/>
      <c r="V65" s="138"/>
      <c r="W65" s="138"/>
      <c r="X65" s="138"/>
      <c r="Y65" s="138"/>
      <c r="Z65" s="138"/>
      <c r="AA65" s="138"/>
      <c r="AB65" s="138"/>
    </row>
    <row r="66" spans="1:28" ht="14.25" customHeight="1">
      <c r="A66" s="1067" t="s">
        <v>3758</v>
      </c>
      <c r="B66" s="1067" t="s">
        <v>3439</v>
      </c>
      <c r="C66" s="1067" t="s">
        <v>267</v>
      </c>
      <c r="D66" s="1067" t="s">
        <v>3573</v>
      </c>
      <c r="E66" s="1069">
        <v>56282.9</v>
      </c>
      <c r="F66" s="1069">
        <v>-53444.44</v>
      </c>
      <c r="G66" s="1067" t="s">
        <v>3759</v>
      </c>
      <c r="H66" s="1071">
        <v>26</v>
      </c>
      <c r="I66" s="1025"/>
      <c r="J66" s="1025"/>
      <c r="K66" s="1025"/>
      <c r="L66" s="138"/>
      <c r="M66" s="138"/>
      <c r="N66" s="138"/>
      <c r="O66" s="138"/>
      <c r="P66" s="138"/>
      <c r="Q66" s="138"/>
      <c r="R66" s="138"/>
      <c r="S66" s="138"/>
      <c r="T66" s="138"/>
      <c r="U66" s="138"/>
      <c r="V66" s="138"/>
      <c r="W66" s="138"/>
      <c r="X66" s="138"/>
      <c r="Y66" s="138"/>
      <c r="Z66" s="138"/>
      <c r="AA66" s="138"/>
      <c r="AB66" s="138"/>
    </row>
    <row r="67" spans="1:28" ht="14.25" customHeight="1">
      <c r="A67" s="1067" t="s">
        <v>3760</v>
      </c>
      <c r="B67" s="1067" t="s">
        <v>264</v>
      </c>
      <c r="C67" s="1067" t="s">
        <v>267</v>
      </c>
      <c r="D67" s="1067" t="s">
        <v>260</v>
      </c>
      <c r="E67" s="1069">
        <v>37343.25</v>
      </c>
      <c r="F67" s="1069">
        <v>-31500</v>
      </c>
      <c r="G67" s="1067" t="s">
        <v>3761</v>
      </c>
      <c r="H67" s="1071">
        <v>26</v>
      </c>
      <c r="I67" s="1025"/>
      <c r="J67" s="1025"/>
      <c r="K67" s="1025"/>
      <c r="L67" s="138"/>
      <c r="M67" s="138"/>
      <c r="N67" s="138"/>
      <c r="O67" s="138"/>
      <c r="P67" s="138"/>
      <c r="Q67" s="138"/>
      <c r="R67" s="138"/>
      <c r="S67" s="138"/>
      <c r="T67" s="138"/>
      <c r="U67" s="138"/>
      <c r="V67" s="138"/>
      <c r="W67" s="138"/>
      <c r="X67" s="138"/>
      <c r="Y67" s="138"/>
      <c r="Z67" s="138"/>
      <c r="AA67" s="138"/>
      <c r="AB67" s="138"/>
    </row>
    <row r="68" spans="1:28" ht="14.25" customHeight="1">
      <c r="A68" s="1067" t="s">
        <v>3762</v>
      </c>
      <c r="B68" s="1067" t="s">
        <v>268</v>
      </c>
      <c r="C68" s="1067" t="s">
        <v>267</v>
      </c>
      <c r="D68" s="1067" t="s">
        <v>260</v>
      </c>
      <c r="E68" s="1069">
        <v>27555.439999999999</v>
      </c>
      <c r="F68" s="1069">
        <v>-26142.19</v>
      </c>
      <c r="G68" s="1067" t="s">
        <v>3763</v>
      </c>
      <c r="H68" s="1071">
        <v>26</v>
      </c>
      <c r="I68" s="1025"/>
      <c r="J68" s="1025"/>
      <c r="K68" s="1025"/>
      <c r="L68" s="138"/>
      <c r="M68" s="138"/>
      <c r="N68" s="138"/>
      <c r="O68" s="138"/>
      <c r="P68" s="138"/>
      <c r="Q68" s="138"/>
      <c r="R68" s="138"/>
      <c r="S68" s="138"/>
      <c r="T68" s="138"/>
      <c r="U68" s="138"/>
      <c r="V68" s="138"/>
      <c r="W68" s="138"/>
      <c r="X68" s="138"/>
      <c r="Y68" s="138"/>
      <c r="Z68" s="138"/>
      <c r="AA68" s="138"/>
      <c r="AB68" s="138"/>
    </row>
    <row r="69" spans="1:28" ht="14.25" customHeight="1">
      <c r="A69" s="1067" t="s">
        <v>3628</v>
      </c>
      <c r="B69" s="1067" t="s">
        <v>275</v>
      </c>
      <c r="C69" s="1067" t="s">
        <v>267</v>
      </c>
      <c r="D69" s="1067" t="s">
        <v>277</v>
      </c>
      <c r="E69" s="1069">
        <v>15050</v>
      </c>
      <c r="F69" s="1065"/>
      <c r="G69" s="1067" t="s">
        <v>3629</v>
      </c>
      <c r="H69" s="1071">
        <v>26</v>
      </c>
      <c r="I69" s="1025"/>
      <c r="J69" s="1025"/>
      <c r="K69" s="1025"/>
      <c r="L69" s="138"/>
      <c r="M69" s="138"/>
      <c r="N69" s="138"/>
      <c r="O69" s="138"/>
      <c r="P69" s="138"/>
      <c r="Q69" s="138"/>
      <c r="R69" s="138"/>
      <c r="S69" s="138"/>
      <c r="T69" s="138"/>
      <c r="U69" s="138"/>
      <c r="V69" s="138"/>
      <c r="W69" s="138"/>
      <c r="X69" s="138"/>
      <c r="Y69" s="138"/>
      <c r="Z69" s="138"/>
      <c r="AA69" s="138"/>
      <c r="AB69" s="138"/>
    </row>
    <row r="70" spans="1:28" ht="14.25" customHeight="1">
      <c r="A70" s="1067" t="s">
        <v>3764</v>
      </c>
      <c r="B70" s="1067" t="s">
        <v>278</v>
      </c>
      <c r="C70" s="1067" t="s">
        <v>267</v>
      </c>
      <c r="D70" s="1067" t="s">
        <v>282</v>
      </c>
      <c r="E70" s="1069">
        <v>24148.3</v>
      </c>
      <c r="F70" s="1069">
        <v>-13011</v>
      </c>
      <c r="G70" s="1067" t="s">
        <v>3765</v>
      </c>
      <c r="H70" s="1071">
        <v>25</v>
      </c>
      <c r="I70" s="1025"/>
      <c r="J70" s="1025"/>
      <c r="K70" s="1025"/>
      <c r="L70" s="138"/>
      <c r="M70" s="138"/>
      <c r="N70" s="138"/>
      <c r="O70" s="138"/>
      <c r="P70" s="138"/>
      <c r="Q70" s="138"/>
      <c r="R70" s="138"/>
      <c r="S70" s="138"/>
      <c r="T70" s="138"/>
      <c r="U70" s="138"/>
      <c r="V70" s="138"/>
      <c r="W70" s="138"/>
      <c r="X70" s="138"/>
      <c r="Y70" s="138"/>
      <c r="Z70" s="138"/>
      <c r="AA70" s="138"/>
      <c r="AB70" s="138"/>
    </row>
    <row r="71" spans="1:28" ht="14.25" customHeight="1">
      <c r="A71" s="1067" t="s">
        <v>3766</v>
      </c>
      <c r="B71" s="1067" t="s">
        <v>280</v>
      </c>
      <c r="C71" s="1067" t="s">
        <v>267</v>
      </c>
      <c r="D71" s="1067" t="s">
        <v>260</v>
      </c>
      <c r="E71" s="1069">
        <v>17323.25</v>
      </c>
      <c r="F71" s="1069">
        <v>-14400</v>
      </c>
      <c r="G71" s="1067" t="s">
        <v>3767</v>
      </c>
      <c r="H71" s="1071">
        <v>25</v>
      </c>
      <c r="I71" s="1025"/>
      <c r="J71" s="1025"/>
      <c r="K71" s="1025"/>
      <c r="L71" s="138"/>
      <c r="M71" s="138"/>
      <c r="N71" s="138"/>
      <c r="O71" s="138"/>
      <c r="P71" s="138"/>
      <c r="Q71" s="138"/>
      <c r="R71" s="138"/>
      <c r="S71" s="138"/>
      <c r="T71" s="138"/>
      <c r="U71" s="138"/>
      <c r="V71" s="138"/>
      <c r="W71" s="138"/>
      <c r="X71" s="138"/>
      <c r="Y71" s="138"/>
      <c r="Z71" s="138"/>
      <c r="AA71" s="138"/>
      <c r="AB71" s="138"/>
    </row>
    <row r="72" spans="1:28" ht="14.25" customHeight="1">
      <c r="A72" s="1067" t="s">
        <v>3768</v>
      </c>
      <c r="B72" s="1067" t="s">
        <v>278</v>
      </c>
      <c r="C72" s="1067" t="s">
        <v>267</v>
      </c>
      <c r="D72" s="1067" t="s">
        <v>260</v>
      </c>
      <c r="E72" s="1069">
        <v>24729.89</v>
      </c>
      <c r="F72" s="1069">
        <v>-21121.07</v>
      </c>
      <c r="G72" s="1067" t="s">
        <v>3769</v>
      </c>
      <c r="H72" s="1071">
        <v>24</v>
      </c>
      <c r="I72" s="1025"/>
      <c r="J72" s="1025"/>
      <c r="K72" s="1025"/>
      <c r="L72" s="138"/>
      <c r="M72" s="138"/>
      <c r="N72" s="138"/>
      <c r="O72" s="138"/>
      <c r="P72" s="138"/>
      <c r="Q72" s="138"/>
      <c r="R72" s="138"/>
      <c r="S72" s="138"/>
      <c r="T72" s="138"/>
      <c r="U72" s="138"/>
      <c r="V72" s="138"/>
      <c r="W72" s="138"/>
      <c r="X72" s="138"/>
      <c r="Y72" s="138"/>
      <c r="Z72" s="138"/>
      <c r="AA72" s="138"/>
      <c r="AB72" s="138"/>
    </row>
    <row r="73" spans="1:28" ht="14.25" customHeight="1">
      <c r="A73" s="1067" t="s">
        <v>3770</v>
      </c>
      <c r="B73" s="1067" t="s">
        <v>264</v>
      </c>
      <c r="C73" s="1067" t="s">
        <v>3635</v>
      </c>
      <c r="D73" s="1067" t="s">
        <v>3771</v>
      </c>
      <c r="E73" s="1069">
        <v>39801.279999999999</v>
      </c>
      <c r="F73" s="1065"/>
      <c r="G73" s="1067" t="s">
        <v>3772</v>
      </c>
      <c r="H73" s="1071">
        <v>17</v>
      </c>
      <c r="I73" s="1025"/>
      <c r="J73" s="1025"/>
      <c r="K73" s="1025"/>
      <c r="L73" s="138"/>
      <c r="M73" s="138"/>
      <c r="N73" s="138"/>
      <c r="O73" s="138"/>
      <c r="P73" s="138"/>
      <c r="Q73" s="138"/>
      <c r="R73" s="138"/>
      <c r="S73" s="138"/>
      <c r="T73" s="138"/>
      <c r="U73" s="138"/>
      <c r="V73" s="138"/>
      <c r="W73" s="138"/>
      <c r="X73" s="138"/>
      <c r="Y73" s="138"/>
      <c r="Z73" s="138"/>
      <c r="AA73" s="138"/>
      <c r="AB73" s="138"/>
    </row>
    <row r="74" spans="1:28" ht="14.25" customHeight="1">
      <c r="A74" s="1067" t="s">
        <v>3773</v>
      </c>
      <c r="B74" s="1067" t="s">
        <v>278</v>
      </c>
      <c r="C74" s="1067" t="s">
        <v>267</v>
      </c>
      <c r="D74" s="1067" t="s">
        <v>260</v>
      </c>
      <c r="E74" s="1069">
        <v>27897</v>
      </c>
      <c r="F74" s="1069">
        <v>-21259.15</v>
      </c>
      <c r="G74" s="1067" t="s">
        <v>3774</v>
      </c>
      <c r="H74" s="1071">
        <v>17</v>
      </c>
      <c r="I74" s="1025"/>
      <c r="J74" s="1025"/>
      <c r="K74" s="1025"/>
      <c r="L74" s="138"/>
      <c r="M74" s="138"/>
      <c r="N74" s="138"/>
      <c r="O74" s="138"/>
      <c r="P74" s="138"/>
      <c r="Q74" s="138"/>
      <c r="R74" s="138"/>
      <c r="S74" s="138"/>
      <c r="T74" s="138"/>
      <c r="U74" s="138"/>
      <c r="V74" s="138"/>
      <c r="W74" s="138"/>
      <c r="X74" s="138"/>
      <c r="Y74" s="138"/>
      <c r="Z74" s="138"/>
      <c r="AA74" s="138"/>
      <c r="AB74" s="138"/>
    </row>
    <row r="75" spans="1:28" ht="14.25" customHeight="1">
      <c r="A75" s="1067" t="s">
        <v>3775</v>
      </c>
      <c r="B75" s="1067" t="s">
        <v>268</v>
      </c>
      <c r="C75" s="1067" t="s">
        <v>267</v>
      </c>
      <c r="D75" s="1067" t="s">
        <v>260</v>
      </c>
      <c r="E75" s="1069">
        <v>29849.7</v>
      </c>
      <c r="F75" s="1069">
        <v>-25650</v>
      </c>
      <c r="G75" s="1067" t="s">
        <v>3776</v>
      </c>
      <c r="H75" s="1071">
        <v>16</v>
      </c>
      <c r="I75" s="1025"/>
      <c r="J75" s="1025"/>
      <c r="K75" s="1025"/>
      <c r="L75" s="138"/>
      <c r="M75" s="138"/>
      <c r="N75" s="138"/>
      <c r="O75" s="138"/>
      <c r="P75" s="138"/>
      <c r="Q75" s="138"/>
      <c r="R75" s="138"/>
      <c r="S75" s="138"/>
      <c r="T75" s="138"/>
      <c r="U75" s="138"/>
      <c r="V75" s="138"/>
      <c r="W75" s="138"/>
      <c r="X75" s="138"/>
      <c r="Y75" s="138"/>
      <c r="Z75" s="138"/>
      <c r="AA75" s="138"/>
      <c r="AB75" s="138"/>
    </row>
    <row r="76" spans="1:28" ht="14.25" customHeight="1">
      <c r="A76" s="1067" t="s">
        <v>3777</v>
      </c>
      <c r="B76" s="1067" t="s">
        <v>268</v>
      </c>
      <c r="C76" s="1067" t="s">
        <v>267</v>
      </c>
      <c r="D76" s="1067" t="s">
        <v>277</v>
      </c>
      <c r="E76" s="1069">
        <v>22734.85</v>
      </c>
      <c r="F76" s="1065"/>
      <c r="G76" s="1067" t="s">
        <v>3778</v>
      </c>
      <c r="H76" s="1071">
        <v>16</v>
      </c>
      <c r="I76" s="1025"/>
      <c r="J76" s="1025"/>
      <c r="K76" s="1025"/>
      <c r="L76" s="138"/>
      <c r="M76" s="138"/>
      <c r="N76" s="138"/>
      <c r="O76" s="138"/>
      <c r="P76" s="138"/>
      <c r="Q76" s="138"/>
      <c r="R76" s="138"/>
      <c r="S76" s="138"/>
      <c r="T76" s="138"/>
      <c r="U76" s="138"/>
      <c r="V76" s="138"/>
      <c r="W76" s="138"/>
      <c r="X76" s="138"/>
      <c r="Y76" s="138"/>
      <c r="Z76" s="138"/>
      <c r="AA76" s="138"/>
      <c r="AB76" s="138"/>
    </row>
    <row r="77" spans="1:28" ht="14.25" customHeight="1">
      <c r="A77" s="1067" t="s">
        <v>3779</v>
      </c>
      <c r="B77" s="1067" t="s">
        <v>278</v>
      </c>
      <c r="C77" s="1067" t="s">
        <v>267</v>
      </c>
      <c r="D77" s="1067" t="s">
        <v>260</v>
      </c>
      <c r="E77" s="1069">
        <v>23937.85</v>
      </c>
      <c r="F77" s="1065"/>
      <c r="G77" s="1067" t="s">
        <v>3780</v>
      </c>
      <c r="H77" s="1071">
        <v>16</v>
      </c>
      <c r="I77" s="138"/>
      <c r="J77" s="138"/>
      <c r="K77" s="138"/>
      <c r="L77" s="138"/>
      <c r="M77" s="138"/>
      <c r="N77" s="138"/>
      <c r="O77" s="138"/>
      <c r="P77" s="138"/>
      <c r="Q77" s="138"/>
      <c r="R77" s="138"/>
      <c r="S77" s="138"/>
      <c r="T77" s="138"/>
      <c r="U77" s="138"/>
      <c r="V77" s="138"/>
      <c r="W77" s="138"/>
      <c r="X77" s="138"/>
      <c r="Y77" s="138"/>
      <c r="Z77" s="138"/>
      <c r="AA77" s="138"/>
      <c r="AB77" s="138"/>
    </row>
    <row r="78" spans="1:28" ht="14.25" customHeight="1">
      <c r="A78" s="1067" t="s">
        <v>3781</v>
      </c>
      <c r="B78" s="1067" t="s">
        <v>278</v>
      </c>
      <c r="C78" s="1067" t="s">
        <v>3782</v>
      </c>
      <c r="D78" s="1067" t="s">
        <v>3783</v>
      </c>
      <c r="E78" s="1069">
        <v>37860.379999999997</v>
      </c>
      <c r="F78" s="1065"/>
      <c r="G78" s="1067" t="s">
        <v>3784</v>
      </c>
      <c r="H78" s="1071">
        <v>16</v>
      </c>
      <c r="I78" s="138"/>
      <c r="J78" s="138"/>
      <c r="K78" s="138"/>
      <c r="L78" s="138"/>
      <c r="M78" s="138"/>
      <c r="N78" s="138"/>
      <c r="O78" s="138"/>
      <c r="P78" s="138"/>
      <c r="Q78" s="138"/>
      <c r="R78" s="138"/>
      <c r="S78" s="138"/>
      <c r="T78" s="138"/>
      <c r="U78" s="138"/>
      <c r="V78" s="138"/>
      <c r="W78" s="138"/>
      <c r="X78" s="138"/>
      <c r="Y78" s="138"/>
      <c r="Z78" s="138"/>
      <c r="AA78" s="138"/>
      <c r="AB78" s="138"/>
    </row>
    <row r="79" spans="1:28" ht="14.25" customHeight="1">
      <c r="A79" s="1067" t="s">
        <v>3785</v>
      </c>
      <c r="B79" s="1067" t="s">
        <v>275</v>
      </c>
      <c r="C79" s="1067" t="s">
        <v>267</v>
      </c>
      <c r="D79" s="1067" t="s">
        <v>273</v>
      </c>
      <c r="E79" s="1069">
        <v>17250</v>
      </c>
      <c r="F79" s="1069">
        <v>-10994</v>
      </c>
      <c r="G79" s="1067" t="s">
        <v>3786</v>
      </c>
      <c r="H79" s="1071">
        <v>16</v>
      </c>
      <c r="I79" s="138"/>
      <c r="J79" s="138"/>
      <c r="K79" s="138"/>
      <c r="L79" s="138"/>
      <c r="M79" s="138"/>
      <c r="N79" s="138"/>
      <c r="O79" s="138"/>
      <c r="P79" s="138"/>
      <c r="Q79" s="138"/>
      <c r="R79" s="138"/>
      <c r="S79" s="138"/>
      <c r="T79" s="138"/>
      <c r="U79" s="138"/>
      <c r="V79" s="138"/>
      <c r="W79" s="138"/>
      <c r="X79" s="138"/>
      <c r="Y79" s="138"/>
      <c r="Z79" s="138"/>
      <c r="AA79" s="138"/>
      <c r="AB79" s="138"/>
    </row>
    <row r="80" spans="1:28" ht="14.25" customHeight="1">
      <c r="A80" s="1067" t="s">
        <v>3787</v>
      </c>
      <c r="B80" s="1067" t="s">
        <v>3340</v>
      </c>
      <c r="C80" s="1067" t="s">
        <v>267</v>
      </c>
      <c r="D80" s="1067" t="s">
        <v>265</v>
      </c>
      <c r="E80" s="1069">
        <v>9050</v>
      </c>
      <c r="F80" s="1065"/>
      <c r="G80" s="1067" t="s">
        <v>3788</v>
      </c>
      <c r="H80" s="1071">
        <v>13</v>
      </c>
      <c r="I80" s="138"/>
      <c r="J80" s="138"/>
      <c r="K80" s="138"/>
      <c r="L80" s="138"/>
      <c r="M80" s="138"/>
      <c r="N80" s="138"/>
      <c r="O80" s="138"/>
      <c r="P80" s="138"/>
      <c r="Q80" s="138"/>
      <c r="R80" s="138"/>
      <c r="S80" s="138"/>
      <c r="T80" s="138"/>
      <c r="U80" s="138"/>
      <c r="V80" s="138"/>
      <c r="W80" s="138"/>
      <c r="X80" s="138"/>
      <c r="Y80" s="138"/>
      <c r="Z80" s="138"/>
      <c r="AA80" s="138"/>
      <c r="AB80" s="138"/>
    </row>
    <row r="81" spans="1:28" ht="14.25" customHeight="1">
      <c r="A81" s="1067" t="s">
        <v>3789</v>
      </c>
      <c r="B81" s="1067" t="s">
        <v>3549</v>
      </c>
      <c r="C81" s="1067" t="s">
        <v>3434</v>
      </c>
      <c r="D81" s="1067" t="s">
        <v>3790</v>
      </c>
      <c r="E81" s="1069">
        <v>10550</v>
      </c>
      <c r="F81" s="1065"/>
      <c r="G81" s="1067" t="s">
        <v>3791</v>
      </c>
      <c r="H81" s="1071">
        <v>12</v>
      </c>
      <c r="I81" s="138"/>
      <c r="J81" s="138"/>
      <c r="K81" s="138"/>
      <c r="L81" s="138"/>
      <c r="M81" s="138"/>
      <c r="N81" s="138"/>
      <c r="O81" s="138"/>
      <c r="P81" s="138"/>
      <c r="Q81" s="138"/>
      <c r="R81" s="138"/>
      <c r="S81" s="138"/>
      <c r="T81" s="138"/>
      <c r="U81" s="138"/>
      <c r="V81" s="138"/>
      <c r="W81" s="138"/>
      <c r="X81" s="138"/>
      <c r="Y81" s="138"/>
      <c r="Z81" s="138"/>
      <c r="AA81" s="138"/>
      <c r="AB81" s="138"/>
    </row>
    <row r="82" spans="1:28" ht="14.25" customHeight="1">
      <c r="A82" s="1067" t="s">
        <v>3792</v>
      </c>
      <c r="B82" s="1067" t="s">
        <v>259</v>
      </c>
      <c r="C82" s="1067" t="s">
        <v>267</v>
      </c>
      <c r="D82" s="1067" t="s">
        <v>3573</v>
      </c>
      <c r="E82" s="1069">
        <v>48197.8</v>
      </c>
      <c r="F82" s="1069">
        <v>-42300</v>
      </c>
      <c r="G82" s="1067" t="s">
        <v>3793</v>
      </c>
      <c r="H82" s="1071">
        <v>11</v>
      </c>
      <c r="I82" s="138"/>
      <c r="J82" s="138"/>
      <c r="K82" s="138"/>
      <c r="L82" s="138"/>
      <c r="M82" s="138"/>
      <c r="N82" s="138"/>
      <c r="O82" s="138"/>
      <c r="P82" s="138"/>
      <c r="Q82" s="138"/>
      <c r="R82" s="138"/>
      <c r="S82" s="138"/>
      <c r="T82" s="138"/>
      <c r="U82" s="138"/>
      <c r="V82" s="138"/>
      <c r="W82" s="138"/>
      <c r="X82" s="138"/>
      <c r="Y82" s="138"/>
      <c r="Z82" s="138"/>
      <c r="AA82" s="138"/>
      <c r="AB82" s="138"/>
    </row>
    <row r="83" spans="1:28" ht="14.25" customHeight="1">
      <c r="A83" s="1067" t="s">
        <v>3794</v>
      </c>
      <c r="B83" s="1067" t="s">
        <v>275</v>
      </c>
      <c r="C83" s="1067" t="s">
        <v>267</v>
      </c>
      <c r="D83" s="1067" t="s">
        <v>277</v>
      </c>
      <c r="E83" s="1069">
        <v>21402.85</v>
      </c>
      <c r="F83" s="1065"/>
      <c r="G83" s="1067" t="s">
        <v>3795</v>
      </c>
      <c r="H83" s="1071">
        <v>11</v>
      </c>
      <c r="I83" s="138"/>
      <c r="J83" s="138"/>
      <c r="K83" s="138"/>
      <c r="L83" s="138"/>
      <c r="M83" s="138"/>
      <c r="N83" s="138"/>
      <c r="O83" s="138"/>
      <c r="P83" s="138"/>
      <c r="Q83" s="138"/>
      <c r="R83" s="138"/>
      <c r="S83" s="138"/>
      <c r="T83" s="138"/>
      <c r="U83" s="138"/>
      <c r="V83" s="138"/>
      <c r="W83" s="138"/>
      <c r="X83" s="138"/>
      <c r="Y83" s="138"/>
      <c r="Z83" s="138"/>
      <c r="AA83" s="138"/>
      <c r="AB83" s="138"/>
    </row>
    <row r="84" spans="1:28" ht="14.25" customHeight="1">
      <c r="A84" s="1067" t="s">
        <v>3796</v>
      </c>
      <c r="B84" s="1067" t="s">
        <v>275</v>
      </c>
      <c r="C84" s="1067" t="s">
        <v>267</v>
      </c>
      <c r="D84" s="1067" t="s">
        <v>273</v>
      </c>
      <c r="E84" s="1069">
        <v>18179.95</v>
      </c>
      <c r="F84" s="1065"/>
      <c r="G84" s="1067" t="s">
        <v>3797</v>
      </c>
      <c r="H84" s="1071">
        <v>11</v>
      </c>
      <c r="I84" s="138"/>
      <c r="J84" s="138"/>
      <c r="K84" s="138"/>
      <c r="L84" s="138"/>
      <c r="M84" s="138"/>
      <c r="N84" s="138"/>
      <c r="O84" s="138"/>
      <c r="P84" s="138"/>
      <c r="Q84" s="138"/>
      <c r="R84" s="138"/>
      <c r="S84" s="138"/>
      <c r="T84" s="138"/>
      <c r="U84" s="138"/>
      <c r="V84" s="138"/>
      <c r="W84" s="138"/>
      <c r="X84" s="138"/>
      <c r="Y84" s="138"/>
      <c r="Z84" s="138"/>
      <c r="AA84" s="138"/>
      <c r="AB84" s="138"/>
    </row>
    <row r="85" spans="1:28" ht="14.25" customHeight="1">
      <c r="A85" s="1067" t="s">
        <v>3798</v>
      </c>
      <c r="B85" s="1067" t="s">
        <v>3472</v>
      </c>
      <c r="C85" s="1067" t="s">
        <v>3799</v>
      </c>
      <c r="D85" s="1067" t="s">
        <v>3800</v>
      </c>
      <c r="E85" s="1069">
        <v>22550</v>
      </c>
      <c r="F85" s="1065"/>
      <c r="G85" s="1067" t="s">
        <v>3801</v>
      </c>
      <c r="H85" s="1071">
        <v>11</v>
      </c>
      <c r="I85" s="138"/>
      <c r="J85" s="138"/>
      <c r="K85" s="138"/>
      <c r="L85" s="138"/>
      <c r="M85" s="138"/>
      <c r="N85" s="138"/>
      <c r="O85" s="138"/>
      <c r="P85" s="138"/>
      <c r="Q85" s="138"/>
      <c r="R85" s="138"/>
      <c r="S85" s="138"/>
      <c r="T85" s="138"/>
      <c r="U85" s="138"/>
      <c r="V85" s="138"/>
      <c r="W85" s="138"/>
      <c r="X85" s="138"/>
      <c r="Y85" s="138"/>
      <c r="Z85" s="138"/>
      <c r="AA85" s="138"/>
      <c r="AB85" s="138"/>
    </row>
    <row r="86" spans="1:28" ht="14.25" customHeight="1">
      <c r="A86" s="1067" t="s">
        <v>3802</v>
      </c>
      <c r="B86" s="1067" t="s">
        <v>3443</v>
      </c>
      <c r="C86" s="1067" t="s">
        <v>3432</v>
      </c>
      <c r="D86" s="1067" t="s">
        <v>3803</v>
      </c>
      <c r="E86" s="1069">
        <v>5450</v>
      </c>
      <c r="F86" s="1065"/>
      <c r="G86" s="1067" t="s">
        <v>3804</v>
      </c>
      <c r="H86" s="1071">
        <v>11</v>
      </c>
      <c r="I86" s="138"/>
      <c r="J86" s="138"/>
      <c r="K86" s="138"/>
      <c r="L86" s="138"/>
      <c r="M86" s="138"/>
      <c r="N86" s="138"/>
      <c r="O86" s="138"/>
      <c r="P86" s="138"/>
      <c r="Q86" s="138"/>
      <c r="R86" s="138"/>
      <c r="S86" s="138"/>
      <c r="T86" s="138"/>
      <c r="U86" s="138"/>
      <c r="V86" s="138"/>
      <c r="W86" s="138"/>
      <c r="X86" s="138"/>
      <c r="Y86" s="138"/>
      <c r="Z86" s="138"/>
      <c r="AA86" s="138"/>
      <c r="AB86" s="138"/>
    </row>
    <row r="87" spans="1:28" ht="14.25" customHeight="1">
      <c r="A87" s="1067" t="s">
        <v>3805</v>
      </c>
      <c r="B87" s="1067" t="s">
        <v>275</v>
      </c>
      <c r="C87" s="1067" t="s">
        <v>267</v>
      </c>
      <c r="D87" s="1067" t="s">
        <v>260</v>
      </c>
      <c r="E87" s="1069">
        <v>20650</v>
      </c>
      <c r="F87" s="1065"/>
      <c r="G87" s="1067" t="s">
        <v>3806</v>
      </c>
      <c r="H87" s="1071">
        <v>10</v>
      </c>
      <c r="I87" s="138"/>
      <c r="J87" s="138"/>
      <c r="K87" s="138"/>
      <c r="L87" s="138"/>
      <c r="M87" s="138"/>
      <c r="N87" s="138"/>
      <c r="O87" s="138"/>
      <c r="P87" s="138"/>
      <c r="Q87" s="138"/>
      <c r="R87" s="138"/>
      <c r="S87" s="138"/>
      <c r="T87" s="138"/>
      <c r="U87" s="138"/>
      <c r="V87" s="138"/>
      <c r="W87" s="138"/>
      <c r="X87" s="138"/>
      <c r="Y87" s="138"/>
      <c r="Z87" s="138"/>
      <c r="AA87" s="138"/>
      <c r="AB87" s="138"/>
    </row>
    <row r="88" spans="1:28" ht="14.25" customHeight="1">
      <c r="A88" s="1067" t="s">
        <v>3807</v>
      </c>
      <c r="B88" s="1067" t="s">
        <v>3340</v>
      </c>
      <c r="C88" s="1067" t="s">
        <v>267</v>
      </c>
      <c r="D88" s="1067" t="s">
        <v>260</v>
      </c>
      <c r="E88" s="1069">
        <v>8550</v>
      </c>
      <c r="F88" s="1065"/>
      <c r="G88" s="1067" t="s">
        <v>3808</v>
      </c>
      <c r="H88" s="1071">
        <v>10</v>
      </c>
      <c r="I88" s="138"/>
      <c r="J88" s="138"/>
      <c r="K88" s="138"/>
      <c r="L88" s="138"/>
      <c r="M88" s="138"/>
      <c r="N88" s="138"/>
      <c r="O88" s="138"/>
      <c r="P88" s="138"/>
      <c r="Q88" s="138"/>
      <c r="R88" s="138"/>
      <c r="S88" s="138"/>
      <c r="T88" s="138"/>
      <c r="U88" s="138"/>
      <c r="V88" s="138"/>
      <c r="W88" s="138"/>
      <c r="X88" s="138"/>
      <c r="Y88" s="138"/>
      <c r="Z88" s="138"/>
      <c r="AA88" s="138"/>
      <c r="AB88" s="138"/>
    </row>
    <row r="89" spans="1:28" ht="14.25" customHeight="1">
      <c r="A89" s="1067" t="s">
        <v>3809</v>
      </c>
      <c r="B89" s="1067" t="s">
        <v>278</v>
      </c>
      <c r="C89" s="1067" t="s">
        <v>267</v>
      </c>
      <c r="D89" s="1067" t="s">
        <v>260</v>
      </c>
      <c r="E89" s="1069">
        <v>25550</v>
      </c>
      <c r="F89" s="1065"/>
      <c r="G89" s="1067" t="s">
        <v>3810</v>
      </c>
      <c r="H89" s="1071">
        <v>9</v>
      </c>
      <c r="I89" s="138"/>
      <c r="J89" s="138"/>
      <c r="K89" s="138"/>
      <c r="L89" s="138"/>
      <c r="M89" s="138"/>
      <c r="N89" s="138"/>
      <c r="O89" s="138"/>
      <c r="P89" s="138"/>
      <c r="Q89" s="138"/>
      <c r="R89" s="138"/>
      <c r="S89" s="138"/>
      <c r="T89" s="138"/>
      <c r="U89" s="138"/>
      <c r="V89" s="138"/>
      <c r="W89" s="138"/>
      <c r="X89" s="138"/>
      <c r="Y89" s="138"/>
      <c r="Z89" s="138"/>
      <c r="AA89" s="138"/>
      <c r="AB89" s="138"/>
    </row>
    <row r="90" spans="1:28" ht="14.25" customHeight="1">
      <c r="A90" s="1067" t="s">
        <v>3811</v>
      </c>
      <c r="B90" s="1067" t="s">
        <v>278</v>
      </c>
      <c r="C90" s="1067" t="s">
        <v>3433</v>
      </c>
      <c r="D90" s="1067" t="s">
        <v>3812</v>
      </c>
      <c r="E90" s="1069">
        <v>28550</v>
      </c>
      <c r="F90" s="1065"/>
      <c r="G90" s="1067" t="s">
        <v>3813</v>
      </c>
      <c r="H90" s="1071">
        <v>9</v>
      </c>
      <c r="I90" s="138"/>
      <c r="J90" s="138"/>
      <c r="K90" s="138"/>
      <c r="L90" s="138"/>
      <c r="M90" s="138"/>
      <c r="N90" s="138"/>
      <c r="O90" s="138"/>
      <c r="P90" s="138"/>
      <c r="Q90" s="138"/>
      <c r="R90" s="138"/>
      <c r="S90" s="138"/>
      <c r="T90" s="138"/>
      <c r="U90" s="138"/>
      <c r="V90" s="138"/>
      <c r="W90" s="138"/>
      <c r="X90" s="138"/>
      <c r="Y90" s="138"/>
      <c r="Z90" s="138"/>
      <c r="AA90" s="138"/>
      <c r="AB90" s="138"/>
    </row>
    <row r="91" spans="1:28" ht="14.25" customHeight="1">
      <c r="A91" s="1067" t="s">
        <v>3814</v>
      </c>
      <c r="B91" s="1067" t="s">
        <v>275</v>
      </c>
      <c r="C91" s="1067" t="s">
        <v>267</v>
      </c>
      <c r="D91" s="1067" t="s">
        <v>273</v>
      </c>
      <c r="E91" s="1069">
        <v>17050</v>
      </c>
      <c r="F91" s="1065"/>
      <c r="G91" s="1067" t="s">
        <v>3815</v>
      </c>
      <c r="H91" s="1071">
        <v>9</v>
      </c>
      <c r="I91" s="138"/>
      <c r="J91" s="138"/>
      <c r="K91" s="138"/>
      <c r="L91" s="138"/>
      <c r="M91" s="138"/>
      <c r="N91" s="138"/>
      <c r="O91" s="138"/>
      <c r="P91" s="138"/>
      <c r="Q91" s="138"/>
      <c r="R91" s="138"/>
      <c r="S91" s="138"/>
      <c r="T91" s="138"/>
      <c r="U91" s="138"/>
      <c r="V91" s="138"/>
      <c r="W91" s="138"/>
      <c r="X91" s="138"/>
      <c r="Y91" s="138"/>
      <c r="Z91" s="138"/>
      <c r="AA91" s="138"/>
      <c r="AB91" s="138"/>
    </row>
    <row r="92" spans="1:28" ht="14.25" customHeight="1">
      <c r="A92" s="1067" t="s">
        <v>3816</v>
      </c>
      <c r="B92" s="1067" t="s">
        <v>259</v>
      </c>
      <c r="C92" s="1067" t="s">
        <v>267</v>
      </c>
      <c r="D92" s="1067" t="s">
        <v>260</v>
      </c>
      <c r="E92" s="1069">
        <v>31300</v>
      </c>
      <c r="F92" s="1065"/>
      <c r="G92" s="1067" t="s">
        <v>3817</v>
      </c>
      <c r="H92" s="1071">
        <v>8</v>
      </c>
      <c r="I92" s="138"/>
      <c r="J92" s="138"/>
      <c r="K92" s="138"/>
      <c r="L92" s="138"/>
      <c r="M92" s="138"/>
      <c r="N92" s="138"/>
      <c r="O92" s="138"/>
      <c r="P92" s="138"/>
      <c r="Q92" s="138"/>
      <c r="R92" s="138"/>
      <c r="S92" s="138"/>
      <c r="T92" s="138"/>
      <c r="U92" s="138"/>
      <c r="V92" s="138"/>
      <c r="W92" s="138"/>
      <c r="X92" s="138"/>
      <c r="Y92" s="138"/>
      <c r="Z92" s="138"/>
      <c r="AA92" s="138"/>
      <c r="AB92" s="138"/>
    </row>
    <row r="93" spans="1:28" ht="14.25" customHeight="1">
      <c r="A93" s="1067" t="s">
        <v>3818</v>
      </c>
      <c r="B93" s="1067" t="s">
        <v>264</v>
      </c>
      <c r="C93" s="1067" t="s">
        <v>267</v>
      </c>
      <c r="D93" s="1067" t="s">
        <v>262</v>
      </c>
      <c r="E93" s="1069">
        <v>47388.75</v>
      </c>
      <c r="F93" s="1065"/>
      <c r="G93" s="1067" t="s">
        <v>3819</v>
      </c>
      <c r="H93" s="1071">
        <v>4</v>
      </c>
      <c r="I93" s="138"/>
      <c r="J93" s="138"/>
      <c r="K93" s="138"/>
      <c r="L93" s="138"/>
      <c r="M93" s="138"/>
      <c r="N93" s="138"/>
      <c r="O93" s="138"/>
      <c r="P93" s="138"/>
      <c r="Q93" s="138"/>
      <c r="R93" s="138"/>
      <c r="S93" s="138"/>
      <c r="T93" s="138"/>
      <c r="U93" s="138"/>
      <c r="V93" s="138"/>
      <c r="W93" s="138"/>
      <c r="X93" s="138"/>
      <c r="Y93" s="138"/>
      <c r="Z93" s="138"/>
      <c r="AA93" s="138"/>
      <c r="AB93" s="138"/>
    </row>
    <row r="94" spans="1:28" ht="14.25" customHeight="1">
      <c r="A94" s="1067" t="s">
        <v>3820</v>
      </c>
      <c r="B94" s="1067" t="s">
        <v>268</v>
      </c>
      <c r="C94" s="1067" t="s">
        <v>267</v>
      </c>
      <c r="D94" s="1067" t="s">
        <v>277</v>
      </c>
      <c r="E94" s="1069">
        <v>24050</v>
      </c>
      <c r="F94" s="1065"/>
      <c r="G94" s="1067" t="s">
        <v>3821</v>
      </c>
      <c r="H94" s="1071">
        <v>4</v>
      </c>
      <c r="I94" s="138"/>
      <c r="J94" s="138"/>
      <c r="K94" s="138"/>
      <c r="L94" s="138"/>
      <c r="M94" s="138"/>
      <c r="N94" s="138"/>
      <c r="O94" s="138"/>
      <c r="P94" s="138"/>
      <c r="Q94" s="138"/>
      <c r="R94" s="138"/>
      <c r="S94" s="138"/>
      <c r="T94" s="138"/>
      <c r="U94" s="138"/>
      <c r="V94" s="138"/>
      <c r="W94" s="138"/>
      <c r="X94" s="138"/>
      <c r="Y94" s="138"/>
      <c r="Z94" s="138"/>
      <c r="AA94" s="138"/>
      <c r="AB94" s="138"/>
    </row>
    <row r="95" spans="1:28" ht="14.25" customHeight="1">
      <c r="A95" s="1067" t="s">
        <v>3822</v>
      </c>
      <c r="B95" s="1067" t="s">
        <v>278</v>
      </c>
      <c r="C95" s="1067" t="s">
        <v>267</v>
      </c>
      <c r="D95" s="1067" t="s">
        <v>260</v>
      </c>
      <c r="E95" s="1069">
        <v>29837.9</v>
      </c>
      <c r="F95" s="1065"/>
      <c r="G95" s="1067" t="s">
        <v>3823</v>
      </c>
      <c r="H95" s="1071">
        <v>4</v>
      </c>
      <c r="I95" s="138"/>
      <c r="J95" s="138"/>
      <c r="K95" s="138"/>
      <c r="L95" s="138"/>
      <c r="M95" s="138"/>
      <c r="N95" s="138"/>
      <c r="O95" s="138"/>
      <c r="P95" s="138"/>
      <c r="Q95" s="138"/>
      <c r="R95" s="138"/>
      <c r="S95" s="138"/>
      <c r="T95" s="138"/>
      <c r="U95" s="138"/>
      <c r="V95" s="138"/>
      <c r="W95" s="138"/>
      <c r="X95" s="138"/>
      <c r="Y95" s="138"/>
      <c r="Z95" s="138"/>
      <c r="AA95" s="138"/>
      <c r="AB95" s="138"/>
    </row>
    <row r="96" spans="1:28" ht="14.25" customHeight="1">
      <c r="A96" s="1067" t="s">
        <v>3824</v>
      </c>
      <c r="B96" s="1067" t="s">
        <v>278</v>
      </c>
      <c r="C96" s="1067" t="s">
        <v>267</v>
      </c>
      <c r="D96" s="1067" t="s">
        <v>277</v>
      </c>
      <c r="E96" s="1069">
        <v>18250</v>
      </c>
      <c r="F96" s="1065"/>
      <c r="G96" s="1067" t="s">
        <v>3825</v>
      </c>
      <c r="H96" s="1071">
        <v>4</v>
      </c>
      <c r="I96" s="138"/>
      <c r="J96" s="138"/>
      <c r="K96" s="138"/>
      <c r="L96" s="138"/>
      <c r="M96" s="138"/>
      <c r="N96" s="138"/>
      <c r="O96" s="138"/>
      <c r="P96" s="138"/>
      <c r="Q96" s="138"/>
      <c r="R96" s="138"/>
      <c r="S96" s="138"/>
      <c r="T96" s="138"/>
      <c r="U96" s="138"/>
      <c r="V96" s="138"/>
      <c r="W96" s="138"/>
      <c r="X96" s="138"/>
      <c r="Y96" s="138"/>
      <c r="Z96" s="138"/>
      <c r="AA96" s="138"/>
      <c r="AB96" s="138"/>
    </row>
    <row r="97" spans="1:28" ht="14.25" customHeight="1">
      <c r="A97" s="1067" t="s">
        <v>3826</v>
      </c>
      <c r="B97" s="1067" t="s">
        <v>268</v>
      </c>
      <c r="C97" s="1067" t="s">
        <v>267</v>
      </c>
      <c r="D97" s="1067" t="s">
        <v>260</v>
      </c>
      <c r="E97" s="1069">
        <v>24300</v>
      </c>
      <c r="F97" s="1065"/>
      <c r="G97" s="1067" t="s">
        <v>3827</v>
      </c>
      <c r="H97" s="1071">
        <v>3</v>
      </c>
      <c r="I97" s="138"/>
      <c r="J97" s="138"/>
      <c r="K97" s="138"/>
      <c r="L97" s="138"/>
      <c r="M97" s="138"/>
      <c r="N97" s="138"/>
      <c r="O97" s="138"/>
      <c r="P97" s="138"/>
      <c r="Q97" s="138"/>
      <c r="R97" s="138"/>
      <c r="S97" s="138"/>
      <c r="T97" s="138"/>
      <c r="U97" s="138"/>
      <c r="V97" s="138"/>
      <c r="W97" s="138"/>
      <c r="X97" s="138"/>
      <c r="Y97" s="138"/>
      <c r="Z97" s="138"/>
      <c r="AA97" s="138"/>
      <c r="AB97" s="138"/>
    </row>
    <row r="98" spans="1:28" ht="14.25" customHeight="1">
      <c r="A98" s="1067" t="s">
        <v>3828</v>
      </c>
      <c r="B98" s="1067" t="s">
        <v>278</v>
      </c>
      <c r="C98" s="1067" t="s">
        <v>267</v>
      </c>
      <c r="D98" s="1067" t="s">
        <v>277</v>
      </c>
      <c r="E98" s="1069">
        <v>16550</v>
      </c>
      <c r="F98" s="1065"/>
      <c r="G98" s="1067" t="s">
        <v>3829</v>
      </c>
      <c r="H98" s="1071">
        <v>3</v>
      </c>
      <c r="I98" s="138"/>
      <c r="J98" s="138"/>
      <c r="K98" s="138"/>
      <c r="L98" s="138"/>
      <c r="M98" s="138"/>
      <c r="N98" s="138"/>
      <c r="O98" s="138"/>
      <c r="P98" s="138"/>
      <c r="Q98" s="138"/>
      <c r="R98" s="138"/>
      <c r="S98" s="138"/>
      <c r="T98" s="138"/>
      <c r="U98" s="138"/>
      <c r="V98" s="138"/>
      <c r="W98" s="138"/>
      <c r="X98" s="138"/>
      <c r="Y98" s="138"/>
      <c r="Z98" s="138"/>
      <c r="AA98" s="138"/>
      <c r="AB98" s="138"/>
    </row>
    <row r="99" spans="1:28" ht="14.25" customHeight="1">
      <c r="A99" s="1067" t="s">
        <v>3830</v>
      </c>
      <c r="B99" s="1067" t="s">
        <v>278</v>
      </c>
      <c r="C99" s="1067" t="s">
        <v>3351</v>
      </c>
      <c r="D99" s="1067" t="s">
        <v>3831</v>
      </c>
      <c r="E99" s="1069">
        <v>53050</v>
      </c>
      <c r="F99" s="1065"/>
      <c r="G99" s="1067" t="s">
        <v>3832</v>
      </c>
      <c r="H99" s="1071">
        <v>3</v>
      </c>
      <c r="I99" s="138"/>
      <c r="J99" s="138"/>
      <c r="K99" s="138"/>
      <c r="L99" s="138"/>
      <c r="M99" s="138"/>
      <c r="N99" s="138"/>
      <c r="O99" s="138"/>
      <c r="P99" s="138"/>
      <c r="Q99" s="138"/>
      <c r="R99" s="138"/>
      <c r="S99" s="138"/>
      <c r="T99" s="138"/>
      <c r="U99" s="138"/>
      <c r="V99" s="138"/>
      <c r="W99" s="138"/>
      <c r="X99" s="138"/>
      <c r="Y99" s="138"/>
      <c r="Z99" s="138"/>
      <c r="AA99" s="138"/>
      <c r="AB99" s="138"/>
    </row>
    <row r="100" spans="1:28" ht="14.25" customHeight="1">
      <c r="A100" s="1067" t="s">
        <v>3833</v>
      </c>
      <c r="B100" s="1067" t="s">
        <v>280</v>
      </c>
      <c r="C100" s="1067" t="s">
        <v>3834</v>
      </c>
      <c r="D100" s="1067" t="s">
        <v>3835</v>
      </c>
      <c r="E100" s="1069">
        <v>10300</v>
      </c>
      <c r="F100" s="1065"/>
      <c r="G100" s="1067" t="s">
        <v>3836</v>
      </c>
      <c r="H100" s="1071">
        <v>3</v>
      </c>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ht="14.25" customHeight="1">
      <c r="A101" s="1067" t="s">
        <v>3837</v>
      </c>
      <c r="B101" s="1067" t="s">
        <v>3634</v>
      </c>
      <c r="C101" s="1067" t="s">
        <v>267</v>
      </c>
      <c r="D101" s="1067" t="s">
        <v>3643</v>
      </c>
      <c r="E101" s="1069">
        <v>2550</v>
      </c>
      <c r="F101" s="1065"/>
      <c r="G101" s="1067" t="s">
        <v>3838</v>
      </c>
      <c r="H101" s="1071">
        <v>3</v>
      </c>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ht="14.25" customHeight="1">
      <c r="A102" s="1067" t="s">
        <v>3839</v>
      </c>
      <c r="B102" s="1067" t="s">
        <v>3634</v>
      </c>
      <c r="C102" s="1067" t="s">
        <v>3465</v>
      </c>
      <c r="D102" s="1067" t="s">
        <v>3840</v>
      </c>
      <c r="E102" s="1069">
        <v>2300</v>
      </c>
      <c r="F102" s="1065"/>
      <c r="G102" s="1067" t="s">
        <v>3841</v>
      </c>
      <c r="H102" s="1071">
        <v>3</v>
      </c>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ht="14.25" customHeight="1">
      <c r="A103" s="1067" t="s">
        <v>3842</v>
      </c>
      <c r="B103" s="1067" t="s">
        <v>264</v>
      </c>
      <c r="C103" s="1067" t="s">
        <v>267</v>
      </c>
      <c r="D103" s="1067" t="s">
        <v>260</v>
      </c>
      <c r="E103" s="1069">
        <v>36050</v>
      </c>
      <c r="F103" s="1065"/>
      <c r="G103" s="1067" t="s">
        <v>3843</v>
      </c>
      <c r="H103" s="1071">
        <v>2</v>
      </c>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ht="14.25" customHeight="1">
      <c r="A104" s="1067" t="s">
        <v>3844</v>
      </c>
      <c r="B104" s="1067" t="s">
        <v>259</v>
      </c>
      <c r="C104" s="1067" t="s">
        <v>267</v>
      </c>
      <c r="D104" s="1067" t="s">
        <v>260</v>
      </c>
      <c r="E104" s="1069">
        <v>33550</v>
      </c>
      <c r="F104" s="1065"/>
      <c r="G104" s="1067" t="s">
        <v>3845</v>
      </c>
      <c r="H104" s="1071">
        <v>2</v>
      </c>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ht="14.25" customHeight="1">
      <c r="A105" s="1067" t="s">
        <v>3846</v>
      </c>
      <c r="B105" s="1067" t="s">
        <v>259</v>
      </c>
      <c r="C105" s="1067" t="s">
        <v>3543</v>
      </c>
      <c r="D105" s="1067" t="s">
        <v>3847</v>
      </c>
      <c r="E105" s="1069">
        <v>20750</v>
      </c>
      <c r="F105" s="1065"/>
      <c r="G105" s="1067" t="s">
        <v>3848</v>
      </c>
      <c r="H105" s="1071">
        <v>2</v>
      </c>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ht="14.25" customHeight="1">
      <c r="A106" s="1067" t="s">
        <v>3849</v>
      </c>
      <c r="B106" s="1067" t="s">
        <v>268</v>
      </c>
      <c r="C106" s="1067" t="s">
        <v>267</v>
      </c>
      <c r="D106" s="1067" t="s">
        <v>260</v>
      </c>
      <c r="E106" s="1069">
        <v>26050</v>
      </c>
      <c r="F106" s="1065"/>
      <c r="G106" s="1067" t="s">
        <v>3850</v>
      </c>
      <c r="H106" s="1071">
        <v>2</v>
      </c>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ht="14.25" customHeight="1">
      <c r="A107" s="1067" t="s">
        <v>3851</v>
      </c>
      <c r="B107" s="1067" t="s">
        <v>268</v>
      </c>
      <c r="C107" s="1067" t="s">
        <v>3543</v>
      </c>
      <c r="D107" s="1067" t="s">
        <v>3544</v>
      </c>
      <c r="E107" s="1069">
        <v>29050</v>
      </c>
      <c r="F107" s="1065"/>
      <c r="G107" s="1067" t="s">
        <v>3852</v>
      </c>
      <c r="H107" s="1071">
        <v>2</v>
      </c>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ht="14.25" customHeight="1">
      <c r="A108" s="1067" t="s">
        <v>3853</v>
      </c>
      <c r="B108" s="1067" t="s">
        <v>275</v>
      </c>
      <c r="C108" s="1067" t="s">
        <v>3469</v>
      </c>
      <c r="D108" s="1067" t="s">
        <v>3854</v>
      </c>
      <c r="E108" s="1069">
        <v>35550</v>
      </c>
      <c r="F108" s="1065"/>
      <c r="G108" s="1067" t="s">
        <v>3855</v>
      </c>
      <c r="H108" s="1071">
        <v>2</v>
      </c>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ht="14.25" customHeight="1">
      <c r="A109" s="1067" t="s">
        <v>3856</v>
      </c>
      <c r="B109" s="1067" t="s">
        <v>3340</v>
      </c>
      <c r="C109" s="1067" t="s">
        <v>267</v>
      </c>
      <c r="D109" s="1067" t="s">
        <v>265</v>
      </c>
      <c r="E109" s="1069">
        <v>4050</v>
      </c>
      <c r="F109" s="1065"/>
      <c r="G109" s="1067" t="s">
        <v>3857</v>
      </c>
      <c r="H109" s="1071">
        <v>2</v>
      </c>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ht="14.25" customHeight="1">
      <c r="A112" s="1049" t="s">
        <v>270</v>
      </c>
      <c r="B112" s="1049" t="s">
        <v>271</v>
      </c>
      <c r="C112" s="1049" t="s">
        <v>267</v>
      </c>
      <c r="D112" s="1049" t="s">
        <v>265</v>
      </c>
      <c r="E112" s="1047">
        <v>9521.7099999999991</v>
      </c>
      <c r="F112" s="1046"/>
      <c r="G112" s="1049" t="s">
        <v>272</v>
      </c>
      <c r="H112" s="1048">
        <v>554</v>
      </c>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ht="14.25" customHeight="1">
      <c r="A113" s="1049" t="s">
        <v>3409</v>
      </c>
      <c r="B113" s="1049" t="s">
        <v>275</v>
      </c>
      <c r="C113" s="1049" t="s">
        <v>3410</v>
      </c>
      <c r="D113" s="1049" t="s">
        <v>3657</v>
      </c>
      <c r="E113" s="1047">
        <v>36739.79</v>
      </c>
      <c r="F113" s="1046"/>
      <c r="G113" s="1049" t="s">
        <v>3411</v>
      </c>
      <c r="H113" s="1048">
        <v>209</v>
      </c>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ht="14.25" customHeight="1">
      <c r="A114" s="1049" t="s">
        <v>3444</v>
      </c>
      <c r="B114" s="1049" t="s">
        <v>3443</v>
      </c>
      <c r="C114" s="1049" t="s">
        <v>267</v>
      </c>
      <c r="D114" s="1049" t="s">
        <v>1411</v>
      </c>
      <c r="E114" s="1047">
        <v>11948.62</v>
      </c>
      <c r="F114" s="1046"/>
      <c r="G114" s="1049" t="s">
        <v>3445</v>
      </c>
      <c r="H114" s="1048">
        <v>94</v>
      </c>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ht="14.25" customHeight="1">
      <c r="I968" s="138"/>
      <c r="J968" s="138"/>
      <c r="K968" s="138"/>
      <c r="L968" s="138"/>
      <c r="M968" s="138"/>
      <c r="N968" s="138"/>
      <c r="O968" s="138"/>
      <c r="P968" s="138"/>
      <c r="Q968" s="138"/>
      <c r="R968" s="138"/>
      <c r="S968" s="138"/>
      <c r="T968" s="138"/>
      <c r="U968" s="138"/>
      <c r="V968" s="138"/>
      <c r="W968" s="138"/>
      <c r="X968" s="138"/>
      <c r="Y968" s="138"/>
      <c r="Z968" s="138"/>
      <c r="AA968" s="138"/>
      <c r="AB968" s="138"/>
    </row>
  </sheetData>
  <autoFilter ref="A1:H75" xr:uid="{00000000-0009-0000-0000-000006000000}">
    <sortState xmlns:xlrd2="http://schemas.microsoft.com/office/spreadsheetml/2017/richdata2"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76"/>
  <sheetViews>
    <sheetView workbookViewId="0"/>
  </sheetViews>
  <sheetFormatPr baseColWidth="10" defaultColWidth="12.625" defaultRowHeight="15" customHeight="1"/>
  <cols>
    <col min="1" max="2" width="11" customWidth="1"/>
    <col min="3" max="3" width="13.875" customWidth="1"/>
    <col min="4" max="4" width="23.625" customWidth="1"/>
    <col min="5" max="5" width="11.25" customWidth="1"/>
    <col min="6" max="6" width="13.375" customWidth="1"/>
    <col min="7" max="7" width="23.625" customWidth="1"/>
    <col min="8" max="8" width="11.625" customWidth="1"/>
    <col min="9" max="10" width="11" customWidth="1"/>
    <col min="11" max="11" width="13" bestFit="1" customWidth="1"/>
    <col min="12" max="12" width="13.25" customWidth="1"/>
    <col min="13" max="13" width="13.75" customWidth="1"/>
    <col min="14" max="26" width="11" customWidth="1"/>
  </cols>
  <sheetData>
    <row r="1" spans="1:26" ht="14.25" customHeight="1">
      <c r="A1" s="1057" t="s">
        <v>252</v>
      </c>
      <c r="B1" s="1063" t="s">
        <v>9</v>
      </c>
      <c r="C1" s="1063" t="s">
        <v>253</v>
      </c>
      <c r="D1" s="1063" t="s">
        <v>254</v>
      </c>
      <c r="E1" s="1059" t="s">
        <v>841</v>
      </c>
      <c r="F1" s="1059" t="s">
        <v>903</v>
      </c>
      <c r="G1" s="1057" t="s">
        <v>257</v>
      </c>
      <c r="H1" s="1061" t="s">
        <v>258</v>
      </c>
      <c r="I1" s="138"/>
      <c r="J1" s="138"/>
      <c r="K1" s="988">
        <v>45230</v>
      </c>
      <c r="L1" s="140" t="s">
        <v>255</v>
      </c>
      <c r="M1" s="140" t="s">
        <v>256</v>
      </c>
      <c r="N1" s="138"/>
      <c r="O1" s="138"/>
      <c r="P1" s="138"/>
      <c r="Q1" s="138"/>
      <c r="R1" s="138"/>
      <c r="S1" s="138"/>
      <c r="T1" s="138"/>
      <c r="U1" s="138"/>
      <c r="V1" s="138"/>
      <c r="W1" s="138"/>
      <c r="X1" s="138"/>
      <c r="Y1" s="138"/>
      <c r="Z1" s="138"/>
    </row>
    <row r="2" spans="1:26" ht="14.25" customHeight="1">
      <c r="A2" s="1058" t="s">
        <v>3437</v>
      </c>
      <c r="B2" s="1058" t="s">
        <v>264</v>
      </c>
      <c r="C2" s="1058" t="s">
        <v>267</v>
      </c>
      <c r="D2" s="1058" t="s">
        <v>265</v>
      </c>
      <c r="E2" s="1060">
        <v>33666.97</v>
      </c>
      <c r="F2" s="1060">
        <v>-31504.85</v>
      </c>
      <c r="G2" s="1058" t="s">
        <v>3438</v>
      </c>
      <c r="H2" s="1055">
        <v>142</v>
      </c>
      <c r="I2" s="138"/>
      <c r="J2" s="138"/>
      <c r="K2" s="140" t="s">
        <v>261</v>
      </c>
      <c r="L2" s="1005">
        <f t="shared" ref="L2:M2" si="0">+SUM(E2:E9963)</f>
        <v>3059537.15</v>
      </c>
      <c r="M2" s="1006">
        <f t="shared" si="0"/>
        <v>-2668371.9500000002</v>
      </c>
      <c r="N2" s="138"/>
      <c r="O2" s="138"/>
      <c r="P2" s="138"/>
      <c r="Q2" s="138"/>
      <c r="R2" s="138"/>
      <c r="S2" s="138"/>
      <c r="T2" s="138"/>
      <c r="U2" s="138"/>
      <c r="V2" s="138"/>
      <c r="W2" s="138"/>
      <c r="X2" s="138"/>
      <c r="Y2" s="138"/>
      <c r="Z2" s="138"/>
    </row>
    <row r="3" spans="1:26" ht="14.25" customHeight="1">
      <c r="A3" s="1058" t="s">
        <v>3435</v>
      </c>
      <c r="B3" s="1058" t="s">
        <v>3439</v>
      </c>
      <c r="C3" s="1058" t="s">
        <v>267</v>
      </c>
      <c r="D3" s="1058" t="s">
        <v>262</v>
      </c>
      <c r="E3" s="1060">
        <v>56706.1</v>
      </c>
      <c r="F3" s="1060">
        <v>-57628.2</v>
      </c>
      <c r="G3" s="1058" t="s">
        <v>3436</v>
      </c>
      <c r="H3" s="1055">
        <v>142</v>
      </c>
      <c r="I3" s="138"/>
      <c r="J3" s="138"/>
      <c r="K3" s="138" t="s">
        <v>263</v>
      </c>
      <c r="L3" s="4">
        <f>COUNT(E:E)</f>
        <v>71</v>
      </c>
      <c r="M3" s="144">
        <f>-M2/L2</f>
        <v>0.87214889677021912</v>
      </c>
      <c r="N3" s="138"/>
      <c r="O3" s="138"/>
      <c r="P3" s="138"/>
      <c r="Q3" s="138"/>
      <c r="R3" s="138"/>
      <c r="S3" s="138"/>
      <c r="T3" s="138"/>
      <c r="U3" s="138"/>
      <c r="V3" s="138"/>
      <c r="W3" s="138"/>
      <c r="X3" s="138"/>
      <c r="Y3" s="138"/>
      <c r="Z3" s="138"/>
    </row>
    <row r="4" spans="1:26" ht="14.25" customHeight="1">
      <c r="A4" s="1058" t="s">
        <v>3456</v>
      </c>
      <c r="B4" s="1058" t="s">
        <v>264</v>
      </c>
      <c r="C4" s="1058" t="s">
        <v>267</v>
      </c>
      <c r="D4" s="1058" t="s">
        <v>265</v>
      </c>
      <c r="E4" s="1060">
        <v>31163.98</v>
      </c>
      <c r="F4" s="1060">
        <v>-32628.75</v>
      </c>
      <c r="G4" s="1058" t="s">
        <v>3457</v>
      </c>
      <c r="H4" s="1055">
        <v>116</v>
      </c>
      <c r="I4" s="138"/>
      <c r="J4" s="138"/>
      <c r="K4" s="138"/>
      <c r="L4" s="138"/>
      <c r="M4" s="138"/>
      <c r="N4" s="138"/>
      <c r="O4" s="138"/>
      <c r="P4" s="138"/>
      <c r="Q4" s="138"/>
      <c r="R4" s="138"/>
      <c r="S4" s="138"/>
      <c r="T4" s="138"/>
      <c r="U4" s="138"/>
      <c r="V4" s="138"/>
      <c r="W4" s="138"/>
      <c r="X4" s="138"/>
      <c r="Y4" s="138"/>
      <c r="Z4" s="138"/>
    </row>
    <row r="5" spans="1:26" ht="14.25" customHeight="1">
      <c r="A5" s="1058" t="s">
        <v>3454</v>
      </c>
      <c r="B5" s="1058" t="s">
        <v>264</v>
      </c>
      <c r="C5" s="1058" t="s">
        <v>267</v>
      </c>
      <c r="D5" s="1058" t="s">
        <v>976</v>
      </c>
      <c r="E5" s="1060">
        <v>38081.07</v>
      </c>
      <c r="F5" s="1060">
        <v>-39936.75</v>
      </c>
      <c r="G5" s="1058" t="s">
        <v>3455</v>
      </c>
      <c r="H5" s="1055">
        <v>111</v>
      </c>
      <c r="I5" s="138"/>
      <c r="J5" s="138"/>
      <c r="K5" s="138"/>
      <c r="L5" s="138"/>
      <c r="M5" s="138"/>
      <c r="N5" s="138"/>
      <c r="O5" s="138"/>
      <c r="P5" s="138"/>
      <c r="Q5" s="138"/>
      <c r="R5" s="138"/>
      <c r="S5" s="138"/>
      <c r="T5" s="138"/>
      <c r="U5" s="138"/>
      <c r="V5" s="138"/>
      <c r="W5" s="138"/>
      <c r="X5" s="138"/>
      <c r="Y5" s="138"/>
      <c r="Z5" s="138"/>
    </row>
    <row r="6" spans="1:26" ht="14.25" customHeight="1">
      <c r="A6" s="1058" t="s">
        <v>3450</v>
      </c>
      <c r="B6" s="1058" t="s">
        <v>3439</v>
      </c>
      <c r="C6" s="1058" t="s">
        <v>267</v>
      </c>
      <c r="D6" s="1058" t="s">
        <v>262</v>
      </c>
      <c r="E6" s="1060">
        <v>50511.98</v>
      </c>
      <c r="F6" s="1060">
        <v>-51427.95</v>
      </c>
      <c r="G6" s="1058" t="s">
        <v>3451</v>
      </c>
      <c r="H6" s="1055">
        <v>108</v>
      </c>
      <c r="I6" s="138"/>
      <c r="J6" s="138"/>
      <c r="K6" s="139" t="s">
        <v>3319</v>
      </c>
      <c r="L6" s="1004">
        <f>SUM(E2:E12)</f>
        <v>532950.78999999992</v>
      </c>
      <c r="M6" s="1004">
        <f>SUM(F2:F12)</f>
        <v>-378366.05</v>
      </c>
      <c r="N6" s="138"/>
      <c r="O6" s="138"/>
      <c r="P6" s="138"/>
      <c r="Q6" s="138"/>
      <c r="R6" s="138"/>
      <c r="S6" s="138"/>
      <c r="T6" s="138"/>
      <c r="U6" s="138"/>
      <c r="V6" s="138"/>
      <c r="W6" s="138"/>
      <c r="X6" s="138"/>
      <c r="Y6" s="138"/>
      <c r="Z6" s="138"/>
    </row>
    <row r="7" spans="1:26" ht="14.25" customHeight="1">
      <c r="A7" s="1058" t="s">
        <v>3448</v>
      </c>
      <c r="B7" s="1058" t="s">
        <v>3439</v>
      </c>
      <c r="C7" s="1058" t="s">
        <v>267</v>
      </c>
      <c r="D7" s="1058" t="s">
        <v>3458</v>
      </c>
      <c r="E7" s="1060">
        <v>54659.17</v>
      </c>
      <c r="F7" s="1060">
        <v>-57051.75</v>
      </c>
      <c r="G7" s="1058" t="s">
        <v>3449</v>
      </c>
      <c r="H7" s="1055">
        <v>104</v>
      </c>
      <c r="I7" s="138"/>
      <c r="J7" s="138"/>
      <c r="K7" s="138"/>
      <c r="L7" s="1010">
        <v>2</v>
      </c>
      <c r="M7" s="145"/>
      <c r="N7" s="138"/>
      <c r="O7" s="138"/>
      <c r="P7" s="138"/>
      <c r="Q7" s="138"/>
      <c r="R7" s="138"/>
      <c r="S7" s="138"/>
      <c r="T7" s="138"/>
      <c r="U7" s="138"/>
      <c r="V7" s="138"/>
      <c r="W7" s="138"/>
      <c r="X7" s="138"/>
      <c r="Y7" s="138"/>
      <c r="Z7" s="138"/>
    </row>
    <row r="8" spans="1:26" ht="14.25" customHeight="1">
      <c r="A8" s="1058" t="s">
        <v>3452</v>
      </c>
      <c r="B8" s="1058" t="s">
        <v>3439</v>
      </c>
      <c r="C8" s="1058" t="s">
        <v>267</v>
      </c>
      <c r="D8" s="1058" t="s">
        <v>3458</v>
      </c>
      <c r="E8" s="1060">
        <v>48328.17</v>
      </c>
      <c r="F8" s="1060">
        <v>-51136.05</v>
      </c>
      <c r="G8" s="1058" t="s">
        <v>3453</v>
      </c>
      <c r="H8" s="1055">
        <v>97</v>
      </c>
      <c r="I8" s="138"/>
      <c r="J8" s="138"/>
      <c r="K8" s="138"/>
      <c r="L8" s="4"/>
      <c r="M8" s="144"/>
      <c r="N8" s="138"/>
      <c r="O8" s="138"/>
      <c r="P8" s="138"/>
      <c r="Q8" s="138"/>
      <c r="R8" s="138"/>
      <c r="S8" s="138"/>
      <c r="T8" s="138"/>
      <c r="U8" s="138"/>
      <c r="V8" s="138"/>
      <c r="W8" s="138"/>
      <c r="X8" s="138"/>
      <c r="Y8" s="138"/>
      <c r="Z8" s="138"/>
    </row>
    <row r="9" spans="1:26" ht="14.25" customHeight="1">
      <c r="A9" s="1058" t="s">
        <v>3446</v>
      </c>
      <c r="B9" s="1058" t="s">
        <v>3439</v>
      </c>
      <c r="C9" s="1058" t="s">
        <v>267</v>
      </c>
      <c r="D9" s="1058" t="s">
        <v>3458</v>
      </c>
      <c r="E9" s="1060">
        <v>57229.1</v>
      </c>
      <c r="F9" s="1056"/>
      <c r="G9" s="1058" t="s">
        <v>3447</v>
      </c>
      <c r="H9" s="1055">
        <v>93</v>
      </c>
      <c r="I9" s="138"/>
      <c r="J9" s="138"/>
      <c r="K9" s="139" t="s">
        <v>3343</v>
      </c>
      <c r="L9" s="1004">
        <v>0</v>
      </c>
      <c r="M9" s="1004">
        <v>0</v>
      </c>
      <c r="N9" s="138"/>
      <c r="O9" s="138"/>
      <c r="P9" s="138"/>
      <c r="Q9" s="138"/>
      <c r="R9" s="138"/>
      <c r="S9" s="138"/>
      <c r="T9" s="138"/>
      <c r="U9" s="138"/>
      <c r="V9" s="138"/>
      <c r="W9" s="138"/>
      <c r="X9" s="138"/>
      <c r="Y9" s="138"/>
      <c r="Z9" s="138"/>
    </row>
    <row r="10" spans="1:26" ht="14.25" customHeight="1">
      <c r="A10" s="1058" t="s">
        <v>3481</v>
      </c>
      <c r="B10" s="1058" t="s">
        <v>3439</v>
      </c>
      <c r="C10" s="1058" t="s">
        <v>267</v>
      </c>
      <c r="D10" s="1058" t="s">
        <v>262</v>
      </c>
      <c r="E10" s="1060">
        <v>58141.01</v>
      </c>
      <c r="F10" s="1056"/>
      <c r="G10" s="1058" t="s">
        <v>3482</v>
      </c>
      <c r="H10" s="1055">
        <v>90</v>
      </c>
      <c r="I10" s="138"/>
      <c r="J10" s="138"/>
      <c r="K10" s="138"/>
      <c r="L10" s="1011">
        <v>0</v>
      </c>
      <c r="M10" s="145"/>
      <c r="N10" s="138"/>
      <c r="O10" s="138"/>
      <c r="P10" s="138"/>
      <c r="Q10" s="138"/>
      <c r="R10" s="138"/>
      <c r="S10" s="138"/>
      <c r="T10" s="138"/>
      <c r="U10" s="138"/>
      <c r="V10" s="138"/>
      <c r="W10" s="138"/>
      <c r="X10" s="138"/>
      <c r="Y10" s="138"/>
      <c r="Z10" s="138"/>
    </row>
    <row r="11" spans="1:26" ht="14.25" customHeight="1">
      <c r="A11" s="1058" t="s">
        <v>3485</v>
      </c>
      <c r="B11" s="1058" t="s">
        <v>3439</v>
      </c>
      <c r="C11" s="1058" t="s">
        <v>267</v>
      </c>
      <c r="D11" s="1058" t="s">
        <v>262</v>
      </c>
      <c r="E11" s="1060">
        <v>48171.23</v>
      </c>
      <c r="F11" s="1056"/>
      <c r="G11" s="1058" t="s">
        <v>3486</v>
      </c>
      <c r="H11" s="1055">
        <v>90</v>
      </c>
      <c r="I11" s="138"/>
      <c r="J11" s="138"/>
      <c r="K11" s="138"/>
      <c r="L11" s="138"/>
      <c r="M11" s="138"/>
      <c r="N11" s="138"/>
      <c r="O11" s="138"/>
      <c r="P11" s="138"/>
      <c r="Q11" s="138"/>
      <c r="R11" s="138"/>
      <c r="S11" s="138"/>
      <c r="T11" s="138"/>
      <c r="U11" s="138"/>
      <c r="V11" s="138"/>
      <c r="W11" s="138"/>
      <c r="X11" s="138"/>
      <c r="Y11" s="138"/>
      <c r="Z11" s="138"/>
    </row>
    <row r="12" spans="1:26" ht="14.25" customHeight="1">
      <c r="A12" s="1058" t="s">
        <v>3495</v>
      </c>
      <c r="B12" s="1058" t="s">
        <v>3439</v>
      </c>
      <c r="C12" s="1058" t="s">
        <v>267</v>
      </c>
      <c r="D12" s="1058" t="s">
        <v>3458</v>
      </c>
      <c r="E12" s="1060">
        <v>56292.01</v>
      </c>
      <c r="F12" s="1060">
        <v>-57051.75</v>
      </c>
      <c r="G12" s="1058" t="s">
        <v>3496</v>
      </c>
      <c r="H12" s="1055">
        <v>90</v>
      </c>
      <c r="I12" s="138"/>
      <c r="J12" s="138"/>
      <c r="K12" s="138"/>
      <c r="L12" s="138"/>
      <c r="M12" s="138"/>
      <c r="N12" s="138"/>
      <c r="O12" s="138"/>
      <c r="P12" s="138"/>
      <c r="Q12" s="138"/>
      <c r="R12" s="138"/>
      <c r="S12" s="138"/>
      <c r="T12" s="138"/>
      <c r="U12" s="138"/>
      <c r="V12" s="138"/>
      <c r="W12" s="138"/>
      <c r="X12" s="138"/>
      <c r="Y12" s="138"/>
      <c r="Z12" s="138"/>
    </row>
    <row r="13" spans="1:26" ht="14.25" customHeight="1">
      <c r="A13" s="1058" t="s">
        <v>3483</v>
      </c>
      <c r="B13" s="1058" t="s">
        <v>3439</v>
      </c>
      <c r="C13" s="1058" t="s">
        <v>267</v>
      </c>
      <c r="D13" s="1058" t="s">
        <v>262</v>
      </c>
      <c r="E13" s="1060">
        <v>56073.919999999998</v>
      </c>
      <c r="F13" s="1060">
        <v>-58869.3</v>
      </c>
      <c r="G13" s="1058" t="s">
        <v>3484</v>
      </c>
      <c r="H13" s="1062">
        <v>86</v>
      </c>
      <c r="I13" s="138"/>
      <c r="J13" s="138"/>
      <c r="K13" s="138"/>
      <c r="L13" s="138"/>
      <c r="M13" s="138"/>
      <c r="N13" s="138"/>
      <c r="O13" s="138"/>
      <c r="P13" s="138"/>
      <c r="Q13" s="138"/>
      <c r="R13" s="138"/>
      <c r="S13" s="138"/>
      <c r="T13" s="138"/>
      <c r="U13" s="138"/>
      <c r="V13" s="138"/>
      <c r="W13" s="138"/>
      <c r="X13" s="138"/>
      <c r="Y13" s="138"/>
      <c r="Z13" s="138"/>
    </row>
    <row r="14" spans="1:26" ht="14.25" customHeight="1">
      <c r="A14" s="1058" t="s">
        <v>3499</v>
      </c>
      <c r="B14" s="1058" t="s">
        <v>3439</v>
      </c>
      <c r="C14" s="1058" t="s">
        <v>267</v>
      </c>
      <c r="D14" s="1058" t="s">
        <v>279</v>
      </c>
      <c r="E14" s="1060">
        <v>37397</v>
      </c>
      <c r="F14" s="1060">
        <v>-39440.1</v>
      </c>
      <c r="G14" s="1058" t="s">
        <v>3500</v>
      </c>
      <c r="H14" s="1062">
        <v>86</v>
      </c>
      <c r="I14" s="138"/>
      <c r="J14" s="138"/>
      <c r="K14" s="138"/>
      <c r="L14" s="138"/>
      <c r="M14" s="138"/>
      <c r="N14" s="138"/>
      <c r="O14" s="138"/>
      <c r="P14" s="138"/>
      <c r="Q14" s="138"/>
      <c r="R14" s="138"/>
      <c r="S14" s="138"/>
      <c r="T14" s="138"/>
      <c r="U14" s="138"/>
      <c r="V14" s="138"/>
      <c r="W14" s="138"/>
      <c r="X14" s="138"/>
      <c r="Y14" s="138"/>
      <c r="Z14" s="138"/>
    </row>
    <row r="15" spans="1:26" ht="14.25" customHeight="1">
      <c r="A15" s="1058" t="s">
        <v>3487</v>
      </c>
      <c r="B15" s="1058" t="s">
        <v>3439</v>
      </c>
      <c r="C15" s="1058" t="s">
        <v>267</v>
      </c>
      <c r="D15" s="1058" t="s">
        <v>3458</v>
      </c>
      <c r="E15" s="1060">
        <v>56197.99</v>
      </c>
      <c r="F15" s="1060">
        <v>-58834.65</v>
      </c>
      <c r="G15" s="1058" t="s">
        <v>3488</v>
      </c>
      <c r="H15" s="1062">
        <v>82</v>
      </c>
      <c r="I15" s="138"/>
      <c r="J15" s="138"/>
      <c r="K15" s="138"/>
      <c r="L15" s="138"/>
      <c r="M15" s="138"/>
      <c r="N15" s="138"/>
      <c r="O15" s="138"/>
      <c r="P15" s="138"/>
      <c r="Q15" s="138"/>
      <c r="R15" s="138"/>
      <c r="S15" s="138"/>
      <c r="T15" s="138"/>
      <c r="U15" s="138"/>
      <c r="V15" s="138"/>
      <c r="W15" s="138"/>
      <c r="X15" s="138"/>
      <c r="Y15" s="138"/>
      <c r="Z15" s="138"/>
    </row>
    <row r="16" spans="1:26" ht="14.25" customHeight="1">
      <c r="A16" s="1058" t="s">
        <v>3477</v>
      </c>
      <c r="B16" s="1058" t="s">
        <v>264</v>
      </c>
      <c r="C16" s="1058" t="s">
        <v>267</v>
      </c>
      <c r="D16" s="1058" t="s">
        <v>976</v>
      </c>
      <c r="E16" s="1060">
        <v>32135.51</v>
      </c>
      <c r="F16" s="1060">
        <v>-34034.699999999997</v>
      </c>
      <c r="G16" s="1058" t="s">
        <v>3478</v>
      </c>
      <c r="H16" s="1062">
        <v>80</v>
      </c>
      <c r="I16" s="138"/>
      <c r="J16" s="138"/>
      <c r="K16" s="138"/>
      <c r="L16" s="138"/>
      <c r="M16" s="138"/>
      <c r="N16" s="138"/>
      <c r="O16" s="138"/>
      <c r="P16" s="138"/>
      <c r="Q16" s="138"/>
      <c r="R16" s="138"/>
      <c r="S16" s="138"/>
      <c r="T16" s="138"/>
      <c r="U16" s="138"/>
      <c r="V16" s="138"/>
      <c r="W16" s="138"/>
      <c r="X16" s="138"/>
      <c r="Y16" s="138"/>
      <c r="Z16" s="138"/>
    </row>
    <row r="17" spans="1:26" ht="14.25" customHeight="1">
      <c r="A17" s="1058" t="s">
        <v>3489</v>
      </c>
      <c r="B17" s="1058" t="s">
        <v>3439</v>
      </c>
      <c r="C17" s="1058" t="s">
        <v>267</v>
      </c>
      <c r="D17" s="1058" t="s">
        <v>3458</v>
      </c>
      <c r="E17" s="1060">
        <v>55950.97</v>
      </c>
      <c r="F17" s="1060">
        <v>-58834.65</v>
      </c>
      <c r="G17" s="1058" t="s">
        <v>3490</v>
      </c>
      <c r="H17" s="1062">
        <v>74</v>
      </c>
      <c r="I17" s="138"/>
      <c r="J17" s="138"/>
      <c r="K17" s="138"/>
      <c r="L17" s="138"/>
      <c r="M17" s="138"/>
      <c r="N17" s="138"/>
      <c r="O17" s="138"/>
      <c r="P17" s="138"/>
      <c r="Q17" s="138"/>
      <c r="R17" s="138"/>
      <c r="S17" s="138"/>
      <c r="T17" s="138"/>
      <c r="U17" s="138"/>
      <c r="V17" s="138"/>
      <c r="W17" s="138"/>
      <c r="X17" s="138"/>
      <c r="Y17" s="138"/>
      <c r="Z17" s="138"/>
    </row>
    <row r="18" spans="1:26" ht="14.25" customHeight="1">
      <c r="A18" s="1058" t="s">
        <v>3491</v>
      </c>
      <c r="B18" s="1058" t="s">
        <v>3439</v>
      </c>
      <c r="C18" s="1058" t="s">
        <v>267</v>
      </c>
      <c r="D18" s="1058" t="s">
        <v>3458</v>
      </c>
      <c r="E18" s="1060">
        <v>55950.97</v>
      </c>
      <c r="F18" s="1060">
        <v>-58834.65</v>
      </c>
      <c r="G18" s="1058" t="s">
        <v>3492</v>
      </c>
      <c r="H18" s="1062">
        <v>74</v>
      </c>
      <c r="I18" s="138"/>
      <c r="J18" s="138"/>
      <c r="K18" s="138"/>
      <c r="L18" s="138"/>
      <c r="M18" s="138"/>
      <c r="N18" s="138"/>
      <c r="O18" s="138"/>
      <c r="P18" s="138"/>
      <c r="Q18" s="138"/>
      <c r="R18" s="138"/>
      <c r="S18" s="138"/>
      <c r="T18" s="138"/>
      <c r="U18" s="138"/>
      <c r="V18" s="138"/>
      <c r="W18" s="138"/>
      <c r="X18" s="138"/>
      <c r="Y18" s="138"/>
      <c r="Z18" s="138"/>
    </row>
    <row r="19" spans="1:26" ht="14.25" customHeight="1">
      <c r="A19" s="1058" t="s">
        <v>3509</v>
      </c>
      <c r="B19" s="1058" t="s">
        <v>3439</v>
      </c>
      <c r="C19" s="1058" t="s">
        <v>267</v>
      </c>
      <c r="D19" s="1058" t="s">
        <v>265</v>
      </c>
      <c r="E19" s="1060">
        <v>26927</v>
      </c>
      <c r="F19" s="1060">
        <v>-28367.85</v>
      </c>
      <c r="G19" s="1058" t="s">
        <v>3510</v>
      </c>
      <c r="H19" s="1062">
        <v>74</v>
      </c>
      <c r="I19" s="138"/>
      <c r="J19" s="138"/>
      <c r="K19" s="138"/>
      <c r="L19" s="138"/>
      <c r="M19" s="138"/>
      <c r="N19" s="138"/>
      <c r="O19" s="138"/>
      <c r="P19" s="138"/>
      <c r="Q19" s="138"/>
      <c r="R19" s="138"/>
      <c r="S19" s="138"/>
      <c r="T19" s="138"/>
      <c r="U19" s="138"/>
      <c r="V19" s="138"/>
      <c r="W19" s="138"/>
      <c r="X19" s="138"/>
      <c r="Y19" s="138"/>
      <c r="Z19" s="138"/>
    </row>
    <row r="20" spans="1:26" ht="14.25" customHeight="1">
      <c r="A20" s="1058" t="s">
        <v>3475</v>
      </c>
      <c r="B20" s="1058" t="s">
        <v>264</v>
      </c>
      <c r="C20" s="1058" t="s">
        <v>267</v>
      </c>
      <c r="D20" s="1058" t="s">
        <v>976</v>
      </c>
      <c r="E20" s="1060">
        <v>37610</v>
      </c>
      <c r="F20" s="1060">
        <v>-39461.1</v>
      </c>
      <c r="G20" s="1058" t="s">
        <v>3476</v>
      </c>
      <c r="H20" s="1062">
        <v>73</v>
      </c>
      <c r="I20" s="138"/>
      <c r="J20" s="138"/>
      <c r="K20" s="138"/>
      <c r="L20" s="138"/>
      <c r="M20" s="138"/>
      <c r="N20" s="138"/>
      <c r="O20" s="138"/>
      <c r="P20" s="138"/>
      <c r="Q20" s="138"/>
      <c r="R20" s="138"/>
      <c r="S20" s="138"/>
      <c r="T20" s="138"/>
      <c r="U20" s="138"/>
      <c r="V20" s="138"/>
      <c r="W20" s="138"/>
      <c r="X20" s="138"/>
      <c r="Y20" s="138"/>
      <c r="Z20" s="138"/>
    </row>
    <row r="21" spans="1:26" ht="14.25" customHeight="1">
      <c r="A21" s="1058" t="s">
        <v>3493</v>
      </c>
      <c r="B21" s="1058" t="s">
        <v>3439</v>
      </c>
      <c r="C21" s="1058" t="s">
        <v>267</v>
      </c>
      <c r="D21" s="1058" t="s">
        <v>3458</v>
      </c>
      <c r="E21" s="1060">
        <v>55950.97</v>
      </c>
      <c r="F21" s="1060">
        <v>-58834.65</v>
      </c>
      <c r="G21" s="1058" t="s">
        <v>3494</v>
      </c>
      <c r="H21" s="1062">
        <v>73</v>
      </c>
      <c r="I21" s="138"/>
      <c r="J21" s="138"/>
      <c r="K21" s="138"/>
      <c r="L21" s="138"/>
      <c r="M21" s="138"/>
      <c r="N21" s="138"/>
      <c r="O21" s="138"/>
      <c r="P21" s="138"/>
      <c r="Q21" s="138"/>
      <c r="R21" s="138"/>
      <c r="S21" s="138"/>
      <c r="T21" s="138"/>
      <c r="U21" s="138"/>
      <c r="V21" s="138"/>
      <c r="W21" s="138"/>
      <c r="X21" s="138"/>
      <c r="Y21" s="138"/>
      <c r="Z21" s="138"/>
    </row>
    <row r="22" spans="1:26" ht="14.25" customHeight="1">
      <c r="A22" s="1058" t="s">
        <v>3507</v>
      </c>
      <c r="B22" s="1058" t="s">
        <v>3439</v>
      </c>
      <c r="C22" s="1058" t="s">
        <v>267</v>
      </c>
      <c r="D22" s="1058" t="s">
        <v>265</v>
      </c>
      <c r="E22" s="1060">
        <v>29531</v>
      </c>
      <c r="F22" s="1060">
        <v>-31102.05</v>
      </c>
      <c r="G22" s="1058" t="s">
        <v>3508</v>
      </c>
      <c r="H22" s="1062">
        <v>73</v>
      </c>
      <c r="I22" s="138"/>
      <c r="J22" s="138"/>
      <c r="K22" s="138"/>
      <c r="L22" s="138"/>
      <c r="M22" s="138"/>
      <c r="N22" s="138"/>
      <c r="O22" s="138"/>
      <c r="P22" s="138"/>
      <c r="Q22" s="138"/>
      <c r="R22" s="138"/>
      <c r="S22" s="138"/>
      <c r="T22" s="138"/>
      <c r="U22" s="138"/>
      <c r="V22" s="138"/>
      <c r="W22" s="138"/>
      <c r="X22" s="138"/>
      <c r="Y22" s="138"/>
      <c r="Z22" s="138"/>
    </row>
    <row r="23" spans="1:26" ht="14.25" customHeight="1">
      <c r="A23" s="1058" t="s">
        <v>3497</v>
      </c>
      <c r="B23" s="1058" t="s">
        <v>3439</v>
      </c>
      <c r="C23" s="1058" t="s">
        <v>267</v>
      </c>
      <c r="D23" s="1058" t="s">
        <v>3458</v>
      </c>
      <c r="E23" s="1060">
        <v>54250</v>
      </c>
      <c r="F23" s="1060">
        <v>-57051.75</v>
      </c>
      <c r="G23" s="1058" t="s">
        <v>3498</v>
      </c>
      <c r="H23" s="1062">
        <v>68</v>
      </c>
      <c r="I23" s="138"/>
      <c r="J23" s="138"/>
      <c r="K23" s="138"/>
      <c r="L23" s="138"/>
      <c r="M23" s="138"/>
      <c r="N23" s="138"/>
      <c r="O23" s="138"/>
      <c r="P23" s="138"/>
      <c r="Q23" s="138"/>
      <c r="R23" s="138"/>
      <c r="S23" s="138"/>
      <c r="T23" s="138"/>
      <c r="U23" s="138"/>
      <c r="V23" s="138"/>
      <c r="W23" s="138"/>
      <c r="X23" s="138"/>
      <c r="Y23" s="138"/>
      <c r="Z23" s="138"/>
    </row>
    <row r="24" spans="1:26" ht="14.25" customHeight="1">
      <c r="A24" s="1058" t="s">
        <v>3501</v>
      </c>
      <c r="B24" s="1058" t="s">
        <v>3439</v>
      </c>
      <c r="C24" s="1058" t="s">
        <v>267</v>
      </c>
      <c r="D24" s="1058" t="s">
        <v>279</v>
      </c>
      <c r="E24" s="1060">
        <v>37506.9</v>
      </c>
      <c r="F24" s="1060">
        <v>-39440.1</v>
      </c>
      <c r="G24" s="1058" t="s">
        <v>3502</v>
      </c>
      <c r="H24" s="1062">
        <v>68</v>
      </c>
      <c r="I24" s="138"/>
      <c r="J24" s="138"/>
      <c r="K24" s="138"/>
      <c r="L24" s="138"/>
      <c r="M24" s="138"/>
      <c r="N24" s="138"/>
      <c r="O24" s="138"/>
      <c r="P24" s="138"/>
      <c r="Q24" s="138"/>
      <c r="R24" s="138"/>
      <c r="S24" s="138"/>
      <c r="T24" s="138"/>
      <c r="U24" s="138"/>
      <c r="V24" s="138"/>
      <c r="W24" s="138"/>
      <c r="X24" s="138"/>
      <c r="Y24" s="138"/>
      <c r="Z24" s="138"/>
    </row>
    <row r="25" spans="1:26" ht="14.25" customHeight="1">
      <c r="A25" s="1058" t="s">
        <v>3503</v>
      </c>
      <c r="B25" s="1058" t="s">
        <v>3439</v>
      </c>
      <c r="C25" s="1058" t="s">
        <v>267</v>
      </c>
      <c r="D25" s="1058" t="s">
        <v>3440</v>
      </c>
      <c r="E25" s="1060">
        <v>32637</v>
      </c>
      <c r="F25" s="1060">
        <v>-34363.35</v>
      </c>
      <c r="G25" s="1058" t="s">
        <v>3504</v>
      </c>
      <c r="H25" s="1062">
        <v>68</v>
      </c>
      <c r="I25" s="138"/>
      <c r="J25" s="138"/>
      <c r="K25" s="138"/>
      <c r="L25" s="138"/>
      <c r="M25" s="138"/>
      <c r="N25" s="138"/>
      <c r="O25" s="138"/>
      <c r="P25" s="138"/>
      <c r="Q25" s="138"/>
      <c r="R25" s="138"/>
      <c r="S25" s="138"/>
      <c r="T25" s="138"/>
      <c r="U25" s="138"/>
      <c r="V25" s="138"/>
      <c r="W25" s="138"/>
      <c r="X25" s="138"/>
      <c r="Y25" s="138"/>
      <c r="Z25" s="138"/>
    </row>
    <row r="26" spans="1:26" ht="14.25" customHeight="1">
      <c r="A26" s="1058" t="s">
        <v>3479</v>
      </c>
      <c r="B26" s="1058" t="s">
        <v>264</v>
      </c>
      <c r="C26" s="1058" t="s">
        <v>267</v>
      </c>
      <c r="D26" s="1058" t="s">
        <v>976</v>
      </c>
      <c r="E26" s="1060">
        <v>28066.02</v>
      </c>
      <c r="F26" s="1060">
        <v>-28951.65</v>
      </c>
      <c r="G26" s="1058" t="s">
        <v>3480</v>
      </c>
      <c r="H26" s="1062">
        <v>62</v>
      </c>
      <c r="I26" s="138"/>
      <c r="J26" s="138"/>
      <c r="K26" s="138"/>
      <c r="L26" s="138"/>
      <c r="M26" s="138"/>
      <c r="N26" s="138"/>
      <c r="O26" s="138"/>
      <c r="P26" s="138"/>
      <c r="Q26" s="138"/>
      <c r="R26" s="138"/>
      <c r="S26" s="138"/>
      <c r="T26" s="138"/>
      <c r="U26" s="138"/>
      <c r="V26" s="138"/>
      <c r="W26" s="138"/>
      <c r="X26" s="138"/>
      <c r="Y26" s="138"/>
      <c r="Z26" s="138"/>
    </row>
    <row r="27" spans="1:26" ht="14.25" customHeight="1">
      <c r="A27" s="1058" t="s">
        <v>3505</v>
      </c>
      <c r="B27" s="1058" t="s">
        <v>3439</v>
      </c>
      <c r="C27" s="1058" t="s">
        <v>267</v>
      </c>
      <c r="D27" s="1058" t="s">
        <v>265</v>
      </c>
      <c r="E27" s="1060">
        <v>32017.87</v>
      </c>
      <c r="F27" s="1060">
        <v>-33204.15</v>
      </c>
      <c r="G27" s="1058" t="s">
        <v>3506</v>
      </c>
      <c r="H27" s="1062">
        <v>62</v>
      </c>
      <c r="I27" s="138"/>
      <c r="J27" s="138"/>
      <c r="K27" s="138"/>
      <c r="L27" s="138"/>
      <c r="M27" s="138"/>
      <c r="N27" s="138"/>
      <c r="O27" s="138"/>
      <c r="P27" s="138"/>
      <c r="Q27" s="138"/>
      <c r="R27" s="138"/>
      <c r="S27" s="138"/>
      <c r="T27" s="138"/>
      <c r="U27" s="138"/>
      <c r="V27" s="138"/>
      <c r="W27" s="138"/>
      <c r="X27" s="138"/>
      <c r="Y27" s="138"/>
      <c r="Z27" s="138"/>
    </row>
    <row r="28" spans="1:26" ht="14.25" customHeight="1">
      <c r="A28" s="1058" t="s">
        <v>3556</v>
      </c>
      <c r="B28" s="1058" t="s">
        <v>3439</v>
      </c>
      <c r="C28" s="1058" t="s">
        <v>267</v>
      </c>
      <c r="D28" s="1058" t="s">
        <v>3440</v>
      </c>
      <c r="E28" s="1060">
        <v>31816.52</v>
      </c>
      <c r="F28" s="1056"/>
      <c r="G28" s="1058" t="s">
        <v>3563</v>
      </c>
      <c r="H28" s="1062">
        <v>52</v>
      </c>
      <c r="I28" s="138"/>
      <c r="J28" s="138"/>
      <c r="K28" s="138"/>
      <c r="L28" s="138"/>
      <c r="M28" s="138"/>
      <c r="N28" s="138"/>
      <c r="O28" s="138"/>
      <c r="P28" s="138"/>
      <c r="Q28" s="138"/>
      <c r="R28" s="138"/>
      <c r="S28" s="138"/>
      <c r="T28" s="138"/>
      <c r="U28" s="138"/>
      <c r="V28" s="138"/>
      <c r="W28" s="138"/>
      <c r="X28" s="138"/>
      <c r="Y28" s="138"/>
      <c r="Z28" s="138"/>
    </row>
    <row r="29" spans="1:26" ht="14.25" customHeight="1">
      <c r="A29" s="1058" t="s">
        <v>3687</v>
      </c>
      <c r="B29" s="1058" t="s">
        <v>3439</v>
      </c>
      <c r="C29" s="1058" t="s">
        <v>267</v>
      </c>
      <c r="D29" s="1058" t="s">
        <v>3440</v>
      </c>
      <c r="E29" s="1060">
        <v>31513</v>
      </c>
      <c r="F29" s="1056"/>
      <c r="G29" s="1058" t="s">
        <v>3688</v>
      </c>
      <c r="H29" s="1062">
        <v>51</v>
      </c>
      <c r="I29" s="138"/>
      <c r="J29" s="138"/>
      <c r="K29" s="138"/>
      <c r="L29" s="138"/>
      <c r="M29" s="138"/>
      <c r="N29" s="138"/>
      <c r="O29" s="138"/>
      <c r="P29" s="138"/>
      <c r="Q29" s="138"/>
      <c r="R29" s="138"/>
      <c r="S29" s="138"/>
      <c r="T29" s="138"/>
      <c r="U29" s="138"/>
      <c r="V29" s="138"/>
      <c r="W29" s="138"/>
      <c r="X29" s="138"/>
      <c r="Y29" s="138"/>
      <c r="Z29" s="138"/>
    </row>
    <row r="30" spans="1:26" ht="14.25" customHeight="1">
      <c r="A30" s="1058" t="s">
        <v>3560</v>
      </c>
      <c r="B30" s="1058" t="s">
        <v>3439</v>
      </c>
      <c r="C30" s="1058" t="s">
        <v>267</v>
      </c>
      <c r="D30" s="1058" t="s">
        <v>262</v>
      </c>
      <c r="E30" s="1060">
        <v>48894</v>
      </c>
      <c r="F30" s="1060">
        <v>-51427.95</v>
      </c>
      <c r="G30" s="1058" t="s">
        <v>3566</v>
      </c>
      <c r="H30" s="1062">
        <v>48</v>
      </c>
      <c r="I30" s="138"/>
      <c r="J30" s="138"/>
      <c r="K30" s="138"/>
      <c r="L30" s="138"/>
      <c r="M30" s="138"/>
      <c r="N30" s="138"/>
      <c r="O30" s="138"/>
      <c r="P30" s="138"/>
      <c r="Q30" s="138"/>
      <c r="R30" s="138"/>
      <c r="S30" s="138"/>
      <c r="T30" s="138"/>
      <c r="U30" s="138"/>
      <c r="V30" s="138"/>
      <c r="W30" s="138"/>
      <c r="X30" s="138"/>
      <c r="Y30" s="138"/>
      <c r="Z30" s="138"/>
    </row>
    <row r="31" spans="1:26" ht="14.25" customHeight="1">
      <c r="A31" s="1058" t="s">
        <v>3575</v>
      </c>
      <c r="B31" s="1058" t="s">
        <v>3439</v>
      </c>
      <c r="C31" s="1058" t="s">
        <v>267</v>
      </c>
      <c r="D31" s="1058" t="s">
        <v>3458</v>
      </c>
      <c r="E31" s="1060">
        <v>55948</v>
      </c>
      <c r="F31" s="1060">
        <v>-58834.65</v>
      </c>
      <c r="G31" s="1058" t="s">
        <v>3565</v>
      </c>
      <c r="H31" s="1062">
        <v>48</v>
      </c>
      <c r="I31" s="138"/>
      <c r="J31" s="138"/>
      <c r="K31" s="138"/>
      <c r="L31" s="138"/>
      <c r="M31" s="138"/>
      <c r="N31" s="138"/>
      <c r="O31" s="138"/>
      <c r="P31" s="138"/>
      <c r="Q31" s="138"/>
      <c r="R31" s="138"/>
      <c r="S31" s="138"/>
      <c r="T31" s="138"/>
      <c r="U31" s="138"/>
      <c r="V31" s="138"/>
      <c r="W31" s="138"/>
      <c r="X31" s="138"/>
      <c r="Y31" s="138"/>
      <c r="Z31" s="138"/>
    </row>
    <row r="32" spans="1:26" ht="14.25" customHeight="1">
      <c r="A32" s="1058" t="s">
        <v>3689</v>
      </c>
      <c r="B32" s="1058" t="s">
        <v>3439</v>
      </c>
      <c r="C32" s="1058" t="s">
        <v>267</v>
      </c>
      <c r="D32" s="1058" t="s">
        <v>3458</v>
      </c>
      <c r="E32" s="1060">
        <v>54236.5</v>
      </c>
      <c r="F32" s="1056"/>
      <c r="G32" s="1058" t="s">
        <v>3690</v>
      </c>
      <c r="H32" s="1062">
        <v>48</v>
      </c>
      <c r="I32" s="138"/>
      <c r="J32" s="138"/>
      <c r="K32" s="138"/>
      <c r="L32" s="138"/>
      <c r="M32" s="138"/>
      <c r="N32" s="138"/>
      <c r="O32" s="138"/>
      <c r="P32" s="138"/>
      <c r="Q32" s="138"/>
      <c r="R32" s="138"/>
      <c r="S32" s="138"/>
      <c r="T32" s="138"/>
      <c r="U32" s="138"/>
      <c r="V32" s="138"/>
      <c r="W32" s="138"/>
      <c r="X32" s="138"/>
      <c r="Y32" s="138"/>
      <c r="Z32" s="138"/>
    </row>
    <row r="33" spans="1:26" ht="14.25" customHeight="1">
      <c r="A33" s="1058" t="s">
        <v>3579</v>
      </c>
      <c r="B33" s="1058" t="s">
        <v>3439</v>
      </c>
      <c r="C33" s="1058" t="s">
        <v>267</v>
      </c>
      <c r="D33" s="1058" t="s">
        <v>976</v>
      </c>
      <c r="E33" s="1060">
        <v>32864</v>
      </c>
      <c r="F33" s="1060">
        <v>-34706.699999999997</v>
      </c>
      <c r="G33" s="1058" t="s">
        <v>3564</v>
      </c>
      <c r="H33" s="1062">
        <v>48</v>
      </c>
      <c r="I33" s="138"/>
      <c r="J33" s="138"/>
      <c r="K33" s="138"/>
      <c r="L33" s="138"/>
      <c r="M33" s="138"/>
      <c r="N33" s="138"/>
      <c r="O33" s="138"/>
      <c r="P33" s="138"/>
      <c r="Q33" s="138"/>
      <c r="R33" s="138"/>
      <c r="S33" s="138"/>
      <c r="T33" s="138"/>
      <c r="U33" s="138"/>
      <c r="V33" s="138"/>
      <c r="W33" s="138"/>
      <c r="X33" s="138"/>
      <c r="Y33" s="138"/>
      <c r="Z33" s="138"/>
    </row>
    <row r="34" spans="1:26" ht="14.25" customHeight="1">
      <c r="A34" s="1058" t="s">
        <v>3567</v>
      </c>
      <c r="B34" s="1058" t="s">
        <v>3439</v>
      </c>
      <c r="C34" s="1058" t="s">
        <v>267</v>
      </c>
      <c r="D34" s="1058" t="s">
        <v>262</v>
      </c>
      <c r="E34" s="1060">
        <v>55259.97</v>
      </c>
      <c r="F34" s="1060">
        <v>-58109.1</v>
      </c>
      <c r="G34" s="1058" t="s">
        <v>3568</v>
      </c>
      <c r="H34" s="1062">
        <v>47</v>
      </c>
      <c r="I34" s="138"/>
      <c r="J34" s="138"/>
      <c r="K34" s="138"/>
      <c r="L34" s="138"/>
      <c r="M34" s="138"/>
      <c r="N34" s="138"/>
      <c r="O34" s="138"/>
      <c r="P34" s="138"/>
      <c r="Q34" s="138"/>
      <c r="R34" s="138"/>
      <c r="S34" s="138"/>
      <c r="T34" s="138"/>
      <c r="U34" s="138"/>
      <c r="V34" s="138"/>
      <c r="W34" s="138"/>
      <c r="X34" s="138"/>
      <c r="Y34" s="138"/>
      <c r="Z34" s="138"/>
    </row>
    <row r="35" spans="1:26" ht="14.25" customHeight="1">
      <c r="A35" s="1058" t="s">
        <v>3559</v>
      </c>
      <c r="B35" s="1058" t="s">
        <v>3439</v>
      </c>
      <c r="C35" s="1058" t="s">
        <v>267</v>
      </c>
      <c r="D35" s="1058" t="s">
        <v>3458</v>
      </c>
      <c r="E35" s="1060">
        <v>53794.97</v>
      </c>
      <c r="F35" s="1060">
        <v>-56570.85</v>
      </c>
      <c r="G35" s="1058" t="s">
        <v>3569</v>
      </c>
      <c r="H35" s="1062">
        <v>45</v>
      </c>
      <c r="I35" s="138"/>
      <c r="J35" s="138"/>
      <c r="K35" s="138"/>
      <c r="L35" s="138"/>
      <c r="M35" s="138"/>
      <c r="N35" s="138"/>
      <c r="O35" s="138"/>
      <c r="P35" s="138"/>
      <c r="Q35" s="138"/>
      <c r="R35" s="138"/>
      <c r="S35" s="138"/>
      <c r="T35" s="138"/>
      <c r="U35" s="138"/>
      <c r="V35" s="138"/>
      <c r="W35" s="138"/>
      <c r="X35" s="138"/>
      <c r="Y35" s="138"/>
      <c r="Z35" s="138"/>
    </row>
    <row r="36" spans="1:26" ht="14.25" customHeight="1">
      <c r="A36" s="1058" t="s">
        <v>3562</v>
      </c>
      <c r="B36" s="1058" t="s">
        <v>3439</v>
      </c>
      <c r="C36" s="1058" t="s">
        <v>267</v>
      </c>
      <c r="D36" s="1058" t="s">
        <v>265</v>
      </c>
      <c r="E36" s="1060">
        <v>28629</v>
      </c>
      <c r="F36" s="1056"/>
      <c r="G36" s="1058" t="s">
        <v>3571</v>
      </c>
      <c r="H36" s="1062">
        <v>44</v>
      </c>
      <c r="I36" s="138"/>
      <c r="J36" s="138"/>
      <c r="K36" s="138"/>
      <c r="L36" s="138"/>
      <c r="M36" s="138"/>
      <c r="N36" s="138"/>
      <c r="O36" s="138"/>
      <c r="P36" s="138"/>
      <c r="Q36" s="138"/>
      <c r="R36" s="138"/>
      <c r="S36" s="138"/>
      <c r="T36" s="138"/>
      <c r="U36" s="138"/>
      <c r="V36" s="138"/>
      <c r="W36" s="138"/>
      <c r="X36" s="138"/>
      <c r="Y36" s="138"/>
      <c r="Z36" s="138"/>
    </row>
    <row r="37" spans="1:26" ht="14.25" customHeight="1">
      <c r="A37" s="1058" t="s">
        <v>3558</v>
      </c>
      <c r="B37" s="1058" t="s">
        <v>3439</v>
      </c>
      <c r="C37" s="1058" t="s">
        <v>267</v>
      </c>
      <c r="D37" s="1058" t="s">
        <v>262</v>
      </c>
      <c r="E37" s="1060">
        <v>54801.97</v>
      </c>
      <c r="F37" s="1060">
        <v>-57628.2</v>
      </c>
      <c r="G37" s="1058" t="s">
        <v>3574</v>
      </c>
      <c r="H37" s="1062">
        <v>41</v>
      </c>
      <c r="I37" s="138"/>
      <c r="J37" s="138"/>
      <c r="K37" s="138"/>
      <c r="L37" s="138"/>
      <c r="M37" s="138"/>
      <c r="N37" s="138"/>
      <c r="O37" s="138"/>
      <c r="P37" s="138"/>
      <c r="Q37" s="138"/>
      <c r="R37" s="138"/>
      <c r="S37" s="138"/>
      <c r="T37" s="138"/>
      <c r="U37" s="138"/>
      <c r="V37" s="138"/>
      <c r="W37" s="138"/>
      <c r="X37" s="138"/>
      <c r="Y37" s="138"/>
      <c r="Z37" s="138"/>
    </row>
    <row r="38" spans="1:26" ht="14.25" customHeight="1">
      <c r="A38" s="1058" t="s">
        <v>3572</v>
      </c>
      <c r="B38" s="1058" t="s">
        <v>3439</v>
      </c>
      <c r="C38" s="1058" t="s">
        <v>267</v>
      </c>
      <c r="D38" s="1058" t="s">
        <v>262</v>
      </c>
      <c r="E38" s="1060">
        <v>58249.97</v>
      </c>
      <c r="F38" s="1056"/>
      <c r="G38" s="1058" t="s">
        <v>3576</v>
      </c>
      <c r="H38" s="1062">
        <v>38</v>
      </c>
      <c r="I38" s="138"/>
      <c r="J38" s="138"/>
      <c r="K38" s="138"/>
      <c r="L38" s="138"/>
      <c r="M38" s="138"/>
      <c r="N38" s="138"/>
      <c r="O38" s="138"/>
      <c r="P38" s="138"/>
      <c r="Q38" s="138"/>
      <c r="R38" s="138"/>
      <c r="S38" s="138"/>
      <c r="T38" s="138"/>
      <c r="U38" s="138"/>
      <c r="V38" s="138"/>
      <c r="W38" s="138"/>
      <c r="X38" s="138"/>
      <c r="Y38" s="138"/>
      <c r="Z38" s="138"/>
    </row>
    <row r="39" spans="1:26" ht="14.25" customHeight="1">
      <c r="A39" s="1058" t="s">
        <v>3555</v>
      </c>
      <c r="B39" s="1058" t="s">
        <v>3439</v>
      </c>
      <c r="C39" s="1058" t="s">
        <v>267</v>
      </c>
      <c r="D39" s="1058" t="s">
        <v>260</v>
      </c>
      <c r="E39" s="1060">
        <v>45175.95</v>
      </c>
      <c r="F39" s="1060">
        <v>-47526.15</v>
      </c>
      <c r="G39" s="1058" t="s">
        <v>3577</v>
      </c>
      <c r="H39" s="1062">
        <v>37</v>
      </c>
      <c r="I39" s="138"/>
      <c r="J39" s="138"/>
      <c r="K39" s="138"/>
      <c r="L39" s="138"/>
      <c r="M39" s="138"/>
      <c r="N39" s="138"/>
      <c r="O39" s="138"/>
      <c r="P39" s="138"/>
      <c r="Q39" s="138"/>
      <c r="R39" s="138"/>
      <c r="S39" s="138"/>
      <c r="T39" s="138"/>
      <c r="U39" s="138"/>
      <c r="V39" s="138"/>
      <c r="W39" s="138"/>
      <c r="X39" s="138"/>
      <c r="Y39" s="138"/>
      <c r="Z39" s="138"/>
    </row>
    <row r="40" spans="1:26" ht="14.25" customHeight="1">
      <c r="A40" s="1058" t="s">
        <v>3557</v>
      </c>
      <c r="B40" s="1058" t="s">
        <v>3439</v>
      </c>
      <c r="C40" s="1058" t="s">
        <v>267</v>
      </c>
      <c r="D40" s="1058" t="s">
        <v>260</v>
      </c>
      <c r="E40" s="1060">
        <v>44101</v>
      </c>
      <c r="F40" s="1060">
        <v>-46474.05</v>
      </c>
      <c r="G40" s="1058" t="s">
        <v>3578</v>
      </c>
      <c r="H40" s="1062">
        <v>34</v>
      </c>
      <c r="I40" s="138"/>
      <c r="J40" s="138"/>
      <c r="K40" s="138"/>
      <c r="L40" s="138"/>
      <c r="M40" s="138"/>
      <c r="N40" s="138"/>
      <c r="O40" s="138"/>
      <c r="P40" s="138"/>
      <c r="Q40" s="138"/>
      <c r="R40" s="138"/>
      <c r="S40" s="138"/>
      <c r="T40" s="138"/>
      <c r="U40" s="138"/>
      <c r="V40" s="138"/>
      <c r="W40" s="138"/>
      <c r="X40" s="138"/>
      <c r="Y40" s="138"/>
      <c r="Z40" s="138"/>
    </row>
    <row r="41" spans="1:26" ht="14.25" customHeight="1">
      <c r="A41" s="1058" t="s">
        <v>3570</v>
      </c>
      <c r="B41" s="1058" t="s">
        <v>3439</v>
      </c>
      <c r="C41" s="1058" t="s">
        <v>267</v>
      </c>
      <c r="D41" s="1058" t="s">
        <v>262</v>
      </c>
      <c r="E41" s="1060">
        <v>54806.97</v>
      </c>
      <c r="F41" s="1060">
        <v>-57628.2</v>
      </c>
      <c r="G41" s="1058" t="s">
        <v>3581</v>
      </c>
      <c r="H41" s="1062">
        <v>33</v>
      </c>
      <c r="I41" s="138"/>
      <c r="J41" s="138"/>
      <c r="K41" s="138"/>
      <c r="L41" s="138"/>
      <c r="M41" s="138"/>
      <c r="N41" s="138"/>
      <c r="O41" s="138"/>
      <c r="P41" s="138"/>
      <c r="Q41" s="138"/>
      <c r="R41" s="138"/>
      <c r="S41" s="138"/>
      <c r="T41" s="138"/>
      <c r="U41" s="138"/>
      <c r="V41" s="138"/>
      <c r="W41" s="138"/>
      <c r="X41" s="138"/>
      <c r="Y41" s="138"/>
      <c r="Z41" s="138"/>
    </row>
    <row r="42" spans="1:26" ht="14.25" customHeight="1">
      <c r="A42" s="1058" t="s">
        <v>3561</v>
      </c>
      <c r="B42" s="1058" t="s">
        <v>3439</v>
      </c>
      <c r="C42" s="1058" t="s">
        <v>267</v>
      </c>
      <c r="D42" s="1058" t="s">
        <v>976</v>
      </c>
      <c r="E42" s="1060">
        <v>38195</v>
      </c>
      <c r="F42" s="1060">
        <v>-40225.5</v>
      </c>
      <c r="G42" s="1058" t="s">
        <v>3580</v>
      </c>
      <c r="H42" s="1062">
        <v>33</v>
      </c>
      <c r="I42" s="138"/>
      <c r="J42" s="138"/>
      <c r="K42" s="138"/>
      <c r="L42" s="138"/>
      <c r="M42" s="138"/>
      <c r="N42" s="138"/>
      <c r="O42" s="138"/>
      <c r="P42" s="138"/>
      <c r="Q42" s="138"/>
      <c r="R42" s="138"/>
      <c r="S42" s="138"/>
      <c r="T42" s="138"/>
      <c r="U42" s="138"/>
      <c r="V42" s="138"/>
      <c r="W42" s="138"/>
      <c r="X42" s="138"/>
      <c r="Y42" s="138"/>
      <c r="Z42" s="138"/>
    </row>
    <row r="43" spans="1:26" ht="14.25" customHeight="1">
      <c r="A43" s="1058" t="s">
        <v>3691</v>
      </c>
      <c r="B43" s="1058" t="s">
        <v>3439</v>
      </c>
      <c r="C43" s="1058" t="s">
        <v>267</v>
      </c>
      <c r="D43" s="1058" t="s">
        <v>3458</v>
      </c>
      <c r="E43" s="1060">
        <v>56348.1</v>
      </c>
      <c r="F43" s="1060">
        <v>-58834.65</v>
      </c>
      <c r="G43" s="1058" t="s">
        <v>3692</v>
      </c>
      <c r="H43" s="1062">
        <v>30</v>
      </c>
      <c r="I43" s="138"/>
      <c r="J43" s="138"/>
      <c r="K43" s="138"/>
      <c r="L43" s="138"/>
      <c r="M43" s="138"/>
      <c r="N43" s="138"/>
      <c r="O43" s="138"/>
      <c r="P43" s="138"/>
      <c r="Q43" s="138"/>
      <c r="R43" s="138"/>
      <c r="S43" s="138"/>
      <c r="T43" s="138"/>
      <c r="U43" s="138"/>
      <c r="V43" s="138"/>
      <c r="W43" s="138"/>
      <c r="X43" s="138"/>
      <c r="Y43" s="138"/>
      <c r="Z43" s="138"/>
    </row>
    <row r="44" spans="1:26" ht="14.25" customHeight="1">
      <c r="A44" s="1058" t="s">
        <v>3693</v>
      </c>
      <c r="B44" s="1058" t="s">
        <v>3439</v>
      </c>
      <c r="C44" s="1058" t="s">
        <v>267</v>
      </c>
      <c r="D44" s="1058" t="s">
        <v>260</v>
      </c>
      <c r="E44" s="1060">
        <v>45762.95</v>
      </c>
      <c r="F44" s="1056"/>
      <c r="G44" s="1058" t="s">
        <v>3694</v>
      </c>
      <c r="H44" s="1062">
        <v>30</v>
      </c>
      <c r="I44" s="138"/>
      <c r="J44" s="138"/>
      <c r="K44" s="138"/>
      <c r="L44" s="138"/>
      <c r="M44" s="138"/>
      <c r="N44" s="138"/>
      <c r="O44" s="138"/>
      <c r="P44" s="138"/>
      <c r="Q44" s="138"/>
      <c r="R44" s="138"/>
      <c r="S44" s="138"/>
      <c r="T44" s="138"/>
      <c r="U44" s="138"/>
      <c r="V44" s="138"/>
      <c r="W44" s="138"/>
      <c r="X44" s="138"/>
      <c r="Y44" s="138"/>
      <c r="Z44" s="138"/>
    </row>
    <row r="45" spans="1:26" ht="14.25" customHeight="1">
      <c r="A45" s="1058" t="s">
        <v>3695</v>
      </c>
      <c r="B45" s="1058" t="s">
        <v>3439</v>
      </c>
      <c r="C45" s="1058" t="s">
        <v>267</v>
      </c>
      <c r="D45" s="1058" t="s">
        <v>976</v>
      </c>
      <c r="E45" s="1060">
        <v>37908</v>
      </c>
      <c r="F45" s="1060">
        <v>-39749.85</v>
      </c>
      <c r="G45" s="1058" t="s">
        <v>3696</v>
      </c>
      <c r="H45" s="1062">
        <v>25</v>
      </c>
      <c r="I45" s="138"/>
      <c r="J45" s="138"/>
      <c r="K45" s="138"/>
      <c r="L45" s="138"/>
      <c r="M45" s="138"/>
      <c r="N45" s="138"/>
      <c r="O45" s="138"/>
      <c r="P45" s="138"/>
      <c r="Q45" s="138"/>
      <c r="R45" s="138"/>
      <c r="S45" s="138"/>
      <c r="T45" s="138"/>
      <c r="U45" s="138"/>
      <c r="V45" s="138"/>
      <c r="W45" s="138"/>
      <c r="X45" s="138"/>
      <c r="Y45" s="138"/>
      <c r="Z45" s="138"/>
    </row>
    <row r="46" spans="1:26" ht="14.25" customHeight="1">
      <c r="A46" s="1058" t="s">
        <v>3697</v>
      </c>
      <c r="B46" s="1058" t="s">
        <v>3439</v>
      </c>
      <c r="C46" s="1058" t="s">
        <v>267</v>
      </c>
      <c r="D46" s="1058" t="s">
        <v>976</v>
      </c>
      <c r="E46" s="1060">
        <v>32705</v>
      </c>
      <c r="F46" s="1060">
        <v>-34423.199999999997</v>
      </c>
      <c r="G46" s="1058" t="s">
        <v>3698</v>
      </c>
      <c r="H46" s="1062">
        <v>25</v>
      </c>
      <c r="I46" s="138"/>
      <c r="J46" s="138"/>
      <c r="K46" s="138"/>
      <c r="L46" s="138"/>
      <c r="M46" s="138"/>
      <c r="N46" s="138"/>
      <c r="O46" s="138"/>
      <c r="P46" s="138"/>
      <c r="Q46" s="138"/>
      <c r="R46" s="138"/>
      <c r="S46" s="138"/>
      <c r="T46" s="138"/>
      <c r="U46" s="138"/>
      <c r="V46" s="138"/>
      <c r="W46" s="138"/>
      <c r="X46" s="138"/>
      <c r="Y46" s="138"/>
      <c r="Z46" s="138"/>
    </row>
    <row r="47" spans="1:26" ht="14.25" customHeight="1">
      <c r="A47" s="1058" t="s">
        <v>3699</v>
      </c>
      <c r="B47" s="1058" t="s">
        <v>3439</v>
      </c>
      <c r="C47" s="1058" t="s">
        <v>267</v>
      </c>
      <c r="D47" s="1058" t="s">
        <v>976</v>
      </c>
      <c r="E47" s="1060">
        <v>32705</v>
      </c>
      <c r="F47" s="1060">
        <v>-34423.199999999997</v>
      </c>
      <c r="G47" s="1058" t="s">
        <v>3700</v>
      </c>
      <c r="H47" s="1062">
        <v>25</v>
      </c>
      <c r="I47" s="138"/>
      <c r="J47" s="138"/>
      <c r="K47" s="138"/>
      <c r="L47" s="138"/>
      <c r="M47" s="138"/>
      <c r="N47" s="138"/>
      <c r="O47" s="138"/>
      <c r="P47" s="138"/>
      <c r="Q47" s="138"/>
      <c r="R47" s="138"/>
      <c r="S47" s="138"/>
      <c r="T47" s="138"/>
      <c r="U47" s="138"/>
      <c r="V47" s="138"/>
      <c r="W47" s="138"/>
      <c r="X47" s="138"/>
      <c r="Y47" s="138"/>
      <c r="Z47" s="138"/>
    </row>
    <row r="48" spans="1:26" ht="14.25" customHeight="1">
      <c r="A48" s="1058" t="s">
        <v>3701</v>
      </c>
      <c r="B48" s="1058" t="s">
        <v>3439</v>
      </c>
      <c r="C48" s="1058" t="s">
        <v>267</v>
      </c>
      <c r="D48" s="1058" t="s">
        <v>976</v>
      </c>
      <c r="E48" s="1060">
        <v>32700</v>
      </c>
      <c r="F48" s="1060">
        <v>-34423.199999999997</v>
      </c>
      <c r="G48" s="1058" t="s">
        <v>3702</v>
      </c>
      <c r="H48" s="1062">
        <v>25</v>
      </c>
      <c r="I48" s="138"/>
      <c r="J48" s="138"/>
      <c r="K48" s="138"/>
      <c r="L48" s="138"/>
      <c r="M48" s="138"/>
      <c r="N48" s="138"/>
      <c r="O48" s="138"/>
      <c r="P48" s="138"/>
      <c r="Q48" s="138"/>
      <c r="R48" s="138"/>
      <c r="S48" s="138"/>
      <c r="T48" s="138"/>
      <c r="U48" s="138"/>
      <c r="V48" s="138"/>
      <c r="W48" s="138"/>
      <c r="X48" s="138"/>
      <c r="Y48" s="138"/>
      <c r="Z48" s="138"/>
    </row>
    <row r="49" spans="1:26" ht="14.25" customHeight="1">
      <c r="A49" s="1058" t="s">
        <v>3703</v>
      </c>
      <c r="B49" s="1058" t="s">
        <v>3439</v>
      </c>
      <c r="C49" s="1058" t="s">
        <v>267</v>
      </c>
      <c r="D49" s="1058" t="s">
        <v>976</v>
      </c>
      <c r="E49" s="1060">
        <v>35661.949999999997</v>
      </c>
      <c r="F49" s="1056"/>
      <c r="G49" s="1058" t="s">
        <v>3704</v>
      </c>
      <c r="H49" s="1062">
        <v>20</v>
      </c>
      <c r="I49" s="138"/>
      <c r="J49" s="138"/>
      <c r="K49" s="138"/>
      <c r="L49" s="138"/>
      <c r="M49" s="138"/>
      <c r="N49" s="138"/>
      <c r="O49" s="138"/>
      <c r="P49" s="138"/>
      <c r="Q49" s="138"/>
      <c r="R49" s="138"/>
      <c r="S49" s="138"/>
      <c r="T49" s="138"/>
      <c r="U49" s="138"/>
      <c r="V49" s="138"/>
      <c r="W49" s="138"/>
      <c r="X49" s="138"/>
      <c r="Y49" s="138"/>
      <c r="Z49" s="138"/>
    </row>
    <row r="50" spans="1:26" ht="14.25" customHeight="1">
      <c r="A50" s="1058" t="s">
        <v>3705</v>
      </c>
      <c r="B50" s="1058" t="s">
        <v>3439</v>
      </c>
      <c r="C50" s="1058" t="s">
        <v>267</v>
      </c>
      <c r="D50" s="1058" t="s">
        <v>260</v>
      </c>
      <c r="E50" s="1060">
        <v>44107</v>
      </c>
      <c r="F50" s="1060">
        <v>-46474.05</v>
      </c>
      <c r="G50" s="1058" t="s">
        <v>3706</v>
      </c>
      <c r="H50" s="1062">
        <v>20</v>
      </c>
      <c r="I50" s="138"/>
      <c r="J50" s="138"/>
      <c r="K50" s="138"/>
      <c r="L50" s="138"/>
      <c r="M50" s="138"/>
      <c r="N50" s="138"/>
      <c r="O50" s="138"/>
      <c r="P50" s="138"/>
      <c r="Q50" s="138"/>
      <c r="R50" s="138"/>
      <c r="S50" s="138"/>
      <c r="T50" s="138"/>
      <c r="U50" s="138"/>
      <c r="V50" s="138"/>
      <c r="W50" s="138"/>
      <c r="X50" s="138"/>
      <c r="Y50" s="138"/>
      <c r="Z50" s="138"/>
    </row>
    <row r="51" spans="1:26" ht="14.25" customHeight="1">
      <c r="A51" s="1058" t="s">
        <v>3707</v>
      </c>
      <c r="B51" s="1058" t="s">
        <v>3439</v>
      </c>
      <c r="C51" s="1058" t="s">
        <v>267</v>
      </c>
      <c r="D51" s="1058" t="s">
        <v>976</v>
      </c>
      <c r="E51" s="1060">
        <v>37441.5</v>
      </c>
      <c r="F51" s="1056"/>
      <c r="G51" s="1058" t="s">
        <v>3708</v>
      </c>
      <c r="H51" s="1062">
        <v>16</v>
      </c>
      <c r="I51" s="138"/>
      <c r="J51" s="138"/>
      <c r="K51" s="138"/>
      <c r="L51" s="138"/>
      <c r="M51" s="138"/>
      <c r="N51" s="138"/>
      <c r="O51" s="138"/>
      <c r="P51" s="138"/>
      <c r="Q51" s="138"/>
      <c r="R51" s="138"/>
      <c r="S51" s="138"/>
      <c r="T51" s="138"/>
      <c r="U51" s="138"/>
      <c r="V51" s="138"/>
      <c r="W51" s="138"/>
      <c r="X51" s="138"/>
      <c r="Y51" s="138"/>
      <c r="Z51" s="138"/>
    </row>
    <row r="52" spans="1:26" ht="14.25" customHeight="1">
      <c r="A52" s="1058" t="s">
        <v>3709</v>
      </c>
      <c r="B52" s="1058" t="s">
        <v>3439</v>
      </c>
      <c r="C52" s="1058" t="s">
        <v>267</v>
      </c>
      <c r="D52" s="1058" t="s">
        <v>279</v>
      </c>
      <c r="E52" s="1060">
        <v>38207</v>
      </c>
      <c r="F52" s="1060">
        <v>-40179.300000000003</v>
      </c>
      <c r="G52" s="1058" t="s">
        <v>3710</v>
      </c>
      <c r="H52" s="1062">
        <v>13</v>
      </c>
      <c r="I52" s="138"/>
      <c r="J52" s="138"/>
      <c r="K52" s="138"/>
      <c r="L52" s="138"/>
      <c r="M52" s="138"/>
      <c r="N52" s="138"/>
      <c r="O52" s="138"/>
      <c r="P52" s="138"/>
      <c r="Q52" s="138"/>
      <c r="R52" s="138"/>
      <c r="S52" s="138"/>
      <c r="T52" s="138"/>
      <c r="U52" s="138"/>
      <c r="V52" s="138"/>
      <c r="W52" s="138"/>
      <c r="X52" s="138"/>
      <c r="Y52" s="138"/>
      <c r="Z52" s="138"/>
    </row>
    <row r="53" spans="1:26" ht="14.25" customHeight="1">
      <c r="A53" s="1058" t="s">
        <v>3711</v>
      </c>
      <c r="B53" s="1058" t="s">
        <v>3439</v>
      </c>
      <c r="C53" s="1058" t="s">
        <v>267</v>
      </c>
      <c r="D53" s="1058" t="s">
        <v>976</v>
      </c>
      <c r="E53" s="1060">
        <v>37773</v>
      </c>
      <c r="F53" s="1060">
        <v>-39749.85</v>
      </c>
      <c r="G53" s="1058" t="s">
        <v>3712</v>
      </c>
      <c r="H53" s="1062">
        <v>13</v>
      </c>
      <c r="I53" s="138"/>
      <c r="J53" s="138"/>
      <c r="K53" s="138"/>
      <c r="L53" s="138"/>
      <c r="M53" s="138"/>
      <c r="N53" s="138"/>
      <c r="O53" s="138"/>
      <c r="P53" s="138"/>
      <c r="Q53" s="138"/>
      <c r="R53" s="138"/>
      <c r="S53" s="138"/>
      <c r="T53" s="138"/>
      <c r="U53" s="138"/>
      <c r="V53" s="138"/>
      <c r="W53" s="138"/>
      <c r="X53" s="138"/>
      <c r="Y53" s="138"/>
      <c r="Z53" s="138"/>
    </row>
    <row r="54" spans="1:26" ht="14.25" customHeight="1">
      <c r="A54" s="1058" t="s">
        <v>3713</v>
      </c>
      <c r="B54" s="1058" t="s">
        <v>3439</v>
      </c>
      <c r="C54" s="1058" t="s">
        <v>267</v>
      </c>
      <c r="D54" s="1058" t="s">
        <v>976</v>
      </c>
      <c r="E54" s="1060">
        <v>37109</v>
      </c>
      <c r="F54" s="1060">
        <v>-39552.449999999997</v>
      </c>
      <c r="G54" s="1058" t="s">
        <v>3714</v>
      </c>
      <c r="H54" s="1062">
        <v>13</v>
      </c>
      <c r="I54" s="138"/>
      <c r="J54" s="138"/>
      <c r="K54" s="138"/>
      <c r="L54" s="138"/>
      <c r="M54" s="138"/>
      <c r="N54" s="138"/>
      <c r="O54" s="138"/>
      <c r="P54" s="138"/>
      <c r="Q54" s="138"/>
      <c r="R54" s="138"/>
      <c r="S54" s="138"/>
      <c r="T54" s="138"/>
      <c r="U54" s="138"/>
      <c r="V54" s="138"/>
      <c r="W54" s="138"/>
      <c r="X54" s="138"/>
      <c r="Y54" s="138"/>
      <c r="Z54" s="138"/>
    </row>
    <row r="55" spans="1:26" ht="14.25" customHeight="1">
      <c r="A55" s="1058" t="s">
        <v>3715</v>
      </c>
      <c r="B55" s="1058" t="s">
        <v>3439</v>
      </c>
      <c r="C55" s="1058" t="s">
        <v>267</v>
      </c>
      <c r="D55" s="1058" t="s">
        <v>976</v>
      </c>
      <c r="E55" s="1060">
        <v>34270</v>
      </c>
      <c r="F55" s="1060">
        <v>-36066.449999999997</v>
      </c>
      <c r="G55" s="1058" t="s">
        <v>3716</v>
      </c>
      <c r="H55" s="1062">
        <v>13</v>
      </c>
      <c r="I55" s="138"/>
      <c r="J55" s="138"/>
      <c r="K55" s="138"/>
      <c r="L55" s="138"/>
      <c r="M55" s="138"/>
      <c r="N55" s="138"/>
      <c r="O55" s="138"/>
      <c r="P55" s="138"/>
      <c r="Q55" s="138"/>
      <c r="R55" s="138"/>
      <c r="S55" s="138"/>
      <c r="T55" s="138"/>
      <c r="U55" s="138"/>
      <c r="V55" s="138"/>
      <c r="W55" s="138"/>
      <c r="X55" s="138"/>
      <c r="Y55" s="138"/>
      <c r="Z55" s="138"/>
    </row>
    <row r="56" spans="1:26" ht="14.25" customHeight="1">
      <c r="A56" s="1058" t="s">
        <v>3717</v>
      </c>
      <c r="B56" s="1058" t="s">
        <v>3439</v>
      </c>
      <c r="C56" s="1058" t="s">
        <v>267</v>
      </c>
      <c r="D56" s="1058" t="s">
        <v>279</v>
      </c>
      <c r="E56" s="1060">
        <v>39384</v>
      </c>
      <c r="F56" s="1060">
        <v>-41836.199999999997</v>
      </c>
      <c r="G56" s="1058" t="s">
        <v>3718</v>
      </c>
      <c r="H56" s="1062">
        <v>12</v>
      </c>
      <c r="I56" s="138"/>
      <c r="J56" s="138"/>
      <c r="K56" s="138"/>
      <c r="L56" s="138"/>
      <c r="M56" s="138"/>
      <c r="N56" s="138"/>
      <c r="O56" s="138"/>
      <c r="P56" s="138"/>
      <c r="Q56" s="138"/>
      <c r="R56" s="138"/>
      <c r="S56" s="138"/>
      <c r="T56" s="138"/>
      <c r="U56" s="138"/>
      <c r="V56" s="138"/>
      <c r="W56" s="138"/>
      <c r="X56" s="138"/>
      <c r="Y56" s="138"/>
      <c r="Z56" s="138"/>
    </row>
    <row r="57" spans="1:26" ht="14.25" customHeight="1">
      <c r="A57" s="1058" t="s">
        <v>3719</v>
      </c>
      <c r="B57" s="1058" t="s">
        <v>3439</v>
      </c>
      <c r="C57" s="1058" t="s">
        <v>267</v>
      </c>
      <c r="D57" s="1058" t="s">
        <v>3573</v>
      </c>
      <c r="E57" s="1060">
        <v>49697</v>
      </c>
      <c r="F57" s="1060">
        <v>-52243.8</v>
      </c>
      <c r="G57" s="1058" t="s">
        <v>3720</v>
      </c>
      <c r="H57" s="1062">
        <v>12</v>
      </c>
      <c r="I57" s="138"/>
      <c r="J57" s="138"/>
      <c r="K57" s="138"/>
      <c r="L57" s="138"/>
      <c r="M57" s="138"/>
      <c r="N57" s="138"/>
      <c r="O57" s="138"/>
      <c r="P57" s="138"/>
      <c r="Q57" s="138"/>
      <c r="R57" s="138"/>
      <c r="S57" s="138"/>
      <c r="T57" s="138"/>
      <c r="U57" s="138"/>
      <c r="V57" s="138"/>
      <c r="W57" s="138"/>
      <c r="X57" s="138"/>
      <c r="Y57" s="138"/>
      <c r="Z57" s="138"/>
    </row>
    <row r="58" spans="1:26" ht="14.25" customHeight="1">
      <c r="A58" s="1058" t="s">
        <v>3721</v>
      </c>
      <c r="B58" s="1058" t="s">
        <v>3439</v>
      </c>
      <c r="C58" s="1058" t="s">
        <v>267</v>
      </c>
      <c r="D58" s="1058" t="s">
        <v>3573</v>
      </c>
      <c r="E58" s="1060">
        <v>49697</v>
      </c>
      <c r="F58" s="1060">
        <v>-52243.8</v>
      </c>
      <c r="G58" s="1058" t="s">
        <v>3722</v>
      </c>
      <c r="H58" s="1062">
        <v>12</v>
      </c>
      <c r="I58" s="138"/>
      <c r="J58" s="138"/>
      <c r="K58" s="138"/>
      <c r="L58" s="138"/>
      <c r="M58" s="138"/>
      <c r="N58" s="138"/>
      <c r="O58" s="138"/>
      <c r="P58" s="138"/>
      <c r="Q58" s="138"/>
      <c r="R58" s="138"/>
      <c r="S58" s="138"/>
      <c r="T58" s="138"/>
      <c r="U58" s="138"/>
      <c r="V58" s="138"/>
      <c r="W58" s="138"/>
      <c r="X58" s="138"/>
      <c r="Y58" s="138"/>
      <c r="Z58" s="138"/>
    </row>
    <row r="59" spans="1:26" ht="14.25" customHeight="1">
      <c r="A59" s="1058" t="s">
        <v>3723</v>
      </c>
      <c r="B59" s="1058" t="s">
        <v>3439</v>
      </c>
      <c r="C59" s="1058" t="s">
        <v>267</v>
      </c>
      <c r="D59" s="1058" t="s">
        <v>976</v>
      </c>
      <c r="E59" s="1060">
        <v>35568</v>
      </c>
      <c r="F59" s="1060">
        <v>-37434.6</v>
      </c>
      <c r="G59" s="1058" t="s">
        <v>3724</v>
      </c>
      <c r="H59" s="1062">
        <v>12</v>
      </c>
      <c r="I59" s="138"/>
      <c r="J59" s="138"/>
      <c r="K59" s="138"/>
      <c r="L59" s="138"/>
      <c r="M59" s="138"/>
      <c r="N59" s="138"/>
      <c r="O59" s="138"/>
      <c r="P59" s="138"/>
      <c r="Q59" s="138"/>
      <c r="R59" s="138"/>
      <c r="S59" s="138"/>
      <c r="T59" s="138"/>
      <c r="U59" s="138"/>
      <c r="V59" s="138"/>
      <c r="W59" s="138"/>
      <c r="X59" s="138"/>
      <c r="Y59" s="138"/>
      <c r="Z59" s="138"/>
    </row>
    <row r="60" spans="1:26" ht="14.25" customHeight="1">
      <c r="A60" s="1058" t="s">
        <v>3725</v>
      </c>
      <c r="B60" s="1058" t="s">
        <v>3439</v>
      </c>
      <c r="C60" s="1058" t="s">
        <v>267</v>
      </c>
      <c r="D60" s="1058" t="s">
        <v>976</v>
      </c>
      <c r="E60" s="1060">
        <v>34265</v>
      </c>
      <c r="F60" s="1060">
        <v>-36066.449999999997</v>
      </c>
      <c r="G60" s="1058" t="s">
        <v>3726</v>
      </c>
      <c r="H60" s="1062">
        <v>12</v>
      </c>
      <c r="I60" s="138"/>
      <c r="J60" s="138"/>
      <c r="K60" s="138"/>
      <c r="L60" s="138"/>
      <c r="M60" s="138"/>
      <c r="N60" s="138"/>
      <c r="O60" s="138"/>
      <c r="P60" s="138"/>
      <c r="Q60" s="138"/>
      <c r="R60" s="138"/>
      <c r="S60" s="138"/>
      <c r="T60" s="138"/>
      <c r="U60" s="138"/>
      <c r="V60" s="138"/>
      <c r="W60" s="138"/>
      <c r="X60" s="138"/>
      <c r="Y60" s="138"/>
      <c r="Z60" s="138"/>
    </row>
    <row r="61" spans="1:26" ht="14.25" customHeight="1">
      <c r="A61" s="1058" t="s">
        <v>3727</v>
      </c>
      <c r="B61" s="1058" t="s">
        <v>3439</v>
      </c>
      <c r="C61" s="1058" t="s">
        <v>267</v>
      </c>
      <c r="D61" s="1058" t="s">
        <v>976</v>
      </c>
      <c r="E61" s="1060">
        <v>28211</v>
      </c>
      <c r="F61" s="1056"/>
      <c r="G61" s="1058" t="s">
        <v>3728</v>
      </c>
      <c r="H61" s="1062">
        <v>12</v>
      </c>
      <c r="I61" s="138"/>
      <c r="J61" s="138"/>
      <c r="K61" s="138"/>
      <c r="L61" s="138"/>
      <c r="M61" s="138"/>
      <c r="N61" s="138"/>
      <c r="O61" s="138"/>
      <c r="P61" s="138"/>
      <c r="Q61" s="138"/>
      <c r="R61" s="138"/>
      <c r="S61" s="138"/>
      <c r="T61" s="138"/>
      <c r="U61" s="138"/>
      <c r="V61" s="138"/>
      <c r="W61" s="138"/>
      <c r="X61" s="138"/>
      <c r="Y61" s="138"/>
      <c r="Z61" s="138"/>
    </row>
    <row r="62" spans="1:26" ht="14.25" customHeight="1">
      <c r="A62" s="1058" t="s">
        <v>3729</v>
      </c>
      <c r="B62" s="1058" t="s">
        <v>3439</v>
      </c>
      <c r="C62" s="1058" t="s">
        <v>267</v>
      </c>
      <c r="D62" s="1058" t="s">
        <v>260</v>
      </c>
      <c r="E62" s="1060">
        <v>47482.92</v>
      </c>
      <c r="F62" s="1060">
        <v>-47526.15</v>
      </c>
      <c r="G62" s="1058" t="s">
        <v>3730</v>
      </c>
      <c r="H62" s="1062">
        <v>12</v>
      </c>
      <c r="I62" s="138"/>
      <c r="J62" s="138"/>
      <c r="K62" s="138"/>
      <c r="L62" s="138"/>
      <c r="M62" s="138"/>
      <c r="N62" s="138"/>
      <c r="O62" s="138"/>
      <c r="P62" s="138"/>
      <c r="Q62" s="138"/>
      <c r="R62" s="138"/>
      <c r="S62" s="138"/>
      <c r="T62" s="138"/>
      <c r="U62" s="138"/>
      <c r="V62" s="138"/>
      <c r="W62" s="138"/>
      <c r="X62" s="138"/>
      <c r="Y62" s="138"/>
      <c r="Z62" s="138"/>
    </row>
    <row r="63" spans="1:26" ht="14.25" customHeight="1">
      <c r="A63" s="1058" t="s">
        <v>3731</v>
      </c>
      <c r="B63" s="1058" t="s">
        <v>3439</v>
      </c>
      <c r="C63" s="1058" t="s">
        <v>267</v>
      </c>
      <c r="D63" s="1058" t="s">
        <v>260</v>
      </c>
      <c r="E63" s="1060">
        <v>40734</v>
      </c>
      <c r="F63" s="1060">
        <v>-43358.7</v>
      </c>
      <c r="G63" s="1058" t="s">
        <v>3732</v>
      </c>
      <c r="H63" s="1062">
        <v>9</v>
      </c>
      <c r="I63" s="138"/>
      <c r="J63" s="138"/>
      <c r="K63" s="138"/>
      <c r="L63" s="138"/>
      <c r="M63" s="138"/>
      <c r="N63" s="138"/>
      <c r="O63" s="138"/>
      <c r="P63" s="138"/>
      <c r="Q63" s="138"/>
      <c r="R63" s="138"/>
      <c r="S63" s="138"/>
      <c r="T63" s="138"/>
      <c r="U63" s="138"/>
      <c r="V63" s="138"/>
      <c r="W63" s="138"/>
      <c r="X63" s="138"/>
      <c r="Y63" s="138"/>
      <c r="Z63" s="138"/>
    </row>
    <row r="64" spans="1:26" ht="14.25" customHeight="1">
      <c r="A64" s="1058" t="s">
        <v>3733</v>
      </c>
      <c r="B64" s="1058" t="s">
        <v>3439</v>
      </c>
      <c r="C64" s="1058" t="s">
        <v>267</v>
      </c>
      <c r="D64" s="1058" t="s">
        <v>279</v>
      </c>
      <c r="E64" s="1060">
        <v>37806</v>
      </c>
      <c r="F64" s="1060">
        <v>-40179.300000000003</v>
      </c>
      <c r="G64" s="1058" t="s">
        <v>3734</v>
      </c>
      <c r="H64" s="1062">
        <v>3</v>
      </c>
      <c r="I64" s="138"/>
      <c r="J64" s="138"/>
      <c r="K64" s="138"/>
      <c r="L64" s="138"/>
      <c r="M64" s="138"/>
      <c r="N64" s="138"/>
      <c r="O64" s="138"/>
      <c r="P64" s="138"/>
      <c r="Q64" s="138"/>
      <c r="R64" s="138"/>
      <c r="S64" s="138"/>
      <c r="T64" s="138"/>
      <c r="U64" s="138"/>
      <c r="V64" s="138"/>
      <c r="W64" s="138"/>
      <c r="X64" s="138"/>
      <c r="Y64" s="138"/>
      <c r="Z64" s="138"/>
    </row>
    <row r="65" spans="1:26" ht="14.25" customHeight="1">
      <c r="A65" s="1058" t="s">
        <v>3735</v>
      </c>
      <c r="B65" s="1058" t="s">
        <v>3439</v>
      </c>
      <c r="C65" s="1058" t="s">
        <v>267</v>
      </c>
      <c r="D65" s="1058" t="s">
        <v>260</v>
      </c>
      <c r="E65" s="1060">
        <v>44886</v>
      </c>
      <c r="F65" s="1060">
        <v>-47718.3</v>
      </c>
      <c r="G65" s="1058" t="s">
        <v>3736</v>
      </c>
      <c r="H65" s="1062">
        <v>3</v>
      </c>
      <c r="I65" s="138"/>
      <c r="J65" s="138"/>
      <c r="K65" s="138"/>
      <c r="L65" s="138"/>
      <c r="M65" s="138"/>
      <c r="N65" s="138"/>
      <c r="O65" s="138"/>
      <c r="P65" s="138"/>
      <c r="Q65" s="138"/>
      <c r="R65" s="138"/>
      <c r="S65" s="138"/>
      <c r="T65" s="138"/>
      <c r="U65" s="138"/>
      <c r="V65" s="138"/>
      <c r="W65" s="138"/>
      <c r="X65" s="138"/>
      <c r="Y65" s="138"/>
      <c r="Z65" s="138"/>
    </row>
    <row r="66" spans="1:26" ht="14.25" customHeight="1">
      <c r="A66" s="1058" t="s">
        <v>3737</v>
      </c>
      <c r="B66" s="1058" t="s">
        <v>3439</v>
      </c>
      <c r="C66" s="1058" t="s">
        <v>267</v>
      </c>
      <c r="D66" s="1058" t="s">
        <v>260</v>
      </c>
      <c r="E66" s="1060">
        <v>44154</v>
      </c>
      <c r="F66" s="1060">
        <v>-46949.7</v>
      </c>
      <c r="G66" s="1058" t="s">
        <v>3738</v>
      </c>
      <c r="H66" s="1062">
        <v>3</v>
      </c>
      <c r="I66" s="138"/>
      <c r="J66" s="138"/>
      <c r="K66" s="138"/>
      <c r="L66" s="138"/>
      <c r="M66" s="138"/>
      <c r="N66" s="138"/>
      <c r="O66" s="138"/>
      <c r="P66" s="138"/>
      <c r="Q66" s="138"/>
      <c r="R66" s="138"/>
      <c r="S66" s="138"/>
      <c r="T66" s="138"/>
      <c r="U66" s="138"/>
      <c r="V66" s="138"/>
      <c r="W66" s="138"/>
      <c r="X66" s="138"/>
      <c r="Y66" s="138"/>
      <c r="Z66" s="138"/>
    </row>
    <row r="67" spans="1:26" ht="14.25" customHeight="1">
      <c r="A67" s="1058" t="s">
        <v>3739</v>
      </c>
      <c r="B67" s="1058" t="s">
        <v>3439</v>
      </c>
      <c r="C67" s="1058" t="s">
        <v>267</v>
      </c>
      <c r="D67" s="1058" t="s">
        <v>260</v>
      </c>
      <c r="E67" s="1060">
        <v>44154</v>
      </c>
      <c r="F67" s="1060">
        <v>-46949.7</v>
      </c>
      <c r="G67" s="1058" t="s">
        <v>3740</v>
      </c>
      <c r="H67" s="1062">
        <v>3</v>
      </c>
      <c r="I67" s="138"/>
      <c r="J67" s="138"/>
      <c r="K67" s="138"/>
      <c r="L67" s="138"/>
      <c r="M67" s="138"/>
      <c r="N67" s="138"/>
      <c r="O67" s="138"/>
      <c r="P67" s="138"/>
      <c r="Q67" s="138"/>
      <c r="R67" s="138"/>
      <c r="S67" s="138"/>
      <c r="T67" s="138"/>
      <c r="U67" s="138"/>
      <c r="V67" s="138"/>
      <c r="W67" s="138"/>
      <c r="X67" s="138"/>
      <c r="Y67" s="138"/>
      <c r="Z67" s="138"/>
    </row>
    <row r="68" spans="1:26" ht="14.25" customHeight="1">
      <c r="A68" s="1058" t="s">
        <v>3741</v>
      </c>
      <c r="B68" s="1058" t="s">
        <v>3439</v>
      </c>
      <c r="C68" s="1058" t="s">
        <v>267</v>
      </c>
      <c r="D68" s="1058" t="s">
        <v>260</v>
      </c>
      <c r="E68" s="1060">
        <v>43701</v>
      </c>
      <c r="F68" s="1060">
        <v>-46474.05</v>
      </c>
      <c r="G68" s="1058" t="s">
        <v>3742</v>
      </c>
      <c r="H68" s="1062">
        <v>3</v>
      </c>
      <c r="I68" s="138"/>
      <c r="J68" s="138"/>
      <c r="K68" s="138"/>
      <c r="L68" s="138"/>
      <c r="M68" s="138"/>
      <c r="N68" s="138"/>
      <c r="O68" s="138"/>
      <c r="P68" s="138"/>
      <c r="Q68" s="138"/>
      <c r="R68" s="138"/>
      <c r="S68" s="138"/>
      <c r="T68" s="138"/>
      <c r="U68" s="138"/>
      <c r="V68" s="138"/>
      <c r="W68" s="138"/>
      <c r="X68" s="138"/>
      <c r="Y68" s="138"/>
      <c r="Z68" s="138"/>
    </row>
    <row r="69" spans="1:26" ht="14.25" customHeight="1">
      <c r="A69" s="1058" t="s">
        <v>3743</v>
      </c>
      <c r="B69" s="1058" t="s">
        <v>3439</v>
      </c>
      <c r="C69" s="1058" t="s">
        <v>267</v>
      </c>
      <c r="D69" s="1058" t="s">
        <v>260</v>
      </c>
      <c r="E69" s="1060">
        <v>43701</v>
      </c>
      <c r="F69" s="1060">
        <v>-46474.05</v>
      </c>
      <c r="G69" s="1058" t="s">
        <v>3744</v>
      </c>
      <c r="H69" s="1062">
        <v>3</v>
      </c>
      <c r="I69" s="138"/>
      <c r="J69" s="138"/>
      <c r="K69" s="138"/>
      <c r="L69" s="138"/>
      <c r="M69" s="138"/>
      <c r="N69" s="138"/>
      <c r="O69" s="138"/>
      <c r="P69" s="138"/>
      <c r="Q69" s="138"/>
      <c r="R69" s="138"/>
      <c r="S69" s="138"/>
      <c r="T69" s="138"/>
      <c r="U69" s="138"/>
      <c r="V69" s="138"/>
      <c r="W69" s="138"/>
      <c r="X69" s="138"/>
      <c r="Y69" s="138"/>
      <c r="Z69" s="138"/>
    </row>
    <row r="70" spans="1:26" ht="14.25" customHeight="1">
      <c r="A70" s="1058" t="s">
        <v>3745</v>
      </c>
      <c r="B70" s="1058" t="s">
        <v>3439</v>
      </c>
      <c r="C70" s="1058" t="s">
        <v>267</v>
      </c>
      <c r="D70" s="1058" t="s">
        <v>260</v>
      </c>
      <c r="E70" s="1060">
        <v>40734</v>
      </c>
      <c r="F70" s="1060">
        <v>-43358.7</v>
      </c>
      <c r="G70" s="1058" t="s">
        <v>3746</v>
      </c>
      <c r="H70" s="1062">
        <v>3</v>
      </c>
      <c r="I70" s="138"/>
      <c r="J70" s="138"/>
      <c r="K70" s="138"/>
      <c r="L70" s="138"/>
      <c r="M70" s="138"/>
      <c r="N70" s="138"/>
      <c r="O70" s="138"/>
      <c r="P70" s="138"/>
      <c r="Q70" s="138"/>
      <c r="R70" s="138"/>
      <c r="S70" s="138"/>
      <c r="T70" s="138"/>
      <c r="U70" s="138"/>
      <c r="V70" s="138"/>
      <c r="W70" s="138"/>
      <c r="X70" s="138"/>
      <c r="Y70" s="138"/>
      <c r="Z70" s="138"/>
    </row>
    <row r="71" spans="1:26" ht="14.25" customHeight="1">
      <c r="A71" s="1058" t="s">
        <v>3747</v>
      </c>
      <c r="B71" s="1058" t="s">
        <v>3439</v>
      </c>
      <c r="C71" s="1058" t="s">
        <v>267</v>
      </c>
      <c r="D71" s="1058" t="s">
        <v>260</v>
      </c>
      <c r="E71" s="1060">
        <v>39069</v>
      </c>
      <c r="F71" s="1060">
        <v>-41610.449999999997</v>
      </c>
      <c r="G71" s="1058" t="s">
        <v>3748</v>
      </c>
      <c r="H71" s="1062">
        <v>3</v>
      </c>
      <c r="I71" s="138"/>
      <c r="J71" s="138"/>
      <c r="K71" s="138"/>
      <c r="L71" s="138"/>
      <c r="M71" s="138"/>
      <c r="N71" s="138"/>
      <c r="O71" s="138"/>
      <c r="P71" s="138"/>
      <c r="Q71" s="138"/>
      <c r="R71" s="138"/>
      <c r="S71" s="138"/>
      <c r="T71" s="138"/>
      <c r="U71" s="138"/>
      <c r="V71" s="138"/>
      <c r="W71" s="138"/>
      <c r="X71" s="138"/>
      <c r="Y71" s="138"/>
      <c r="Z71" s="138"/>
    </row>
    <row r="72" spans="1:26" ht="14.25" customHeight="1">
      <c r="A72" s="1058" t="s">
        <v>3749</v>
      </c>
      <c r="B72" s="1058" t="s">
        <v>3439</v>
      </c>
      <c r="C72" s="1058" t="s">
        <v>267</v>
      </c>
      <c r="D72" s="1058" t="s">
        <v>260</v>
      </c>
      <c r="E72" s="1060">
        <v>44154</v>
      </c>
      <c r="F72" s="1060">
        <v>-46949.7</v>
      </c>
      <c r="G72" s="1058" t="s">
        <v>3750</v>
      </c>
      <c r="H72" s="1062">
        <v>2</v>
      </c>
      <c r="I72" s="138"/>
      <c r="J72" s="138"/>
      <c r="K72" s="138"/>
      <c r="L72" s="138"/>
      <c r="M72" s="138"/>
      <c r="N72" s="138"/>
      <c r="O72" s="138"/>
      <c r="P72" s="138"/>
      <c r="Q72" s="138"/>
      <c r="R72" s="138"/>
      <c r="S72" s="138"/>
      <c r="T72" s="138"/>
      <c r="U72" s="138"/>
      <c r="V72" s="138"/>
      <c r="W72" s="138"/>
      <c r="X72" s="138"/>
      <c r="Y72" s="138"/>
      <c r="Z72" s="138"/>
    </row>
    <row r="73" spans="1:26" ht="14.25" customHeight="1">
      <c r="A73" s="4"/>
      <c r="B73" s="141"/>
      <c r="C73" s="141"/>
      <c r="D73" s="4"/>
      <c r="E73" s="146"/>
      <c r="F73" s="146"/>
      <c r="G73" s="4"/>
      <c r="H73" s="4"/>
      <c r="I73" s="138"/>
      <c r="J73" s="138"/>
      <c r="K73" s="138"/>
      <c r="L73" s="138"/>
      <c r="M73" s="138"/>
      <c r="N73" s="138"/>
      <c r="O73" s="138"/>
      <c r="P73" s="138"/>
      <c r="Q73" s="138"/>
      <c r="R73" s="138"/>
      <c r="S73" s="138"/>
      <c r="T73" s="138"/>
      <c r="U73" s="138"/>
      <c r="V73" s="138"/>
      <c r="W73" s="138"/>
      <c r="X73" s="138"/>
      <c r="Y73" s="138"/>
      <c r="Z73" s="138"/>
    </row>
    <row r="74" spans="1:26" ht="14.25" customHeight="1">
      <c r="A74" s="4"/>
      <c r="B74" s="141"/>
      <c r="C74" s="141"/>
      <c r="D74" s="4"/>
      <c r="E74" s="146"/>
      <c r="F74" s="146"/>
      <c r="G74" s="4"/>
      <c r="H74" s="4"/>
      <c r="I74" s="138"/>
      <c r="J74" s="138"/>
      <c r="K74" s="138"/>
      <c r="L74" s="138"/>
      <c r="M74" s="138"/>
      <c r="N74" s="138"/>
      <c r="O74" s="138"/>
      <c r="P74" s="138"/>
      <c r="Q74" s="138"/>
      <c r="R74" s="138"/>
      <c r="S74" s="138"/>
      <c r="T74" s="138"/>
      <c r="U74" s="138"/>
      <c r="V74" s="138"/>
      <c r="W74" s="138"/>
      <c r="X74" s="138"/>
      <c r="Y74" s="138"/>
      <c r="Z74" s="138"/>
    </row>
    <row r="75" spans="1:26" ht="14.25" customHeight="1">
      <c r="A75" s="4"/>
      <c r="B75" s="4"/>
      <c r="C75" s="4"/>
      <c r="D75" s="4"/>
      <c r="E75" s="146"/>
      <c r="F75" s="146"/>
      <c r="G75" s="4"/>
      <c r="H75" s="4"/>
      <c r="I75" s="138"/>
      <c r="J75" s="138"/>
      <c r="K75" s="138"/>
      <c r="L75" s="138"/>
      <c r="M75" s="138"/>
      <c r="N75" s="138"/>
      <c r="O75" s="138"/>
      <c r="P75" s="138"/>
      <c r="Q75" s="138"/>
      <c r="R75" s="138"/>
      <c r="S75" s="138"/>
      <c r="T75" s="138"/>
      <c r="U75" s="138"/>
      <c r="V75" s="138"/>
      <c r="W75" s="138"/>
      <c r="X75" s="138"/>
      <c r="Y75" s="138"/>
      <c r="Z75" s="138"/>
    </row>
    <row r="76" spans="1:26" ht="14.25" customHeight="1">
      <c r="A76" s="4"/>
      <c r="B76" s="4"/>
      <c r="C76" s="4"/>
      <c r="D76" s="4"/>
      <c r="E76" s="146"/>
      <c r="F76" s="146"/>
      <c r="G76" s="4"/>
      <c r="H76" s="4"/>
      <c r="I76" s="138"/>
      <c r="J76" s="138"/>
      <c r="K76" s="138"/>
      <c r="L76" s="138"/>
      <c r="M76" s="138"/>
      <c r="N76" s="138"/>
      <c r="O76" s="138"/>
      <c r="P76" s="138"/>
      <c r="Q76" s="138"/>
      <c r="R76" s="138"/>
      <c r="S76" s="138"/>
      <c r="T76" s="138"/>
      <c r="U76" s="138"/>
      <c r="V76" s="138"/>
      <c r="W76" s="138"/>
      <c r="X76" s="138"/>
      <c r="Y76" s="138"/>
      <c r="Z76" s="138"/>
    </row>
    <row r="77" spans="1:26" ht="14.25" customHeight="1">
      <c r="A77" s="4"/>
      <c r="B77" s="4"/>
      <c r="C77" s="4"/>
      <c r="D77" s="4"/>
      <c r="E77" s="146"/>
      <c r="F77" s="146"/>
      <c r="G77" s="4"/>
      <c r="H77" s="4"/>
      <c r="I77" s="138"/>
      <c r="J77" s="138"/>
      <c r="K77" s="138"/>
      <c r="L77" s="138"/>
      <c r="M77" s="138"/>
      <c r="N77" s="138"/>
      <c r="O77" s="138"/>
      <c r="P77" s="138"/>
      <c r="Q77" s="138"/>
      <c r="R77" s="138"/>
      <c r="S77" s="138"/>
      <c r="T77" s="138"/>
      <c r="U77" s="138"/>
      <c r="V77" s="138"/>
      <c r="W77" s="138"/>
      <c r="X77" s="138"/>
      <c r="Y77" s="138"/>
      <c r="Z77" s="138"/>
    </row>
    <row r="78" spans="1:26" ht="14.25" customHeight="1">
      <c r="A78" s="4"/>
      <c r="B78" s="4"/>
      <c r="C78" s="4"/>
      <c r="D78" s="4"/>
      <c r="E78" s="146"/>
      <c r="F78" s="146"/>
      <c r="G78" s="4"/>
      <c r="H78" s="4"/>
      <c r="I78" s="138"/>
      <c r="J78" s="138"/>
      <c r="K78" s="138"/>
      <c r="L78" s="138"/>
      <c r="M78" s="138"/>
      <c r="N78" s="138"/>
      <c r="O78" s="138"/>
      <c r="P78" s="138"/>
      <c r="Q78" s="138"/>
      <c r="R78" s="138"/>
      <c r="S78" s="138"/>
      <c r="T78" s="138"/>
      <c r="U78" s="138"/>
      <c r="V78" s="138"/>
      <c r="W78" s="138"/>
      <c r="X78" s="138"/>
      <c r="Y78" s="138"/>
      <c r="Z78" s="138"/>
    </row>
    <row r="79" spans="1:26" ht="14.25" customHeight="1">
      <c r="A79" s="4"/>
      <c r="B79" s="4"/>
      <c r="C79" s="4"/>
      <c r="D79" s="4"/>
      <c r="E79" s="146"/>
      <c r="F79" s="146"/>
      <c r="G79" s="4"/>
      <c r="H79" s="4"/>
      <c r="I79" s="138"/>
      <c r="J79" s="138"/>
      <c r="K79" s="138"/>
      <c r="L79" s="138"/>
      <c r="M79" s="138"/>
      <c r="N79" s="138"/>
      <c r="O79" s="138"/>
      <c r="P79" s="138"/>
      <c r="Q79" s="138"/>
      <c r="R79" s="138"/>
      <c r="S79" s="138"/>
      <c r="T79" s="138"/>
      <c r="U79" s="138"/>
      <c r="V79" s="138"/>
      <c r="W79" s="138"/>
      <c r="X79" s="138"/>
      <c r="Y79" s="138"/>
      <c r="Z79" s="138"/>
    </row>
    <row r="80" spans="1:26" ht="14.25" customHeight="1">
      <c r="A80" s="4"/>
      <c r="B80" s="4"/>
      <c r="C80" s="4"/>
      <c r="D80" s="4"/>
      <c r="E80" s="146"/>
      <c r="F80" s="146"/>
      <c r="G80" s="4"/>
      <c r="H80" s="4"/>
      <c r="I80" s="138"/>
      <c r="J80" s="138"/>
      <c r="K80" s="138"/>
      <c r="L80" s="138"/>
      <c r="M80" s="138"/>
      <c r="N80" s="138"/>
      <c r="O80" s="138"/>
      <c r="P80" s="138"/>
      <c r="Q80" s="138"/>
      <c r="R80" s="138"/>
      <c r="S80" s="138"/>
      <c r="T80" s="138"/>
      <c r="U80" s="138"/>
      <c r="V80" s="138"/>
      <c r="W80" s="138"/>
      <c r="X80" s="138"/>
      <c r="Y80" s="138"/>
      <c r="Z80" s="138"/>
    </row>
    <row r="81" spans="1:26" ht="14.25" customHeight="1">
      <c r="A81" s="4"/>
      <c r="B81" s="4"/>
      <c r="C81" s="4"/>
      <c r="D81" s="4"/>
      <c r="E81" s="146"/>
      <c r="F81" s="146"/>
      <c r="G81" s="4"/>
      <c r="H81" s="4"/>
      <c r="I81" s="138"/>
      <c r="J81" s="138"/>
      <c r="K81" s="138"/>
      <c r="L81" s="138"/>
      <c r="M81" s="138"/>
      <c r="N81" s="138"/>
      <c r="O81" s="138"/>
      <c r="P81" s="138"/>
      <c r="Q81" s="138"/>
      <c r="R81" s="138"/>
      <c r="S81" s="138"/>
      <c r="T81" s="138"/>
      <c r="U81" s="138"/>
      <c r="V81" s="138"/>
      <c r="W81" s="138"/>
      <c r="X81" s="138"/>
      <c r="Y81" s="138"/>
      <c r="Z81" s="138"/>
    </row>
    <row r="82" spans="1:26" ht="14.25" customHeight="1">
      <c r="A82" s="4"/>
      <c r="B82" s="4"/>
      <c r="C82" s="4"/>
      <c r="D82" s="4"/>
      <c r="E82" s="146"/>
      <c r="F82" s="146"/>
      <c r="G82" s="4"/>
      <c r="H82" s="4"/>
      <c r="I82" s="138"/>
      <c r="J82" s="138"/>
      <c r="K82" s="138"/>
      <c r="L82" s="138"/>
      <c r="M82" s="138"/>
      <c r="N82" s="138"/>
      <c r="O82" s="138"/>
      <c r="P82" s="138"/>
      <c r="Q82" s="138"/>
      <c r="R82" s="138"/>
      <c r="S82" s="138"/>
      <c r="T82" s="138"/>
      <c r="U82" s="138"/>
      <c r="V82" s="138"/>
      <c r="W82" s="138"/>
      <c r="X82" s="138"/>
      <c r="Y82" s="138"/>
      <c r="Z82" s="138"/>
    </row>
    <row r="83" spans="1:26" ht="14.25" customHeight="1">
      <c r="A83" s="4"/>
      <c r="B83" s="4"/>
      <c r="C83" s="4"/>
      <c r="D83" s="4"/>
      <c r="E83" s="146"/>
      <c r="F83" s="146"/>
      <c r="G83" s="4"/>
      <c r="H83" s="4"/>
      <c r="I83" s="138"/>
      <c r="J83" s="138"/>
      <c r="K83" s="138"/>
      <c r="L83" s="138"/>
      <c r="M83" s="138"/>
      <c r="N83" s="138"/>
      <c r="O83" s="138"/>
      <c r="P83" s="138"/>
      <c r="Q83" s="138"/>
      <c r="R83" s="138"/>
      <c r="S83" s="138"/>
      <c r="T83" s="138"/>
      <c r="U83" s="138"/>
      <c r="V83" s="138"/>
      <c r="W83" s="138"/>
      <c r="X83" s="138"/>
      <c r="Y83" s="138"/>
      <c r="Z83" s="138"/>
    </row>
    <row r="84" spans="1:26" ht="14.25" customHeight="1">
      <c r="A84" s="4"/>
      <c r="B84" s="4"/>
      <c r="C84" s="4"/>
      <c r="D84" s="4"/>
      <c r="E84" s="146"/>
      <c r="F84" s="146"/>
      <c r="G84" s="4"/>
      <c r="H84" s="4"/>
      <c r="I84" s="138"/>
      <c r="J84" s="138"/>
      <c r="K84" s="138"/>
      <c r="L84" s="138"/>
      <c r="M84" s="138"/>
      <c r="N84" s="138"/>
      <c r="O84" s="138"/>
      <c r="P84" s="138"/>
      <c r="Q84" s="138"/>
      <c r="R84" s="138"/>
      <c r="S84" s="138"/>
      <c r="T84" s="138"/>
      <c r="U84" s="138"/>
      <c r="V84" s="138"/>
      <c r="W84" s="138"/>
      <c r="X84" s="138"/>
      <c r="Y84" s="138"/>
      <c r="Z84" s="138"/>
    </row>
    <row r="85" spans="1:26" ht="14.25" customHeight="1">
      <c r="A85" s="4"/>
      <c r="B85" s="4"/>
      <c r="C85" s="4"/>
      <c r="D85" s="4"/>
      <c r="E85" s="146"/>
      <c r="F85" s="146"/>
      <c r="G85" s="4"/>
      <c r="H85" s="4"/>
      <c r="I85" s="138"/>
      <c r="J85" s="138"/>
      <c r="K85" s="138"/>
      <c r="L85" s="138"/>
      <c r="M85" s="138"/>
      <c r="N85" s="138"/>
      <c r="O85" s="138"/>
      <c r="P85" s="138"/>
      <c r="Q85" s="138"/>
      <c r="R85" s="138"/>
      <c r="S85" s="138"/>
      <c r="T85" s="138"/>
      <c r="U85" s="138"/>
      <c r="V85" s="138"/>
      <c r="W85" s="138"/>
      <c r="X85" s="138"/>
      <c r="Y85" s="138"/>
      <c r="Z85" s="138"/>
    </row>
    <row r="86" spans="1:26" ht="14.25" customHeight="1">
      <c r="A86" s="4"/>
      <c r="B86" s="4"/>
      <c r="C86" s="4"/>
      <c r="D86" s="4"/>
      <c r="E86" s="146"/>
      <c r="F86" s="146"/>
      <c r="G86" s="4"/>
      <c r="H86" s="4"/>
      <c r="I86" s="138"/>
      <c r="J86" s="138"/>
      <c r="K86" s="138"/>
      <c r="L86" s="138"/>
      <c r="M86" s="138"/>
      <c r="N86" s="138"/>
      <c r="O86" s="138"/>
      <c r="P86" s="138"/>
      <c r="Q86" s="138"/>
      <c r="R86" s="138"/>
      <c r="S86" s="138"/>
      <c r="T86" s="138"/>
      <c r="U86" s="138"/>
      <c r="V86" s="138"/>
      <c r="W86" s="138"/>
      <c r="X86" s="138"/>
      <c r="Y86" s="138"/>
      <c r="Z86" s="138"/>
    </row>
    <row r="87" spans="1:26" ht="14.25" customHeight="1">
      <c r="A87" s="4"/>
      <c r="B87" s="4"/>
      <c r="C87" s="4"/>
      <c r="D87" s="4"/>
      <c r="E87" s="146"/>
      <c r="F87" s="146"/>
      <c r="G87" s="4"/>
      <c r="H87" s="4"/>
      <c r="I87" s="138"/>
      <c r="J87" s="138"/>
      <c r="K87" s="138"/>
      <c r="L87" s="138"/>
      <c r="M87" s="138"/>
      <c r="N87" s="138"/>
      <c r="O87" s="138"/>
      <c r="P87" s="138"/>
      <c r="Q87" s="138"/>
      <c r="R87" s="138"/>
      <c r="S87" s="138"/>
      <c r="T87" s="138"/>
      <c r="U87" s="138"/>
      <c r="V87" s="138"/>
      <c r="W87" s="138"/>
      <c r="X87" s="138"/>
      <c r="Y87" s="138"/>
      <c r="Z87" s="138"/>
    </row>
    <row r="88" spans="1:26" ht="14.25" customHeight="1">
      <c r="A88" s="4"/>
      <c r="B88" s="4"/>
      <c r="C88" s="4"/>
      <c r="D88" s="4"/>
      <c r="E88" s="146"/>
      <c r="F88" s="146"/>
      <c r="G88" s="4"/>
      <c r="H88" s="4"/>
      <c r="I88" s="138"/>
      <c r="J88" s="138"/>
      <c r="K88" s="138"/>
      <c r="L88" s="138"/>
      <c r="M88" s="138"/>
      <c r="N88" s="138"/>
      <c r="O88" s="138"/>
      <c r="P88" s="138"/>
      <c r="Q88" s="138"/>
      <c r="R88" s="138"/>
      <c r="S88" s="138"/>
      <c r="T88" s="138"/>
      <c r="U88" s="138"/>
      <c r="V88" s="138"/>
      <c r="W88" s="138"/>
      <c r="X88" s="138"/>
      <c r="Y88" s="138"/>
      <c r="Z88" s="138"/>
    </row>
    <row r="89" spans="1:26" ht="14.25" customHeight="1">
      <c r="A89" s="4"/>
      <c r="B89" s="4"/>
      <c r="C89" s="4"/>
      <c r="D89" s="4"/>
      <c r="E89" s="146"/>
      <c r="F89" s="146"/>
      <c r="G89" s="4"/>
      <c r="H89" s="4"/>
      <c r="I89" s="138"/>
      <c r="J89" s="138"/>
      <c r="K89" s="138"/>
      <c r="L89" s="138"/>
      <c r="M89" s="138"/>
      <c r="N89" s="138"/>
      <c r="O89" s="138"/>
      <c r="P89" s="138"/>
      <c r="Q89" s="138"/>
      <c r="R89" s="138"/>
      <c r="S89" s="138"/>
      <c r="T89" s="138"/>
      <c r="U89" s="138"/>
      <c r="V89" s="138"/>
      <c r="W89" s="138"/>
      <c r="X89" s="138"/>
      <c r="Y89" s="138"/>
      <c r="Z89" s="138"/>
    </row>
    <row r="90" spans="1:26" ht="14.25" customHeight="1">
      <c r="A90" s="4"/>
      <c r="B90" s="4"/>
      <c r="C90" s="4"/>
      <c r="D90" s="4"/>
      <c r="E90" s="146"/>
      <c r="F90" s="146"/>
      <c r="G90" s="4"/>
      <c r="H90" s="4"/>
      <c r="I90" s="138"/>
      <c r="J90" s="138"/>
      <c r="K90" s="138"/>
      <c r="L90" s="138"/>
      <c r="M90" s="138"/>
      <c r="N90" s="138"/>
      <c r="O90" s="138"/>
      <c r="P90" s="138"/>
      <c r="Q90" s="138"/>
      <c r="R90" s="138"/>
      <c r="S90" s="138"/>
      <c r="T90" s="138"/>
      <c r="U90" s="138"/>
      <c r="V90" s="138"/>
      <c r="W90" s="138"/>
      <c r="X90" s="138"/>
      <c r="Y90" s="138"/>
      <c r="Z90" s="138"/>
    </row>
    <row r="91" spans="1:26" ht="14.25" customHeight="1">
      <c r="A91" s="4"/>
      <c r="B91" s="4"/>
      <c r="C91" s="4"/>
      <c r="D91" s="4"/>
      <c r="E91" s="146"/>
      <c r="F91" s="146"/>
      <c r="G91" s="4"/>
      <c r="H91" s="4"/>
      <c r="I91" s="138"/>
      <c r="J91" s="138"/>
      <c r="K91" s="138"/>
      <c r="L91" s="138"/>
      <c r="M91" s="138"/>
      <c r="N91" s="138"/>
      <c r="O91" s="138"/>
      <c r="P91" s="138"/>
      <c r="Q91" s="138"/>
      <c r="R91" s="138"/>
      <c r="S91" s="138"/>
      <c r="T91" s="138"/>
      <c r="U91" s="138"/>
      <c r="V91" s="138"/>
      <c r="W91" s="138"/>
      <c r="X91" s="138"/>
      <c r="Y91" s="138"/>
      <c r="Z91" s="138"/>
    </row>
    <row r="92" spans="1:26" ht="14.25" customHeight="1">
      <c r="A92" s="4"/>
      <c r="B92" s="4"/>
      <c r="C92" s="4"/>
      <c r="D92" s="4"/>
      <c r="E92" s="146"/>
      <c r="F92" s="146"/>
      <c r="G92" s="4"/>
      <c r="H92" s="4"/>
      <c r="I92" s="138"/>
      <c r="J92" s="138"/>
      <c r="K92" s="138"/>
      <c r="L92" s="138"/>
      <c r="M92" s="138"/>
      <c r="N92" s="138"/>
      <c r="O92" s="138"/>
      <c r="P92" s="138"/>
      <c r="Q92" s="138"/>
      <c r="R92" s="138"/>
      <c r="S92" s="138"/>
      <c r="T92" s="138"/>
      <c r="U92" s="138"/>
      <c r="V92" s="138"/>
      <c r="W92" s="138"/>
      <c r="X92" s="138"/>
      <c r="Y92" s="138"/>
      <c r="Z92" s="138"/>
    </row>
    <row r="93" spans="1:26" ht="14.25" customHeight="1">
      <c r="A93" s="4"/>
      <c r="B93" s="4"/>
      <c r="C93" s="4"/>
      <c r="D93" s="4"/>
      <c r="E93" s="146"/>
      <c r="F93" s="146"/>
      <c r="G93" s="4"/>
      <c r="H93" s="4"/>
      <c r="I93" s="138"/>
      <c r="J93" s="138"/>
      <c r="K93" s="138"/>
      <c r="L93" s="138"/>
      <c r="M93" s="138"/>
      <c r="N93" s="138"/>
      <c r="O93" s="138"/>
      <c r="P93" s="138"/>
      <c r="Q93" s="138"/>
      <c r="R93" s="138"/>
      <c r="S93" s="138"/>
      <c r="T93" s="138"/>
      <c r="U93" s="138"/>
      <c r="V93" s="138"/>
      <c r="W93" s="138"/>
      <c r="X93" s="138"/>
      <c r="Y93" s="138"/>
      <c r="Z93" s="138"/>
    </row>
    <row r="94" spans="1:26" ht="14.25" customHeight="1">
      <c r="A94" s="4"/>
      <c r="B94" s="4"/>
      <c r="C94" s="4"/>
      <c r="D94" s="4"/>
      <c r="E94" s="146"/>
      <c r="F94" s="146"/>
      <c r="G94" s="4"/>
      <c r="H94" s="4"/>
      <c r="I94" s="138"/>
      <c r="J94" s="138"/>
      <c r="K94" s="138"/>
      <c r="L94" s="138"/>
      <c r="M94" s="138"/>
      <c r="N94" s="138"/>
      <c r="O94" s="138"/>
      <c r="P94" s="138"/>
      <c r="Q94" s="138"/>
      <c r="R94" s="138"/>
      <c r="S94" s="138"/>
      <c r="T94" s="138"/>
      <c r="U94" s="138"/>
      <c r="V94" s="138"/>
      <c r="W94" s="138"/>
      <c r="X94" s="138"/>
      <c r="Y94" s="138"/>
      <c r="Z94" s="138"/>
    </row>
    <row r="95" spans="1:26" ht="14.25" customHeight="1">
      <c r="A95" s="4"/>
      <c r="B95" s="4"/>
      <c r="C95" s="4"/>
      <c r="D95" s="4"/>
      <c r="E95" s="146"/>
      <c r="F95" s="146"/>
      <c r="G95" s="4"/>
      <c r="H95" s="4"/>
      <c r="I95" s="138"/>
      <c r="J95" s="138"/>
      <c r="K95" s="138"/>
      <c r="L95" s="138"/>
      <c r="M95" s="138"/>
      <c r="N95" s="138"/>
      <c r="O95" s="138"/>
      <c r="P95" s="138"/>
      <c r="Q95" s="138"/>
      <c r="R95" s="138"/>
      <c r="S95" s="138"/>
      <c r="T95" s="138"/>
      <c r="U95" s="138"/>
      <c r="V95" s="138"/>
      <c r="W95" s="138"/>
      <c r="X95" s="138"/>
      <c r="Y95" s="138"/>
      <c r="Z95" s="138"/>
    </row>
    <row r="96" spans="1:26" ht="14.25" customHeight="1">
      <c r="A96" s="4"/>
      <c r="B96" s="4"/>
      <c r="C96" s="4"/>
      <c r="D96" s="4"/>
      <c r="E96" s="146"/>
      <c r="F96" s="146"/>
      <c r="G96" s="4"/>
      <c r="H96" s="4"/>
      <c r="I96" s="138"/>
      <c r="J96" s="138"/>
      <c r="K96" s="138"/>
      <c r="L96" s="138"/>
      <c r="M96" s="138"/>
      <c r="N96" s="138"/>
      <c r="O96" s="138"/>
      <c r="P96" s="138"/>
      <c r="Q96" s="138"/>
      <c r="R96" s="138"/>
      <c r="S96" s="138"/>
      <c r="T96" s="138"/>
      <c r="U96" s="138"/>
      <c r="V96" s="138"/>
      <c r="W96" s="138"/>
      <c r="X96" s="138"/>
      <c r="Y96" s="138"/>
      <c r="Z96" s="138"/>
    </row>
    <row r="97" spans="1:26" ht="14.25" customHeight="1">
      <c r="A97" s="4"/>
      <c r="B97" s="4"/>
      <c r="C97" s="4"/>
      <c r="D97" s="4"/>
      <c r="E97" s="146"/>
      <c r="F97" s="146"/>
      <c r="G97" s="4"/>
      <c r="H97" s="4"/>
      <c r="I97" s="138"/>
      <c r="J97" s="138"/>
      <c r="K97" s="138"/>
      <c r="L97" s="138"/>
      <c r="M97" s="138"/>
      <c r="N97" s="138"/>
      <c r="O97" s="138"/>
      <c r="P97" s="138"/>
      <c r="Q97" s="138"/>
      <c r="R97" s="138"/>
      <c r="S97" s="138"/>
      <c r="T97" s="138"/>
      <c r="U97" s="138"/>
      <c r="V97" s="138"/>
      <c r="W97" s="138"/>
      <c r="X97" s="138"/>
      <c r="Y97" s="138"/>
      <c r="Z97" s="138"/>
    </row>
    <row r="98" spans="1:26" ht="14.25" customHeight="1">
      <c r="A98" s="4"/>
      <c r="B98" s="4"/>
      <c r="C98" s="4"/>
      <c r="D98" s="4"/>
      <c r="E98" s="146"/>
      <c r="F98" s="146"/>
      <c r="G98" s="4"/>
      <c r="H98" s="4"/>
      <c r="I98" s="138"/>
      <c r="J98" s="138"/>
      <c r="K98" s="138"/>
      <c r="L98" s="138"/>
      <c r="M98" s="138"/>
      <c r="N98" s="138"/>
      <c r="O98" s="138"/>
      <c r="P98" s="138"/>
      <c r="Q98" s="138"/>
      <c r="R98" s="138"/>
      <c r="S98" s="138"/>
      <c r="T98" s="138"/>
      <c r="U98" s="138"/>
      <c r="V98" s="138"/>
      <c r="W98" s="138"/>
      <c r="X98" s="138"/>
      <c r="Y98" s="138"/>
      <c r="Z98" s="138"/>
    </row>
    <row r="99" spans="1:26" ht="14.25" customHeight="1">
      <c r="A99" s="4"/>
      <c r="B99" s="4"/>
      <c r="C99" s="4"/>
      <c r="D99" s="4"/>
      <c r="E99" s="146"/>
      <c r="F99" s="146"/>
      <c r="G99" s="4"/>
      <c r="H99" s="4"/>
      <c r="I99" s="138"/>
      <c r="J99" s="138"/>
      <c r="K99" s="138"/>
      <c r="L99" s="138"/>
      <c r="M99" s="138"/>
      <c r="N99" s="138"/>
      <c r="O99" s="138"/>
      <c r="P99" s="138"/>
      <c r="Q99" s="138"/>
      <c r="R99" s="138"/>
      <c r="S99" s="138"/>
      <c r="T99" s="138"/>
      <c r="U99" s="138"/>
      <c r="V99" s="138"/>
      <c r="W99" s="138"/>
      <c r="X99" s="138"/>
      <c r="Y99" s="138"/>
      <c r="Z99" s="138"/>
    </row>
    <row r="100" spans="1:26" ht="14.25" customHeight="1">
      <c r="A100" s="4"/>
      <c r="B100" s="4"/>
      <c r="C100" s="4"/>
      <c r="D100" s="4"/>
      <c r="E100" s="146"/>
      <c r="F100" s="146"/>
      <c r="G100" s="4"/>
      <c r="H100" s="4"/>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4"/>
      <c r="B101" s="4"/>
      <c r="C101" s="4"/>
      <c r="D101" s="4"/>
      <c r="E101" s="146"/>
      <c r="F101" s="146"/>
      <c r="G101" s="4"/>
      <c r="H101" s="4"/>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4"/>
      <c r="B102" s="4"/>
      <c r="C102" s="4"/>
      <c r="D102" s="4"/>
      <c r="E102" s="146"/>
      <c r="F102" s="146"/>
      <c r="G102" s="4"/>
      <c r="H102" s="4"/>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4"/>
      <c r="B103" s="4"/>
      <c r="C103" s="4"/>
      <c r="D103" s="4"/>
      <c r="E103" s="146"/>
      <c r="F103" s="146"/>
      <c r="G103" s="4"/>
      <c r="H103" s="4"/>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4"/>
      <c r="B104" s="4"/>
      <c r="C104" s="4"/>
      <c r="D104" s="4"/>
      <c r="E104" s="146"/>
      <c r="F104" s="146"/>
      <c r="G104" s="4"/>
      <c r="H104" s="4"/>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4"/>
      <c r="B105" s="4"/>
      <c r="C105" s="4"/>
      <c r="D105" s="4"/>
      <c r="E105" s="146"/>
      <c r="F105" s="146"/>
      <c r="G105" s="4"/>
      <c r="H105" s="4"/>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4"/>
      <c r="B106" s="4"/>
      <c r="C106" s="4"/>
      <c r="D106" s="4"/>
      <c r="E106" s="146"/>
      <c r="F106" s="146"/>
      <c r="G106" s="4"/>
      <c r="H106" s="4"/>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4"/>
      <c r="B107" s="4"/>
      <c r="C107" s="4"/>
      <c r="D107" s="4"/>
      <c r="E107" s="146"/>
      <c r="F107" s="146"/>
      <c r="G107" s="4"/>
      <c r="H107" s="4"/>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4"/>
      <c r="B108" s="4"/>
      <c r="C108" s="4"/>
      <c r="D108" s="4"/>
      <c r="E108" s="146"/>
      <c r="F108" s="146"/>
      <c r="G108" s="4"/>
      <c r="H108" s="4"/>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4"/>
      <c r="B109" s="4"/>
      <c r="C109" s="4"/>
      <c r="D109" s="4"/>
      <c r="E109" s="146"/>
      <c r="F109" s="146"/>
      <c r="G109" s="4"/>
      <c r="H109" s="4"/>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4"/>
      <c r="B112" s="4"/>
      <c r="C112" s="4"/>
      <c r="D112" s="4"/>
      <c r="E112" s="146"/>
      <c r="F112" s="146"/>
      <c r="G112" s="4"/>
      <c r="H112" s="4"/>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4"/>
      <c r="B113" s="4"/>
      <c r="C113" s="4"/>
      <c r="D113" s="4"/>
      <c r="E113" s="146"/>
      <c r="F113" s="146"/>
      <c r="G113" s="4"/>
      <c r="H113" s="4"/>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4"/>
      <c r="B114" s="4"/>
      <c r="C114" s="4"/>
      <c r="D114" s="4"/>
      <c r="E114" s="146"/>
      <c r="F114" s="146"/>
      <c r="G114" s="4"/>
      <c r="H114" s="4"/>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4"/>
      <c r="B968" s="4"/>
      <c r="C968" s="4"/>
      <c r="D968" s="4"/>
      <c r="E968" s="146"/>
      <c r="F968" s="146"/>
      <c r="G968" s="4"/>
      <c r="H968" s="4"/>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4"/>
      <c r="B969" s="4"/>
      <c r="C969" s="4"/>
      <c r="D969" s="4"/>
      <c r="E969" s="146"/>
      <c r="F969" s="146"/>
      <c r="G969" s="4"/>
      <c r="H969" s="4"/>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4"/>
      <c r="B970" s="4"/>
      <c r="C970" s="4"/>
      <c r="D970" s="4"/>
      <c r="E970" s="146"/>
      <c r="F970" s="146"/>
      <c r="G970" s="4"/>
      <c r="H970" s="4"/>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4"/>
      <c r="B971" s="4"/>
      <c r="C971" s="4"/>
      <c r="D971" s="4"/>
      <c r="E971" s="146"/>
      <c r="F971" s="146"/>
      <c r="G971" s="4"/>
      <c r="H971" s="4"/>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4"/>
      <c r="B972" s="4"/>
      <c r="C972" s="4"/>
      <c r="D972" s="4"/>
      <c r="E972" s="146"/>
      <c r="F972" s="146"/>
      <c r="G972" s="4"/>
      <c r="H972" s="4"/>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4"/>
      <c r="B973" s="4"/>
      <c r="C973" s="4"/>
      <c r="D973" s="4"/>
      <c r="E973" s="146"/>
      <c r="F973" s="146"/>
      <c r="G973" s="4"/>
      <c r="H973" s="4"/>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4"/>
      <c r="B974" s="4"/>
      <c r="C974" s="4"/>
      <c r="D974" s="4"/>
      <c r="E974" s="146"/>
      <c r="F974" s="146"/>
      <c r="G974" s="4"/>
      <c r="H974" s="4"/>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4"/>
      <c r="B975" s="4"/>
      <c r="C975" s="4"/>
      <c r="D975" s="4"/>
      <c r="E975" s="146"/>
      <c r="F975" s="146"/>
      <c r="G975" s="4"/>
      <c r="H975" s="4"/>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4"/>
      <c r="B976" s="4"/>
      <c r="C976" s="4"/>
      <c r="D976" s="4"/>
      <c r="E976" s="146"/>
      <c r="F976" s="146"/>
      <c r="G976" s="4"/>
      <c r="H976" s="4"/>
      <c r="I976" s="138"/>
      <c r="J976" s="138"/>
      <c r="K976" s="138"/>
      <c r="L976" s="138"/>
      <c r="M976" s="138"/>
      <c r="N976" s="138"/>
      <c r="O976" s="138"/>
      <c r="P976" s="138"/>
      <c r="Q976" s="138"/>
      <c r="R976" s="138"/>
      <c r="S976" s="138"/>
      <c r="T976" s="138"/>
      <c r="U976" s="138"/>
      <c r="V976" s="138"/>
      <c r="W976" s="138"/>
      <c r="X976" s="138"/>
      <c r="Y976" s="138"/>
      <c r="Z976" s="138"/>
    </row>
  </sheetData>
  <autoFilter ref="A1:H25" xr:uid="{00000000-0009-0000-0000-000005000000}">
    <sortState xmlns:xlrd2="http://schemas.microsoft.com/office/spreadsheetml/2017/richdata2"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693"/>
  <sheetViews>
    <sheetView tabSelected="1" topLeftCell="T461" zoomScale="80" zoomScaleNormal="80" workbookViewId="0">
      <selection activeCell="AI501" sqref="AI501"/>
    </sheetView>
  </sheetViews>
  <sheetFormatPr baseColWidth="10" defaultColWidth="12.625" defaultRowHeight="15" customHeight="1"/>
  <cols>
    <col min="1" max="1" width="10.375" hidden="1" customWidth="1"/>
    <col min="2" max="2" width="21.875" hidden="1" customWidth="1"/>
    <col min="3" max="3" width="31.25" customWidth="1"/>
    <col min="4" max="4" width="16.5" customWidth="1"/>
    <col min="5" max="5" width="14.625" customWidth="1"/>
    <col min="6" max="6" width="14" customWidth="1"/>
    <col min="7" max="7" width="17.75" hidden="1" customWidth="1"/>
    <col min="8" max="8" width="15.125" hidden="1" customWidth="1"/>
    <col min="9" max="9" width="14" hidden="1" customWidth="1"/>
    <col min="10" max="10" width="15.625" customWidth="1"/>
    <col min="11" max="11" width="15.5" customWidth="1"/>
    <col min="12" max="12" width="14.875" customWidth="1"/>
    <col min="13" max="14" width="16.25" customWidth="1"/>
    <col min="15" max="15" width="15.5" customWidth="1"/>
    <col min="16" max="16" width="14.625" customWidth="1"/>
    <col min="17" max="17" width="14.875" bestFit="1" customWidth="1"/>
    <col min="18" max="18" width="14.75" customWidth="1"/>
    <col min="19" max="19" width="19" customWidth="1"/>
    <col min="20" max="20" width="4.625" customWidth="1"/>
    <col min="21" max="21" width="31.75" customWidth="1"/>
    <col min="22" max="22" width="34" customWidth="1"/>
    <col min="23" max="23" width="12.25" customWidth="1"/>
    <col min="24" max="24" width="13.75" customWidth="1"/>
    <col min="25" max="25" width="15.125" customWidth="1"/>
    <col min="26" max="26" width="15" customWidth="1"/>
    <col min="27" max="27" width="11.125" hidden="1" customWidth="1"/>
    <col min="28" max="28" width="9.375" hidden="1" customWidth="1"/>
    <col min="29" max="29" width="14.5" hidden="1" customWidth="1"/>
    <col min="30" max="30" width="13.5" customWidth="1"/>
    <col min="31" max="31" width="14.25" customWidth="1"/>
    <col min="32" max="32" width="14.125" customWidth="1"/>
    <col min="33" max="33" width="9" customWidth="1"/>
    <col min="34" max="34" width="13.5" customWidth="1"/>
    <col min="35" max="35" width="11.5" bestFit="1" customWidth="1"/>
    <col min="36" max="36" width="10.875" customWidth="1"/>
    <col min="37" max="37" width="11.375" customWidth="1"/>
    <col min="38" max="38" width="12.75" customWidth="1"/>
    <col min="39" max="39" width="9" customWidth="1"/>
    <col min="40" max="40" width="11.5" bestFit="1" customWidth="1"/>
    <col min="41" max="41" width="14.75" customWidth="1"/>
    <col min="42" max="42" width="11" customWidth="1"/>
    <col min="43" max="43" width="48.375" customWidth="1"/>
    <col min="44" max="62" width="11" customWidth="1"/>
  </cols>
  <sheetData>
    <row r="1" spans="1:40" ht="35.25">
      <c r="B1" s="36"/>
      <c r="C1" s="947" t="str">
        <f>Parametres!B1</f>
        <v>Volks</v>
      </c>
      <c r="D1" s="232"/>
      <c r="E1" s="233"/>
      <c r="F1" s="232"/>
      <c r="G1" s="232"/>
      <c r="H1" s="36"/>
      <c r="I1" s="232"/>
      <c r="J1" s="36"/>
      <c r="K1" s="9" t="s">
        <v>92</v>
      </c>
      <c r="L1" s="232"/>
      <c r="M1" s="232"/>
      <c r="N1" s="234"/>
      <c r="O1" s="947"/>
      <c r="P1" s="948"/>
      <c r="Q1" s="947"/>
      <c r="R1" s="948"/>
      <c r="S1" s="949" t="str">
        <f>CONCATENATE("Réalisé,"," ",Parametres!B3," ",Parametres!B4)</f>
        <v>Réalisé, Mai 2025</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V2" s="236" t="s">
        <v>342</v>
      </c>
      <c r="W2" s="237"/>
    </row>
    <row r="3" spans="1:40" ht="20.25">
      <c r="B3" s="41"/>
      <c r="C3" s="238"/>
      <c r="D3" s="1218" t="s">
        <v>343</v>
      </c>
      <c r="E3" s="1219"/>
      <c r="F3" s="1220"/>
      <c r="G3" s="1223"/>
      <c r="H3" s="1219"/>
      <c r="I3" s="1220"/>
      <c r="J3" s="1223" t="s">
        <v>344</v>
      </c>
      <c r="K3" s="1219"/>
      <c r="L3" s="1220"/>
      <c r="M3" s="1223" t="s">
        <v>3310</v>
      </c>
      <c r="N3" s="1220"/>
      <c r="O3" s="1218" t="s">
        <v>345</v>
      </c>
      <c r="P3" s="1219"/>
      <c r="Q3" s="1220"/>
      <c r="R3" s="1221" t="s">
        <v>3312</v>
      </c>
      <c r="S3" s="1222"/>
      <c r="T3" s="41"/>
      <c r="U3" s="41"/>
      <c r="V3" s="239" t="s">
        <v>347</v>
      </c>
      <c r="W3" s="240">
        <v>0.45</v>
      </c>
      <c r="X3" s="41"/>
      <c r="Y3" s="41"/>
      <c r="Z3" s="41"/>
      <c r="AA3" s="41"/>
      <c r="AB3" s="41"/>
      <c r="AC3" s="41"/>
      <c r="AD3" s="41"/>
      <c r="AE3" s="41"/>
      <c r="AF3" s="41"/>
      <c r="AG3" s="41"/>
      <c r="AH3" s="41"/>
      <c r="AI3" s="41"/>
      <c r="AJ3" s="41"/>
      <c r="AK3" s="41"/>
      <c r="AL3" s="41"/>
      <c r="AM3" s="41"/>
      <c r="AN3" s="41"/>
    </row>
    <row r="4" spans="1:40" ht="20.25">
      <c r="B4" s="41"/>
      <c r="C4" s="241"/>
      <c r="D4" s="242" t="s">
        <v>93</v>
      </c>
      <c r="E4" s="243" t="s">
        <v>348</v>
      </c>
      <c r="F4" s="244" t="s">
        <v>95</v>
      </c>
      <c r="G4" s="245"/>
      <c r="H4" s="243"/>
      <c r="I4" s="244"/>
      <c r="J4" s="245" t="s">
        <v>3318</v>
      </c>
      <c r="K4" s="243" t="s">
        <v>94</v>
      </c>
      <c r="L4" s="244" t="s">
        <v>95</v>
      </c>
      <c r="M4" s="245" t="s">
        <v>3318</v>
      </c>
      <c r="N4" s="244" t="s">
        <v>95</v>
      </c>
      <c r="O4" s="243" t="s">
        <v>93</v>
      </c>
      <c r="P4" s="243" t="s">
        <v>348</v>
      </c>
      <c r="Q4" s="244" t="s">
        <v>95</v>
      </c>
      <c r="R4" s="245" t="s">
        <v>3318</v>
      </c>
      <c r="S4" s="244" t="s">
        <v>95</v>
      </c>
      <c r="T4" s="41"/>
      <c r="U4" s="41"/>
      <c r="V4" s="239" t="s">
        <v>349</v>
      </c>
      <c r="W4" s="240">
        <v>0.1</v>
      </c>
      <c r="X4" s="41"/>
      <c r="Y4" s="41"/>
      <c r="Z4" s="41"/>
      <c r="AA4" s="41"/>
      <c r="AB4" s="41"/>
      <c r="AC4" s="41"/>
      <c r="AD4" s="41"/>
      <c r="AE4" s="41"/>
      <c r="AF4" s="41"/>
      <c r="AG4" s="41"/>
      <c r="AH4" s="41"/>
      <c r="AI4" s="41"/>
      <c r="AJ4" s="41"/>
      <c r="AK4" s="41"/>
      <c r="AL4" s="41"/>
      <c r="AM4" s="41"/>
      <c r="AN4" s="41"/>
    </row>
    <row r="5" spans="1:40" ht="20.25">
      <c r="A5" s="5" t="s">
        <v>350</v>
      </c>
      <c r="B5" s="41" t="s">
        <v>92</v>
      </c>
      <c r="C5" s="246" t="s">
        <v>96</v>
      </c>
      <c r="D5" s="247"/>
      <c r="E5" s="247"/>
      <c r="F5" s="248">
        <f>+INDEX('Budget original'!$A$2:$AO$501,MATCH($A5,'Budget original'!$A$2:$A$501,0),MATCH(F$2,'Budget original'!$A$2:$AO$2,0))</f>
        <v>3234339.5387282078</v>
      </c>
      <c r="G5" s="247"/>
      <c r="H5" s="247"/>
      <c r="I5" s="249"/>
      <c r="J5" s="246"/>
      <c r="K5" s="250"/>
      <c r="L5" s="248">
        <f>-SUMIFS(BV_Data_An_Cour!$O:$O,BV_Data_An_Cour!$X:$X,"Oui",BV_Data_An_Cour!$U:$U,$B5)</f>
        <v>3181778.7700000005</v>
      </c>
      <c r="M5" s="251"/>
      <c r="N5" s="252"/>
      <c r="O5" s="246"/>
      <c r="P5" s="250"/>
      <c r="Q5" s="248">
        <f t="array" ref="Q5">+INDEX('Réel 2024'!$A$2:$AO$501,MATCH($A5,'Réel 2024'!$A$2:$A$501,0),MATCH(Q$2,'Réel 2024'!$A$2:$AO$2,0))</f>
        <v>3906259.79</v>
      </c>
      <c r="R5" s="251"/>
      <c r="S5" s="252"/>
      <c r="T5" s="41"/>
      <c r="U5" s="41"/>
      <c r="V5" s="239" t="s">
        <v>351</v>
      </c>
      <c r="W5" s="240">
        <v>0.22500000000000001</v>
      </c>
      <c r="X5" s="41"/>
      <c r="Y5" s="41"/>
      <c r="Z5" s="41"/>
      <c r="AA5" s="41"/>
      <c r="AB5" s="41"/>
      <c r="AC5" s="41"/>
      <c r="AD5" s="41"/>
      <c r="AE5" s="41"/>
      <c r="AF5" s="41"/>
      <c r="AG5" s="41"/>
      <c r="AH5" s="41"/>
      <c r="AI5" s="41"/>
      <c r="AJ5" s="41"/>
      <c r="AK5" s="41"/>
      <c r="AL5" s="41"/>
      <c r="AM5" s="41"/>
      <c r="AN5" s="41"/>
    </row>
    <row r="6" spans="1:40" ht="20.25">
      <c r="A6" s="5" t="s">
        <v>352</v>
      </c>
      <c r="B6" s="41" t="s">
        <v>92</v>
      </c>
      <c r="C6" s="253" t="s">
        <v>97</v>
      </c>
      <c r="D6" s="254">
        <f>+INDEX('Budget original'!$A$2:$AO$501,MATCH($A6,'Budget original'!$A$2:$A$501,0),MATCH(D$2,'Budget original'!$A$2:$AO$2,0))</f>
        <v>16</v>
      </c>
      <c r="E6" s="254">
        <f>IF(D6=0,0,F6/D6)</f>
        <v>1953.6491683802797</v>
      </c>
      <c r="F6" s="254">
        <f>+INDEX('Budget original'!$A$2:$AO$501,MATCH($A6,'Budget original'!$A$2:$A$501,0),MATCH(F$2,'Budget original'!$A$2:$AO$2,0))</f>
        <v>31258.386694084475</v>
      </c>
      <c r="G6" s="255"/>
      <c r="H6" s="254"/>
      <c r="I6" s="254"/>
      <c r="J6" s="255">
        <f>-SUMIFS(BV_Data_An_Cour!$O:$O,BV_Data_An_Cour!$U:$U,$B6,BV_Data_An_Cour!$V:$V,$C6,BV_Data_An_Cour!$W:$W,J$2)</f>
        <v>10</v>
      </c>
      <c r="K6" s="254">
        <f t="shared" ref="K6:K12" si="0">IF(J6=0,0,L6/J6)</f>
        <v>2530.1250000000045</v>
      </c>
      <c r="L6" s="256">
        <f>-SUMIFS(BV_Data_An_Cour!$O:$O,BV_Data_An_Cour!$U:$U,$B6,BV_Data_An_Cour!$V:$V,$C6,BV_Data_An_Cour!$W:$W,L$2)</f>
        <v>25301.250000000044</v>
      </c>
      <c r="M6" s="255">
        <f t="shared" ref="M6:M12" si="1">J6-D6</f>
        <v>-6</v>
      </c>
      <c r="N6" s="256">
        <f t="shared" ref="N6:N12" si="2">L6-F6</f>
        <v>-5957.1366940844309</v>
      </c>
      <c r="O6" s="255">
        <f>+INDEX('Réel 2024'!$A$2:$AO$501,MATCH($A6,'Réel 2024'!$A$2:$A$501,0),MATCH(O$2,'Réel 2024'!$A$2:$AO$2,0))</f>
        <v>18</v>
      </c>
      <c r="P6" s="254">
        <f t="shared" ref="P6:P12" si="3">IF(O6=0,0,Q6/O6)</f>
        <v>1997.7755555555498</v>
      </c>
      <c r="Q6" s="256">
        <f t="array" ref="Q6">+INDEX('Réel 2024'!$A$2:$AO$501,MATCH($A6,'Réel 2024'!$A$2:$A$501,0),MATCH(Q$2,'Réel 2024'!$A$2:$AO$2,0))</f>
        <v>35959.959999999897</v>
      </c>
      <c r="R6" s="255">
        <f t="shared" ref="R6:R12" si="4">J6-O6</f>
        <v>-8</v>
      </c>
      <c r="S6" s="256">
        <f t="shared" ref="S6:S12" si="5">L6-Q6</f>
        <v>-10658.709999999854</v>
      </c>
      <c r="T6" s="41"/>
      <c r="U6" s="41"/>
      <c r="V6" s="239" t="s">
        <v>353</v>
      </c>
      <c r="W6" s="240">
        <v>2.5000000000000001E-2</v>
      </c>
      <c r="X6" s="41"/>
      <c r="Y6" s="41"/>
      <c r="Z6" s="41"/>
      <c r="AA6" s="41"/>
      <c r="AB6" s="41"/>
      <c r="AC6" s="41"/>
      <c r="AD6" s="41"/>
      <c r="AE6" s="41"/>
      <c r="AF6" s="41"/>
      <c r="AG6" s="41"/>
      <c r="AH6" s="41"/>
      <c r="AI6" s="41"/>
      <c r="AJ6" s="41"/>
      <c r="AK6" s="41"/>
      <c r="AL6" s="41"/>
      <c r="AM6" s="41"/>
      <c r="AN6" s="41"/>
    </row>
    <row r="7" spans="1:40" ht="20.25">
      <c r="A7" s="5" t="s">
        <v>354</v>
      </c>
      <c r="B7" s="41" t="s">
        <v>92</v>
      </c>
      <c r="C7" s="253" t="s">
        <v>98</v>
      </c>
      <c r="D7" s="254">
        <f>+INDEX('Budget original'!$A$2:$AO$501,MATCH($A7,'Budget original'!$A$2:$A$501,0),MATCH(D$2,'Budget original'!$A$2:$AO$2,0))</f>
        <v>43</v>
      </c>
      <c r="E7" s="254">
        <f t="shared" ref="E7:E12" si="6">IF(D7=0,0,F7/D7)</f>
        <v>2435.9046775963693</v>
      </c>
      <c r="F7" s="254">
        <f>+INDEX('Budget original'!$A$2:$AO$501,MATCH($A7,'Budget original'!$A$2:$A$501,0),MATCH(F$2,'Budget original'!$A$2:$AO$2,0))</f>
        <v>104743.90113664388</v>
      </c>
      <c r="G7" s="255"/>
      <c r="H7" s="254"/>
      <c r="I7" s="254"/>
      <c r="J7" s="255">
        <f>-SUMIFS(BV_Data_An_Cour!$O:$O,BV_Data_An_Cour!$U:$U,$B7,BV_Data_An_Cour!$V:$V,$C7,BV_Data_An_Cour!$W:$W,J$2)</f>
        <v>42</v>
      </c>
      <c r="K7" s="254">
        <f t="shared" si="0"/>
        <v>2234.1590476190518</v>
      </c>
      <c r="L7" s="256">
        <f>-SUMIFS(BV_Data_An_Cour!$O:$O,BV_Data_An_Cour!$U:$U,$B7,BV_Data_An_Cour!$V:$V,$C7,BV_Data_An_Cour!$W:$W,L$2)</f>
        <v>93834.680000000168</v>
      </c>
      <c r="M7" s="255">
        <f t="shared" si="1"/>
        <v>-1</v>
      </c>
      <c r="N7" s="256">
        <f t="shared" si="2"/>
        <v>-10909.221136643711</v>
      </c>
      <c r="O7" s="255">
        <f t="array" ref="O7">+INDEX('Réel 2024'!$A$2:$AO$501,MATCH($A7,'Réel 2024'!$A$2:$A$501,0),MATCH(O$2,'Réel 2024'!$A$2:$AO$2,0))</f>
        <v>51</v>
      </c>
      <c r="P7" s="254">
        <f t="shared" si="3"/>
        <v>2441.8603921568629</v>
      </c>
      <c r="Q7" s="256">
        <f t="array" ref="Q7">+INDEX('Réel 2024'!$A$2:$AO$501,MATCH($A7,'Réel 2024'!$A$2:$A$501,0),MATCH(Q$2,'Réel 2024'!$A$2:$AO$2,0))</f>
        <v>124534.88</v>
      </c>
      <c r="R7" s="255">
        <f t="shared" si="4"/>
        <v>-9</v>
      </c>
      <c r="S7" s="256">
        <f t="shared" si="5"/>
        <v>-30700.199999999837</v>
      </c>
      <c r="T7" s="41"/>
      <c r="U7" s="41"/>
      <c r="V7" s="239" t="s">
        <v>355</v>
      </c>
      <c r="W7" s="240">
        <v>0.2</v>
      </c>
      <c r="X7" s="41"/>
      <c r="Y7" s="41"/>
      <c r="Z7" s="41"/>
      <c r="AA7" s="41"/>
      <c r="AB7" s="41"/>
      <c r="AC7" s="41"/>
      <c r="AD7" s="41"/>
      <c r="AE7" s="41"/>
      <c r="AF7" s="41"/>
      <c r="AG7" s="41"/>
      <c r="AH7" s="41"/>
      <c r="AI7" s="41"/>
      <c r="AJ7" s="41"/>
      <c r="AK7" s="41"/>
      <c r="AL7" s="41"/>
      <c r="AM7" s="41"/>
      <c r="AN7" s="41"/>
    </row>
    <row r="8" spans="1:40" ht="20.25">
      <c r="A8" s="5" t="s">
        <v>356</v>
      </c>
      <c r="B8" s="41" t="s">
        <v>92</v>
      </c>
      <c r="C8" s="253" t="s">
        <v>99</v>
      </c>
      <c r="D8" s="254">
        <f>+INDEX('Budget original'!$A$2:$AO$501,MATCH($A8,'Budget original'!$A$2:$A$501,0),MATCH(D$2,'Budget original'!$A$2:$AO$2,0))</f>
        <v>0</v>
      </c>
      <c r="E8" s="254">
        <f t="shared" si="6"/>
        <v>0</v>
      </c>
      <c r="F8" s="254">
        <f>+INDEX('Budget original'!$A$2:$AO$501,MATCH($A8,'Budget original'!$A$2:$A$501,0),MATCH(F$2,'Budget original'!$A$2:$AO$2,0))</f>
        <v>0</v>
      </c>
      <c r="G8" s="255"/>
      <c r="H8" s="254"/>
      <c r="I8" s="254"/>
      <c r="J8" s="255">
        <f>-SUMIFS(BV_Data_An_Cour!$O:$O,BV_Data_An_Cour!$U:$U,$B8,BV_Data_An_Cour!$V:$V,$C8,BV_Data_An_Cour!$W:$W,J$2)</f>
        <v>0</v>
      </c>
      <c r="K8" s="254">
        <f t="shared" si="0"/>
        <v>0</v>
      </c>
      <c r="L8" s="256">
        <f>-SUMIFS(BV_Data_An_Cour!$O:$O,BV_Data_An_Cour!$U:$U,$B8,BV_Data_An_Cour!$V:$V,$C8,BV_Data_An_Cour!$W:$W,L$2)</f>
        <v>0</v>
      </c>
      <c r="M8" s="255">
        <f t="shared" si="1"/>
        <v>0</v>
      </c>
      <c r="N8" s="256">
        <f t="shared" si="2"/>
        <v>0</v>
      </c>
      <c r="O8" s="255">
        <f t="array" ref="O8">+INDEX('Réel 2024'!$A$2:$AO$501,MATCH($A8,'Réel 2024'!$A$2:$A$501,0),MATCH(O$2,'Réel 2024'!$A$2:$AO$2,0))</f>
        <v>0</v>
      </c>
      <c r="P8" s="254">
        <f t="shared" si="3"/>
        <v>0</v>
      </c>
      <c r="Q8" s="256">
        <f t="array" ref="Q8">+INDEX('Réel 2024'!$A$2:$AO$501,MATCH($A8,'Réel 2024'!$A$2:$A$501,0),MATCH(Q$2,'Réel 2024'!$A$2:$AO$2,0))</f>
        <v>0</v>
      </c>
      <c r="R8" s="255">
        <f t="shared" si="4"/>
        <v>0</v>
      </c>
      <c r="S8" s="256">
        <f t="shared" si="5"/>
        <v>0</v>
      </c>
      <c r="T8" s="41"/>
      <c r="U8" s="41"/>
      <c r="V8" s="257"/>
      <c r="W8" s="258">
        <f>SUM(W3:W7)</f>
        <v>1</v>
      </c>
      <c r="X8" s="41"/>
      <c r="Y8" s="41"/>
      <c r="Z8" s="41"/>
      <c r="AA8" s="41"/>
      <c r="AB8" s="41"/>
      <c r="AC8" s="41"/>
      <c r="AD8" s="41"/>
      <c r="AE8" s="41"/>
      <c r="AF8" s="41"/>
      <c r="AG8" s="41"/>
      <c r="AH8" s="41"/>
      <c r="AI8" s="41"/>
      <c r="AJ8" s="41"/>
      <c r="AK8" s="41"/>
      <c r="AL8" s="41"/>
      <c r="AM8" s="41"/>
      <c r="AN8" s="41"/>
    </row>
    <row r="9" spans="1:40" ht="21" thickTop="1">
      <c r="A9" s="5" t="s">
        <v>357</v>
      </c>
      <c r="B9" s="41" t="s">
        <v>92</v>
      </c>
      <c r="C9" s="253" t="s">
        <v>100</v>
      </c>
      <c r="D9" s="254">
        <f>+INDEX('Budget original'!$A$2:$AO$501,MATCH($A9,'Budget original'!$A$2:$A$501,0),MATCH(D$2,'Budget original'!$A$2:$AO$2,0))</f>
        <v>0</v>
      </c>
      <c r="E9" s="254">
        <f t="shared" si="6"/>
        <v>0</v>
      </c>
      <c r="F9" s="254">
        <f>+INDEX('Budget original'!$A$2:$AO$501,MATCH($A9,'Budget original'!$A$2:$A$501,0),MATCH(F$2,'Budget original'!$A$2:$AO$2,0))</f>
        <v>0</v>
      </c>
      <c r="G9" s="255"/>
      <c r="H9" s="254"/>
      <c r="I9" s="254"/>
      <c r="J9" s="255">
        <f>-SUMIFS(BV_Data_An_Cour!$O:$O,BV_Data_An_Cour!$U:$U,$B9,BV_Data_An_Cour!$V:$V,$C9,BV_Data_An_Cour!$W:$W,J$2)</f>
        <v>0</v>
      </c>
      <c r="K9" s="254">
        <f t="shared" si="0"/>
        <v>0</v>
      </c>
      <c r="L9" s="256">
        <f>-SUMIFS(BV_Data_An_Cour!$O:$O,BV_Data_An_Cour!$U:$U,$B9,BV_Data_An_Cour!$V:$V,$C9,BV_Data_An_Cour!$W:$W,L$2)</f>
        <v>0</v>
      </c>
      <c r="M9" s="255">
        <f t="shared" si="1"/>
        <v>0</v>
      </c>
      <c r="N9" s="256">
        <f t="shared" si="2"/>
        <v>0</v>
      </c>
      <c r="O9" s="255">
        <f t="array" ref="O9">+INDEX('Réel 2024'!$A$2:$AO$501,MATCH($A9,'Réel 2024'!$A$2:$A$501,0),MATCH(O$2,'Réel 2024'!$A$2:$AO$2,0))</f>
        <v>0</v>
      </c>
      <c r="P9" s="254">
        <f t="shared" si="3"/>
        <v>0</v>
      </c>
      <c r="Q9" s="256">
        <f t="array" ref="Q9">+INDEX('Réel 2024'!$A$2:$AO$501,MATCH($A9,'Réel 2024'!$A$2:$A$501,0),MATCH(Q$2,'Réel 2024'!$A$2:$AO$2,0))</f>
        <v>0</v>
      </c>
      <c r="R9" s="255">
        <f t="shared" si="4"/>
        <v>0</v>
      </c>
      <c r="S9" s="256">
        <f t="shared" si="5"/>
        <v>0</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358</v>
      </c>
      <c r="B10" s="41" t="s">
        <v>92</v>
      </c>
      <c r="C10" s="253" t="s">
        <v>59</v>
      </c>
      <c r="D10" s="254">
        <f>+INDEX('Budget original'!$A$2:$AO$501,MATCH($A10,'Budget original'!$A$2:$A$501,0),MATCH(D$2,'Budget original'!$A$2:$AO$2,0))</f>
        <v>0</v>
      </c>
      <c r="E10" s="254">
        <f t="shared" si="6"/>
        <v>0</v>
      </c>
      <c r="F10" s="254">
        <f>+INDEX('Budget original'!$A$2:$AO$501,MATCH($A10,'Budget original'!$A$2:$A$501,0),MATCH(F$2,'Budget original'!$A$2:$AO$2,0))</f>
        <v>0</v>
      </c>
      <c r="G10" s="255"/>
      <c r="H10" s="254"/>
      <c r="I10" s="254"/>
      <c r="J10" s="255">
        <f>-SUMIFS(BV_Data_An_Cour!$O:$O,BV_Data_An_Cour!$U:$U,$B10,BV_Data_An_Cour!$V:$V,$C10,BV_Data_An_Cour!$W:$W,J$2)</f>
        <v>0</v>
      </c>
      <c r="K10" s="254">
        <f t="shared" si="0"/>
        <v>0</v>
      </c>
      <c r="L10" s="256">
        <f>-SUMIFS(BV_Data_An_Cour!$O:$O,BV_Data_An_Cour!$U:$U,$B10,BV_Data_An_Cour!$V:$V,$C10,BV_Data_An_Cour!$W:$W,L$2)</f>
        <v>0</v>
      </c>
      <c r="M10" s="255">
        <f t="shared" si="1"/>
        <v>0</v>
      </c>
      <c r="N10" s="256">
        <f t="shared" si="2"/>
        <v>0</v>
      </c>
      <c r="O10" s="255">
        <f t="array" ref="O10">+INDEX('Réel 2024'!$A$2:$AO$501,MATCH($A10,'Réel 2024'!$A$2:$A$501,0),MATCH(O$2,'Réel 2024'!$A$2:$AO$2,0))</f>
        <v>0</v>
      </c>
      <c r="P10" s="254">
        <f t="shared" si="3"/>
        <v>0</v>
      </c>
      <c r="Q10" s="256">
        <f t="array" ref="Q10">+INDEX('Réel 2024'!$A$2:$AO$501,MATCH($A10,'Réel 2024'!$A$2:$A$501,0),MATCH(Q$2,'Réel 2024'!$A$2:$AO$2,0))</f>
        <v>0</v>
      </c>
      <c r="R10" s="255">
        <f t="shared" si="4"/>
        <v>0</v>
      </c>
      <c r="S10" s="256">
        <f t="shared" si="5"/>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358</v>
      </c>
      <c r="B11" s="41" t="s">
        <v>92</v>
      </c>
      <c r="C11" s="253" t="s">
        <v>59</v>
      </c>
      <c r="D11" s="254">
        <f>+INDEX('Budget original'!$A$2:$AO$501,MATCH($A11,'Budget original'!$A$2:$A$501,0),MATCH(D$2,'Budget original'!$A$2:$AO$2,0))</f>
        <v>0</v>
      </c>
      <c r="E11" s="254">
        <f t="shared" si="6"/>
        <v>0</v>
      </c>
      <c r="F11" s="254">
        <f>+INDEX('Budget original'!$A$2:$AO$501,MATCH($A11,'Budget original'!$A$2:$A$501,0),MATCH(F$2,'Budget original'!$A$2:$AO$2,0))</f>
        <v>0</v>
      </c>
      <c r="G11" s="255"/>
      <c r="H11" s="254"/>
      <c r="I11" s="254"/>
      <c r="J11" s="255">
        <f>-SUMIFS(BV_Data_An_Cour!$O:$O,BV_Data_An_Cour!$U:$U,$B11,BV_Data_An_Cour!$V:$V,$C11,BV_Data_An_Cour!$W:$W,J$2)</f>
        <v>0</v>
      </c>
      <c r="K11" s="254">
        <f t="shared" si="0"/>
        <v>0</v>
      </c>
      <c r="L11" s="256">
        <f>-SUMIFS(BV_Data_An_Cour!$O:$O,BV_Data_An_Cour!$U:$U,$B11,BV_Data_An_Cour!$V:$V,$C11,BV_Data_An_Cour!$W:$W,L$2)</f>
        <v>0</v>
      </c>
      <c r="M11" s="255">
        <f t="shared" si="1"/>
        <v>0</v>
      </c>
      <c r="N11" s="256">
        <f t="shared" si="2"/>
        <v>0</v>
      </c>
      <c r="O11" s="255">
        <f t="array" ref="O11">+INDEX('Réel 2024'!$A$2:$AO$501,MATCH($A11,'Réel 2024'!$A$2:$A$501,0),MATCH(O$2,'Réel 2024'!$A$2:$AO$2,0))</f>
        <v>0</v>
      </c>
      <c r="P11" s="254">
        <f t="shared" si="3"/>
        <v>0</v>
      </c>
      <c r="Q11" s="256">
        <f t="array" ref="Q11">+INDEX('Réel 2024'!$A$2:$AO$501,MATCH($A11,'Réel 2024'!$A$2:$A$501,0),MATCH(Q$2,'Réel 2024'!$A$2:$AO$2,0))</f>
        <v>0</v>
      </c>
      <c r="R11" s="255">
        <f t="shared" si="4"/>
        <v>0</v>
      </c>
      <c r="S11" s="256">
        <f t="shared" si="5"/>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358</v>
      </c>
      <c r="B12" s="41" t="s">
        <v>92</v>
      </c>
      <c r="C12" s="253" t="s">
        <v>59</v>
      </c>
      <c r="D12" s="254">
        <f>+INDEX('Budget original'!$A$2:$AO$501,MATCH($A12,'Budget original'!$A$2:$A$501,0),MATCH(D$2,'Budget original'!$A$2:$AO$2,0))</f>
        <v>0</v>
      </c>
      <c r="E12" s="254">
        <f t="shared" si="6"/>
        <v>0</v>
      </c>
      <c r="F12" s="254">
        <f>+INDEX('Budget original'!$A$2:$AO$501,MATCH($A12,'Budget original'!$A$2:$A$501,0),MATCH(F$2,'Budget original'!$A$2:$AO$2,0))</f>
        <v>0</v>
      </c>
      <c r="G12" s="255"/>
      <c r="H12" s="254"/>
      <c r="I12" s="254"/>
      <c r="J12" s="255">
        <f>-SUMIFS(BV_Data_An_Cour!$O:$O,BV_Data_An_Cour!$U:$U,$B12,BV_Data_An_Cour!$V:$V,$C12,BV_Data_An_Cour!$W:$W,J$2)</f>
        <v>0</v>
      </c>
      <c r="K12" s="254">
        <f t="shared" si="0"/>
        <v>0</v>
      </c>
      <c r="L12" s="256">
        <f>-SUMIFS(BV_Data_An_Cour!$O:$O,BV_Data_An_Cour!$U:$U,$B12,BV_Data_An_Cour!$V:$V,$C12,BV_Data_An_Cour!$W:$W,L$2)</f>
        <v>0</v>
      </c>
      <c r="M12" s="255">
        <f t="shared" si="1"/>
        <v>0</v>
      </c>
      <c r="N12" s="256">
        <f t="shared" si="2"/>
        <v>0</v>
      </c>
      <c r="O12" s="255">
        <f t="array" ref="O12">+INDEX('Réel 2024'!$A$2:$AO$501,MATCH($A12,'Réel 2024'!$A$2:$A$501,0),MATCH(O$2,'Réel 2024'!$A$2:$AO$2,0))</f>
        <v>0</v>
      </c>
      <c r="P12" s="254">
        <f t="shared" si="3"/>
        <v>0</v>
      </c>
      <c r="Q12" s="256">
        <f t="array" ref="Q12">+INDEX('Réel 2024'!$A$2:$AO$501,MATCH($A12,'Réel 2024'!$A$2:$A$501,0),MATCH(Q$2,'Réel 2024'!$A$2:$AO$2,0))</f>
        <v>0</v>
      </c>
      <c r="R12" s="255">
        <f t="shared" si="4"/>
        <v>0</v>
      </c>
      <c r="S12" s="256">
        <f t="shared" si="5"/>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
        <v>359</v>
      </c>
      <c r="B13" s="41" t="s">
        <v>92</v>
      </c>
      <c r="C13" s="259" t="s">
        <v>101</v>
      </c>
      <c r="D13" s="260">
        <f>+SUM(D6:D12)</f>
        <v>59</v>
      </c>
      <c r="E13" s="260">
        <f>IF(D13&lt;=0,0,F13/D13)</f>
        <v>2305.1235225547175</v>
      </c>
      <c r="F13" s="261">
        <f>+SUM(F6:F12)</f>
        <v>136002.28783072834</v>
      </c>
      <c r="G13" s="262"/>
      <c r="H13" s="260"/>
      <c r="I13" s="261"/>
      <c r="J13" s="262">
        <f t="shared" ref="J13" si="7">+SUM(J6:J12)</f>
        <v>52</v>
      </c>
      <c r="K13" s="260">
        <f>IF(J13&lt;=0,0,L13/J13)</f>
        <v>2291.0755769230809</v>
      </c>
      <c r="L13" s="261">
        <f t="shared" ref="L13" si="8">+SUM(L6:L12)</f>
        <v>119135.93000000021</v>
      </c>
      <c r="M13" s="262">
        <f>+SUM(M6:M12)</f>
        <v>-7</v>
      </c>
      <c r="N13" s="261">
        <f t="shared" ref="N13" si="9">+SUM(N6:N12)</f>
        <v>-16866.357830728142</v>
      </c>
      <c r="O13" s="262">
        <f>+SUM(O6:O12)</f>
        <v>69</v>
      </c>
      <c r="P13" s="260">
        <f>IF(O13&lt;=0,0,Q13/O13)</f>
        <v>2326.0121739130423</v>
      </c>
      <c r="Q13" s="261">
        <f t="shared" ref="Q13" si="10">+SUM(Q6:Q12)</f>
        <v>160494.83999999991</v>
      </c>
      <c r="R13" s="262">
        <f t="shared" ref="R13:S13" si="11">+SUM(R6:R12)</f>
        <v>-17</v>
      </c>
      <c r="S13" s="261">
        <f t="shared" si="11"/>
        <v>-41358.909999999691</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
        <v>92</v>
      </c>
      <c r="B14" s="41" t="s">
        <v>92</v>
      </c>
      <c r="C14" s="253"/>
      <c r="D14" s="41"/>
      <c r="E14" s="254"/>
      <c r="F14" s="263"/>
      <c r="G14" s="253"/>
      <c r="H14" s="254"/>
      <c r="I14" s="263"/>
      <c r="J14" s="253"/>
      <c r="K14" s="254"/>
      <c r="L14" s="263"/>
      <c r="M14" s="979">
        <f>IF(D13=0,0,M13/D13)</f>
        <v>-0.11864406779661017</v>
      </c>
      <c r="N14" s="980">
        <f>IF(F13=0,0,N13/F13)</f>
        <v>-0.12401525077078417</v>
      </c>
      <c r="O14" s="253"/>
      <c r="P14" s="254"/>
      <c r="Q14" s="263"/>
      <c r="R14" s="979">
        <f>R13/O13</f>
        <v>-0.24637681159420291</v>
      </c>
      <c r="S14" s="980">
        <f>IF(Q13=0,0,(S13/Q13))</f>
        <v>-0.25769619758491746</v>
      </c>
      <c r="T14" s="41"/>
      <c r="U14" s="41"/>
      <c r="V14" s="41"/>
      <c r="W14" s="254"/>
      <c r="X14" s="254"/>
      <c r="Y14" s="41"/>
      <c r="Z14" s="41"/>
      <c r="AA14" s="41"/>
      <c r="AB14" s="41"/>
      <c r="AC14" s="41"/>
      <c r="AD14" s="41">
        <v>20</v>
      </c>
      <c r="AE14" s="41">
        <v>1000</v>
      </c>
      <c r="AF14" s="41">
        <f>AD14*AE14</f>
        <v>20000</v>
      </c>
      <c r="AG14" s="41"/>
      <c r="AH14" s="41"/>
      <c r="AI14" s="41"/>
      <c r="AJ14" s="41"/>
      <c r="AK14" s="41"/>
      <c r="AL14" s="41"/>
      <c r="AM14" s="41"/>
      <c r="AN14" s="41"/>
    </row>
    <row r="15" spans="1:40" ht="20.25">
      <c r="A15" s="5" t="s">
        <v>360</v>
      </c>
      <c r="B15" s="41" t="s">
        <v>92</v>
      </c>
      <c r="C15" s="266" t="s">
        <v>102</v>
      </c>
      <c r="D15" s="250">
        <f>+INDEX('Budget original'!$A$2:$AO$501,MATCH($A15,'Budget original'!$A$2:$A$501,0),MATCH(D$2,'Budget original'!$A$2:$AO$2,0))</f>
        <v>2</v>
      </c>
      <c r="E15" s="250">
        <f>IF(D15=0,0,F15/D15)</f>
        <v>1534.7521433415677</v>
      </c>
      <c r="F15" s="248">
        <f>+INDEX('Budget original'!$A$2:$AO$501,MATCH($A15,'Budget original'!$A$2:$A$501,0),MATCH(F$2,'Budget original'!$A$2:$AO$2,0))</f>
        <v>3069.5042866831354</v>
      </c>
      <c r="G15" s="267"/>
      <c r="H15" s="250"/>
      <c r="I15" s="248"/>
      <c r="J15" s="268">
        <f>-SUMIFS(BV_Data_An_Cour!$O:$O,BV_Data_An_Cour!$U:$U,$B15,BV_Data_An_Cour!$V:$V,$C15,BV_Data_An_Cour!$W:$W,J$2)</f>
        <v>5</v>
      </c>
      <c r="K15" s="269">
        <f>IF(J15=0,0,L15/J15)</f>
        <v>1715.8520000000019</v>
      </c>
      <c r="L15" s="269">
        <f>-SUMIFS(BV_Data_An_Cour!$O:$O,BV_Data_An_Cour!$U:$U,$B15,BV_Data_An_Cour!$V:$V,$C15,BV_Data_An_Cour!$W:$W,L$2)</f>
        <v>8579.2600000000093</v>
      </c>
      <c r="M15" s="267">
        <f>J15-D15</f>
        <v>3</v>
      </c>
      <c r="N15" s="248">
        <f>L15-F15</f>
        <v>5509.7557133168739</v>
      </c>
      <c r="O15" s="268">
        <f t="array" ref="O15">+INDEX('Réel 2024'!$A$2:$AO$501,MATCH($A15,'Réel 2024'!$A$2:$A$501,0),MATCH(O$2,'Réel 2024'!$A$2:$AO$2,0))</f>
        <v>5</v>
      </c>
      <c r="P15" s="269">
        <f>IF(O15=0,0,Q15/O15)</f>
        <v>1165.5819999999999</v>
      </c>
      <c r="Q15" s="269">
        <f t="array" ref="Q15">+INDEX('Réel 2024'!$A$2:$AO$501,MATCH($A15,'Réel 2024'!$A$2:$A$501,0),MATCH(Q$2,'Réel 2024'!$A$2:$AO$2,0))</f>
        <v>5827.91</v>
      </c>
      <c r="R15" s="267">
        <f>J15-O15</f>
        <v>0</v>
      </c>
      <c r="S15" s="248">
        <f>L15-Q15</f>
        <v>2751.3500000000095</v>
      </c>
      <c r="T15" s="41"/>
      <c r="U15" s="1158"/>
      <c r="V15" s="254"/>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0.25">
      <c r="A16" s="5" t="s">
        <v>92</v>
      </c>
      <c r="B16" s="41" t="s">
        <v>92</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
        <v>361</v>
      </c>
      <c r="B17" s="41" t="s">
        <v>92</v>
      </c>
      <c r="C17" s="270" t="s">
        <v>103</v>
      </c>
      <c r="D17" s="254">
        <f>+INDEX('Budget original'!$A$2:$AO$501,MATCH($A17,'Budget original'!$A$2:$A$501,0),MATCH(D$2,'Budget original'!$A$2:$AO$2,0))</f>
        <v>2</v>
      </c>
      <c r="E17" s="254">
        <f>IF(D17=0,0,F17/D17)</f>
        <v>2393.8521192147828</v>
      </c>
      <c r="F17" s="254">
        <f>+INDEX('Budget original'!$A$2:$AO$501,MATCH($A17,'Budget original'!$A$2:$A$501,0),MATCH(F$2,'Budget original'!$A$2:$AO$2,0))</f>
        <v>4787.7042384295655</v>
      </c>
      <c r="G17" s="255"/>
      <c r="H17" s="254"/>
      <c r="I17" s="254"/>
      <c r="J17" s="267">
        <f>-SUMIFS(BV_Data_An_Cour!$O:$O,BV_Data_An_Cour!$U:$U,$B17,BV_Data_An_Cour!$V:$V,$C17,BV_Data_An_Cour!$W:$W,J$2)</f>
        <v>0</v>
      </c>
      <c r="K17" s="254">
        <f>IF(J17=0,0,L17/J17)</f>
        <v>0</v>
      </c>
      <c r="L17" s="256">
        <f>-SUMIFS(BV_Data_An_Cour!$O:$O,BV_Data_An_Cour!$U:$U,$B17,BV_Data_An_Cour!$V:$V,$C17,BV_Data_An_Cour!$W:$W,L$2)</f>
        <v>1500</v>
      </c>
      <c r="M17" s="267">
        <f>J17-D17</f>
        <v>-2</v>
      </c>
      <c r="N17" s="256">
        <f>L17-F17</f>
        <v>-3287.7042384295655</v>
      </c>
      <c r="O17" s="267">
        <f t="array" ref="O17">+INDEX('Réel 2024'!$A$2:$AO$501,MATCH($A17,'Réel 2024'!$A$2:$A$501,0),MATCH(O$2,'Réel 2024'!$A$2:$AO$2,0))</f>
        <v>0</v>
      </c>
      <c r="P17" s="254">
        <f>IF(O17=0,0,Q17/O17)</f>
        <v>0</v>
      </c>
      <c r="Q17" s="256">
        <f t="array" ref="Q17">+INDEX('Réel 2024'!$A$2:$AO$501,MATCH($A17,'Réel 2024'!$A$2:$A$501,0),MATCH(Q$2,'Réel 2024'!$A$2:$AO$2,0))</f>
        <v>0</v>
      </c>
      <c r="R17" s="255">
        <f>J17-O17</f>
        <v>0</v>
      </c>
      <c r="S17" s="256">
        <f>L17-Q17</f>
        <v>1500</v>
      </c>
      <c r="T17" s="41"/>
      <c r="U17" s="38"/>
      <c r="V17" s="1001"/>
      <c r="W17" s="41"/>
      <c r="X17" s="41"/>
      <c r="Y17" s="41"/>
      <c r="Z17" s="41"/>
      <c r="AA17" s="254"/>
      <c r="AB17" s="41"/>
      <c r="AC17" s="41"/>
      <c r="AD17" s="41"/>
      <c r="AE17" s="41"/>
      <c r="AF17" s="41"/>
      <c r="AG17" s="41"/>
      <c r="AH17" s="41"/>
      <c r="AI17" s="41"/>
      <c r="AJ17" s="41"/>
      <c r="AK17" s="41"/>
      <c r="AL17" s="41"/>
      <c r="AM17" s="41"/>
      <c r="AN17" s="41"/>
    </row>
    <row r="18" spans="1:40" ht="20.25">
      <c r="A18" s="5" t="s">
        <v>92</v>
      </c>
      <c r="B18" s="41" t="s">
        <v>92</v>
      </c>
      <c r="C18" s="259"/>
      <c r="D18" s="271"/>
      <c r="E18" s="271"/>
      <c r="F18" s="272"/>
      <c r="G18" s="273"/>
      <c r="H18" s="271"/>
      <c r="I18" s="272"/>
      <c r="J18" s="255"/>
      <c r="K18" s="271"/>
      <c r="L18" s="272"/>
      <c r="M18" s="255"/>
      <c r="N18" s="272"/>
      <c r="O18" s="255"/>
      <c r="P18" s="271"/>
      <c r="Q18" s="272"/>
      <c r="R18" s="273"/>
      <c r="S18" s="272"/>
      <c r="T18" s="41"/>
      <c r="U18" s="41"/>
      <c r="W18" s="41"/>
      <c r="X18" s="41"/>
      <c r="Y18" s="41"/>
      <c r="Z18" s="41"/>
      <c r="AA18" s="41"/>
      <c r="AB18" s="41"/>
      <c r="AC18" s="41"/>
      <c r="AD18" s="41"/>
      <c r="AE18" s="41"/>
      <c r="AF18" s="41"/>
      <c r="AG18" s="41"/>
      <c r="AH18" s="41"/>
      <c r="AI18" s="41"/>
      <c r="AJ18" s="41"/>
      <c r="AK18" s="41"/>
      <c r="AL18" s="41"/>
      <c r="AM18" s="41"/>
      <c r="AN18" s="41"/>
    </row>
    <row r="19" spans="1:40" ht="20.25">
      <c r="A19" s="5" t="s">
        <v>362</v>
      </c>
      <c r="B19" s="41" t="s">
        <v>92</v>
      </c>
      <c r="C19" s="266" t="s">
        <v>104</v>
      </c>
      <c r="D19" s="254">
        <f>+INDEX('Budget original'!$A$2:$AO$501,MATCH($A19,'Budget original'!$A$2:$A$501,0),MATCH(D$2,'Budget original'!$A$2:$AO$2,0))</f>
        <v>0</v>
      </c>
      <c r="E19" s="254">
        <f>IF(D19=0,0,F19/D19)</f>
        <v>0</v>
      </c>
      <c r="F19" s="254">
        <f>+INDEX('Budget original'!$A$2:$AO$501,MATCH($A19,'Budget original'!$A$2:$A$501,0),MATCH(F$2,'Budget original'!$A$2:$AO$2,0))</f>
        <v>6545</v>
      </c>
      <c r="G19" s="255"/>
      <c r="H19" s="254"/>
      <c r="I19" s="254"/>
      <c r="J19" s="267"/>
      <c r="K19" s="254"/>
      <c r="L19" s="256">
        <f>-SUMIFS(BV_Data_An_Cour!$O:$O,BV_Data_An_Cour!$U:$U,$B19,BV_Data_An_Cour!$V:$V,$C19,BV_Data_An_Cour!$W:$W,L$2)</f>
        <v>11767.320000000007</v>
      </c>
      <c r="M19" s="255"/>
      <c r="N19" s="256">
        <f>L19-F19</f>
        <v>5222.320000000007</v>
      </c>
      <c r="O19" s="267"/>
      <c r="P19" s="254"/>
      <c r="Q19" s="256">
        <f t="array" ref="Q19">+INDEX('Réel 2024'!$A$2:$AO$501,MATCH($A19,'Réel 2024'!$A$2:$A$501,0),MATCH(Q$2,'Réel 2024'!$A$2:$AO$2,0))</f>
        <v>9930</v>
      </c>
      <c r="R19" s="255">
        <f>O19-K19</f>
        <v>0</v>
      </c>
      <c r="S19" s="256">
        <f>L19-Q19</f>
        <v>1837.320000000007</v>
      </c>
      <c r="T19" s="41"/>
      <c r="W19" s="254"/>
      <c r="X19" s="274"/>
      <c r="Y19" s="41"/>
      <c r="Z19" s="41"/>
      <c r="AA19" s="41"/>
      <c r="AB19" s="41"/>
      <c r="AC19" s="41"/>
      <c r="AD19" s="41"/>
      <c r="AE19" s="41"/>
      <c r="AF19" s="41"/>
      <c r="AG19" s="41"/>
      <c r="AH19" s="41"/>
      <c r="AI19" s="41"/>
      <c r="AJ19" s="41"/>
      <c r="AK19" s="41"/>
      <c r="AL19" s="41"/>
      <c r="AM19" s="41"/>
      <c r="AN19" s="41"/>
    </row>
    <row r="20" spans="1:40" ht="20.25">
      <c r="A20" s="5" t="s">
        <v>92</v>
      </c>
      <c r="B20" s="41" t="s">
        <v>92</v>
      </c>
      <c r="C20" s="259"/>
      <c r="D20" s="271"/>
      <c r="E20" s="271"/>
      <c r="F20" s="272"/>
      <c r="G20" s="273"/>
      <c r="H20" s="271"/>
      <c r="I20" s="272"/>
      <c r="J20" s="255"/>
      <c r="K20" s="271"/>
      <c r="L20" s="272"/>
      <c r="M20" s="273"/>
      <c r="N20" s="272"/>
      <c r="O20" s="255"/>
      <c r="P20" s="271"/>
      <c r="Q20" s="272"/>
      <c r="R20" s="273"/>
      <c r="S20" s="272"/>
      <c r="T20" s="41"/>
      <c r="U20" s="41"/>
      <c r="W20" s="254"/>
      <c r="X20" s="274"/>
      <c r="Y20" s="41"/>
      <c r="Z20" s="41"/>
      <c r="AA20" s="41"/>
      <c r="AB20" s="41"/>
      <c r="AC20" s="41"/>
      <c r="AD20" s="41"/>
      <c r="AE20" s="41"/>
      <c r="AF20" s="41"/>
      <c r="AG20" s="41"/>
      <c r="AH20" s="41"/>
      <c r="AI20" s="41"/>
      <c r="AJ20" s="41"/>
      <c r="AK20" s="41"/>
      <c r="AL20" s="41"/>
      <c r="AM20" s="41"/>
      <c r="AN20" s="41"/>
    </row>
    <row r="21" spans="1:40" ht="15.75" customHeight="1">
      <c r="A21" s="5" t="s">
        <v>363</v>
      </c>
      <c r="B21" s="41" t="s">
        <v>92</v>
      </c>
      <c r="C21" s="253" t="s">
        <v>105</v>
      </c>
      <c r="D21" s="254">
        <f>+INDEX('Budget original'!$A$2:$AO$501,MATCH($A21,'Budget original'!$A$2:$A$501,0),MATCH(D$2,'Budget original'!$A$2:$AO$2,0))</f>
        <v>0</v>
      </c>
      <c r="E21" s="254">
        <f>IF(D21=0,0,F21/D21)</f>
        <v>0</v>
      </c>
      <c r="F21" s="254">
        <f>+INDEX('Budget original'!$A$2:$AO$501,MATCH($A21,'Budget original'!$A$2:$A$501,0),MATCH(F$2,'Budget original'!$A$2:$AO$2,0))</f>
        <v>3050</v>
      </c>
      <c r="G21" s="255"/>
      <c r="H21" s="254"/>
      <c r="I21" s="254"/>
      <c r="J21" s="255"/>
      <c r="K21" s="254">
        <f>IF(J13=0,0,L21/(J13+J15))</f>
        <v>11.182280701754387</v>
      </c>
      <c r="L21" s="256">
        <f>-SUMIFS(BV_Data_An_Cour!$O:$O,BV_Data_An_Cour!$U:$U,$B21,BV_Data_An_Cour!$V:$V,$C21,BV_Data_An_Cour!$W:$W,L$2)</f>
        <v>637.39</v>
      </c>
      <c r="M21" s="255"/>
      <c r="N21" s="256">
        <f>L21-F21</f>
        <v>-2412.61</v>
      </c>
      <c r="O21" s="255"/>
      <c r="P21" s="254"/>
      <c r="Q21" s="256">
        <f t="array" ref="Q21">+INDEX('Réel 2024'!$A$2:$AO$501,MATCH($A21,'Réel 2024'!$A$2:$A$501,0),MATCH(Q$2,'Réel 2024'!$A$2:$AO$2,0))</f>
        <v>800</v>
      </c>
      <c r="R21" s="255">
        <f t="shared" ref="R21:R23" si="12">O21-K21</f>
        <v>-11.182280701754387</v>
      </c>
      <c r="S21" s="256">
        <f t="shared" ref="S21:S24" si="13">L21-Q21</f>
        <v>-162.61000000000001</v>
      </c>
      <c r="T21" s="41"/>
      <c r="U21" s="41"/>
      <c r="W21" s="41"/>
      <c r="X21" s="274"/>
      <c r="Y21" s="41"/>
      <c r="Z21" s="41"/>
      <c r="AA21" s="41"/>
      <c r="AB21" s="41"/>
      <c r="AC21" s="41"/>
      <c r="AD21" s="41"/>
      <c r="AE21" s="41"/>
      <c r="AF21" s="41"/>
      <c r="AG21" s="41"/>
      <c r="AH21" s="41"/>
      <c r="AI21" s="41"/>
      <c r="AJ21" s="41"/>
      <c r="AK21" s="41"/>
      <c r="AL21" s="41"/>
      <c r="AM21" s="41"/>
      <c r="AN21" s="41"/>
    </row>
    <row r="22" spans="1:40" ht="18" customHeight="1">
      <c r="A22" s="5" t="s">
        <v>364</v>
      </c>
      <c r="B22" s="41" t="s">
        <v>92</v>
      </c>
      <c r="C22" s="253" t="s">
        <v>106</v>
      </c>
      <c r="D22" s="254">
        <f>+INDEX('Budget original'!$A$2:$AO$501,MATCH($A22,'Budget original'!$A$2:$A$501,0),MATCH(D$2,'Budget original'!$A$2:$AO$2,0))</f>
        <v>0</v>
      </c>
      <c r="E22" s="254">
        <f>IF(D22=0,0,F22/D22)</f>
        <v>0</v>
      </c>
      <c r="F22" s="254">
        <f>+INDEX('Budget original'!$A$2:$AO$501,MATCH($A22,'Budget original'!$A$2:$A$501,0),MATCH(F$2,'Budget original'!$A$2:$AO$2,0))</f>
        <v>56730</v>
      </c>
      <c r="G22" s="255"/>
      <c r="H22" s="254"/>
      <c r="I22" s="254"/>
      <c r="J22" s="255"/>
      <c r="K22" s="254">
        <f>IF(J13=0,0,L22/(J13+J15))</f>
        <v>1090.3154385964913</v>
      </c>
      <c r="L22" s="256">
        <f>-SUMIFS(BV_Data_An_Cour!$O:$O,BV_Data_An_Cour!$U:$U,$B22,BV_Data_An_Cour!$V:$V,$C22,BV_Data_An_Cour!$W:$W,L$2)</f>
        <v>62147.98</v>
      </c>
      <c r="M22" s="255"/>
      <c r="N22" s="256">
        <f>L22-F22</f>
        <v>5417.9800000000032</v>
      </c>
      <c r="O22" s="255"/>
      <c r="P22" s="254"/>
      <c r="Q22" s="256">
        <f t="array" ref="Q22">+INDEX('Réel 2024'!$A$2:$AO$501,MATCH($A22,'Réel 2024'!$A$2:$A$501,0),MATCH(Q$2,'Réel 2024'!$A$2:$AO$2,0))</f>
        <v>58571.93</v>
      </c>
      <c r="R22" s="255">
        <f t="shared" si="12"/>
        <v>-1090.3154385964913</v>
      </c>
      <c r="S22" s="256">
        <f t="shared" si="13"/>
        <v>3576.0500000000029</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365</v>
      </c>
      <c r="B23" s="41" t="s">
        <v>92</v>
      </c>
      <c r="C23" s="253" t="s">
        <v>107</v>
      </c>
      <c r="D23" s="254">
        <f>+INDEX('Budget original'!$A$2:$AO$501,MATCH($A23,'Budget original'!$A$2:$A$501,0),MATCH(D$2,'Budget original'!$A$2:$AO$2,0))</f>
        <v>0</v>
      </c>
      <c r="E23" s="254">
        <f>IF(D23=0,0,F23/D23)</f>
        <v>0</v>
      </c>
      <c r="F23" s="254">
        <f>+INDEX('Budget original'!$A$2:$AO$501,MATCH($A23,'Budget original'!$A$2:$A$501,0),MATCH(F$2,'Budget original'!$A$2:$AO$2,0))</f>
        <v>1220</v>
      </c>
      <c r="G23" s="255"/>
      <c r="H23" s="254"/>
      <c r="I23" s="254"/>
      <c r="J23" s="255"/>
      <c r="K23" s="254">
        <f>IF(J13=0,0,L23/(J13+J15))</f>
        <v>4.6777192982456137</v>
      </c>
      <c r="L23" s="256">
        <f>-SUMIFS(BV_Data_An_Cour!$O:$O,BV_Data_An_Cour!$U:$U,$B23,BV_Data_An_Cour!$V:$V,$C23,BV_Data_An_Cour!$W:$W,L$2)</f>
        <v>266.63</v>
      </c>
      <c r="M23" s="267"/>
      <c r="N23" s="256">
        <f>L23-F23</f>
        <v>-953.37</v>
      </c>
      <c r="O23" s="255"/>
      <c r="P23" s="254"/>
      <c r="Q23" s="256">
        <f t="array" ref="Q23">+INDEX('Réel 2024'!$A$2:$AO$501,MATCH($A23,'Réel 2024'!$A$2:$A$501,0),MATCH(Q$2,'Réel 2024'!$A$2:$AO$2,0))</f>
        <v>0</v>
      </c>
      <c r="R23" s="255">
        <f t="shared" si="12"/>
        <v>-4.6777192982456137</v>
      </c>
      <c r="S23" s="256">
        <f t="shared" si="13"/>
        <v>266.63</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366</v>
      </c>
      <c r="B24" s="41" t="s">
        <v>92</v>
      </c>
      <c r="C24" s="259" t="s">
        <v>108</v>
      </c>
      <c r="D24" s="260">
        <f>+D15+D13</f>
        <v>61</v>
      </c>
      <c r="E24" s="260">
        <f>IF(D24&lt;=0,0,F24/D24)</f>
        <v>1000</v>
      </c>
      <c r="F24" s="261">
        <f>F21+F22+F23</f>
        <v>61000</v>
      </c>
      <c r="G24" s="262"/>
      <c r="H24" s="260"/>
      <c r="I24" s="261"/>
      <c r="J24" s="262">
        <f>+J15+J13</f>
        <v>57</v>
      </c>
      <c r="K24" s="260">
        <f>IF(J24&lt;=0,0,L24/J24)</f>
        <v>1106.1754385964912</v>
      </c>
      <c r="L24" s="261">
        <f>L21+L22+L23</f>
        <v>63052</v>
      </c>
      <c r="M24" s="275">
        <f>J24-D24</f>
        <v>-4</v>
      </c>
      <c r="N24" s="261">
        <f>L24-F24</f>
        <v>2052</v>
      </c>
      <c r="O24" s="262">
        <f>+O15+O13</f>
        <v>74</v>
      </c>
      <c r="P24" s="260">
        <f>IF(O24&lt;=0,0,Q24/O24)</f>
        <v>802.32337837837838</v>
      </c>
      <c r="Q24" s="261">
        <f>Q21+Q22+Q23</f>
        <v>59371.93</v>
      </c>
      <c r="R24" s="273"/>
      <c r="S24" s="261">
        <f t="shared" si="13"/>
        <v>3680.0699999999997</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92</v>
      </c>
      <c r="B25" s="41" t="s">
        <v>92</v>
      </c>
      <c r="C25" s="253"/>
      <c r="D25" s="41"/>
      <c r="E25" s="41"/>
      <c r="F25" s="276"/>
      <c r="G25" s="253"/>
      <c r="H25" s="41"/>
      <c r="I25" s="276"/>
      <c r="J25" s="253"/>
      <c r="K25" s="41"/>
      <c r="L25" s="276"/>
      <c r="M25" s="264"/>
      <c r="N25" s="265">
        <f>IF(N24=0,0,N24/F24)</f>
        <v>3.3639344262295083E-2</v>
      </c>
      <c r="O25" s="253"/>
      <c r="P25" s="41"/>
      <c r="Q25" s="276"/>
      <c r="R25" s="277"/>
      <c r="S25" s="265">
        <f>IF(Q24=0,0,(S24/Q24))</f>
        <v>6.1983331180239548E-2</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92</v>
      </c>
      <c r="B26" s="41" t="s">
        <v>92</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367</v>
      </c>
      <c r="B27" s="41" t="s">
        <v>92</v>
      </c>
      <c r="C27" s="278" t="s">
        <v>109</v>
      </c>
      <c r="D27" s="279">
        <f>+D13+D15+D17</f>
        <v>63</v>
      </c>
      <c r="E27" s="280">
        <f>IF(D27&lt;=0,0,F27/D27)</f>
        <v>3355.6269262831911</v>
      </c>
      <c r="F27" s="281">
        <f>F13+F17+F24+F19+F15</f>
        <v>211404.49635584105</v>
      </c>
      <c r="G27" s="282"/>
      <c r="H27" s="280"/>
      <c r="I27" s="281"/>
      <c r="J27" s="282">
        <f>+J13+J15+J17</f>
        <v>57</v>
      </c>
      <c r="K27" s="280">
        <f>IF(J27&lt;=0,0,L27/J27)</f>
        <v>3579.5528070175483</v>
      </c>
      <c r="L27" s="281">
        <f>L13+L17+L24+L19+L15</f>
        <v>204034.51000000024</v>
      </c>
      <c r="M27" s="282">
        <f>J27-D27</f>
        <v>-6</v>
      </c>
      <c r="N27" s="281">
        <f>L27-F27</f>
        <v>-7369.9863558408106</v>
      </c>
      <c r="O27" s="282">
        <f>+O13+O15+O17</f>
        <v>74</v>
      </c>
      <c r="P27" s="280">
        <f>IF(O27&lt;=0,0,Q27/O27)</f>
        <v>3184.1172972972959</v>
      </c>
      <c r="Q27" s="281">
        <f>Q13+Q17+Q24+Q19+Q15</f>
        <v>235624.67999999991</v>
      </c>
      <c r="R27" s="282">
        <f>J27-O27</f>
        <v>-17</v>
      </c>
      <c r="S27" s="281">
        <f>L27-Q27</f>
        <v>-31590.169999999664</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92</v>
      </c>
      <c r="B28" s="41" t="s">
        <v>92</v>
      </c>
      <c r="C28" s="283"/>
      <c r="D28" s="284"/>
      <c r="E28" s="284"/>
      <c r="F28" s="285"/>
      <c r="G28" s="283"/>
      <c r="H28" s="284"/>
      <c r="I28" s="285"/>
      <c r="J28" s="283"/>
      <c r="K28" s="1189"/>
      <c r="L28" s="950">
        <f>L27/F27</f>
        <v>0.96513798673687867</v>
      </c>
      <c r="M28" s="286">
        <f>M27/D27</f>
        <v>-9.5238095238095233E-2</v>
      </c>
      <c r="N28" s="287">
        <f>N27/F27</f>
        <v>-3.4862013263121307E-2</v>
      </c>
      <c r="O28" s="283"/>
      <c r="P28" s="284"/>
      <c r="Q28" s="285"/>
      <c r="R28" s="286">
        <f>R27/O27</f>
        <v>-0.22972972972972974</v>
      </c>
      <c r="S28" s="287">
        <f>IF(Q27=0,0,S27/Q27)</f>
        <v>-0.13406986908162455</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92</v>
      </c>
      <c r="B29" s="41" t="s">
        <v>92</v>
      </c>
      <c r="C29" s="270"/>
      <c r="D29" s="11"/>
      <c r="E29" s="11"/>
      <c r="F29" s="288"/>
      <c r="G29" s="270"/>
      <c r="H29" s="11"/>
      <c r="I29" s="288"/>
      <c r="J29" s="270"/>
      <c r="K29" s="11"/>
      <c r="L29" s="288"/>
      <c r="M29" s="264"/>
      <c r="N29" s="265"/>
      <c r="O29" s="270"/>
      <c r="P29" s="11"/>
      <c r="Q29" s="288"/>
      <c r="R29" s="264"/>
      <c r="S29" s="265"/>
      <c r="T29" s="41"/>
      <c r="U29" s="291"/>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368</v>
      </c>
      <c r="B30" s="41" t="s">
        <v>92</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369</v>
      </c>
      <c r="B31" s="41" t="s">
        <v>92</v>
      </c>
      <c r="C31" s="253" t="s">
        <v>111</v>
      </c>
      <c r="D31" s="290">
        <f>F31/(F13+F15)</f>
        <v>0.34122337682034687</v>
      </c>
      <c r="E31" s="291">
        <f t="shared" ref="E31:E36" si="14">F31/D$24</f>
        <v>777.94338568459739</v>
      </c>
      <c r="F31" s="254">
        <f>+INDEX('Budget original'!$A$2:$AO$501,MATCH($A31,'Budget original'!$A$2:$A$501,0),MATCH(F$2,'Budget original'!$A$2:$AO$2,0))</f>
        <v>47454.546526760438</v>
      </c>
      <c r="G31" s="292"/>
      <c r="H31" s="291"/>
      <c r="I31" s="254"/>
      <c r="J31" s="292">
        <f>L31/(L15+L13+L17)</f>
        <v>0.30224805613024236</v>
      </c>
      <c r="K31" s="291">
        <f t="shared" ref="K31:K40" si="15">IF(L31=0,0,L31/J$24)</f>
        <v>685.17614035087718</v>
      </c>
      <c r="L31" s="254">
        <f>SUMIFS(BV_Data_An_Cour!$O:$O,BV_Data_An_Cour!$U:$U,$B31,BV_Data_An_Cour!$V:$V,$C31,BV_Data_An_Cour!$W:$W,L$2)</f>
        <v>39055.040000000001</v>
      </c>
      <c r="M31" s="253"/>
      <c r="N31" s="276">
        <f t="shared" ref="N31:N53" si="16">L31-F31</f>
        <v>-8399.5065267604368</v>
      </c>
      <c r="O31" s="1145">
        <f>Q31/(Q13+Q15+Q17)</f>
        <v>0.21053998926785431</v>
      </c>
      <c r="P31" s="291">
        <f t="shared" ref="P31:P40" si="17">Q31/O$24</f>
        <v>473.21067567567565</v>
      </c>
      <c r="Q31" s="256">
        <f t="array" ref="Q31">+INDEX('Réel 2024'!$A$2:$AO$501,MATCH($A31,'Réel 2024'!$A$2:$A$501,0),MATCH(Q$2,'Réel 2024'!$A$2:$AO$2,0))</f>
        <v>35017.589999999997</v>
      </c>
      <c r="R31" s="253"/>
      <c r="S31" s="276">
        <f t="shared" ref="S31:S53" si="18">L31-Q31</f>
        <v>4037.4500000000044</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370</v>
      </c>
      <c r="B32" s="41" t="s">
        <v>92</v>
      </c>
      <c r="C32" s="246" t="s">
        <v>112</v>
      </c>
      <c r="D32" s="293">
        <f>F32/F24</f>
        <v>0.28000000000000003</v>
      </c>
      <c r="E32" s="294">
        <f t="shared" si="14"/>
        <v>280</v>
      </c>
      <c r="F32" s="248">
        <f>+INDEX('Budget original'!$A$2:$AO$501,MATCH($A32,'Budget original'!$A$2:$A$501,0),MATCH(F$2,'Budget original'!$A$2:$AO$2,0))</f>
        <v>17080</v>
      </c>
      <c r="G32" s="295"/>
      <c r="H32" s="294"/>
      <c r="I32" s="248"/>
      <c r="J32" s="295">
        <f>L32/L24</f>
        <v>0.29999762101122884</v>
      </c>
      <c r="K32" s="294">
        <f t="shared" si="15"/>
        <v>331.85</v>
      </c>
      <c r="L32" s="248">
        <f>SUMIFS(BV_Data_An_Cour!$O:$O,BV_Data_An_Cour!$U:$U,$B32,BV_Data_An_Cour!$V:$V,$C32,BV_Data_An_Cour!$W:$W,L$2)</f>
        <v>18915.45</v>
      </c>
      <c r="M32" s="246"/>
      <c r="N32" s="296">
        <f t="shared" si="16"/>
        <v>1835.4500000000007</v>
      </c>
      <c r="O32" s="1146">
        <f>Q32/Q24</f>
        <v>0.29999833254536273</v>
      </c>
      <c r="P32" s="294">
        <f t="shared" si="17"/>
        <v>240.69567567567566</v>
      </c>
      <c r="Q32" s="248">
        <f t="array" ref="Q32">+INDEX('Réel 2024'!$A$2:$AO$501,MATCH($A32,'Réel 2024'!$A$2:$A$501,0),MATCH(Q$2,'Réel 2024'!$A$2:$AO$2,0))</f>
        <v>17811.48</v>
      </c>
      <c r="R32" s="246"/>
      <c r="S32" s="296">
        <f t="shared" si="18"/>
        <v>1103.9700000000012</v>
      </c>
      <c r="T32" s="41"/>
      <c r="Z32" s="41"/>
      <c r="AA32" s="41"/>
      <c r="AB32" s="41"/>
      <c r="AC32" s="41"/>
      <c r="AD32" s="41"/>
      <c r="AE32" s="41"/>
      <c r="AF32" s="41"/>
      <c r="AG32" s="41"/>
      <c r="AH32" s="41"/>
      <c r="AI32" s="41"/>
      <c r="AJ32" s="41"/>
      <c r="AK32" s="41"/>
      <c r="AL32" s="41"/>
      <c r="AM32" s="41"/>
      <c r="AN32" s="41"/>
    </row>
    <row r="33" spans="1:40" ht="15.75" customHeight="1">
      <c r="A33" s="5" t="s">
        <v>371</v>
      </c>
      <c r="B33" s="41" t="s">
        <v>92</v>
      </c>
      <c r="C33" s="253" t="s">
        <v>113</v>
      </c>
      <c r="D33" s="297"/>
      <c r="E33" s="291">
        <f t="shared" si="14"/>
        <v>115</v>
      </c>
      <c r="F33" s="254">
        <f>+INDEX('Budget original'!$A$2:$AO$501,MATCH($A33,'Budget original'!$A$2:$A$501,0),MATCH(F$2,'Budget original'!$A$2:$AO$2,0))</f>
        <v>7015</v>
      </c>
      <c r="G33" s="298"/>
      <c r="H33" s="291"/>
      <c r="I33" s="254"/>
      <c r="J33" s="253"/>
      <c r="K33" s="291">
        <f t="shared" si="15"/>
        <v>138.49438596491228</v>
      </c>
      <c r="L33" s="254">
        <f>SUMIFS(BV_Data_An_Cour!$O:$O,BV_Data_An_Cour!$U:$U,$B33,BV_Data_An_Cour!$V:$V,$C33,BV_Data_An_Cour!$W:$W,L$2)</f>
        <v>7894.18</v>
      </c>
      <c r="M33" s="253"/>
      <c r="N33" s="276">
        <f t="shared" si="16"/>
        <v>879.18000000000029</v>
      </c>
      <c r="O33" s="253"/>
      <c r="P33" s="291">
        <f t="shared" si="17"/>
        <v>153.52486486486487</v>
      </c>
      <c r="Q33" s="256">
        <f t="array" ref="Q33">+INDEX('Réel 2024'!$A$2:$AO$501,MATCH($A33,'Réel 2024'!$A$2:$A$501,0),MATCH(Q$2,'Réel 2024'!$A$2:$AO$2,0))</f>
        <v>11360.84</v>
      </c>
      <c r="R33" s="253"/>
      <c r="S33" s="276">
        <f t="shared" si="18"/>
        <v>-3466.66</v>
      </c>
      <c r="T33" s="41"/>
      <c r="U33" s="1196"/>
      <c r="Z33" s="41"/>
      <c r="AA33" s="41"/>
      <c r="AB33" s="41"/>
      <c r="AC33" s="41"/>
      <c r="AD33" s="41"/>
      <c r="AE33" s="41"/>
      <c r="AF33" s="41"/>
      <c r="AG33" s="41"/>
      <c r="AH33" s="41"/>
      <c r="AI33" s="41"/>
      <c r="AJ33" s="41"/>
      <c r="AK33" s="41"/>
      <c r="AL33" s="41"/>
      <c r="AM33" s="41"/>
      <c r="AN33" s="41"/>
    </row>
    <row r="34" spans="1:40" ht="15.75" customHeight="1">
      <c r="A34" s="5" t="s">
        <v>372</v>
      </c>
      <c r="B34" s="41" t="s">
        <v>92</v>
      </c>
      <c r="C34" s="253" t="s">
        <v>114</v>
      </c>
      <c r="D34" s="297"/>
      <c r="E34" s="291">
        <f t="shared" si="14"/>
        <v>10</v>
      </c>
      <c r="F34" s="254">
        <f>+INDEX('Budget original'!$A$2:$AO$501,MATCH($A34,'Budget original'!$A$2:$A$501,0),MATCH(F$2,'Budget original'!$A$2:$AO$2,0))</f>
        <v>610</v>
      </c>
      <c r="G34" s="298"/>
      <c r="H34" s="291"/>
      <c r="I34" s="254"/>
      <c r="J34" s="253"/>
      <c r="K34" s="291">
        <f t="shared" si="15"/>
        <v>6.6315789473684203E-2</v>
      </c>
      <c r="L34" s="254">
        <f>SUMIFS(BV_Data_An_Cour!$O:$O,BV_Data_An_Cour!$U:$U,$B34,BV_Data_An_Cour!$V:$V,$C34,BV_Data_An_Cour!$W:$W,L$2)</f>
        <v>3.78</v>
      </c>
      <c r="M34" s="253"/>
      <c r="N34" s="276">
        <f t="shared" si="16"/>
        <v>-606.22</v>
      </c>
      <c r="O34" s="253"/>
      <c r="P34" s="291">
        <f t="shared" si="17"/>
        <v>13.206486486486487</v>
      </c>
      <c r="Q34" s="256">
        <f t="array" ref="Q34">+INDEX('Réel 2024'!$A$2:$AO$501,MATCH($A34,'Réel 2024'!$A$2:$A$501,0),MATCH(Q$2,'Réel 2024'!$A$2:$AO$2,0))</f>
        <v>977.28</v>
      </c>
      <c r="R34" s="253"/>
      <c r="S34" s="276">
        <f t="shared" si="18"/>
        <v>-973.5</v>
      </c>
      <c r="T34" s="41"/>
      <c r="Z34" s="41"/>
      <c r="AA34" s="41"/>
      <c r="AB34" s="41"/>
      <c r="AC34" s="41"/>
      <c r="AD34" s="41"/>
      <c r="AE34" s="41"/>
      <c r="AF34" s="41"/>
      <c r="AG34" s="41"/>
      <c r="AH34" s="41"/>
      <c r="AI34" s="41"/>
      <c r="AJ34" s="41"/>
      <c r="AK34" s="41"/>
      <c r="AL34" s="41"/>
      <c r="AM34" s="41"/>
      <c r="AN34" s="41"/>
    </row>
    <row r="35" spans="1:40" ht="15.75" customHeight="1">
      <c r="A35" s="5" t="s">
        <v>373</v>
      </c>
      <c r="B35" s="41" t="s">
        <v>92</v>
      </c>
      <c r="C35" s="246" t="s">
        <v>115</v>
      </c>
      <c r="D35" s="299"/>
      <c r="E35" s="294">
        <f t="shared" si="14"/>
        <v>120.75</v>
      </c>
      <c r="F35" s="248">
        <f>+INDEX('Budget original'!$A$2:$AO$501,MATCH($A35,'Budget original'!$A$2:$A$501,0),MATCH(F$2,'Budget original'!$A$2:$AO$2,0))</f>
        <v>7365.75</v>
      </c>
      <c r="G35" s="300"/>
      <c r="H35" s="294"/>
      <c r="I35" s="248"/>
      <c r="J35" s="246"/>
      <c r="K35" s="294">
        <f t="shared" si="15"/>
        <v>167.94543859649121</v>
      </c>
      <c r="L35" s="248">
        <f>SUMIFS(BV_Data_An_Cour!$O:$O,BV_Data_An_Cour!$U:$U,$B35,BV_Data_An_Cour!$V:$V,$C35,BV_Data_An_Cour!$W:$W,L$2)</f>
        <v>9572.89</v>
      </c>
      <c r="M35" s="246"/>
      <c r="N35" s="296">
        <f t="shared" si="16"/>
        <v>2207.1399999999994</v>
      </c>
      <c r="O35" s="246"/>
      <c r="P35" s="294">
        <f t="shared" si="17"/>
        <v>132.78283783783783</v>
      </c>
      <c r="Q35" s="256">
        <f t="array" ref="Q35">+INDEX('Réel 2024'!$A$2:$AO$501,MATCH($A35,'Réel 2024'!$A$2:$A$501,0),MATCH(Q$2,'Réel 2024'!$A$2:$AO$2,0))</f>
        <v>9825.93</v>
      </c>
      <c r="R35" s="246"/>
      <c r="S35" s="296">
        <f t="shared" si="18"/>
        <v>-253.04000000000087</v>
      </c>
      <c r="T35" s="41"/>
      <c r="Z35" s="41"/>
      <c r="AA35" s="41"/>
      <c r="AB35" s="41"/>
      <c r="AC35" s="41"/>
      <c r="AD35" s="41"/>
      <c r="AE35" s="41"/>
      <c r="AF35" s="41"/>
      <c r="AG35" s="41"/>
      <c r="AH35" s="41"/>
      <c r="AI35" s="41"/>
      <c r="AJ35" s="41"/>
      <c r="AK35" s="41"/>
      <c r="AL35" s="41"/>
      <c r="AM35" s="41"/>
      <c r="AN35" s="41"/>
    </row>
    <row r="36" spans="1:40" ht="15.75" customHeight="1">
      <c r="A36" s="5" t="s">
        <v>374</v>
      </c>
      <c r="B36" s="41" t="s">
        <v>92</v>
      </c>
      <c r="C36" s="253" t="s">
        <v>116</v>
      </c>
      <c r="D36" s="297"/>
      <c r="E36" s="291">
        <f t="shared" si="14"/>
        <v>87.901639344262293</v>
      </c>
      <c r="F36" s="254">
        <f>+INDEX('Budget original'!$A$2:$AO$501,MATCH($A36,'Budget original'!$A$2:$A$501,0),MATCH(F$2,'Budget original'!$A$2:$AO$2,0))</f>
        <v>5362</v>
      </c>
      <c r="G36" s="298"/>
      <c r="H36" s="291"/>
      <c r="I36" s="254"/>
      <c r="J36" s="253"/>
      <c r="K36" s="291">
        <f t="shared" si="15"/>
        <v>171.58052631578948</v>
      </c>
      <c r="L36" s="301">
        <f>SUMIFS(BV_Data_An_Cour!$O:$O,BV_Data_An_Cour!$U:$U,$B36,BV_Data_An_Cour!$V:$V,$C36,BV_Data_An_Cour!$W:$W,L$2)</f>
        <v>9780.09</v>
      </c>
      <c r="M36" s="41"/>
      <c r="N36" s="276">
        <f t="shared" si="16"/>
        <v>4418.09</v>
      </c>
      <c r="O36" s="253"/>
      <c r="P36" s="291">
        <f t="shared" si="17"/>
        <v>164.58405405405404</v>
      </c>
      <c r="Q36" s="272">
        <f t="array" ref="Q36">+INDEX('Réel 2024'!$A$2:$AO$501,MATCH($A36,'Réel 2024'!$A$2:$A$501,0),MATCH(Q$2,'Réel 2024'!$A$2:$AO$2,0))</f>
        <v>12179.22</v>
      </c>
      <c r="R36" s="253"/>
      <c r="S36" s="276">
        <f t="shared" si="18"/>
        <v>-2399.1299999999992</v>
      </c>
      <c r="T36" s="41"/>
      <c r="U36" s="1190"/>
      <c r="Z36" s="41"/>
      <c r="AA36" s="41"/>
      <c r="AB36" s="41"/>
      <c r="AC36" s="41"/>
      <c r="AD36" s="41"/>
      <c r="AE36" s="41"/>
      <c r="AF36" s="41"/>
      <c r="AG36" s="41"/>
      <c r="AH36" s="41"/>
      <c r="AI36" s="41"/>
      <c r="AJ36" s="41"/>
      <c r="AK36" s="41"/>
      <c r="AL36" s="41"/>
      <c r="AM36" s="41"/>
      <c r="AN36" s="41"/>
    </row>
    <row r="37" spans="1:40" ht="15.75" customHeight="1">
      <c r="A37" s="5" t="s">
        <v>375</v>
      </c>
      <c r="B37" s="41" t="s">
        <v>92</v>
      </c>
      <c r="C37" s="253" t="s">
        <v>117</v>
      </c>
      <c r="D37" s="297"/>
      <c r="E37" s="291">
        <f>F37/D$24</f>
        <v>626.28924071156302</v>
      </c>
      <c r="F37" s="254">
        <f>+INDEX('Budget original'!$A$2:$AO$501,MATCH($A37,'Budget original'!$A$2:$A$501,0),MATCH(F$2,'Budget original'!$A$2:$AO$2,0))</f>
        <v>38203.643683405346</v>
      </c>
      <c r="G37" s="298"/>
      <c r="H37" s="291"/>
      <c r="I37" s="254"/>
      <c r="J37" s="253"/>
      <c r="K37" s="291">
        <f t="shared" si="15"/>
        <v>227.21438596491228</v>
      </c>
      <c r="L37" s="951">
        <f>SUMIFS(BV_Data_An_Cour!$O:$O,BV_Data_An_Cour!$U:$U,$B37,BV_Data_An_Cour!$V:$V,$C37,BV_Data_An_Cour!$W:$W,L$2)</f>
        <v>12951.22</v>
      </c>
      <c r="M37" s="41"/>
      <c r="N37" s="961">
        <f t="shared" si="16"/>
        <v>-25252.423683405344</v>
      </c>
      <c r="O37" s="253"/>
      <c r="P37" s="291">
        <f t="shared" si="17"/>
        <v>644.70648648648648</v>
      </c>
      <c r="Q37" s="256">
        <f t="array" ref="Q37">+INDEX('Réel 2024'!$A$2:$AO$501,MATCH($A37,'Réel 2024'!$A$2:$A$501,0),MATCH(Q$2,'Réel 2024'!$A$2:$AO$2,0))</f>
        <v>47708.28</v>
      </c>
      <c r="R37" s="253"/>
      <c r="S37" s="276">
        <f t="shared" si="18"/>
        <v>-34757.06</v>
      </c>
      <c r="T37" s="41"/>
      <c r="U37" s="1209"/>
      <c r="Z37" s="41"/>
      <c r="AA37" s="41"/>
      <c r="AB37" s="41"/>
      <c r="AC37" s="41"/>
      <c r="AD37" s="41"/>
      <c r="AE37" s="41"/>
      <c r="AF37" s="41"/>
      <c r="AG37" s="41"/>
      <c r="AH37" s="41"/>
      <c r="AI37" s="41"/>
      <c r="AJ37" s="41"/>
      <c r="AK37" s="41"/>
      <c r="AL37" s="41"/>
      <c r="AM37" s="41"/>
      <c r="AN37" s="41"/>
    </row>
    <row r="38" spans="1:40" ht="15.75" hidden="1" customHeight="1">
      <c r="A38" s="5" t="s">
        <v>358</v>
      </c>
      <c r="B38" s="41" t="s">
        <v>92</v>
      </c>
      <c r="C38" s="253" t="s">
        <v>59</v>
      </c>
      <c r="D38" s="297"/>
      <c r="E38" s="291">
        <f>F38/D$24</f>
        <v>0</v>
      </c>
      <c r="F38" s="254">
        <f>+INDEX('Budget original'!$A$2:$AO$501,MATCH($A38,'Budget original'!$A$2:$A$501,0),MATCH(F$2,'Budget original'!$A$2:$AO$2,0))</f>
        <v>0</v>
      </c>
      <c r="G38" s="298"/>
      <c r="H38" s="291"/>
      <c r="I38" s="254"/>
      <c r="J38" s="253"/>
      <c r="K38" s="291">
        <f t="shared" si="15"/>
        <v>0</v>
      </c>
      <c r="L38" s="302">
        <f>SUMIFS(BV_Data_An_Cour!$O:$O,BV_Data_An_Cour!$U:$U,$B38,BV_Data_An_Cour!$V:$V,$C38,BV_Data_An_Cour!$W:$W,L$2)</f>
        <v>0</v>
      </c>
      <c r="M38" s="41"/>
      <c r="N38" s="276">
        <f t="shared" si="16"/>
        <v>0</v>
      </c>
      <c r="O38" s="253"/>
      <c r="P38" s="291">
        <f t="shared" si="17"/>
        <v>0</v>
      </c>
      <c r="Q38" s="256">
        <f t="array" ref="Q38">+INDEX('Réel 2024'!$A$2:$AO$501,MATCH($A38,'Réel 2024'!$A$2:$A$501,0),MATCH(Q$2,'Réel 2024'!$A$2:$AO$2,0))</f>
        <v>0</v>
      </c>
      <c r="R38" s="253"/>
      <c r="S38" s="276">
        <f t="shared" si="18"/>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358</v>
      </c>
      <c r="B39" s="41" t="s">
        <v>92</v>
      </c>
      <c r="C39" s="253" t="s">
        <v>59</v>
      </c>
      <c r="D39" s="297"/>
      <c r="E39" s="291">
        <f>F39/D$24</f>
        <v>0</v>
      </c>
      <c r="F39" s="254">
        <f>+INDEX('Budget original'!$A$2:$AO$501,MATCH($A39,'Budget original'!$A$2:$A$501,0),MATCH(F$2,'Budget original'!$A$2:$AO$2,0))</f>
        <v>0</v>
      </c>
      <c r="G39" s="298"/>
      <c r="H39" s="291"/>
      <c r="I39" s="254"/>
      <c r="J39" s="253"/>
      <c r="K39" s="291">
        <f t="shared" si="15"/>
        <v>0</v>
      </c>
      <c r="L39" s="302">
        <f>SUMIFS(BV_Data_An_Cour!$O:$O,BV_Data_An_Cour!$U:$U,$B39,BV_Data_An_Cour!$V:$V,$C39,BV_Data_An_Cour!$W:$W,L$2)</f>
        <v>0</v>
      </c>
      <c r="M39" s="41"/>
      <c r="N39" s="276">
        <f t="shared" si="16"/>
        <v>0</v>
      </c>
      <c r="O39" s="253"/>
      <c r="P39" s="291">
        <f t="shared" si="17"/>
        <v>0</v>
      </c>
      <c r="Q39" s="256">
        <f t="array" ref="Q39">+INDEX('Réel 2024'!$A$2:$AO$501,MATCH($A39,'Réel 2024'!$A$2:$A$501,0),MATCH(Q$2,'Réel 2024'!$A$2:$AO$2,0))</f>
        <v>0</v>
      </c>
      <c r="R39" s="253"/>
      <c r="S39" s="276">
        <f t="shared" si="18"/>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358</v>
      </c>
      <c r="B40" s="41" t="s">
        <v>92</v>
      </c>
      <c r="C40" s="253" t="s">
        <v>59</v>
      </c>
      <c r="D40" s="297"/>
      <c r="E40" s="291">
        <f>F40/D$24</f>
        <v>0</v>
      </c>
      <c r="F40" s="254">
        <f>+INDEX('Budget original'!$A$2:$AO$501,MATCH($A40,'Budget original'!$A$2:$A$501,0),MATCH(F$2,'Budget original'!$A$2:$AO$2,0))</f>
        <v>0</v>
      </c>
      <c r="G40" s="298"/>
      <c r="H40" s="291"/>
      <c r="I40" s="254"/>
      <c r="J40" s="253"/>
      <c r="K40" s="291">
        <f t="shared" si="15"/>
        <v>0</v>
      </c>
      <c r="L40" s="303">
        <f>SUMIFS(BV_Data_An_Cour!$O:$O,BV_Data_An_Cour!$U:$U,$B40,BV_Data_An_Cour!$V:$V,$C40,BV_Data_An_Cour!$W:$W,L$2)</f>
        <v>0</v>
      </c>
      <c r="M40" s="41"/>
      <c r="N40" s="276">
        <f t="shared" si="16"/>
        <v>0</v>
      </c>
      <c r="O40" s="253"/>
      <c r="P40" s="291">
        <f t="shared" si="17"/>
        <v>0</v>
      </c>
      <c r="Q40" s="256">
        <f t="array" ref="Q40">+INDEX('Réel 2024'!$A$2:$AO$501,MATCH($A40,'Réel 2024'!$A$2:$A$501,0),MATCH(Q$2,'Réel 2024'!$A$2:$AO$2,0))</f>
        <v>0</v>
      </c>
      <c r="R40" s="253"/>
      <c r="S40" s="276">
        <f t="shared" si="18"/>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376</v>
      </c>
      <c r="B41" s="41" t="s">
        <v>92</v>
      </c>
      <c r="C41" s="304" t="s">
        <v>118</v>
      </c>
      <c r="D41" s="305" t="s">
        <v>119</v>
      </c>
      <c r="E41" s="306">
        <f>F41/F$27</f>
        <v>0.58225317971939539</v>
      </c>
      <c r="F41" s="307">
        <f>SUM(F31:F40)</f>
        <v>123090.94021016579</v>
      </c>
      <c r="G41" s="308"/>
      <c r="H41" s="306"/>
      <c r="I41" s="307"/>
      <c r="J41" s="308" t="s">
        <v>119</v>
      </c>
      <c r="K41" s="306">
        <f>L41/L$27</f>
        <v>0.48115708465200269</v>
      </c>
      <c r="L41" s="307">
        <f>SUM(L31:L40)</f>
        <v>98172.650000000009</v>
      </c>
      <c r="M41" s="309"/>
      <c r="N41" s="307">
        <f t="shared" si="16"/>
        <v>-24918.290210165782</v>
      </c>
      <c r="O41" s="308" t="s">
        <v>119</v>
      </c>
      <c r="P41" s="306">
        <f>Q41/Q$27</f>
        <v>0.57243842198533723</v>
      </c>
      <c r="Q41" s="310">
        <f>SUM(Q31:Q40)</f>
        <v>134880.62</v>
      </c>
      <c r="R41" s="311"/>
      <c r="S41" s="307">
        <f t="shared" si="18"/>
        <v>-36707.969999999987</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377</v>
      </c>
      <c r="B42" s="41" t="s">
        <v>92</v>
      </c>
      <c r="C42" s="312" t="s">
        <v>120</v>
      </c>
      <c r="D42" s="41"/>
      <c r="E42" s="41"/>
      <c r="F42" s="254">
        <f>+INDEX('Budget original'!$A$2:$AO$501,MATCH($A42,'Budget original'!$A$2:$A$501,0),MATCH(F$2,'Budget original'!$A$2:$AO$2,0))</f>
        <v>28420.581730769234</v>
      </c>
      <c r="G42" s="253"/>
      <c r="H42" s="41"/>
      <c r="I42" s="254"/>
      <c r="J42" s="253"/>
      <c r="K42" s="41"/>
      <c r="L42" s="256">
        <f>SUMIFS(BV_Data_An_Cour!$O:$O,BV_Data_An_Cour!$U:$U,$B42,BV_Data_An_Cour!$V:$V,$C42,BV_Data_An_Cour!$W:$W,L$2)</f>
        <v>14469.05</v>
      </c>
      <c r="M42" s="253"/>
      <c r="N42" s="276">
        <f t="shared" si="16"/>
        <v>-13951.531730769235</v>
      </c>
      <c r="O42" s="253"/>
      <c r="P42" s="1144">
        <f>Q42/Q27</f>
        <v>5.0529426713704202E-2</v>
      </c>
      <c r="Q42" s="256">
        <f t="array" ref="Q42">+INDEX('Réel 2024'!$A$2:$AO$501,MATCH($A42,'Réel 2024'!$A$2:$A$501,0),MATCH(Q$2,'Réel 2024'!$A$2:$AO$2,0))</f>
        <v>11905.98</v>
      </c>
      <c r="R42" s="253"/>
      <c r="S42" s="276">
        <f t="shared" si="18"/>
        <v>2563.0699999999997</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378</v>
      </c>
      <c r="B43" s="41" t="s">
        <v>92</v>
      </c>
      <c r="C43" s="313" t="s">
        <v>121</v>
      </c>
      <c r="D43" s="297"/>
      <c r="E43" s="41"/>
      <c r="F43" s="248">
        <f>+INDEX('Budget original'!$A$2:$AO$501,MATCH($A43,'Budget original'!$A$2:$A$501,0),MATCH(F$2,'Budget original'!$A$2:$AO$2,0))</f>
        <v>17167.773846153847</v>
      </c>
      <c r="G43" s="298"/>
      <c r="H43" s="41"/>
      <c r="I43" s="248"/>
      <c r="J43" s="253"/>
      <c r="K43" s="41"/>
      <c r="L43" s="256">
        <f>SUMIFS(BV_Data_An_Cour!$O:$O,BV_Data_An_Cour!$U:$U,$B43,BV_Data_An_Cour!$V:$V,$C43,BV_Data_An_Cour!$W:$W,L$2)</f>
        <v>13963.37</v>
      </c>
      <c r="M43" s="253"/>
      <c r="N43" s="276">
        <f t="shared" si="16"/>
        <v>-3204.4038461538457</v>
      </c>
      <c r="O43" s="253"/>
      <c r="P43" s="41"/>
      <c r="Q43" s="256">
        <f t="array" ref="Q43">+INDEX('Réel 2024'!$A$2:$AO$501,MATCH($A43,'Réel 2024'!$A$2:$A$501,0),MATCH(Q$2,'Réel 2024'!$A$2:$AO$2,0))</f>
        <v>9609.39</v>
      </c>
      <c r="R43" s="253"/>
      <c r="S43" s="276">
        <f t="shared" si="18"/>
        <v>4353.9800000000014</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379</v>
      </c>
      <c r="B44" s="41" t="s">
        <v>92</v>
      </c>
      <c r="C44" s="312" t="s">
        <v>122</v>
      </c>
      <c r="D44" s="314"/>
      <c r="E44" s="315"/>
      <c r="F44" s="254">
        <f>+INDEX('Budget original'!$A$2:$AO$501,MATCH($A44,'Budget original'!$A$2:$A$501,0),MATCH(F$2,'Budget original'!$A$2:$AO$2,0))</f>
        <v>394.44230769230774</v>
      </c>
      <c r="G44" s="316"/>
      <c r="H44" s="315"/>
      <c r="I44" s="254"/>
      <c r="J44" s="241"/>
      <c r="K44" s="315"/>
      <c r="L44" s="272">
        <f>SUMIFS(BV_Data_An_Cour!$O:$O,BV_Data_An_Cour!$U:$U,$B44,BV_Data_An_Cour!$V:$V,$C44,BV_Data_An_Cour!$W:$W,L$2)</f>
        <v>2903.5</v>
      </c>
      <c r="M44" s="241"/>
      <c r="N44" s="317">
        <f t="shared" si="16"/>
        <v>2509.0576923076924</v>
      </c>
      <c r="O44" s="241"/>
      <c r="P44" s="315"/>
      <c r="Q44" s="272">
        <f t="array" ref="Q44">+INDEX('Réel 2024'!$A$2:$AO$501,MATCH($A44,'Réel 2024'!$A$2:$A$501,0),MATCH(Q$2,'Réel 2024'!$A$2:$AO$2,0))</f>
        <v>3925.06</v>
      </c>
      <c r="R44" s="241"/>
      <c r="S44" s="317">
        <f t="shared" si="18"/>
        <v>-1021.56</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380</v>
      </c>
      <c r="B45" s="41" t="s">
        <v>92</v>
      </c>
      <c r="C45" s="312" t="s">
        <v>123</v>
      </c>
      <c r="D45" s="297"/>
      <c r="E45" s="41"/>
      <c r="F45" s="254">
        <f>+INDEX('Budget original'!$A$2:$AO$501,MATCH($A45,'Budget original'!$A$2:$A$501,0),MATCH(F$2,'Budget original'!$A$2:$AO$2,0))</f>
        <v>0</v>
      </c>
      <c r="G45" s="298"/>
      <c r="H45" s="41"/>
      <c r="I45" s="254"/>
      <c r="J45" s="253"/>
      <c r="K45" s="41"/>
      <c r="L45" s="256">
        <f>SUMIFS(BV_Data_An_Cour!$O:$O,BV_Data_An_Cour!$U:$U,$B45,BV_Data_An_Cour!$V:$V,$C45,BV_Data_An_Cour!$W:$W,L$2)</f>
        <v>0</v>
      </c>
      <c r="M45" s="253"/>
      <c r="N45" s="276">
        <f t="shared" si="16"/>
        <v>0</v>
      </c>
      <c r="O45" s="253"/>
      <c r="P45" s="41"/>
      <c r="Q45" s="256">
        <f t="array" ref="Q45">+INDEX('Réel 2024'!$A$2:$AO$501,MATCH($A45,'Réel 2024'!$A$2:$A$501,0),MATCH(Q$2,'Réel 2024'!$A$2:$AO$2,0))</f>
        <v>0</v>
      </c>
      <c r="R45" s="253"/>
      <c r="S45" s="276">
        <f t="shared" si="18"/>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358</v>
      </c>
      <c r="B46" s="41" t="s">
        <v>92</v>
      </c>
      <c r="C46" s="312" t="s">
        <v>59</v>
      </c>
      <c r="D46" s="297"/>
      <c r="E46" s="41"/>
      <c r="F46" s="254">
        <f>+INDEX('Budget original'!$A$2:$AO$501,MATCH($A46,'Budget original'!$A$2:$A$501,0),MATCH(F$2,'Budget original'!$A$2:$AO$2,0))</f>
        <v>0</v>
      </c>
      <c r="G46" s="298"/>
      <c r="H46" s="41"/>
      <c r="I46" s="254"/>
      <c r="J46" s="253"/>
      <c r="K46" s="41"/>
      <c r="L46" s="256">
        <f>SUMIFS(BV_Data_An_Cour!$O:$O,BV_Data_An_Cour!$U:$U,$B46,BV_Data_An_Cour!$V:$V,$C46,BV_Data_An_Cour!$W:$W,L$2)</f>
        <v>0</v>
      </c>
      <c r="M46" s="253"/>
      <c r="N46" s="276">
        <f t="shared" si="16"/>
        <v>0</v>
      </c>
      <c r="O46" s="253"/>
      <c r="P46" s="41"/>
      <c r="Q46" s="256">
        <f t="array" ref="Q46">+INDEX('Réel 2024'!$A$2:$AO$501,MATCH($A46,'Réel 2024'!$A$2:$A$501,0),MATCH(Q$2,'Réel 2024'!$A$2:$AO$2,0))</f>
        <v>0</v>
      </c>
      <c r="R46" s="253"/>
      <c r="S46" s="276">
        <f t="shared" si="18"/>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358</v>
      </c>
      <c r="B47" s="41" t="s">
        <v>92</v>
      </c>
      <c r="C47" s="312" t="s">
        <v>59</v>
      </c>
      <c r="D47" s="297"/>
      <c r="E47" s="41"/>
      <c r="F47" s="254">
        <f>+INDEX('Budget original'!$A$2:$AO$501,MATCH($A47,'Budget original'!$A$2:$A$501,0),MATCH(F$2,'Budget original'!$A$2:$AO$2,0))</f>
        <v>0</v>
      </c>
      <c r="G47" s="298"/>
      <c r="H47" s="41"/>
      <c r="I47" s="254"/>
      <c r="J47" s="253"/>
      <c r="K47" s="41"/>
      <c r="L47" s="256">
        <f>SUMIFS(BV_Data_An_Cour!$O:$O,BV_Data_An_Cour!$U:$U,$B47,BV_Data_An_Cour!$V:$V,$C47,BV_Data_An_Cour!$W:$W,L$2)</f>
        <v>0</v>
      </c>
      <c r="M47" s="253"/>
      <c r="N47" s="276">
        <f t="shared" si="16"/>
        <v>0</v>
      </c>
      <c r="O47" s="253"/>
      <c r="P47" s="41"/>
      <c r="Q47" s="256">
        <f t="array" ref="Q47">+INDEX('Réel 2024'!$A$2:$AO$501,MATCH($A47,'Réel 2024'!$A$2:$A$501,0),MATCH(Q$2,'Réel 2024'!$A$2:$AO$2,0))</f>
        <v>0</v>
      </c>
      <c r="R47" s="253"/>
      <c r="S47" s="276">
        <f t="shared" si="18"/>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358</v>
      </c>
      <c r="B48" s="41" t="s">
        <v>92</v>
      </c>
      <c r="C48" s="312" t="s">
        <v>59</v>
      </c>
      <c r="D48" s="297"/>
      <c r="E48" s="41"/>
      <c r="F48" s="254">
        <f>+INDEX('Budget original'!$A$2:$AO$501,MATCH($A48,'Budget original'!$A$2:$A$501,0),MATCH(F$2,'Budget original'!$A$2:$AO$2,0))</f>
        <v>0</v>
      </c>
      <c r="G48" s="298"/>
      <c r="H48" s="41"/>
      <c r="I48" s="254"/>
      <c r="J48" s="253"/>
      <c r="K48" s="41"/>
      <c r="L48" s="256">
        <f>SUMIFS(BV_Data_An_Cour!$O:$O,BV_Data_An_Cour!$U:$U,$B48,BV_Data_An_Cour!$V:$V,$C48,BV_Data_An_Cour!$W:$W,L$2)</f>
        <v>0</v>
      </c>
      <c r="M48" s="253"/>
      <c r="N48" s="276">
        <f t="shared" si="16"/>
        <v>0</v>
      </c>
      <c r="O48" s="253"/>
      <c r="P48" s="41"/>
      <c r="Q48" s="256">
        <f t="array" ref="Q48">+INDEX('Réel 2024'!$A$2:$AO$501,MATCH($A48,'Réel 2024'!$A$2:$A$501,0),MATCH(Q$2,'Réel 2024'!$A$2:$AO$2,0))</f>
        <v>0</v>
      </c>
      <c r="R48" s="253"/>
      <c r="S48" s="276">
        <f t="shared" si="18"/>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381</v>
      </c>
      <c r="B49" s="41" t="s">
        <v>92</v>
      </c>
      <c r="C49" s="313" t="s">
        <v>124</v>
      </c>
      <c r="D49" s="297"/>
      <c r="E49" s="41"/>
      <c r="F49" s="248">
        <f>+INDEX('Budget original'!$A$2:$AO$501,MATCH($A49,'Budget original'!$A$2:$A$501,0),MATCH(F$2,'Budget original'!$A$2:$AO$2,0))</f>
        <v>14936.127334752829</v>
      </c>
      <c r="G49" s="298"/>
      <c r="H49" s="41"/>
      <c r="I49" s="248"/>
      <c r="J49" s="253"/>
      <c r="K49" s="41"/>
      <c r="L49" s="248">
        <f>SUMIFS(BV_Data_An_Cour!$O:$O,BV_Data_An_Cour!$U:$U,$B49,BV_Data_An_Cour!$V:$V,$C49,BV_Data_An_Cour!$W:$W,L$2)</f>
        <v>14676.27</v>
      </c>
      <c r="M49" s="253"/>
      <c r="N49" s="276">
        <f t="shared" si="16"/>
        <v>-259.85733475282905</v>
      </c>
      <c r="O49" s="253"/>
      <c r="P49" s="41"/>
      <c r="Q49" s="248">
        <f t="array" ref="Q49">+INDEX('Réel 2024'!$A$2:$AO$501,MATCH($A49,'Réel 2024'!$A$2:$A$501,0),MATCH(Q$2,'Réel 2024'!$A$2:$AO$2,0))</f>
        <v>14577.13</v>
      </c>
      <c r="R49" s="253"/>
      <c r="S49" s="276">
        <f t="shared" si="18"/>
        <v>99.140000000001237</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382</v>
      </c>
      <c r="B50" s="41" t="s">
        <v>92</v>
      </c>
      <c r="C50" s="312" t="s">
        <v>125</v>
      </c>
      <c r="D50" s="314"/>
      <c r="E50" s="315"/>
      <c r="F50" s="254">
        <f>+INDEX('Budget original'!$A$2:$AO$501,MATCH($A50,'Budget original'!$A$2:$A$501,0),MATCH(F$2,'Budget original'!$A$2:$AO$2,0))</f>
        <v>18160.225305690667</v>
      </c>
      <c r="G50" s="316"/>
      <c r="H50" s="315"/>
      <c r="I50" s="254"/>
      <c r="J50" s="241"/>
      <c r="K50" s="315"/>
      <c r="L50" s="256">
        <f>SUMIFS(BV_Data_An_Cour!$O:$O,BV_Data_An_Cour!$U:$U,$B50,BV_Data_An_Cour!$V:$V,$C50,BV_Data_An_Cour!$W:$W,L$2)</f>
        <v>17960</v>
      </c>
      <c r="M50" s="241"/>
      <c r="N50" s="317">
        <f t="shared" si="16"/>
        <v>-200.22530569066657</v>
      </c>
      <c r="O50" s="241"/>
      <c r="P50" s="315"/>
      <c r="Q50" s="256">
        <f t="array" ref="Q50">+INDEX('Réel 2024'!$A$2:$AO$501,MATCH($A50,'Réel 2024'!$A$2:$A$501,0),MATCH(Q$2,'Réel 2024'!$A$2:$AO$2,0))</f>
        <v>16512.36</v>
      </c>
      <c r="R50" s="241"/>
      <c r="S50" s="317">
        <f t="shared" si="18"/>
        <v>1447.6399999999994</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383</v>
      </c>
      <c r="B51" s="41" t="s">
        <v>92</v>
      </c>
      <c r="C51" s="312" t="s">
        <v>126</v>
      </c>
      <c r="D51" s="297"/>
      <c r="E51" s="41"/>
      <c r="F51" s="254">
        <f>+INDEX('Budget original'!$A$2:$AO$501,MATCH($A51,'Budget original'!$A$2:$A$501,0),MATCH(F$2,'Budget original'!$A$2:$AO$2,0))</f>
        <v>9356.4639074971456</v>
      </c>
      <c r="G51" s="298"/>
      <c r="H51" s="41"/>
      <c r="I51" s="254"/>
      <c r="J51" s="253"/>
      <c r="K51" s="41"/>
      <c r="L51" s="256">
        <f>SUMIFS(BV_Data_An_Cour!$O:$O,BV_Data_An_Cour!$U:$U,$B51,BV_Data_An_Cour!$V:$V,$C51,BV_Data_An_Cour!$W:$W,L$2)</f>
        <v>8486.02</v>
      </c>
      <c r="M51" s="253"/>
      <c r="N51" s="276">
        <f t="shared" si="16"/>
        <v>-870.44390749714512</v>
      </c>
      <c r="O51" s="253"/>
      <c r="P51" s="41"/>
      <c r="Q51" s="256">
        <f t="array" ref="Q51">+INDEX('Réel 2024'!$A$2:$AO$501,MATCH($A51,'Réel 2024'!$A$2:$A$501,0),MATCH(Q$2,'Réel 2024'!$A$2:$AO$2,0))</f>
        <v>8805.59</v>
      </c>
      <c r="R51" s="253"/>
      <c r="S51" s="276">
        <f t="shared" si="18"/>
        <v>-319.56999999999971</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384</v>
      </c>
      <c r="B52" s="41" t="s">
        <v>92</v>
      </c>
      <c r="C52" s="312" t="s">
        <v>127</v>
      </c>
      <c r="D52" s="297"/>
      <c r="E52" s="41"/>
      <c r="F52" s="254">
        <f>+INDEX('Budget original'!$A$2:$AO$501,MATCH($A52,'Budget original'!$A$2:$A$501,0),MATCH(F$2,'Budget original'!$A$2:$AO$2,0))</f>
        <v>4079.470902002975</v>
      </c>
      <c r="G52" s="298"/>
      <c r="H52" s="41"/>
      <c r="I52" s="254"/>
      <c r="J52" s="253"/>
      <c r="K52" s="41"/>
      <c r="L52" s="256">
        <f>SUMIFS(BV_Data_An_Cour!$O:$O,BV_Data_An_Cour!$U:$U,$B52,BV_Data_An_Cour!$V:$V,$C52,BV_Data_An_Cour!$W:$W,L$2)</f>
        <v>2876.17</v>
      </c>
      <c r="M52" s="253"/>
      <c r="N52" s="276">
        <f t="shared" si="16"/>
        <v>-1203.3009020029749</v>
      </c>
      <c r="O52" s="253"/>
      <c r="P52" s="41"/>
      <c r="Q52" s="256">
        <f t="array" ref="Q52">+INDEX('Réel 2024'!$A$2:$AO$501,MATCH($A52,'Réel 2024'!$A$2:$A$501,0),MATCH(Q$2,'Réel 2024'!$A$2:$AO$2,0))</f>
        <v>3234.85</v>
      </c>
      <c r="R52" s="253"/>
      <c r="S52" s="276">
        <f t="shared" si="18"/>
        <v>-358.67999999999984</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358</v>
      </c>
      <c r="B53" s="41" t="s">
        <v>92</v>
      </c>
      <c r="C53" s="253" t="s">
        <v>59</v>
      </c>
      <c r="D53" s="299" t="e">
        <f>VLOOKUP(C53,$B$2:$B$46,1,FALSE)</f>
        <v>#N/A</v>
      </c>
      <c r="E53" s="318"/>
      <c r="F53" s="254">
        <f>+INDEX('Budget original'!$A$2:$AO$501,MATCH($A53,'Budget original'!$A$2:$A$501,0),MATCH(F$2,'Budget original'!$A$2:$AO$2,0))</f>
        <v>0</v>
      </c>
      <c r="G53" s="300"/>
      <c r="H53" s="318"/>
      <c r="I53" s="254"/>
      <c r="J53" s="246"/>
      <c r="K53" s="318"/>
      <c r="L53" s="256">
        <f>SUMIFS(BV_Data_An_Cour!$O:$O,BV_Data_An_Cour!$U:$U,$B53,BV_Data_An_Cour!$V:$V,$C53,BV_Data_An_Cour!$W:$W,L$2)</f>
        <v>0</v>
      </c>
      <c r="M53" s="246"/>
      <c r="N53" s="296">
        <f t="shared" si="16"/>
        <v>0</v>
      </c>
      <c r="O53" s="246"/>
      <c r="P53" s="318"/>
      <c r="Q53" s="256">
        <f t="array" ref="Q53">+INDEX('Réel 2024'!$A$2:$AO$501,MATCH($A53,'Réel 2024'!$A$2:$A$501,0),MATCH(Q$2,'Réel 2024'!$A$2:$AO$2,0))</f>
        <v>0</v>
      </c>
      <c r="R53" s="246"/>
      <c r="S53" s="296">
        <f t="shared" si="18"/>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385</v>
      </c>
      <c r="B54" s="41" t="s">
        <v>92</v>
      </c>
      <c r="C54" s="304" t="s">
        <v>128</v>
      </c>
      <c r="D54" s="305" t="s">
        <v>119</v>
      </c>
      <c r="E54" s="306">
        <f>F54/F$27</f>
        <v>0.4376211808609568</v>
      </c>
      <c r="F54" s="307">
        <f>+SUM(F42:F53)</f>
        <v>92515.085334559</v>
      </c>
      <c r="G54" s="308"/>
      <c r="H54" s="306"/>
      <c r="I54" s="307"/>
      <c r="J54" s="308" t="s">
        <v>119</v>
      </c>
      <c r="K54" s="306">
        <f>L54/L$27</f>
        <v>0.3692237161252766</v>
      </c>
      <c r="L54" s="307">
        <f>+SUM(L42:L53)</f>
        <v>75334.38</v>
      </c>
      <c r="M54" s="311"/>
      <c r="N54" s="307">
        <f>+SUM(N42:N53)</f>
        <v>-17180.705334559007</v>
      </c>
      <c r="O54" s="308" t="s">
        <v>119</v>
      </c>
      <c r="P54" s="306">
        <f>Q54/Q$27</f>
        <v>0.29101518567579604</v>
      </c>
      <c r="Q54" s="307">
        <f>+SUM(Q42:Q53)</f>
        <v>68570.36</v>
      </c>
      <c r="R54" s="311"/>
      <c r="S54" s="307">
        <f>+SUM(S42:S53)</f>
        <v>6764.0200000000023</v>
      </c>
      <c r="T54" s="291"/>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386</v>
      </c>
      <c r="B55" s="41" t="s">
        <v>92</v>
      </c>
      <c r="C55" s="253" t="s">
        <v>129</v>
      </c>
      <c r="D55" s="297"/>
      <c r="E55" s="41"/>
      <c r="F55" s="254">
        <f>+INDEX('Budget original'!$A$2:$AO$501,MATCH($A55,'Budget original'!$A$2:$A$501,0),MATCH(F$2,'Budget original'!$A$2:$AO$2,0))</f>
        <v>0</v>
      </c>
      <c r="G55" s="298"/>
      <c r="H55" s="41"/>
      <c r="I55" s="254"/>
      <c r="J55" s="253"/>
      <c r="K55" s="41"/>
      <c r="L55" s="256">
        <f>SUMIFS(BV_Data_An_Cour!$O:$O,BV_Data_An_Cour!$U:$U,$B55,BV_Data_An_Cour!$V:$V,$C55,BV_Data_An_Cour!$W:$W,L$2)</f>
        <v>0</v>
      </c>
      <c r="M55" s="253"/>
      <c r="N55" s="276">
        <f t="shared" ref="N55:N71" si="19">L55-F55</f>
        <v>0</v>
      </c>
      <c r="O55" s="253"/>
      <c r="P55" s="41"/>
      <c r="Q55" s="256">
        <f t="array" ref="Q55">+INDEX('Réel 2024'!$A$2:$AO$501,MATCH($A55,'Réel 2024'!$A$2:$A$501,0),MATCH(Q$2,'Réel 2024'!$A$2:$AO$2,0))</f>
        <v>0</v>
      </c>
      <c r="R55" s="253"/>
      <c r="S55" s="276">
        <f t="shared" ref="S55:S71" si="20">L55-Q55</f>
        <v>0</v>
      </c>
      <c r="T55" s="291"/>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387</v>
      </c>
      <c r="B56" s="41" t="s">
        <v>92</v>
      </c>
      <c r="C56" s="253" t="s">
        <v>130</v>
      </c>
      <c r="D56" s="297"/>
      <c r="E56" s="41"/>
      <c r="F56" s="254">
        <f>+INDEX('Budget original'!$A$2:$AO$501,MATCH($A56,'Budget original'!$A$2:$A$501,0),MATCH(F$2,'Budget original'!$A$2:$AO$2,0))</f>
        <v>0</v>
      </c>
      <c r="G56" s="298"/>
      <c r="H56" s="41"/>
      <c r="I56" s="254"/>
      <c r="J56" s="253"/>
      <c r="K56" s="41"/>
      <c r="L56" s="256">
        <f>SUMIFS(BV_Data_An_Cour!$O:$O,BV_Data_An_Cour!$U:$U,$B56,BV_Data_An_Cour!$V:$V,$C56,BV_Data_An_Cour!$W:$W,L$2)</f>
        <v>0</v>
      </c>
      <c r="M56" s="253"/>
      <c r="N56" s="276">
        <f t="shared" si="19"/>
        <v>0</v>
      </c>
      <c r="O56" s="253"/>
      <c r="P56" s="41"/>
      <c r="Q56" s="256">
        <f t="array" ref="Q56">+INDEX('Réel 2024'!$A$2:$AO$501,MATCH($A56,'Réel 2024'!$A$2:$A$501,0),MATCH(Q$2,'Réel 2024'!$A$2:$AO$2,0))</f>
        <v>0</v>
      </c>
      <c r="R56" s="253"/>
      <c r="S56" s="276">
        <f t="shared" si="20"/>
        <v>0</v>
      </c>
      <c r="T56" s="291"/>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388</v>
      </c>
      <c r="B57" s="41" t="s">
        <v>92</v>
      </c>
      <c r="C57" s="246" t="s">
        <v>131</v>
      </c>
      <c r="D57" s="299"/>
      <c r="E57" s="318"/>
      <c r="F57" s="248">
        <f>+INDEX('Budget original'!$A$2:$AO$501,MATCH($A57,'Budget original'!$A$2:$A$501,0),MATCH(F$2,'Budget original'!$A$2:$AO$2,0))</f>
        <v>8952.5479333333333</v>
      </c>
      <c r="G57" s="300"/>
      <c r="H57" s="318"/>
      <c r="I57" s="248"/>
      <c r="J57" s="246"/>
      <c r="K57" s="318"/>
      <c r="L57" s="248">
        <f>SUMIFS(BV_Data_An_Cour!$O:$O,BV_Data_An_Cour!$U:$U,$B57,BV_Data_An_Cour!$V:$V,$C57,BV_Data_An_Cour!$W:$W,L$2)</f>
        <v>13630.57</v>
      </c>
      <c r="M57" s="246"/>
      <c r="N57" s="1258">
        <f t="shared" si="19"/>
        <v>4678.0220666666664</v>
      </c>
      <c r="O57" s="246"/>
      <c r="P57" s="318"/>
      <c r="Q57" s="248">
        <f t="array" ref="Q57">+INDEX('Réel 2024'!$A$2:$AO$501,MATCH($A57,'Réel 2024'!$A$2:$A$501,0),MATCH(Q$2,'Réel 2024'!$A$2:$AO$2,0))</f>
        <v>7403.65</v>
      </c>
      <c r="R57" s="246"/>
      <c r="S57" s="296">
        <f t="shared" si="20"/>
        <v>6226.92</v>
      </c>
      <c r="T57" s="319"/>
      <c r="U57" s="41" t="s">
        <v>3952</v>
      </c>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389</v>
      </c>
      <c r="B58" s="41" t="s">
        <v>92</v>
      </c>
      <c r="C58" s="253" t="s">
        <v>132</v>
      </c>
      <c r="D58" s="297"/>
      <c r="E58" s="41"/>
      <c r="F58" s="254">
        <f>+INDEX('Budget original'!$A$2:$AO$501,MATCH($A58,'Budget original'!$A$2:$A$501,0),MATCH(F$2,'Budget original'!$A$2:$AO$2,0))</f>
        <v>7960.9947585155569</v>
      </c>
      <c r="G58" s="298"/>
      <c r="H58" s="41"/>
      <c r="I58" s="254"/>
      <c r="J58" s="253"/>
      <c r="K58" s="41"/>
      <c r="L58" s="256">
        <f>SUMIFS(BV_Data_An_Cour!$O:$O,BV_Data_An_Cour!$U:$U,$B58,BV_Data_An_Cour!$V:$V,$C58,BV_Data_An_Cour!$W:$W,L$2)</f>
        <v>9063.09</v>
      </c>
      <c r="M58" s="253"/>
      <c r="N58" s="276">
        <f t="shared" si="19"/>
        <v>1102.0952414844432</v>
      </c>
      <c r="O58" s="253"/>
      <c r="P58" s="41"/>
      <c r="Q58" s="256">
        <f t="array" ref="Q58">+INDEX('Réel 2024'!$A$2:$AO$501,MATCH($A58,'Réel 2024'!$A$2:$A$501,0),MATCH(Q$2,'Réel 2024'!$A$2:$AO$2,0))</f>
        <v>7461.29</v>
      </c>
      <c r="R58" s="253"/>
      <c r="S58" s="276">
        <f t="shared" si="20"/>
        <v>1601.8000000000002</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390</v>
      </c>
      <c r="B59" s="41" t="s">
        <v>92</v>
      </c>
      <c r="C59" s="253" t="s">
        <v>133</v>
      </c>
      <c r="D59" s="297"/>
      <c r="E59" s="41"/>
      <c r="F59" s="254">
        <f>+INDEX('Budget original'!$A$2:$AO$501,MATCH($A59,'Budget original'!$A$2:$A$501,0),MATCH(F$2,'Budget original'!$A$2:$AO$2,0))</f>
        <v>1266.6975008629806</v>
      </c>
      <c r="G59" s="298"/>
      <c r="H59" s="41"/>
      <c r="I59" s="254"/>
      <c r="J59" s="253"/>
      <c r="K59" s="41"/>
      <c r="L59" s="256">
        <f>SUMIFS(BV_Data_An_Cour!$O:$O,BV_Data_An_Cour!$U:$U,$B59,BV_Data_An_Cour!$V:$V,$C59,BV_Data_An_Cour!$W:$W,L$2)</f>
        <v>1778.24</v>
      </c>
      <c r="M59" s="253"/>
      <c r="N59" s="276">
        <f t="shared" si="19"/>
        <v>511.54249913701938</v>
      </c>
      <c r="O59" s="253"/>
      <c r="P59" s="41"/>
      <c r="Q59" s="256">
        <f t="array" ref="Q59">+INDEX('Réel 2024'!$A$2:$AO$501,MATCH($A59,'Réel 2024'!$A$2:$A$501,0),MATCH(Q$2,'Réel 2024'!$A$2:$AO$2,0))</f>
        <v>1278.4000000000001</v>
      </c>
      <c r="R59" s="253"/>
      <c r="S59" s="276">
        <f t="shared" si="20"/>
        <v>499.83999999999992</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391</v>
      </c>
      <c r="B60" s="41" t="s">
        <v>92</v>
      </c>
      <c r="C60" s="246" t="s">
        <v>134</v>
      </c>
      <c r="D60" s="299"/>
      <c r="E60" s="318"/>
      <c r="F60" s="248">
        <f>+INDEX('Budget original'!$A$2:$AO$501,MATCH($A60,'Budget original'!$A$2:$A$501,0),MATCH(F$2,'Budget original'!$A$2:$AO$2,0))</f>
        <v>7215.7407235875298</v>
      </c>
      <c r="G60" s="300"/>
      <c r="H60" s="318"/>
      <c r="I60" s="248"/>
      <c r="J60" s="246"/>
      <c r="K60" s="318"/>
      <c r="L60" s="248">
        <f>SUMIFS(BV_Data_An_Cour!$O:$O,BV_Data_An_Cour!$U:$U,$B60,BV_Data_An_Cour!$V:$V,$C60,BV_Data_An_Cour!$W:$W,L$2)</f>
        <v>7261.42</v>
      </c>
      <c r="M60" s="246"/>
      <c r="N60" s="296">
        <f t="shared" si="19"/>
        <v>45.679276412470244</v>
      </c>
      <c r="O60" s="246"/>
      <c r="P60" s="318"/>
      <c r="Q60" s="248">
        <f t="array" ref="Q60">+INDEX('Réel 2024'!$A$2:$AO$501,MATCH($A60,'Réel 2024'!$A$2:$A$501,0),MATCH(Q$2,'Réel 2024'!$A$2:$AO$2,0))</f>
        <v>7123.34</v>
      </c>
      <c r="R60" s="246"/>
      <c r="S60" s="296">
        <f t="shared" si="20"/>
        <v>138.07999999999993</v>
      </c>
      <c r="T60" s="41"/>
      <c r="U60" s="38"/>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392</v>
      </c>
      <c r="B61" s="41" t="s">
        <v>92</v>
      </c>
      <c r="C61" s="253" t="s">
        <v>135</v>
      </c>
      <c r="D61" s="297"/>
      <c r="E61" s="41"/>
      <c r="F61" s="254">
        <f>+INDEX('Budget original'!$A$2:$AO$501,MATCH($A61,'Budget original'!$A$2:$A$501,0),MATCH(F$2,'Budget original'!$A$2:$AO$2,0))</f>
        <v>97.257333333333349</v>
      </c>
      <c r="G61" s="298"/>
      <c r="H61" s="41"/>
      <c r="I61" s="254"/>
      <c r="J61" s="253"/>
      <c r="K61" s="41"/>
      <c r="L61" s="256">
        <f>SUMIFS(BV_Data_An_Cour!$O:$O,BV_Data_An_Cour!$U:$U,$B61,BV_Data_An_Cour!$V:$V,$C61,BV_Data_An_Cour!$W:$W,L$2)</f>
        <v>0</v>
      </c>
      <c r="M61" s="253"/>
      <c r="N61" s="276">
        <f t="shared" si="19"/>
        <v>-97.257333333333349</v>
      </c>
      <c r="O61" s="253"/>
      <c r="P61" s="41"/>
      <c r="Q61" s="256">
        <f t="array" ref="Q61">+INDEX('Réel 2024'!$A$2:$AO$501,MATCH($A61,'Réel 2024'!$A$2:$A$501,0),MATCH(Q$2,'Réel 2024'!$A$2:$AO$2,0))</f>
        <v>17.22</v>
      </c>
      <c r="R61" s="253"/>
      <c r="S61" s="276">
        <f t="shared" si="20"/>
        <v>-17.22</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393</v>
      </c>
      <c r="B62" s="41" t="s">
        <v>92</v>
      </c>
      <c r="C62" s="253" t="s">
        <v>136</v>
      </c>
      <c r="D62" s="297"/>
      <c r="E62" s="41"/>
      <c r="F62" s="254">
        <f>+INDEX('Budget original'!$A$2:$AO$501,MATCH($A62,'Budget original'!$A$2:$A$501,0),MATCH(F$2,'Budget original'!$A$2:$AO$2,0))</f>
        <v>28.333333333333332</v>
      </c>
      <c r="G62" s="298"/>
      <c r="H62" s="41"/>
      <c r="I62" s="254"/>
      <c r="J62" s="253"/>
      <c r="K62" s="41"/>
      <c r="L62" s="256">
        <f>SUMIFS(BV_Data_An_Cour!$O:$O,BV_Data_An_Cour!$U:$U,$B62,BV_Data_An_Cour!$V:$V,$C62,BV_Data_An_Cour!$W:$W,L$2)</f>
        <v>0</v>
      </c>
      <c r="M62" s="253"/>
      <c r="N62" s="276">
        <f t="shared" si="19"/>
        <v>-28.333333333333332</v>
      </c>
      <c r="O62" s="253"/>
      <c r="P62" s="41"/>
      <c r="Q62" s="256">
        <f t="array" ref="Q62">+INDEX('Réel 2024'!$A$2:$AO$501,MATCH($A62,'Réel 2024'!$A$2:$A$501,0),MATCH(Q$2,'Réel 2024'!$A$2:$AO$2,0))</f>
        <v>0</v>
      </c>
      <c r="R62" s="253"/>
      <c r="S62" s="276">
        <f t="shared" si="20"/>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394</v>
      </c>
      <c r="B63" s="41" t="s">
        <v>92</v>
      </c>
      <c r="C63" s="253" t="s">
        <v>137</v>
      </c>
      <c r="D63" s="297"/>
      <c r="E63" s="41"/>
      <c r="F63" s="254">
        <f>+INDEX('Budget original'!$A$2:$AO$501,MATCH($A63,'Budget original'!$A$2:$A$501,0),MATCH(F$2,'Budget original'!$A$2:$AO$2,0))</f>
        <v>741.43089466911999</v>
      </c>
      <c r="G63" s="298"/>
      <c r="H63" s="41"/>
      <c r="I63" s="254"/>
      <c r="J63" s="253"/>
      <c r="K63" s="41"/>
      <c r="L63" s="256">
        <f>SUMIFS(BV_Data_An_Cour!$O:$O,BV_Data_An_Cour!$U:$U,$B63,BV_Data_An_Cour!$V:$V,$C63,BV_Data_An_Cour!$W:$W,L$2)</f>
        <v>1047.3499999999999</v>
      </c>
      <c r="M63" s="253"/>
      <c r="N63" s="276">
        <f t="shared" si="19"/>
        <v>305.91910533087992</v>
      </c>
      <c r="O63" s="253"/>
      <c r="P63" s="41"/>
      <c r="Q63" s="256">
        <f t="array" ref="Q63">+INDEX('Réel 2024'!$A$2:$AO$501,MATCH($A63,'Réel 2024'!$A$2:$A$501,0),MATCH(Q$2,'Réel 2024'!$A$2:$AO$2,0))</f>
        <v>885.48</v>
      </c>
      <c r="R63" s="253"/>
      <c r="S63" s="276">
        <f t="shared" si="20"/>
        <v>161.86999999999989</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395</v>
      </c>
      <c r="B64" s="41" t="s">
        <v>92</v>
      </c>
      <c r="C64" s="253" t="s">
        <v>138</v>
      </c>
      <c r="D64" s="297"/>
      <c r="E64" s="41"/>
      <c r="F64" s="254">
        <f>+INDEX('Budget original'!$A$2:$AO$501,MATCH($A64,'Budget original'!$A$2:$A$501,0),MATCH(F$2,'Budget original'!$A$2:$AO$2,0))</f>
        <v>344.80198491798222</v>
      </c>
      <c r="G64" s="298"/>
      <c r="H64" s="41"/>
      <c r="I64" s="254"/>
      <c r="J64" s="253"/>
      <c r="K64" s="41"/>
      <c r="L64" s="256">
        <f>SUMIFS(BV_Data_An_Cour!$O:$O,BV_Data_An_Cour!$U:$U,$B64,BV_Data_An_Cour!$V:$V,$C64,BV_Data_An_Cour!$W:$W,L$2)</f>
        <v>471.73</v>
      </c>
      <c r="M64" s="253"/>
      <c r="N64" s="276">
        <f t="shared" si="19"/>
        <v>126.92801508201779</v>
      </c>
      <c r="O64" s="253"/>
      <c r="P64" s="41"/>
      <c r="Q64" s="256">
        <f t="array" ref="Q64">+INDEX('Réel 2024'!$A$2:$AO$501,MATCH($A64,'Réel 2024'!$A$2:$A$501,0),MATCH(Q$2,'Réel 2024'!$A$2:$AO$2,0))</f>
        <v>340.16</v>
      </c>
      <c r="R64" s="253"/>
      <c r="S64" s="276">
        <f t="shared" si="20"/>
        <v>131.57</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396</v>
      </c>
      <c r="B65" s="41" t="s">
        <v>92</v>
      </c>
      <c r="C65" s="253" t="s">
        <v>139</v>
      </c>
      <c r="D65" s="297"/>
      <c r="E65" s="41"/>
      <c r="F65" s="254">
        <f>+INDEX('Budget original'!$A$2:$AO$501,MATCH($A65,'Budget original'!$A$2:$A$501,0),MATCH(F$2,'Budget original'!$A$2:$AO$2,0))</f>
        <v>102.82239536841776</v>
      </c>
      <c r="G65" s="298"/>
      <c r="H65" s="41"/>
      <c r="I65" s="254"/>
      <c r="J65" s="253"/>
      <c r="K65" s="41"/>
      <c r="L65" s="256">
        <f>SUMIFS(BV_Data_An_Cour!$O:$O,BV_Data_An_Cour!$U:$U,$B65,BV_Data_An_Cour!$V:$V,$C65,BV_Data_An_Cour!$W:$W,L$2)</f>
        <v>211.16</v>
      </c>
      <c r="M65" s="253"/>
      <c r="N65" s="276">
        <f t="shared" si="19"/>
        <v>108.33760463158224</v>
      </c>
      <c r="O65" s="253"/>
      <c r="P65" s="41"/>
      <c r="Q65" s="256">
        <f t="array" ref="Q65">+INDEX('Réel 2024'!$A$2:$AO$501,MATCH($A65,'Réel 2024'!$A$2:$A$501,0),MATCH(Q$2,'Réel 2024'!$A$2:$AO$2,0))</f>
        <v>10.56</v>
      </c>
      <c r="R65" s="253"/>
      <c r="S65" s="276">
        <f t="shared" si="20"/>
        <v>200.6</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397</v>
      </c>
      <c r="B66" s="41" t="s">
        <v>92</v>
      </c>
      <c r="C66" s="253" t="s">
        <v>140</v>
      </c>
      <c r="D66" s="297"/>
      <c r="E66" s="41"/>
      <c r="F66" s="254">
        <f>+INDEX('Budget original'!$A$2:$AO$501,MATCH($A66,'Budget original'!$A$2:$A$501,0),MATCH(F$2,'Budget original'!$A$2:$AO$2,0))</f>
        <v>201.17038516793778</v>
      </c>
      <c r="G66" s="298"/>
      <c r="H66" s="41"/>
      <c r="I66" s="254"/>
      <c r="J66" s="253"/>
      <c r="K66" s="41"/>
      <c r="L66" s="256">
        <f>SUMIFS(BV_Data_An_Cour!$O:$O,BV_Data_An_Cour!$U:$U,$B66,BV_Data_An_Cour!$V:$V,$C66,BV_Data_An_Cour!$W:$W,L$2)</f>
        <v>111.68</v>
      </c>
      <c r="M66" s="253"/>
      <c r="N66" s="276">
        <f t="shared" si="19"/>
        <v>-89.490385167937774</v>
      </c>
      <c r="O66" s="253"/>
      <c r="P66" s="41"/>
      <c r="Q66" s="256">
        <f t="array" ref="Q66">+INDEX('Réel 2024'!$A$2:$AO$501,MATCH($A66,'Réel 2024'!$A$2:$A$501,0),MATCH(Q$2,'Réel 2024'!$A$2:$AO$2,0))</f>
        <v>105.31</v>
      </c>
      <c r="R66" s="253"/>
      <c r="S66" s="276">
        <f t="shared" si="20"/>
        <v>6.3700000000000045</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398</v>
      </c>
      <c r="B67" s="41" t="s">
        <v>92</v>
      </c>
      <c r="C67" s="253" t="s">
        <v>141</v>
      </c>
      <c r="D67" s="297"/>
      <c r="E67" s="41"/>
      <c r="F67" s="254">
        <f>+INDEX('Budget original'!$A$2:$AO$501,MATCH($A67,'Budget original'!$A$2:$A$501,0),MATCH(F$2,'Budget original'!$A$2:$AO$2,0))</f>
        <v>1934.7062499999995</v>
      </c>
      <c r="G67" s="298"/>
      <c r="H67" s="41"/>
      <c r="I67" s="254"/>
      <c r="J67" s="253"/>
      <c r="K67" s="41"/>
      <c r="L67" s="256">
        <f>SUMIFS(BV_Data_An_Cour!$O:$O,BV_Data_An_Cour!$U:$U,$B67,BV_Data_An_Cour!$V:$V,$C67,BV_Data_An_Cour!$W:$W,L$2)</f>
        <v>-43.66</v>
      </c>
      <c r="M67" s="253"/>
      <c r="N67" s="276">
        <f t="shared" si="19"/>
        <v>-1978.3662499999996</v>
      </c>
      <c r="O67" s="253"/>
      <c r="P67" s="41"/>
      <c r="Q67" s="256">
        <f t="array" ref="Q67">+INDEX('Réel 2024'!$A$2:$AO$501,MATCH($A67,'Réel 2024'!$A$2:$A$501,0),MATCH(Q$2,'Réel 2024'!$A$2:$AO$2,0))</f>
        <v>1174.1300000000001</v>
      </c>
      <c r="R67" s="253"/>
      <c r="S67" s="276">
        <f t="shared" si="20"/>
        <v>-1217.7900000000002</v>
      </c>
      <c r="T67" s="41"/>
      <c r="U67" s="1193"/>
      <c r="X67" s="41"/>
      <c r="Y67" s="41"/>
      <c r="Z67" s="41"/>
      <c r="AA67" s="41"/>
      <c r="AB67" s="41"/>
      <c r="AC67" s="41"/>
      <c r="AD67" s="41"/>
      <c r="AE67" s="41"/>
      <c r="AF67" s="41"/>
      <c r="AG67" s="41"/>
      <c r="AH67" s="41"/>
      <c r="AI67" s="41"/>
      <c r="AJ67" s="41"/>
      <c r="AK67" s="41"/>
      <c r="AL67" s="41"/>
      <c r="AM67" s="41"/>
      <c r="AN67" s="41"/>
    </row>
    <row r="68" spans="1:40" ht="15.75" customHeight="1">
      <c r="A68" s="5" t="s">
        <v>399</v>
      </c>
      <c r="B68" s="41" t="s">
        <v>92</v>
      </c>
      <c r="C68" s="253" t="s">
        <v>142</v>
      </c>
      <c r="D68" s="297"/>
      <c r="E68" s="41"/>
      <c r="F68" s="254">
        <f>+INDEX('Budget original'!$A$2:$AO$501,MATCH($A68,'Budget original'!$A$2:$A$501,0),MATCH(F$2,'Budget original'!$A$2:$AO$2,0))</f>
        <v>3960.0994470928576</v>
      </c>
      <c r="G68" s="298"/>
      <c r="H68" s="41"/>
      <c r="I68" s="254"/>
      <c r="J68" s="253"/>
      <c r="K68" s="41"/>
      <c r="L68" s="952">
        <f>SUMIFS(BV_Data_An_Cour!$O:$O,BV_Data_An_Cour!$U:$U,$B68,BV_Data_An_Cour!$V:$V,$C68,BV_Data_An_Cour!$W:$W,L$2)</f>
        <v>4559.6400000000003</v>
      </c>
      <c r="M68" s="253"/>
      <c r="N68" s="961">
        <f t="shared" si="19"/>
        <v>599.54055290714268</v>
      </c>
      <c r="O68" s="253"/>
      <c r="P68" s="41"/>
      <c r="Q68" s="256">
        <f t="array" ref="Q68">+INDEX('Réel 2024'!$A$2:$AO$501,MATCH($A68,'Réel 2024'!$A$2:$A$501,0),MATCH(Q$2,'Réel 2024'!$A$2:$AO$2,0))</f>
        <v>4750.5</v>
      </c>
      <c r="R68" s="253"/>
      <c r="S68" s="276">
        <f t="shared" si="20"/>
        <v>-190.85999999999967</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358</v>
      </c>
      <c r="B69" s="41" t="s">
        <v>92</v>
      </c>
      <c r="C69" s="253" t="s">
        <v>59</v>
      </c>
      <c r="D69" s="297"/>
      <c r="E69" s="41"/>
      <c r="F69" s="254">
        <f>+INDEX('Budget original'!$A$2:$AO$501,MATCH($A69,'Budget original'!$A$2:$A$501,0),MATCH(F$2,'Budget original'!$A$2:$AO$2,0))</f>
        <v>0</v>
      </c>
      <c r="G69" s="298"/>
      <c r="H69" s="41"/>
      <c r="I69" s="254"/>
      <c r="J69" s="253"/>
      <c r="K69" s="41"/>
      <c r="L69" s="256"/>
      <c r="M69" s="253"/>
      <c r="N69" s="276">
        <f t="shared" si="19"/>
        <v>0</v>
      </c>
      <c r="O69" s="253"/>
      <c r="P69" s="41"/>
      <c r="Q69" s="256">
        <f t="array" ref="Q69">+INDEX('Réel 2024'!$A$2:$AO$501,MATCH($A69,'Réel 2024'!$A$2:$A$501,0),MATCH(Q$2,'Réel 2024'!$A$2:$AO$2,0))</f>
        <v>0</v>
      </c>
      <c r="R69" s="253"/>
      <c r="S69" s="276">
        <f t="shared" si="20"/>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358</v>
      </c>
      <c r="B70" s="41" t="s">
        <v>92</v>
      </c>
      <c r="C70" s="253" t="s">
        <v>59</v>
      </c>
      <c r="D70" s="297"/>
      <c r="E70" s="41"/>
      <c r="F70" s="254">
        <f>+INDEX('Budget original'!$A$2:$AO$501,MATCH($A70,'Budget original'!$A$2:$A$501,0),MATCH(F$2,'Budget original'!$A$2:$AO$2,0))</f>
        <v>0</v>
      </c>
      <c r="G70" s="298"/>
      <c r="H70" s="41"/>
      <c r="I70" s="254"/>
      <c r="J70" s="253"/>
      <c r="K70" s="41"/>
      <c r="L70" s="256">
        <f>SUMIFS(BV_Data_An_Cour!$O:$O,BV_Data_An_Cour!$U:$U,$B70,BV_Data_An_Cour!$V:$V,$C70,BV_Data_An_Cour!$W:$W,L$2)</f>
        <v>0</v>
      </c>
      <c r="M70" s="253"/>
      <c r="N70" s="276">
        <f t="shared" si="19"/>
        <v>0</v>
      </c>
      <c r="O70" s="253"/>
      <c r="P70" s="41"/>
      <c r="Q70" s="256">
        <f t="array" ref="Q70">+INDEX('Réel 2024'!$A$2:$AO$501,MATCH($A70,'Réel 2024'!$A$2:$A$501,0),MATCH(Q$2,'Réel 2024'!$A$2:$AO$2,0))</f>
        <v>0</v>
      </c>
      <c r="R70" s="253"/>
      <c r="S70" s="276">
        <f t="shared" si="20"/>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358</v>
      </c>
      <c r="B71" s="41" t="s">
        <v>92</v>
      </c>
      <c r="C71" s="253" t="s">
        <v>59</v>
      </c>
      <c r="D71" s="297"/>
      <c r="E71" s="41"/>
      <c r="F71" s="254">
        <f>+INDEX('Budget original'!$A$2:$AO$501,MATCH($A71,'Budget original'!$A$2:$A$501,0),MATCH(F$2,'Budget original'!$A$2:$AO$2,0))</f>
        <v>0</v>
      </c>
      <c r="G71" s="298"/>
      <c r="H71" s="41"/>
      <c r="I71" s="254"/>
      <c r="J71" s="253"/>
      <c r="K71" s="41"/>
      <c r="L71" s="256">
        <f>SUMIFS(BV_Data_An_Cour!$O:$O,BV_Data_An_Cour!$U:$U,$B71,BV_Data_An_Cour!$V:$V,$C71,BV_Data_An_Cour!$W:$W,L$2)*0.32</f>
        <v>0</v>
      </c>
      <c r="M71" s="253"/>
      <c r="N71" s="276">
        <f t="shared" si="19"/>
        <v>0</v>
      </c>
      <c r="O71" s="253"/>
      <c r="P71" s="41"/>
      <c r="Q71" s="256">
        <f t="array" ref="Q71">+INDEX('Réel 2024'!$A$2:$AO$501,MATCH($A71,'Réel 2024'!$A$2:$A$501,0),MATCH(Q$2,'Réel 2024'!$A$2:$AO$2,0))</f>
        <v>0</v>
      </c>
      <c r="R71" s="253"/>
      <c r="S71" s="276">
        <f t="shared" si="20"/>
        <v>0</v>
      </c>
      <c r="T71" s="41"/>
      <c r="X71" s="41"/>
      <c r="Y71" s="41"/>
      <c r="Z71" s="41"/>
      <c r="AA71" s="41"/>
      <c r="AB71" s="41"/>
      <c r="AC71" s="41"/>
      <c r="AD71" s="41"/>
      <c r="AE71" s="41"/>
      <c r="AF71" s="41"/>
      <c r="AG71" s="41"/>
      <c r="AH71" s="41"/>
      <c r="AI71" s="41"/>
      <c r="AJ71" s="41"/>
      <c r="AK71" s="41"/>
      <c r="AL71" s="41"/>
      <c r="AM71" s="41"/>
      <c r="AN71" s="41"/>
    </row>
    <row r="72" spans="1:40" ht="15.75" customHeight="1">
      <c r="A72" s="5" t="s">
        <v>400</v>
      </c>
      <c r="B72" s="41" t="s">
        <v>92</v>
      </c>
      <c r="C72" s="304" t="s">
        <v>143</v>
      </c>
      <c r="D72" s="305" t="s">
        <v>119</v>
      </c>
      <c r="E72" s="306">
        <f>F72/F$27</f>
        <v>0.15518403584454293</v>
      </c>
      <c r="F72" s="307">
        <f>+SUM(F55:F71)</f>
        <v>32806.602940182383</v>
      </c>
      <c r="G72" s="308"/>
      <c r="H72" s="306"/>
      <c r="I72" s="307"/>
      <c r="J72" s="308" t="s">
        <v>119</v>
      </c>
      <c r="K72" s="306">
        <f>L72/L$27</f>
        <v>0.18669008492729958</v>
      </c>
      <c r="L72" s="307">
        <f>+SUM(L55:L71)</f>
        <v>38091.22</v>
      </c>
      <c r="M72" s="311"/>
      <c r="N72" s="307">
        <f>+SUM(N55:N71)</f>
        <v>5284.6170598176195</v>
      </c>
      <c r="O72" s="308" t="s">
        <v>119</v>
      </c>
      <c r="P72" s="306">
        <f>Q72/Q$27</f>
        <v>0.12965551825895325</v>
      </c>
      <c r="Q72" s="307">
        <f>+SUM(Q55:Q71)</f>
        <v>30550.040000000005</v>
      </c>
      <c r="R72" s="311"/>
      <c r="S72" s="307">
        <f>+SUM(S55:S71)</f>
        <v>7541.1800000000021</v>
      </c>
      <c r="T72" s="41"/>
      <c r="X72" s="41"/>
      <c r="Y72" s="41"/>
      <c r="Z72" s="41"/>
      <c r="AA72" s="41"/>
      <c r="AB72" s="41"/>
      <c r="AC72" s="41"/>
      <c r="AD72" s="41"/>
      <c r="AE72" s="41"/>
      <c r="AF72" s="41"/>
      <c r="AG72" s="41"/>
      <c r="AH72" s="41"/>
      <c r="AI72" s="41"/>
      <c r="AJ72" s="41"/>
      <c r="AK72" s="41"/>
      <c r="AL72" s="41"/>
      <c r="AM72" s="41"/>
      <c r="AN72" s="41"/>
    </row>
    <row r="73" spans="1:40" ht="15.75" customHeight="1">
      <c r="A73" s="5" t="s">
        <v>92</v>
      </c>
      <c r="B73" s="41" t="s">
        <v>92</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401</v>
      </c>
      <c r="B74" s="41" t="s">
        <v>92</v>
      </c>
      <c r="C74" s="304" t="s">
        <v>144</v>
      </c>
      <c r="D74" s="305" t="s">
        <v>119</v>
      </c>
      <c r="E74" s="306">
        <f>F74/F$27</f>
        <v>1.1750583964248951</v>
      </c>
      <c r="F74" s="307">
        <f>F41+F54+F72</f>
        <v>248412.62848490715</v>
      </c>
      <c r="G74" s="308"/>
      <c r="H74" s="306"/>
      <c r="I74" s="307"/>
      <c r="J74" s="308" t="s">
        <v>119</v>
      </c>
      <c r="K74" s="306">
        <f>L74/L$27</f>
        <v>1.0370708857045789</v>
      </c>
      <c r="L74" s="307">
        <f>L41+L54+L72</f>
        <v>211598.25000000003</v>
      </c>
      <c r="M74" s="311"/>
      <c r="N74" s="320">
        <f t="shared" ref="N74:N82" si="21">L74-F74</f>
        <v>-36814.378484907123</v>
      </c>
      <c r="O74" s="308" t="s">
        <v>119</v>
      </c>
      <c r="P74" s="306">
        <f>Q74/Q$27</f>
        <v>0.99310912592008649</v>
      </c>
      <c r="Q74" s="307">
        <f>Q41+Q54+Q72</f>
        <v>234001.02</v>
      </c>
      <c r="R74" s="311"/>
      <c r="S74" s="320">
        <f>L74-Q74</f>
        <v>-22402.76999999996</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402</v>
      </c>
      <c r="B75" s="41" t="s">
        <v>92</v>
      </c>
      <c r="C75" s="253" t="s">
        <v>145</v>
      </c>
      <c r="D75" s="297"/>
      <c r="E75" s="41"/>
      <c r="F75" s="254">
        <f>+INDEX('Budget original'!$A$2:$AO$501,MATCH($A75,'Budget original'!$A$2:$A$501,0),MATCH(F$2,'Budget original'!$A$2:$AO$2,0))</f>
        <v>0</v>
      </c>
      <c r="G75" s="298"/>
      <c r="H75" s="41"/>
      <c r="I75" s="254"/>
      <c r="J75" s="253"/>
      <c r="K75" s="41"/>
      <c r="L75" s="256">
        <f>-SUMIFS(BV_Data_An_Cour!$O:$O,BV_Data_An_Cour!$U:$U,$B75,BV_Data_An_Cour!$V:$V,$C75,BV_Data_An_Cour!$W:$W,L$2)-L156</f>
        <v>0</v>
      </c>
      <c r="M75" s="253"/>
      <c r="N75" s="276">
        <f t="shared" si="21"/>
        <v>0</v>
      </c>
      <c r="O75" s="253"/>
      <c r="P75" s="41"/>
      <c r="Q75" s="256">
        <f>+INDEX('Réel 2024'!$A$2:$AO$501,MATCH($A75,'Réel 2024'!$A$2:$A$501,0),MATCH(Q$2,'Réel 2024'!$A$2:$AO$2,0))</f>
        <v>0</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403</v>
      </c>
      <c r="B76" s="41" t="s">
        <v>92</v>
      </c>
      <c r="C76" s="253" t="s">
        <v>146</v>
      </c>
      <c r="D76" s="297"/>
      <c r="E76" s="41"/>
      <c r="F76" s="254">
        <f>+INDEX('Budget original'!$A$2:$AO$501,MATCH($A76,'Budget original'!$A$2:$A$501,0),MATCH(F$2,'Budget original'!$A$2:$AO$2,0))</f>
        <v>0</v>
      </c>
      <c r="G76" s="298"/>
      <c r="H76" s="41"/>
      <c r="I76" s="254"/>
      <c r="J76" s="253"/>
      <c r="K76" s="41"/>
      <c r="L76" s="256">
        <f>-SUMIFS(BV_Data_An_Cour!$O:$O,BV_Data_An_Cour!$U:$U,$B76,BV_Data_An_Cour!$V:$V,$C76,BV_Data_An_Cour!$W:$W,L$2)</f>
        <v>0</v>
      </c>
      <c r="M76" s="253"/>
      <c r="N76" s="276">
        <f t="shared" si="21"/>
        <v>0</v>
      </c>
      <c r="O76" s="253"/>
      <c r="P76" s="41"/>
      <c r="Q76" s="256">
        <f t="array" ref="Q76">+INDEX('Réel 2024'!$A$2:$AO$501,MATCH($A76,'Réel 2024'!$A$2:$A$501,0),MATCH(Q$2,'Réel 2024'!$A$2:$AO$2,0))</f>
        <v>0</v>
      </c>
      <c r="R76" s="253"/>
      <c r="S76" s="276">
        <f t="shared" ref="S76:S82" si="22">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404</v>
      </c>
      <c r="B77" s="41" t="s">
        <v>92</v>
      </c>
      <c r="C77" s="253" t="s">
        <v>147</v>
      </c>
      <c r="D77" s="297"/>
      <c r="E77" s="41"/>
      <c r="F77" s="254">
        <f>+INDEX('Budget original'!$A$2:$AO$501,MATCH($A77,'Budget original'!$A$2:$A$501,0),MATCH(F$2,'Budget original'!$A$2:$AO$2,0))</f>
        <v>0</v>
      </c>
      <c r="G77" s="298"/>
      <c r="H77" s="41"/>
      <c r="I77" s="254"/>
      <c r="J77" s="253"/>
      <c r="K77" s="41"/>
      <c r="L77" s="256">
        <f>-SUMIFS(BV_Data_An_Cour!$O:$O,BV_Data_An_Cour!$U:$U,$B77,BV_Data_An_Cour!$V:$V,$C77,BV_Data_An_Cour!$W:$W,L$2)</f>
        <v>0</v>
      </c>
      <c r="M77" s="253"/>
      <c r="N77" s="276">
        <f t="shared" si="21"/>
        <v>0</v>
      </c>
      <c r="O77" s="253"/>
      <c r="P77" s="41"/>
      <c r="Q77" s="256">
        <f t="array" ref="Q77">+INDEX('Réel 2024'!$A$2:$AO$501,MATCH($A77,'Réel 2024'!$A$2:$A$501,0),MATCH(Q$2,'Réel 2024'!$A$2:$AO$2,0))</f>
        <v>0</v>
      </c>
      <c r="R77" s="253"/>
      <c r="S77" s="276">
        <f t="shared" si="22"/>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405</v>
      </c>
      <c r="B78" s="41" t="s">
        <v>92</v>
      </c>
      <c r="C78" s="253" t="s">
        <v>148</v>
      </c>
      <c r="D78" s="297"/>
      <c r="E78" s="1017">
        <f>+F78/D27</f>
        <v>1388.0997122512033</v>
      </c>
      <c r="F78" s="254">
        <f>+INDEX('Budget original'!$A$2:$AO$501,MATCH($A78,'Budget original'!$A$2:$A$501,0),MATCH(F$2,'Budget original'!$A$2:$AO$2,0))</f>
        <v>87450.281871825806</v>
      </c>
      <c r="G78" s="298"/>
      <c r="H78" s="41"/>
      <c r="I78" s="254"/>
      <c r="J78" s="1210">
        <f>K78/E78</f>
        <v>0.87876037058288237</v>
      </c>
      <c r="K78" s="1017">
        <f>+L78/J27</f>
        <v>1219.8070175438597</v>
      </c>
      <c r="L78" s="256">
        <f>-SUMIFS(BV_Data_An_Cour!$O:$O,BV_Data_An_Cour!$U:$U,$B78,BV_Data_An_Cour!$V:$V,$C78,BV_Data_An_Cour!$W:$W,L$2)</f>
        <v>69529</v>
      </c>
      <c r="M78" s="253"/>
      <c r="N78" s="276">
        <f t="shared" si="21"/>
        <v>-17921.281871825806</v>
      </c>
      <c r="O78" s="253"/>
      <c r="P78" s="41"/>
      <c r="Q78" s="256">
        <f t="array" ref="Q78">+INDEX('Réel 2024'!$A$2:$AO$501,MATCH($A78,'Réel 2024'!$A$2:$A$501,0),MATCH(Q$2,'Réel 2024'!$A$2:$AO$2,0))</f>
        <v>99044.7</v>
      </c>
      <c r="R78" s="253"/>
      <c r="S78" s="276">
        <f t="shared" si="22"/>
        <v>-29515.699999999997</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358</v>
      </c>
      <c r="B79" s="41" t="s">
        <v>92</v>
      </c>
      <c r="C79" s="253" t="s">
        <v>59</v>
      </c>
      <c r="D79" s="297"/>
      <c r="E79" s="41"/>
      <c r="F79" s="254">
        <f>+INDEX('Budget original'!$A$2:$AO$501,MATCH($A79,'Budget original'!$A$2:$A$501,0),MATCH(F$2,'Budget original'!$A$2:$AO$2,0))</f>
        <v>0</v>
      </c>
      <c r="G79" s="298"/>
      <c r="H79" s="41"/>
      <c r="I79" s="254"/>
      <c r="J79" s="253"/>
      <c r="K79" s="41"/>
      <c r="L79" s="256">
        <f>-SUMIFS(BV_Data_An_Cour!$O:$O,BV_Data_An_Cour!$U:$U,$B79,BV_Data_An_Cour!$V:$V,$C79,BV_Data_An_Cour!$W:$W,L$2)</f>
        <v>0</v>
      </c>
      <c r="M79" s="253"/>
      <c r="N79" s="276">
        <f t="shared" si="21"/>
        <v>0</v>
      </c>
      <c r="O79" s="253"/>
      <c r="P79" s="41"/>
      <c r="Q79" s="256">
        <f t="array" ref="Q79">+INDEX('Réel 2024'!$A$2:$AO$501,MATCH($A79,'Réel 2024'!$A$2:$A$501,0),MATCH(Q$2,'Réel 2024'!$A$2:$AO$2,0))</f>
        <v>0</v>
      </c>
      <c r="R79" s="253"/>
      <c r="S79" s="276">
        <f t="shared" si="22"/>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358</v>
      </c>
      <c r="B80" s="41" t="s">
        <v>92</v>
      </c>
      <c r="C80" s="253" t="s">
        <v>59</v>
      </c>
      <c r="D80" s="297"/>
      <c r="E80" s="41"/>
      <c r="F80" s="254">
        <f>+INDEX('Budget original'!$A$2:$AO$501,MATCH($A80,'Budget original'!$A$2:$A$501,0),MATCH(F$2,'Budget original'!$A$2:$AO$2,0))</f>
        <v>0</v>
      </c>
      <c r="G80" s="298"/>
      <c r="H80" s="41"/>
      <c r="I80" s="254"/>
      <c r="J80" s="253"/>
      <c r="K80" s="41"/>
      <c r="L80" s="256">
        <f>-SUMIFS(BV_Data_An_Cour!$O:$O,BV_Data_An_Cour!$U:$U,$B80,BV_Data_An_Cour!$V:$V,$C80,BV_Data_An_Cour!$W:$W,L$2)</f>
        <v>0</v>
      </c>
      <c r="M80" s="253"/>
      <c r="N80" s="276">
        <f t="shared" si="21"/>
        <v>0</v>
      </c>
      <c r="O80" s="253"/>
      <c r="P80" s="41"/>
      <c r="Q80" s="256">
        <f t="array" ref="Q80">+INDEX('Réel 2024'!$A$2:$AO$501,MATCH($A80,'Réel 2024'!$A$2:$A$501,0),MATCH(Q$2,'Réel 2024'!$A$2:$AO$2,0))</f>
        <v>0</v>
      </c>
      <c r="R80" s="253"/>
      <c r="S80" s="276">
        <f t="shared" si="22"/>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358</v>
      </c>
      <c r="B81" s="41" t="s">
        <v>92</v>
      </c>
      <c r="C81" s="253" t="s">
        <v>59</v>
      </c>
      <c r="D81" s="297"/>
      <c r="E81" s="41"/>
      <c r="F81" s="254">
        <f>+INDEX('Budget original'!$A$2:$AO$501,MATCH($A81,'Budget original'!$A$2:$A$501,0),MATCH(F$2,'Budget original'!$A$2:$AO$2,0))</f>
        <v>0</v>
      </c>
      <c r="G81" s="298"/>
      <c r="H81" s="41"/>
      <c r="I81" s="254"/>
      <c r="J81" s="253"/>
      <c r="K81" s="41"/>
      <c r="L81" s="256">
        <f>-SUMIFS(BV_Data_An_Cour!$O:$O,BV_Data_An_Cour!$U:$U,$B81,BV_Data_An_Cour!$V:$V,$C81,BV_Data_An_Cour!$W:$W,L$2)</f>
        <v>0</v>
      </c>
      <c r="M81" s="253"/>
      <c r="N81" s="276">
        <f t="shared" si="21"/>
        <v>0</v>
      </c>
      <c r="O81" s="253"/>
      <c r="P81" s="41"/>
      <c r="Q81" s="256">
        <f t="array" ref="Q81">+INDEX('Réel 2024'!$A$2:$AO$501,MATCH($A81,'Réel 2024'!$A$2:$A$501,0),MATCH(Q$2,'Réel 2024'!$A$2:$AO$2,0))</f>
        <v>0</v>
      </c>
      <c r="R81" s="253"/>
      <c r="S81" s="276">
        <f t="shared" si="22"/>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3" t="s">
        <v>406</v>
      </c>
      <c r="B82" s="321" t="s">
        <v>92</v>
      </c>
      <c r="C82" s="253" t="s">
        <v>149</v>
      </c>
      <c r="D82" s="1159">
        <f>E82/499</f>
        <v>0.95</v>
      </c>
      <c r="E82" s="323">
        <f>+F82/D24</f>
        <v>474.04999999999995</v>
      </c>
      <c r="F82" s="254">
        <f>+INDEX('Budget original'!$A$2:$AO$501,MATCH($A82,'Budget original'!$A$2:$A$501,0),MATCH(F$2,'Budget original'!$A$2:$AO$2,0))</f>
        <v>28917.049999999996</v>
      </c>
      <c r="G82" s="298"/>
      <c r="H82" s="41"/>
      <c r="I82" s="254"/>
      <c r="J82" s="1161">
        <f>K82/474</f>
        <v>0.98067954696868764</v>
      </c>
      <c r="K82" s="323">
        <f>+L82/J24</f>
        <v>464.84210526315792</v>
      </c>
      <c r="L82" s="256">
        <f>-SUMIFS(BV_Data_An_Cour!$O:$O,BV_Data_An_Cour!$U:$U,$B82,BV_Data_An_Cour!$V:$V,$C82,BV_Data_An_Cour!$W:$W,L$2)</f>
        <v>26496</v>
      </c>
      <c r="M82" s="253"/>
      <c r="N82" s="276">
        <f t="shared" si="21"/>
        <v>-2421.0499999999956</v>
      </c>
      <c r="O82" s="253"/>
      <c r="P82" s="41"/>
      <c r="Q82" s="256">
        <f t="array" ref="Q82">+INDEX('Réel 2024'!$A$2:$AO$501,MATCH($A82,'Réel 2024'!$A$2:$A$501,0),MATCH(Q$2,'Réel 2024'!$A$2:$AO$2,0))</f>
        <v>32586</v>
      </c>
      <c r="R82" s="253"/>
      <c r="S82" s="276">
        <f t="shared" si="22"/>
        <v>-6090</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407</v>
      </c>
      <c r="B83" s="41" t="s">
        <v>92</v>
      </c>
      <c r="C83" s="304" t="s">
        <v>150</v>
      </c>
      <c r="D83" s="305"/>
      <c r="E83" s="306"/>
      <c r="F83" s="307">
        <f>+SUM(F75:F82)</f>
        <v>116367.33187182579</v>
      </c>
      <c r="G83" s="308"/>
      <c r="H83" s="306"/>
      <c r="I83" s="307"/>
      <c r="J83" s="308"/>
      <c r="K83" s="306"/>
      <c r="L83" s="307">
        <f>+SUM(L75:L82)</f>
        <v>96025</v>
      </c>
      <c r="M83" s="311"/>
      <c r="N83" s="307">
        <f>+SUM(N75:N82)</f>
        <v>-20342.331871825801</v>
      </c>
      <c r="O83" s="308"/>
      <c r="P83" s="306"/>
      <c r="Q83" s="307">
        <f>+SUM(Q75:Q82)</f>
        <v>131630.70000000001</v>
      </c>
      <c r="R83" s="311"/>
      <c r="S83" s="307">
        <f>+SUM(S75:S82)</f>
        <v>-35605.699999999997</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92</v>
      </c>
      <c r="B84" s="41" t="s">
        <v>92</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408</v>
      </c>
      <c r="B85" s="41" t="s">
        <v>92</v>
      </c>
      <c r="C85" s="332" t="s">
        <v>151</v>
      </c>
      <c r="D85" s="333"/>
      <c r="E85" s="334"/>
      <c r="F85" s="335">
        <f>F27-F74+F83</f>
        <v>79359.199742759694</v>
      </c>
      <c r="G85" s="336"/>
      <c r="H85" s="334"/>
      <c r="I85" s="335"/>
      <c r="J85" s="336"/>
      <c r="K85" s="333"/>
      <c r="L85" s="335">
        <f>L27-L74+L83</f>
        <v>88461.260000000213</v>
      </c>
      <c r="M85" s="336"/>
      <c r="N85" s="335">
        <f>N27-N41-N54-N72+N83</f>
        <v>9102.0602572405624</v>
      </c>
      <c r="O85" s="336"/>
      <c r="P85" s="1147">
        <f>Q85/Q5</f>
        <v>3.4113030664558008E-2</v>
      </c>
      <c r="Q85" s="335">
        <f>Q27-Q74+Q83</f>
        <v>133254.35999999993</v>
      </c>
      <c r="R85" s="336"/>
      <c r="S85" s="335">
        <f>S27-S41-S54-S72+S83</f>
        <v>-44793.099999999678</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37"/>
      <c r="K86" s="59"/>
      <c r="L86" s="1175"/>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38"/>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39" t="str">
        <f>C1</f>
        <v>Volks</v>
      </c>
      <c r="D89" s="232"/>
      <c r="E89" s="232"/>
      <c r="F89" s="232"/>
      <c r="G89" s="232"/>
      <c r="H89" s="36"/>
      <c r="I89" s="36"/>
      <c r="J89" s="36"/>
      <c r="K89" s="9" t="s">
        <v>152</v>
      </c>
      <c r="L89" s="232"/>
      <c r="M89" s="232"/>
      <c r="N89" s="36"/>
      <c r="O89" s="36"/>
      <c r="P89" s="232"/>
      <c r="Q89" s="36"/>
      <c r="R89" s="232"/>
      <c r="S89" s="10" t="str">
        <f>$S$1</f>
        <v>Réalisé, Mai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18" t="s">
        <v>343</v>
      </c>
      <c r="E91" s="1219"/>
      <c r="F91" s="1220"/>
      <c r="G91" s="1223"/>
      <c r="H91" s="1219"/>
      <c r="I91" s="1220"/>
      <c r="J91" s="1223" t="s">
        <v>344</v>
      </c>
      <c r="K91" s="1219"/>
      <c r="L91" s="1220"/>
      <c r="M91" s="1223" t="s">
        <v>3310</v>
      </c>
      <c r="N91" s="1220"/>
      <c r="O91" s="1218" t="s">
        <v>345</v>
      </c>
      <c r="P91" s="1219"/>
      <c r="Q91" s="1220"/>
      <c r="R91" s="1221" t="s">
        <v>3312</v>
      </c>
      <c r="S91" s="1222"/>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3318</v>
      </c>
      <c r="K92" s="243" t="s">
        <v>94</v>
      </c>
      <c r="L92" s="244" t="s">
        <v>95</v>
      </c>
      <c r="M92" s="245" t="s">
        <v>3318</v>
      </c>
      <c r="N92" s="244" t="s">
        <v>95</v>
      </c>
      <c r="O92" s="243" t="s">
        <v>93</v>
      </c>
      <c r="P92" s="243" t="s">
        <v>348</v>
      </c>
      <c r="Q92" s="244" t="s">
        <v>95</v>
      </c>
      <c r="R92" s="245" t="s">
        <v>3318</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409</v>
      </c>
      <c r="B93" s="41" t="s">
        <v>152</v>
      </c>
      <c r="C93" s="246" t="s">
        <v>96</v>
      </c>
      <c r="D93" s="250"/>
      <c r="E93" s="250"/>
      <c r="F93" s="248">
        <f>+INDEX('Budget original'!$A$2:$AO$501,MATCH($A93,'Budget original'!$A$2:$A$501,0),MATCH(F$2,'Budget original'!$A$2:$AO$2,0))</f>
        <v>2037727.6949818912</v>
      </c>
      <c r="G93" s="267"/>
      <c r="H93" s="250"/>
      <c r="I93" s="248"/>
      <c r="J93" s="246"/>
      <c r="K93" s="250"/>
      <c r="L93" s="248">
        <f>-SUMIFS(BV_Data_An_Cour!$O:$O,BV_Data_An_Cour!$X:$X,"Oui",BV_Data_An_Cour!$U:$U,$B93)</f>
        <v>1290713.76</v>
      </c>
      <c r="M93" s="342"/>
      <c r="N93" s="343"/>
      <c r="O93" s="246"/>
      <c r="P93" s="250"/>
      <c r="Q93" s="248">
        <f t="array" ref="Q93">+INDEX('Réel 2024'!$A$2:$AO$501,MATCH($A93,'Réel 2024'!$A$2:$A$501,0),MATCH(Q$2,'Réel 2024'!$A$2:$AO$2,0))</f>
        <v>1785178.63</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410</v>
      </c>
      <c r="B94" s="41" t="s">
        <v>152</v>
      </c>
      <c r="C94" s="253" t="s">
        <v>153</v>
      </c>
      <c r="D94" s="254">
        <f>+INDEX('Budget original'!$A$2:$AO$501,MATCH($A94,'Budget original'!$A$2:$A$501,0),MATCH(D$2,'Budget original'!$A$2:$AO$2,0))</f>
        <v>31</v>
      </c>
      <c r="E94" s="254">
        <f>IF(D94=0,0,F94/D94)</f>
        <v>1400</v>
      </c>
      <c r="F94" s="254">
        <f>+INDEX('Budget original'!$A$2:$AO$501,MATCH($A94,'Budget original'!$A$2:$A$501,0),MATCH(F$2,'Budget original'!$A$2:$AO$2,0))</f>
        <v>43400</v>
      </c>
      <c r="G94" s="255"/>
      <c r="H94" s="254"/>
      <c r="I94" s="254"/>
      <c r="J94" s="255">
        <f>-SUMIFS(BV_Data_An_Cour!$O:$O,BV_Data_An_Cour!$U:$U,$B94,BV_Data_An_Cour!$V:$V,$C94,BV_Data_An_Cour!$W:$W,J$2)</f>
        <v>29</v>
      </c>
      <c r="K94" s="254">
        <f t="shared" ref="K94:K95" si="23">IF(J94=0,0,L94/J94)</f>
        <v>1404.1734482758638</v>
      </c>
      <c r="L94" s="256">
        <f>-SUMIFS(BV_Data_An_Cour!$O:$O,BV_Data_An_Cour!$U:$U,$B94,BV_Data_An_Cour!$V:$V,$C94,BV_Data_An_Cour!$W:$W,$L2)</f>
        <v>40721.03000000005</v>
      </c>
      <c r="M94" s="255">
        <f>J94-D94</f>
        <v>-2</v>
      </c>
      <c r="N94" s="256">
        <f>L94-F94</f>
        <v>-2678.9699999999502</v>
      </c>
      <c r="O94" s="255">
        <f t="array" ref="O94">+INDEX('Réel 2024'!$A$2:$AO$501,MATCH($A94,'Réel 2024'!$A$2:$A$501,0),MATCH(O$2,'Réel 2024'!$A$2:$AO$2,0))</f>
        <v>38</v>
      </c>
      <c r="P94" s="254">
        <f t="shared" ref="P94:P96" si="24">IF(O94=0,0,Q94/O94)</f>
        <v>23.055789473685028</v>
      </c>
      <c r="Q94" s="256">
        <f t="array" ref="Q94">+INDEX('Réel 2024'!$A$2:$AO$501,MATCH($A94,'Réel 2024'!$A$2:$A$501,0),MATCH(Q$2,'Réel 2024'!$A$2:$AO$2,0))</f>
        <v>876.12000000003104</v>
      </c>
      <c r="R94" s="255">
        <f t="shared" ref="R94:R95" si="25">J94-O94</f>
        <v>-9</v>
      </c>
      <c r="S94" s="256">
        <f t="shared" ref="S94:S95" si="26">L94-Q94</f>
        <v>39844.910000000018</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411</v>
      </c>
      <c r="B95" s="41" t="s">
        <v>152</v>
      </c>
      <c r="C95" s="253" t="s">
        <v>154</v>
      </c>
      <c r="D95" s="254">
        <f>+INDEX('Budget original'!$A$2:$AO$501,MATCH($A95,'Budget original'!$A$2:$A$501,0),MATCH(D$2,'Budget original'!$A$2:$AO$2,0))</f>
        <v>4</v>
      </c>
      <c r="E95" s="1076">
        <f t="shared" ref="E95:E105" si="27">IF(D95=0,0,F95/D95)</f>
        <v>1800</v>
      </c>
      <c r="F95" s="254">
        <f>+INDEX('Budget original'!$A$2:$AO$501,MATCH($A95,'Budget original'!$A$2:$A$501,0),MATCH(F$2,'Budget original'!$A$2:$AO$2,0))</f>
        <v>7200</v>
      </c>
      <c r="G95" s="255"/>
      <c r="H95" s="254"/>
      <c r="I95" s="254"/>
      <c r="J95" s="255">
        <f>-SUMIFS(BV_Data_An_Cour!$O:$O,BV_Data_An_Cour!$U:$U,$B95,BV_Data_An_Cour!$V:$V,$C95,BV_Data_An_Cour!$W:$W,J$2)</f>
        <v>1</v>
      </c>
      <c r="K95" s="254">
        <f t="shared" si="23"/>
        <v>1376.0299999999993</v>
      </c>
      <c r="L95" s="256">
        <f>-SUMIFS(BV_Data_An_Cour!$O:$O,BV_Data_An_Cour!$U:$U,$B95,BV_Data_An_Cour!$V:$V,$C95,BV_Data_An_Cour!$W:$W,$L2)</f>
        <v>1376.0299999999993</v>
      </c>
      <c r="M95" s="255">
        <f>J95-D95</f>
        <v>-3</v>
      </c>
      <c r="N95" s="256">
        <f>L95-F95</f>
        <v>-5823.9700000000012</v>
      </c>
      <c r="O95" s="255">
        <f t="array" ref="O95">+INDEX('Réel 2024'!$A$2:$AO$501,MATCH($A95,'Réel 2024'!$A$2:$A$501,0),MATCH(O$2,'Réel 2024'!$A$2:$AO$2,0))</f>
        <v>2</v>
      </c>
      <c r="P95" s="254">
        <f t="shared" si="24"/>
        <v>-811.44999999999504</v>
      </c>
      <c r="Q95" s="256">
        <f t="array" ref="Q95">+INDEX('Réel 2024'!$A$2:$AO$501,MATCH($A95,'Réel 2024'!$A$2:$A$501,0),MATCH(Q$2,'Réel 2024'!$A$2:$AO$2,0))</f>
        <v>-1622.8999999999901</v>
      </c>
      <c r="R95" s="255">
        <f t="shared" si="25"/>
        <v>-1</v>
      </c>
      <c r="S95" s="256">
        <f t="shared" si="26"/>
        <v>2998.9299999999894</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B96&amp;C96</f>
        <v>Véhicules usagésAutres Marques</v>
      </c>
      <c r="B96" s="41" t="s">
        <v>152</v>
      </c>
      <c r="C96" s="987" t="s">
        <v>3859</v>
      </c>
      <c r="D96" s="254">
        <f>+INDEX('Budget original'!$A$2:$AO$501,MATCH($A96,'Budget original'!$A$2:$A$501,0),MATCH(D$2,'Budget original'!$A$2:$AO$2,0))</f>
        <v>5</v>
      </c>
      <c r="E96" s="1078">
        <f t="shared" si="27"/>
        <v>1500</v>
      </c>
      <c r="F96" s="254">
        <f>+INDEX('Budget original'!$A$2:$AO$501,MATCH($A96,'Budget original'!$A$2:$A$501,0),MATCH(F$2,'Budget original'!$A$2:$AO$2,0))</f>
        <v>7500</v>
      </c>
      <c r="G96" s="1077"/>
      <c r="H96" s="254"/>
      <c r="I96" s="254"/>
      <c r="J96" s="1077">
        <f>-SUMIFS(BV_Data_An_Cour!$O:$O,BV_Data_An_Cour!$U:$U,$B96,BV_Data_An_Cour!$V:$V,$C96,BV_Data_An_Cour!$W:$W,J$2)</f>
        <v>0</v>
      </c>
      <c r="K96" s="254">
        <f t="shared" ref="K96" si="28">IF(J96=0,0,L96/J96)</f>
        <v>0</v>
      </c>
      <c r="L96" s="952">
        <f>-SUMIFS(BV_Data_An_Cour!$O:$O,BV_Data_An_Cour!$U:$U,$B96,BV_Data_An_Cour!$V:$V,$C96,BV_Data_An_Cour!$W:$W,$L2)</f>
        <v>0</v>
      </c>
      <c r="M96" s="1077">
        <f>J96-D96</f>
        <v>-5</v>
      </c>
      <c r="N96" s="952">
        <f>L96-F96</f>
        <v>-7500</v>
      </c>
      <c r="O96" s="1077">
        <f>+INDEX('Réel 2024'!$A$2:$AO$501,MATCH($A96,'Réel 2024'!$A$2:$A$501,0),MATCH(O$2,'Réel 2024'!$A$2:$AO$2,0))</f>
        <v>0</v>
      </c>
      <c r="P96" s="254">
        <f t="shared" si="24"/>
        <v>0</v>
      </c>
      <c r="Q96" s="952">
        <f>+INDEX('Réel 2024'!$A$2:$AO$501,MATCH($A96,'Réel 2024'!$A$2:$A$501,0),MATCH(Q$2,'Réel 2024'!$A$2:$AO$2,0))</f>
        <v>0</v>
      </c>
      <c r="R96" s="1077">
        <f>J96-O96</f>
        <v>0</v>
      </c>
      <c r="S96" s="952">
        <f>L96-Q96</f>
        <v>0</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ref="A97:A99" si="29">B97&amp;C97</f>
        <v>Véhicules usagésTotal Usagés</v>
      </c>
      <c r="B97" s="41" t="s">
        <v>152</v>
      </c>
      <c r="C97" s="259" t="s">
        <v>155</v>
      </c>
      <c r="D97" s="260">
        <f>+D95+D94+D96</f>
        <v>40</v>
      </c>
      <c r="E97" s="254">
        <f t="shared" si="27"/>
        <v>1452.5</v>
      </c>
      <c r="F97" s="261">
        <f>+F94+F95+F96</f>
        <v>58100</v>
      </c>
      <c r="G97" s="262"/>
      <c r="H97" s="260"/>
      <c r="I97" s="261"/>
      <c r="J97" s="262">
        <f>+J94+J95+J96</f>
        <v>30</v>
      </c>
      <c r="K97" s="260">
        <f>IF(J97&lt;=0,0,L97/J97)</f>
        <v>1403.2353333333349</v>
      </c>
      <c r="L97" s="261">
        <f>+L94+L95+L96</f>
        <v>42097.060000000049</v>
      </c>
      <c r="M97" s="262">
        <f>J97-D97</f>
        <v>-10</v>
      </c>
      <c r="N97" s="261">
        <f>L97-F97</f>
        <v>-16002.939999999951</v>
      </c>
      <c r="O97" s="262">
        <f>+O95+O94+O96</f>
        <v>40</v>
      </c>
      <c r="P97" s="260">
        <f>IF(O97=0,0,Q97/O97)</f>
        <v>-18.669499999998976</v>
      </c>
      <c r="Q97" s="261">
        <f>+Q94+Q95+Q96</f>
        <v>-746.77999999995905</v>
      </c>
      <c r="R97" s="262">
        <f>R94+R95</f>
        <v>-10</v>
      </c>
      <c r="S97" s="261">
        <f>S94+S95</f>
        <v>42843.840000000011</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9"/>
        <v>Véhicules usagés</v>
      </c>
      <c r="B98" s="41" t="s">
        <v>152</v>
      </c>
      <c r="C98" s="253"/>
      <c r="D98" s="41"/>
      <c r="E98" s="254">
        <f t="shared" si="27"/>
        <v>0</v>
      </c>
      <c r="F98" s="263"/>
      <c r="G98" s="253"/>
      <c r="H98" s="41"/>
      <c r="I98" s="263"/>
      <c r="J98" s="253"/>
      <c r="K98" s="41"/>
      <c r="L98" s="263"/>
      <c r="M98" s="345">
        <f>M97/D97</f>
        <v>-0.25</v>
      </c>
      <c r="N98" s="346">
        <f>N97/F97</f>
        <v>-0.27543786574870827</v>
      </c>
      <c r="O98" s="253"/>
      <c r="P98" s="41">
        <f t="shared" ref="P98" si="30">IF(O98=0,0,Q98/O98)</f>
        <v>0</v>
      </c>
      <c r="Q98" s="263"/>
      <c r="R98" s="345">
        <f>R97/O97</f>
        <v>-0.25</v>
      </c>
      <c r="S98" s="346">
        <f>IF(Q97=0,0,(S97/Q97))</f>
        <v>-57.371434692951553</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9"/>
        <v>Véhicules usagés</v>
      </c>
      <c r="B99" s="41" t="s">
        <v>152</v>
      </c>
      <c r="C99" s="253"/>
      <c r="D99" s="254">
        <f>+INDEX('Budget original'!$A$2:$AO$501,MATCH($A99,'Budget original'!$A$2:$A$501,0),MATCH(D$2,'Budget original'!$A$2:$AO$2,0))</f>
        <v>0</v>
      </c>
      <c r="E99" s="254">
        <f>IF(D99=0,0,F99/D99)</f>
        <v>0</v>
      </c>
      <c r="F99" s="254">
        <f>+INDEX('Budget original'!$A$2:$AO$501,MATCH($A99,'Budget original'!$A$2:$A$501,0),MATCH(F$2,'Budget original'!$A$2:$AO$2,0))</f>
        <v>0</v>
      </c>
      <c r="G99" s="255"/>
      <c r="H99" s="254"/>
      <c r="I99" s="254"/>
      <c r="J99" s="255"/>
      <c r="K99" s="254"/>
      <c r="L99" s="256"/>
      <c r="M99" s="255"/>
      <c r="N99" s="256"/>
      <c r="O99" s="255"/>
      <c r="P99" s="254"/>
      <c r="Q99" s="256"/>
      <c r="R99" s="255"/>
      <c r="S99" s="256"/>
      <c r="T99" s="41"/>
      <c r="U99" s="41"/>
      <c r="V99" s="41"/>
      <c r="W99" s="254"/>
      <c r="X99" s="254"/>
      <c r="Y99" s="41"/>
      <c r="Z99" s="41"/>
      <c r="AA99" s="41"/>
      <c r="AB99" s="41"/>
      <c r="AC99" s="41"/>
      <c r="AD99" s="41"/>
      <c r="AE99" s="41"/>
      <c r="AF99" s="41"/>
      <c r="AG99" s="41"/>
      <c r="AH99" s="41"/>
      <c r="AI99" s="41"/>
      <c r="AJ99" s="41"/>
      <c r="AK99" s="41"/>
      <c r="AL99" s="41"/>
      <c r="AM99" s="41"/>
      <c r="AN99" s="41"/>
    </row>
    <row r="100" spans="1:40" ht="15.75" customHeight="1">
      <c r="A100" s="5" t="s">
        <v>413</v>
      </c>
      <c r="B100" s="41" t="s">
        <v>152</v>
      </c>
      <c r="C100" s="253" t="s">
        <v>156</v>
      </c>
      <c r="D100" s="254">
        <f>+INDEX('Budget original'!$A$2:$AO$501,MATCH($A100,'Budget original'!$A$2:$A$501,0),MATCH(D$2,'Budget original'!$A$2:$AO$2,0))</f>
        <v>44</v>
      </c>
      <c r="E100" s="254">
        <f t="shared" si="27"/>
        <v>400</v>
      </c>
      <c r="F100" s="254">
        <f>+INDEX('Budget original'!$A$2:$AO$501,MATCH($A100,'Budget original'!$A$2:$A$501,0),MATCH(F$2,'Budget original'!$A$2:$AO$2,0))</f>
        <v>17600</v>
      </c>
      <c r="G100" s="255"/>
      <c r="H100" s="254"/>
      <c r="I100" s="254"/>
      <c r="J100" s="255">
        <f>-SUMIFS(BV_Data_An_Cour!$O:$O,BV_Data_An_Cour!$U:$U,$B100,BV_Data_An_Cour!$V:$V,$C100,BV_Data_An_Cour!$W:$W,J$2)</f>
        <v>26</v>
      </c>
      <c r="K100" s="254">
        <f>IF(J100=0,0,L100/J100)</f>
        <v>637.83153846153823</v>
      </c>
      <c r="L100" s="256">
        <f>-SUMIFS(BV_Data_An_Cour!$O:$O,BV_Data_An_Cour!$U:$U,$B100,BV_Data_An_Cour!$V:$V,$C100,BV_Data_An_Cour!$W:$W,L$2)</f>
        <v>16583.619999999995</v>
      </c>
      <c r="M100" s="255">
        <f>J100-D100</f>
        <v>-18</v>
      </c>
      <c r="N100" s="256">
        <f>L100-F100</f>
        <v>-1016.3800000000047</v>
      </c>
      <c r="O100" s="255">
        <f t="array" ref="O100">+INDEX('Réel 2024'!$A$2:$AO$501,MATCH($A100,'Réel 2024'!$A$2:$A$501,0),MATCH(O$2,'Réel 2024'!$A$2:$AO$2,0))</f>
        <v>47</v>
      </c>
      <c r="P100" s="254">
        <f>IF(O100=0,0,Q100/O100)</f>
        <v>-663.50468085106388</v>
      </c>
      <c r="Q100" s="256">
        <f t="array" ref="Q100">+INDEX('Réel 2024'!$A$2:$AO$501,MATCH($A100,'Réel 2024'!$A$2:$A$501,0),MATCH(Q$2,'Réel 2024'!$A$2:$AO$2,0))</f>
        <v>-31184.720000000001</v>
      </c>
      <c r="R100" s="255">
        <f>J100-O100</f>
        <v>-21</v>
      </c>
      <c r="S100" s="256">
        <f>L100-Q100</f>
        <v>47768.34</v>
      </c>
      <c r="T100" s="41"/>
      <c r="U100" s="254"/>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
        <v>152</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254"/>
      <c r="X101" s="41"/>
      <c r="Y101" s="41"/>
      <c r="Z101" s="41"/>
      <c r="AA101" s="41"/>
      <c r="AB101" s="41"/>
      <c r="AC101" s="41"/>
      <c r="AD101" s="41"/>
      <c r="AE101" s="41"/>
      <c r="AF101" s="347"/>
      <c r="AG101" s="41"/>
      <c r="AH101" s="41"/>
      <c r="AI101" s="41"/>
      <c r="AJ101" s="41"/>
      <c r="AK101" s="41"/>
      <c r="AL101" s="41"/>
      <c r="AM101" s="41"/>
      <c r="AN101" s="41"/>
    </row>
    <row r="102" spans="1:40" ht="15.75" customHeight="1">
      <c r="A102" s="5" t="s">
        <v>414</v>
      </c>
      <c r="B102" s="41" t="s">
        <v>152</v>
      </c>
      <c r="C102" s="253" t="s">
        <v>105</v>
      </c>
      <c r="D102" s="254">
        <f>+INDEX('Budget original'!$A$2:$AO$501,MATCH($A102,'Budget original'!$A$2:$A$501,0),MATCH(D$2,'Budget original'!$A$2:$AO$2,0))</f>
        <v>0</v>
      </c>
      <c r="E102" s="254">
        <f t="shared" si="27"/>
        <v>0</v>
      </c>
      <c r="F102" s="256">
        <f>+INDEX('Budget original'!$A$2:$AO$501,MATCH($A102,'Budget original'!$A$2:$A$501,0),MATCH(F$2,'Budget original'!$A$2:$AO$2,0))</f>
        <v>24000</v>
      </c>
      <c r="G102" s="255"/>
      <c r="H102" s="254"/>
      <c r="I102" s="254"/>
      <c r="J102" s="255"/>
      <c r="K102" s="254">
        <f>IF(J97=0,0,L102/J97)</f>
        <v>357.35966666666667</v>
      </c>
      <c r="L102" s="256">
        <f>-SUMIFS(BV_Data_An_Cour!$O:$O,BV_Data_An_Cour!$U:$U,$B102,BV_Data_An_Cour!$V:$V,$C102,BV_Data_An_Cour!$W:$W,$L2)</f>
        <v>10720.79</v>
      </c>
      <c r="M102" s="255"/>
      <c r="N102" s="256">
        <f>L102-F102</f>
        <v>-13279.21</v>
      </c>
      <c r="O102" s="255"/>
      <c r="P102" s="254"/>
      <c r="Q102" s="256">
        <f t="array" ref="Q102">+INDEX('Réel 2024'!$A$2:$AO$501,MATCH($A102,'Réel 2024'!$A$2:$A$501,0),MATCH(Q$2,'Réel 2024'!$A$2:$AO$2,0))</f>
        <v>10569.46</v>
      </c>
      <c r="R102" s="255">
        <f t="shared" ref="R102:R104" si="31">O102-K102</f>
        <v>-357.35966666666667</v>
      </c>
      <c r="S102" s="256">
        <f t="shared" ref="S102:S105" si="32">L102-Q102</f>
        <v>151.33000000000175</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
        <v>415</v>
      </c>
      <c r="B103" s="41" t="s">
        <v>152</v>
      </c>
      <c r="C103" s="253" t="s">
        <v>106</v>
      </c>
      <c r="D103" s="254">
        <f>+INDEX('Budget original'!$A$2:$AO$501,MATCH($A103,'Budget original'!$A$2:$A$501,0),MATCH(D$2,'Budget original'!$A$2:$AO$2,0))</f>
        <v>0</v>
      </c>
      <c r="E103" s="254">
        <f t="shared" si="27"/>
        <v>0</v>
      </c>
      <c r="F103" s="256">
        <f>+INDEX('Budget original'!$A$2:$AO$501,MATCH($A103,'Budget original'!$A$2:$A$501,0),MATCH(F$2,'Budget original'!$A$2:$AO$2,0))</f>
        <v>50000</v>
      </c>
      <c r="G103" s="255"/>
      <c r="H103" s="254"/>
      <c r="I103" s="254"/>
      <c r="J103" s="255"/>
      <c r="K103" s="254">
        <f>IF(J97=0,0,L103/J97)</f>
        <v>1630.4856666666667</v>
      </c>
      <c r="L103" s="256">
        <f>-SUMIFS(BV_Data_An_Cour!$O:$O,BV_Data_An_Cour!$U:$U,$B103,BV_Data_An_Cour!$V:$V,$C103,BV_Data_An_Cour!$W:$W,$L2)</f>
        <v>48914.57</v>
      </c>
      <c r="M103" s="255"/>
      <c r="N103" s="256">
        <f>L103-F103</f>
        <v>-1085.4300000000003</v>
      </c>
      <c r="O103" s="255"/>
      <c r="P103" s="254"/>
      <c r="Q103" s="256">
        <f t="array" ref="Q103">+INDEX('Réel 2024'!$A$2:$AO$501,MATCH($A103,'Réel 2024'!$A$2:$A$501,0),MATCH(Q$2,'Réel 2024'!$A$2:$AO$2,0))</f>
        <v>69528.23</v>
      </c>
      <c r="R103" s="255">
        <f t="shared" si="31"/>
        <v>-1630.4856666666667</v>
      </c>
      <c r="S103" s="256">
        <f t="shared" si="32"/>
        <v>-20613.659999999996</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416</v>
      </c>
      <c r="B104" s="41" t="s">
        <v>152</v>
      </c>
      <c r="C104" s="253" t="s">
        <v>107</v>
      </c>
      <c r="D104" s="254">
        <f>+INDEX('Budget original'!$A$2:$AO$501,MATCH($A104,'Budget original'!$A$2:$A$501,0),MATCH(D$2,'Budget original'!$A$2:$AO$2,0))</f>
        <v>0</v>
      </c>
      <c r="E104" s="250">
        <f t="shared" si="27"/>
        <v>0</v>
      </c>
      <c r="F104" s="256">
        <f>+INDEX('Budget original'!$A$2:$AO$501,MATCH($A104,'Budget original'!$A$2:$A$501,0),MATCH(F$2,'Budget original'!$A$2:$AO$2,0))</f>
        <v>2000</v>
      </c>
      <c r="G104" s="255"/>
      <c r="H104" s="250"/>
      <c r="I104" s="254"/>
      <c r="J104" s="255"/>
      <c r="K104" s="250">
        <f>IF(J97=0,0,L104/J97)</f>
        <v>40.291000000000004</v>
      </c>
      <c r="L104" s="256">
        <f>-SUMIFS(BV_Data_An_Cour!$O:$O,BV_Data_An_Cour!$U:$U,$B104,BV_Data_An_Cour!$V:$V,$C104,BV_Data_An_Cour!$W:$W,$L$2)</f>
        <v>1208.73</v>
      </c>
      <c r="M104" s="267"/>
      <c r="N104" s="256">
        <f>L104-F104</f>
        <v>-791.27</v>
      </c>
      <c r="O104" s="255"/>
      <c r="P104" s="250"/>
      <c r="Q104" s="256">
        <f t="array" ref="Q104">+INDEX('Réel 2024'!$A$2:$AO$501,MATCH($A104,'Réel 2024'!$A$2:$A$501,0),MATCH(Q$2,'Réel 2024'!$A$2:$AO$2,0))</f>
        <v>1317.61</v>
      </c>
      <c r="R104" s="255">
        <f t="shared" si="31"/>
        <v>-40.291000000000004</v>
      </c>
      <c r="S104" s="256">
        <f t="shared" si="32"/>
        <v>-108.87999999999988</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417</v>
      </c>
      <c r="B105" s="41" t="s">
        <v>152</v>
      </c>
      <c r="C105" s="259" t="s">
        <v>108</v>
      </c>
      <c r="D105" s="260">
        <f>D97</f>
        <v>40</v>
      </c>
      <c r="E105" s="254">
        <f t="shared" si="27"/>
        <v>1900</v>
      </c>
      <c r="F105" s="261">
        <f>F102+F103+F104</f>
        <v>76000</v>
      </c>
      <c r="G105" s="262"/>
      <c r="H105" s="260"/>
      <c r="I105" s="261"/>
      <c r="J105" s="262">
        <f>J97</f>
        <v>30</v>
      </c>
      <c r="K105" s="260">
        <f>IF(J105&lt;=0,0,L105/J105)</f>
        <v>2028.1363333333334</v>
      </c>
      <c r="L105" s="261">
        <f>L102+L103+L104</f>
        <v>60844.090000000004</v>
      </c>
      <c r="M105" s="255">
        <f>J105-D105</f>
        <v>-10</v>
      </c>
      <c r="N105" s="261">
        <f>L105-F105</f>
        <v>-15155.909999999996</v>
      </c>
      <c r="O105" s="262">
        <f>O97</f>
        <v>40</v>
      </c>
      <c r="P105" s="260">
        <f t="shared" ref="P105" si="33">IF(O105=0,0,Q105/O105)</f>
        <v>2035.3825000000002</v>
      </c>
      <c r="Q105" s="261">
        <f>Q102+Q103+Q104</f>
        <v>81415.3</v>
      </c>
      <c r="R105" s="273"/>
      <c r="S105" s="261">
        <f t="shared" si="32"/>
        <v>-20571.21</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152</v>
      </c>
      <c r="B106" s="41" t="s">
        <v>152</v>
      </c>
      <c r="C106" s="253"/>
      <c r="D106" s="41"/>
      <c r="E106" s="41"/>
      <c r="F106" s="276"/>
      <c r="G106" s="253"/>
      <c r="H106" s="349"/>
      <c r="I106" s="276"/>
      <c r="J106" s="253"/>
      <c r="K106" s="41"/>
      <c r="L106" s="276"/>
      <c r="M106" s="264"/>
      <c r="N106" s="265">
        <f>N105/F105</f>
        <v>-0.19941986842105258</v>
      </c>
      <c r="O106" s="253"/>
      <c r="P106" s="41"/>
      <c r="Q106" s="276"/>
      <c r="R106" s="277"/>
      <c r="S106" s="265">
        <f>IF(Q105=0,0,(S105/Q105))</f>
        <v>-0.25267007552634452</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
        <v>152</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23.25" customHeight="1">
      <c r="A108" s="5" t="s">
        <v>418</v>
      </c>
      <c r="B108" s="41" t="s">
        <v>152</v>
      </c>
      <c r="C108" s="278" t="s">
        <v>157</v>
      </c>
      <c r="D108" s="279">
        <f>D97+D100</f>
        <v>84</v>
      </c>
      <c r="E108" s="280">
        <f>IF(D108&lt;=0,0,F108/D108)</f>
        <v>1805.952380952381</v>
      </c>
      <c r="F108" s="281">
        <f>F97+F105+F100</f>
        <v>151700</v>
      </c>
      <c r="G108" s="282"/>
      <c r="H108" s="350"/>
      <c r="I108" s="281"/>
      <c r="J108" s="282">
        <f>J97+J100</f>
        <v>56</v>
      </c>
      <c r="K108" s="280">
        <f>IF(J108&lt;=0,0,L108/J108)</f>
        <v>2134.3708928571436</v>
      </c>
      <c r="L108" s="281">
        <f>L97+L105+L100</f>
        <v>119524.77000000005</v>
      </c>
      <c r="M108" s="282">
        <f>J108-D108</f>
        <v>-28</v>
      </c>
      <c r="N108" s="281">
        <f>L108-F108</f>
        <v>-32175.229999999952</v>
      </c>
      <c r="O108" s="282">
        <f>O97+O100</f>
        <v>87</v>
      </c>
      <c r="P108" s="280">
        <f>IF(O108&lt;=0,0,Q108/O108)</f>
        <v>568.7793103448281</v>
      </c>
      <c r="Q108" s="281">
        <f>Q97+Q105+Q100</f>
        <v>49483.800000000047</v>
      </c>
      <c r="R108" s="282">
        <f>J108-O108</f>
        <v>-31</v>
      </c>
      <c r="S108" s="281">
        <f>L108-Q108</f>
        <v>70040.97</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
        <v>152</v>
      </c>
      <c r="B109" s="41" t="s">
        <v>152</v>
      </c>
      <c r="C109" s="283"/>
      <c r="D109" s="284"/>
      <c r="E109" s="284"/>
      <c r="F109" s="285"/>
      <c r="G109" s="283"/>
      <c r="H109" s="284"/>
      <c r="I109" s="285"/>
      <c r="J109" s="283"/>
      <c r="K109" s="284"/>
      <c r="L109" s="950">
        <f>L108/F108</f>
        <v>0.78790224126565622</v>
      </c>
      <c r="M109" s="286">
        <f>M108/D108</f>
        <v>-0.33333333333333331</v>
      </c>
      <c r="N109" s="287">
        <f>N108/F108</f>
        <v>-0.21209775873434378</v>
      </c>
      <c r="O109" s="283"/>
      <c r="P109" s="284"/>
      <c r="Q109" s="285"/>
      <c r="R109" s="351">
        <f>O108/R108</f>
        <v>-2.806451612903226</v>
      </c>
      <c r="S109" s="352">
        <f>IF(Q108=0,0,(S108/Q108))</f>
        <v>1.4154323233058079</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
        <v>152</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419</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420</v>
      </c>
      <c r="B112" s="41" t="s">
        <v>152</v>
      </c>
      <c r="C112" s="253" t="s">
        <v>111</v>
      </c>
      <c r="D112" s="1198">
        <f>F112/F97</f>
        <v>0.34107937332696203</v>
      </c>
      <c r="E112" s="291">
        <f t="shared" ref="E112:E121" si="34">F112/D$97</f>
        <v>495.41778975741238</v>
      </c>
      <c r="F112" s="254">
        <f>+INDEX('Budget original'!$A$2:$AO$501,MATCH($A112,'Budget original'!$A$2:$A$501,0),MATCH(F$2,'Budget original'!$A$2:$AO$2,0))</f>
        <v>19816.711590296494</v>
      </c>
      <c r="G112" s="292"/>
      <c r="H112" s="291"/>
      <c r="I112" s="254"/>
      <c r="J112" s="292">
        <f>L112/L97</f>
        <v>0.30000361070345494</v>
      </c>
      <c r="K112" s="291">
        <f>IF($J$97=0,0,L112/(J$94+J$95+J96))</f>
        <v>420.97566666666665</v>
      </c>
      <c r="L112" s="256">
        <f>SUMIFS(BV_Data_An_Cour!$O:$O,BV_Data_An_Cour!$U:$U,$B112,BV_Data_An_Cour!$V:$V,$C112,BV_Data_An_Cour!$W:$W,$L$2)</f>
        <v>12629.27</v>
      </c>
      <c r="M112" s="253"/>
      <c r="N112" s="276">
        <f t="shared" ref="N112:N153" si="35">L112-F112</f>
        <v>-7187.4415902964938</v>
      </c>
      <c r="O112" s="1145">
        <f>Q112/Q97</f>
        <v>-29.245346688450677</v>
      </c>
      <c r="P112" s="291">
        <f t="shared" ref="P112:P121" si="36">Q112/O$97</f>
        <v>545.99599999999998</v>
      </c>
      <c r="Q112" s="256">
        <f t="array" ref="Q112">+INDEX('Réel 2024'!$A$2:$AO$501,MATCH($A112,'Réel 2024'!$A$2:$A$501,0),MATCH(Q$2,'Réel 2024'!$A$2:$AO$2,0))</f>
        <v>21839.84</v>
      </c>
      <c r="R112" s="253"/>
      <c r="S112" s="276">
        <f t="shared" ref="S112:S153" si="37">L112-Q112</f>
        <v>-9210.57</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421</v>
      </c>
      <c r="B113" s="41" t="s">
        <v>152</v>
      </c>
      <c r="C113" s="246" t="s">
        <v>112</v>
      </c>
      <c r="D113" s="1194">
        <f>F113/(F105)</f>
        <v>0.3</v>
      </c>
      <c r="E113" s="294">
        <f t="shared" si="34"/>
        <v>570</v>
      </c>
      <c r="F113" s="248">
        <f>+INDEX('Budget original'!$A$2:$AO$501,MATCH($A113,'Budget original'!$A$2:$A$501,0),MATCH(F$2,'Budget original'!$A$2:$AO$2,0))</f>
        <v>22800</v>
      </c>
      <c r="G113" s="295"/>
      <c r="H113" s="294"/>
      <c r="I113" s="248"/>
      <c r="J113" s="295">
        <f>L113/(L105)</f>
        <v>0.29999183158134174</v>
      </c>
      <c r="K113" s="294">
        <f>IF($J$97=0,0,L113/(J$94+J$95+J96))</f>
        <v>608.42433333333327</v>
      </c>
      <c r="L113" s="256">
        <f>SUMIFS(BV_Data_An_Cour!$O:$O,BV_Data_An_Cour!$U:$U,$B113,BV_Data_An_Cour!$V:$V,$C113,BV_Data_An_Cour!$W:$W,$L$2)</f>
        <v>18252.73</v>
      </c>
      <c r="M113" s="246"/>
      <c r="N113" s="296">
        <f t="shared" si="35"/>
        <v>-4547.2700000000004</v>
      </c>
      <c r="O113" s="1146">
        <f>Q113/(Q105+Q19)</f>
        <v>0.26739044044959071</v>
      </c>
      <c r="P113" s="294">
        <f t="shared" si="36"/>
        <v>610.62149999999997</v>
      </c>
      <c r="Q113" s="256">
        <f t="array" ref="Q113">+INDEX('Réel 2024'!$A$2:$AO$501,MATCH($A113,'Réel 2024'!$A$2:$A$501,0),MATCH(Q$2,'Réel 2024'!$A$2:$AO$2,0))</f>
        <v>24424.86</v>
      </c>
      <c r="R113" s="246"/>
      <c r="S113" s="296">
        <f t="shared" si="37"/>
        <v>-6172.130000000001</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
        <v>422</v>
      </c>
      <c r="B114" s="41" t="s">
        <v>152</v>
      </c>
      <c r="C114" s="253" t="s">
        <v>113</v>
      </c>
      <c r="D114" s="297"/>
      <c r="E114" s="291">
        <f t="shared" si="34"/>
        <v>8</v>
      </c>
      <c r="F114" s="254">
        <f>+INDEX('Budget original'!$A$2:$AO$501,MATCH($A114,'Budget original'!$A$2:$A$501,0),MATCH(F$2,'Budget original'!$A$2:$AO$2,0))</f>
        <v>320</v>
      </c>
      <c r="G114" s="298"/>
      <c r="H114" s="291"/>
      <c r="I114" s="254"/>
      <c r="J114" s="253"/>
      <c r="K114" s="291">
        <f>IF($J$97=0,0,L114/(J$94+J$95+J96))</f>
        <v>-60.936</v>
      </c>
      <c r="L114" s="272">
        <f>SUMIFS(BV_Data_An_Cour!$O:$O,BV_Data_An_Cour!$U:$U,$B114,BV_Data_An_Cour!$V:$V,$C114,BV_Data_An_Cour!$W:$W,$L$2)</f>
        <v>-1828.08</v>
      </c>
      <c r="M114" s="253"/>
      <c r="N114" s="276">
        <f t="shared" si="35"/>
        <v>-2148.08</v>
      </c>
      <c r="O114" s="253"/>
      <c r="P114" s="291">
        <f t="shared" si="36"/>
        <v>68.48875000000001</v>
      </c>
      <c r="Q114" s="272">
        <f t="array" ref="Q114">+INDEX('Réel 2024'!$A$2:$AO$501,MATCH($A114,'Réel 2024'!$A$2:$A$501,0),MATCH(Q$2,'Réel 2024'!$A$2:$AO$2,0))</f>
        <v>2739.55</v>
      </c>
      <c r="R114" s="253"/>
      <c r="S114" s="276">
        <f t="shared" si="37"/>
        <v>-4567.63</v>
      </c>
      <c r="T114" s="41"/>
      <c r="U114" s="38" t="s">
        <v>3951</v>
      </c>
      <c r="V114" s="41"/>
      <c r="W114" s="254"/>
      <c r="X114" s="41"/>
      <c r="Y114" s="41"/>
      <c r="Z114" s="41"/>
      <c r="AA114" s="41"/>
      <c r="AB114" s="41"/>
      <c r="AC114" s="41"/>
      <c r="AD114" s="41"/>
      <c r="AE114" s="41"/>
      <c r="AF114" s="41"/>
      <c r="AG114" s="41"/>
      <c r="AH114" s="41"/>
      <c r="AI114" s="41"/>
      <c r="AJ114" s="41"/>
      <c r="AK114" s="41"/>
      <c r="AL114" s="41"/>
      <c r="AM114" s="41"/>
      <c r="AN114" s="41"/>
    </row>
    <row r="115" spans="1:40" ht="15.75" customHeight="1">
      <c r="A115" s="5" t="s">
        <v>423</v>
      </c>
      <c r="B115" s="41" t="s">
        <v>152</v>
      </c>
      <c r="C115" s="253" t="s">
        <v>114</v>
      </c>
      <c r="D115" s="297"/>
      <c r="E115" s="291">
        <f t="shared" si="34"/>
        <v>45</v>
      </c>
      <c r="F115" s="254">
        <f>+INDEX('Budget original'!$A$2:$AO$501,MATCH($A115,'Budget original'!$A$2:$A$501,0),MATCH(F$2,'Budget original'!$A$2:$AO$2,0))</f>
        <v>1800</v>
      </c>
      <c r="G115" s="298"/>
      <c r="H115" s="291"/>
      <c r="I115" s="254"/>
      <c r="J115" s="253"/>
      <c r="K115" s="291">
        <f>IF($J$97=0,0,L115/(J$94+J$95+J96))</f>
        <v>89.722999999999999</v>
      </c>
      <c r="L115" s="256">
        <f>SUMIFS(BV_Data_An_Cour!$O:$O,BV_Data_An_Cour!$U:$U,$B115,BV_Data_An_Cour!$V:$V,$C115,BV_Data_An_Cour!$W:$W,$L$2)</f>
        <v>2691.69</v>
      </c>
      <c r="M115" s="253"/>
      <c r="N115" s="276">
        <f t="shared" si="35"/>
        <v>891.69</v>
      </c>
      <c r="O115" s="253"/>
      <c r="P115" s="291">
        <f t="shared" si="36"/>
        <v>-9.7462499999999999</v>
      </c>
      <c r="Q115" s="256">
        <f t="array" ref="Q115">+INDEX('Réel 2024'!$A$2:$AO$501,MATCH($A115,'Réel 2024'!$A$2:$A$501,0),MATCH(Q$2,'Réel 2024'!$A$2:$AO$2,0))</f>
        <v>-389.85</v>
      </c>
      <c r="R115" s="253"/>
      <c r="S115" s="276">
        <f t="shared" si="37"/>
        <v>3081.54</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
        <v>424</v>
      </c>
      <c r="B116" s="41" t="s">
        <v>152</v>
      </c>
      <c r="C116" s="246" t="s">
        <v>115</v>
      </c>
      <c r="D116" s="299"/>
      <c r="E116" s="294">
        <f t="shared" si="34"/>
        <v>160</v>
      </c>
      <c r="F116" s="248">
        <f>+INDEX('Budget original'!$A$2:$AO$501,MATCH($A116,'Budget original'!$A$2:$A$501,0),MATCH(F$2,'Budget original'!$A$2:$AO$2,0))</f>
        <v>6400</v>
      </c>
      <c r="G116" s="300"/>
      <c r="H116" s="294"/>
      <c r="I116" s="248"/>
      <c r="J116" s="246"/>
      <c r="K116" s="294">
        <f>IF($J$97=0,0,L116/(J$94+J$95+J96))</f>
        <v>143.59433333333334</v>
      </c>
      <c r="L116" s="248">
        <f>SUMIFS(BV_Data_An_Cour!$O:$O,BV_Data_An_Cour!$U:$U,$B116,BV_Data_An_Cour!$V:$V,$C116,BV_Data_An_Cour!$W:$W,$L$2)</f>
        <v>4307.83</v>
      </c>
      <c r="M116" s="246"/>
      <c r="N116" s="296">
        <f t="shared" si="35"/>
        <v>-2092.17</v>
      </c>
      <c r="O116" s="246"/>
      <c r="P116" s="294">
        <f t="shared" si="36"/>
        <v>125.50174999999999</v>
      </c>
      <c r="Q116" s="248">
        <f t="array" ref="Q116">+INDEX('Réel 2024'!$A$2:$AO$501,MATCH($A116,'Réel 2024'!$A$2:$A$501,0),MATCH(Q$2,'Réel 2024'!$A$2:$AO$2,0))</f>
        <v>5020.07</v>
      </c>
      <c r="R116" s="246"/>
      <c r="S116" s="296">
        <f t="shared" si="37"/>
        <v>-712.23999999999978</v>
      </c>
      <c r="T116" s="41"/>
      <c r="U116" s="38"/>
      <c r="V116" s="41"/>
      <c r="W116" s="254"/>
      <c r="X116" s="41"/>
      <c r="Y116" s="41"/>
      <c r="Z116" s="41"/>
      <c r="AA116" s="41"/>
      <c r="AB116" s="41"/>
      <c r="AC116" s="41"/>
      <c r="AD116" s="41"/>
      <c r="AE116" s="41"/>
      <c r="AF116" s="41"/>
      <c r="AG116" s="41"/>
      <c r="AH116" s="41"/>
      <c r="AI116" s="41"/>
      <c r="AJ116" s="41"/>
      <c r="AK116" s="41"/>
      <c r="AL116" s="41"/>
      <c r="AM116" s="41"/>
      <c r="AN116" s="41"/>
    </row>
    <row r="117" spans="1:40" ht="19.5" customHeight="1">
      <c r="A117" s="5" t="s">
        <v>425</v>
      </c>
      <c r="B117" s="41" t="s">
        <v>152</v>
      </c>
      <c r="C117" s="253" t="s">
        <v>116</v>
      </c>
      <c r="D117" s="297"/>
      <c r="E117" s="291">
        <f t="shared" si="34"/>
        <v>282.05</v>
      </c>
      <c r="F117" s="254">
        <f>+INDEX('Budget original'!$A$2:$AO$501,MATCH($A117,'Budget original'!$A$2:$A$501,0),MATCH(F$2,'Budget original'!$A$2:$AO$2,0))</f>
        <v>11282</v>
      </c>
      <c r="G117" s="298"/>
      <c r="H117" s="291"/>
      <c r="I117" s="254"/>
      <c r="J117" s="253"/>
      <c r="K117" s="291">
        <f>IF($J$97=0,0,L117/(J$94+J$95+J96))</f>
        <v>389.327</v>
      </c>
      <c r="L117" s="256">
        <f>SUMIFS(BV_Data_An_Cour!$O:$O,BV_Data_An_Cour!$U:$U,$B117,BV_Data_An_Cour!$V:$V,$C117,BV_Data_An_Cour!$W:$W,$L$2)</f>
        <v>11679.81</v>
      </c>
      <c r="M117" s="253"/>
      <c r="N117" s="276">
        <f t="shared" si="35"/>
        <v>397.80999999999949</v>
      </c>
      <c r="O117" s="253"/>
      <c r="P117" s="291">
        <f t="shared" si="36"/>
        <v>253.96025</v>
      </c>
      <c r="Q117" s="256">
        <f t="array" ref="Q117">+INDEX('Réel 2024'!$A$2:$AO$501,MATCH($A117,'Réel 2024'!$A$2:$A$501,0),MATCH(Q$2,'Réel 2024'!$A$2:$AO$2,0))</f>
        <v>10158.41</v>
      </c>
      <c r="R117" s="253"/>
      <c r="S117" s="276">
        <f t="shared" si="37"/>
        <v>1521.3999999999996</v>
      </c>
      <c r="T117" s="41"/>
      <c r="U117" s="41"/>
      <c r="V117" s="41"/>
      <c r="W117" s="254"/>
      <c r="Z117" s="41"/>
      <c r="AA117" s="41"/>
      <c r="AB117" s="41"/>
      <c r="AC117" s="41"/>
      <c r="AD117" s="41"/>
      <c r="AE117" s="41"/>
      <c r="AF117" s="41"/>
      <c r="AG117" s="41"/>
      <c r="AH117" s="41"/>
      <c r="AI117" s="41"/>
      <c r="AJ117" s="41"/>
      <c r="AK117" s="41"/>
      <c r="AL117" s="41"/>
      <c r="AM117" s="41"/>
      <c r="AN117" s="41"/>
    </row>
    <row r="118" spans="1:40" ht="15.75" customHeight="1">
      <c r="A118" s="5" t="s">
        <v>426</v>
      </c>
      <c r="B118" s="41" t="s">
        <v>152</v>
      </c>
      <c r="C118" s="253" t="s">
        <v>117</v>
      </c>
      <c r="D118" s="297"/>
      <c r="E118" s="291">
        <f t="shared" si="34"/>
        <v>201.80243858381502</v>
      </c>
      <c r="F118" s="254">
        <f>+INDEX('Budget original'!$A$2:$AO$501,MATCH($A118,'Budget original'!$A$2:$A$501,0),MATCH(F$2,'Budget original'!$A$2:$AO$2,0))</f>
        <v>8072.097543352601</v>
      </c>
      <c r="G118" s="298"/>
      <c r="H118" s="291"/>
      <c r="I118" s="254"/>
      <c r="J118" s="253"/>
      <c r="K118" s="291">
        <f>IF($J$97=0,0,L118/(J$94+J$95+J96))</f>
        <v>136.03866666666667</v>
      </c>
      <c r="L118" s="952">
        <f>SUMIFS(BV_Data_An_Cour!$O:$O,BV_Data_An_Cour!$U:$U,$B118,BV_Data_An_Cour!$V:$V,$C118,BV_Data_An_Cour!$W:$W,$L$2)</f>
        <v>4081.16</v>
      </c>
      <c r="M118" s="253"/>
      <c r="N118" s="961">
        <f t="shared" si="35"/>
        <v>-3990.9375433526011</v>
      </c>
      <c r="O118" s="253"/>
      <c r="P118" s="291">
        <f t="shared" si="36"/>
        <v>103.20374999999999</v>
      </c>
      <c r="Q118" s="256">
        <f t="array" ref="Q118">+INDEX('Réel 2024'!$A$2:$AO$501,MATCH($A118,'Réel 2024'!$A$2:$A$501,0),MATCH(Q$2,'Réel 2024'!$A$2:$AO$2,0))</f>
        <v>4128.1499999999996</v>
      </c>
      <c r="R118" s="253"/>
      <c r="S118" s="276">
        <f t="shared" si="37"/>
        <v>-46.989999999999782</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
        <v>427</v>
      </c>
      <c r="B119" s="41" t="s">
        <v>152</v>
      </c>
      <c r="C119" s="253" t="s">
        <v>59</v>
      </c>
      <c r="D119" s="297"/>
      <c r="E119" s="291">
        <f t="shared" si="34"/>
        <v>0</v>
      </c>
      <c r="F119" s="254">
        <f>+INDEX('Budget original'!$A$2:$AO$501,MATCH($A119,'Budget original'!$A$2:$A$501,0),MATCH(F$2,'Budget original'!$A$2:$AO$2,0))</f>
        <v>0</v>
      </c>
      <c r="G119" s="298"/>
      <c r="H119" s="291"/>
      <c r="I119" s="254"/>
      <c r="J119" s="253"/>
      <c r="K119" s="291">
        <f t="shared" ref="K119:K121" si="38">IF($J$97=0,0,L119/(J$94+J$95))</f>
        <v>0</v>
      </c>
      <c r="L119" s="256">
        <f>SUMIFS(BV_Data_An_Cour!$O:$O,BV_Data_An_Cour!$U:$U,$B119,BV_Data_An_Cour!$V:$V,$C119,BV_Data_An_Cour!$W:$W,$L$2)</f>
        <v>0</v>
      </c>
      <c r="M119" s="253"/>
      <c r="N119" s="276">
        <f t="shared" si="35"/>
        <v>0</v>
      </c>
      <c r="O119" s="253"/>
      <c r="P119" s="291">
        <f t="shared" si="36"/>
        <v>0</v>
      </c>
      <c r="Q119" s="256">
        <f t="array" ref="Q119">+INDEX('Réel 2024'!$A$2:$AO$501,MATCH($A119,'Réel 2024'!$A$2:$A$501,0),MATCH(Q$2,'Réel 2024'!$A$2:$AO$2,0))</f>
        <v>0</v>
      </c>
      <c r="R119" s="253"/>
      <c r="S119" s="276">
        <f t="shared" si="37"/>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427</v>
      </c>
      <c r="B120" s="41" t="s">
        <v>152</v>
      </c>
      <c r="C120" s="253" t="s">
        <v>59</v>
      </c>
      <c r="D120" s="297"/>
      <c r="E120" s="291">
        <f t="shared" si="34"/>
        <v>0</v>
      </c>
      <c r="F120" s="254">
        <f>+INDEX('Budget original'!$A$2:$AO$501,MATCH($A120,'Budget original'!$A$2:$A$501,0),MATCH(F$2,'Budget original'!$A$2:$AO$2,0))</f>
        <v>0</v>
      </c>
      <c r="G120" s="298"/>
      <c r="H120" s="291"/>
      <c r="I120" s="254"/>
      <c r="J120" s="253"/>
      <c r="K120" s="291">
        <f t="shared" si="38"/>
        <v>0</v>
      </c>
      <c r="L120" s="256">
        <f>SUMIFS(BV_Data_An_Cour!$O:$O,BV_Data_An_Cour!$U:$U,$B120,BV_Data_An_Cour!$V:$V,$C120,BV_Data_An_Cour!$W:$W,$L$2)</f>
        <v>0</v>
      </c>
      <c r="M120" s="253"/>
      <c r="N120" s="276">
        <f t="shared" si="35"/>
        <v>0</v>
      </c>
      <c r="O120" s="253"/>
      <c r="P120" s="291">
        <f t="shared" si="36"/>
        <v>0</v>
      </c>
      <c r="Q120" s="256">
        <f t="array" ref="Q120">+INDEX('Réel 2024'!$A$2:$AO$501,MATCH($A120,'Réel 2024'!$A$2:$A$501,0),MATCH(Q$2,'Réel 2024'!$A$2:$AO$2,0))</f>
        <v>0</v>
      </c>
      <c r="R120" s="253"/>
      <c r="S120" s="276">
        <f t="shared" si="37"/>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
        <v>427</v>
      </c>
      <c r="B121" s="41" t="s">
        <v>152</v>
      </c>
      <c r="C121" s="253" t="s">
        <v>59</v>
      </c>
      <c r="D121" s="297"/>
      <c r="E121" s="291">
        <f t="shared" si="34"/>
        <v>0</v>
      </c>
      <c r="F121" s="254">
        <f>+INDEX('Budget original'!$A$2:$AO$501,MATCH($A121,'Budget original'!$A$2:$A$501,0),MATCH(F$2,'Budget original'!$A$2:$AO$2,0))</f>
        <v>0</v>
      </c>
      <c r="G121" s="298"/>
      <c r="H121" s="291"/>
      <c r="I121" s="254"/>
      <c r="J121" s="253"/>
      <c r="K121" s="291">
        <f t="shared" si="38"/>
        <v>0</v>
      </c>
      <c r="L121" s="256">
        <f>SUMIFS(BV_Data_An_Cour!$O:$O,BV_Data_An_Cour!$U:$U,$B121,BV_Data_An_Cour!$V:$V,$C121,BV_Data_An_Cour!$W:$W,$L$2)</f>
        <v>0</v>
      </c>
      <c r="M121" s="253"/>
      <c r="N121" s="276">
        <f t="shared" si="35"/>
        <v>0</v>
      </c>
      <c r="O121" s="253"/>
      <c r="P121" s="291">
        <f t="shared" si="36"/>
        <v>0</v>
      </c>
      <c r="Q121" s="256">
        <f t="array" ref="Q121">+INDEX('Réel 2024'!$A$2:$AO$501,MATCH($A121,'Réel 2024'!$A$2:$A$501,0),MATCH(Q$2,'Réel 2024'!$A$2:$AO$2,0))</f>
        <v>0</v>
      </c>
      <c r="R121" s="253"/>
      <c r="S121" s="276">
        <f t="shared" si="37"/>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
        <v>428</v>
      </c>
      <c r="B122" s="41" t="s">
        <v>152</v>
      </c>
      <c r="C122" s="304" t="s">
        <v>118</v>
      </c>
      <c r="D122" s="305" t="s">
        <v>119</v>
      </c>
      <c r="E122" s="306">
        <f>F122/F$108</f>
        <v>0.46467243990539941</v>
      </c>
      <c r="F122" s="307">
        <f>SUM(F112:F121)</f>
        <v>70490.809133649091</v>
      </c>
      <c r="G122" s="308"/>
      <c r="H122" s="306"/>
      <c r="I122" s="307"/>
      <c r="J122" s="308" t="s">
        <v>119</v>
      </c>
      <c r="K122" s="306">
        <f>L122/L$108</f>
        <v>0.43350353236404443</v>
      </c>
      <c r="L122" s="307">
        <f>SUM(L112:L121)</f>
        <v>51814.409999999989</v>
      </c>
      <c r="M122" s="311"/>
      <c r="N122" s="307">
        <f t="shared" si="35"/>
        <v>-18676.399133649102</v>
      </c>
      <c r="O122" s="308" t="s">
        <v>119</v>
      </c>
      <c r="P122" s="306">
        <f>Q122/Q$108</f>
        <v>1.3725912318779061</v>
      </c>
      <c r="Q122" s="307">
        <f>SUM(Q112:Q121)</f>
        <v>67921.03</v>
      </c>
      <c r="R122" s="311"/>
      <c r="S122" s="307">
        <f t="shared" si="37"/>
        <v>-16106.62000000001</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429</v>
      </c>
      <c r="B123" s="41" t="s">
        <v>152</v>
      </c>
      <c r="C123" s="312" t="s">
        <v>120</v>
      </c>
      <c r="D123" s="41"/>
      <c r="E123" s="41"/>
      <c r="F123" s="254">
        <f>+INDEX('Budget original'!$A$2:$AO$501,MATCH($A123,'Budget original'!$A$2:$A$501,0),MATCH(F$2,'Budget original'!$A$2:$AO$2,0))</f>
        <v>10460.983974358975</v>
      </c>
      <c r="G123" s="253"/>
      <c r="H123" s="41"/>
      <c r="I123" s="254"/>
      <c r="J123" s="253"/>
      <c r="K123" s="41"/>
      <c r="L123" s="256">
        <f>SUMIFS(BV_Data_An_Cour!$O:$O,BV_Data_An_Cour!$U:$U,$B123,BV_Data_An_Cour!$V:$V,$C123,BV_Data_An_Cour!$W:$W,$L$2)</f>
        <v>5873.01</v>
      </c>
      <c r="M123" s="253"/>
      <c r="N123" s="276">
        <f t="shared" si="35"/>
        <v>-4587.9739743589744</v>
      </c>
      <c r="O123" s="253"/>
      <c r="P123" s="41"/>
      <c r="Q123" s="256">
        <f t="array" ref="Q123">+INDEX('Réel 2024'!$A$2:$AO$501,MATCH($A123,'Réel 2024'!$A$2:$A$501,0),MATCH(Q$2,'Réel 2024'!$A$2:$AO$2,0))</f>
        <v>11393</v>
      </c>
      <c r="R123" s="253"/>
      <c r="S123" s="276">
        <f t="shared" si="37"/>
        <v>-5519.99</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430</v>
      </c>
      <c r="B124" s="41" t="s">
        <v>152</v>
      </c>
      <c r="C124" s="313" t="s">
        <v>121</v>
      </c>
      <c r="D124" s="297"/>
      <c r="E124" s="41"/>
      <c r="F124" s="248">
        <f>+INDEX('Budget original'!$A$2:$AO$501,MATCH($A124,'Budget original'!$A$2:$A$501,0),MATCH(F$2,'Budget original'!$A$2:$AO$2,0))</f>
        <v>10493.323076923078</v>
      </c>
      <c r="G124" s="298"/>
      <c r="H124" s="41"/>
      <c r="I124" s="248"/>
      <c r="J124" s="253"/>
      <c r="K124" s="41"/>
      <c r="L124" s="248">
        <f>SUMIFS(BV_Data_An_Cour!$O:$O,BV_Data_An_Cour!$U:$U,$B124,BV_Data_An_Cour!$V:$V,$C124,BV_Data_An_Cour!$W:$W,$L$2)</f>
        <v>2166.67</v>
      </c>
      <c r="M124" s="253"/>
      <c r="N124" s="276">
        <f t="shared" si="35"/>
        <v>-8326.6530769230776</v>
      </c>
      <c r="O124" s="253"/>
      <c r="P124" s="41"/>
      <c r="Q124" s="248">
        <f t="array" ref="Q124">+INDEX('Réel 2024'!$A$2:$AO$501,MATCH($A124,'Réel 2024'!$A$2:$A$501,0),MATCH(Q$2,'Réel 2024'!$A$2:$AO$2,0))</f>
        <v>1971.71</v>
      </c>
      <c r="R124" s="253"/>
      <c r="S124" s="276">
        <f t="shared" si="37"/>
        <v>194.96000000000004</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431</v>
      </c>
      <c r="B125" s="41" t="s">
        <v>152</v>
      </c>
      <c r="C125" s="312" t="s">
        <v>122</v>
      </c>
      <c r="D125" s="314"/>
      <c r="E125" s="315"/>
      <c r="F125" s="254">
        <f>+INDEX('Budget original'!$A$2:$AO$501,MATCH($A125,'Budget original'!$A$2:$A$501,0),MATCH(F$2,'Budget original'!$A$2:$AO$2,0))</f>
        <v>4181.1153846153848</v>
      </c>
      <c r="G125" s="316"/>
      <c r="H125" s="315"/>
      <c r="I125" s="254"/>
      <c r="J125" s="241"/>
      <c r="K125" s="315"/>
      <c r="L125" s="256">
        <f>SUMIFS(BV_Data_An_Cour!$O:$O,BV_Data_An_Cour!$U:$U,$B125,BV_Data_An_Cour!$V:$V,$C125,BV_Data_An_Cour!$W:$W,$L$2)</f>
        <v>5875.5</v>
      </c>
      <c r="M125" s="241"/>
      <c r="N125" s="317">
        <f t="shared" si="35"/>
        <v>1694.3846153846152</v>
      </c>
      <c r="O125" s="241"/>
      <c r="P125" s="315"/>
      <c r="Q125" s="256">
        <f t="array" ref="Q125">+INDEX('Réel 2024'!$A$2:$AO$501,MATCH($A125,'Réel 2024'!$A$2:$A$501,0),MATCH(Q$2,'Réel 2024'!$A$2:$AO$2,0))</f>
        <v>6473.02</v>
      </c>
      <c r="R125" s="241"/>
      <c r="S125" s="317">
        <f t="shared" si="37"/>
        <v>-597.52000000000044</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
        <v>432</v>
      </c>
      <c r="B126" s="41" t="s">
        <v>152</v>
      </c>
      <c r="C126" s="312" t="s">
        <v>123</v>
      </c>
      <c r="D126" s="297"/>
      <c r="E126" s="41"/>
      <c r="F126" s="254">
        <f>+INDEX('Budget original'!$A$2:$AO$501,MATCH($A126,'Budget original'!$A$2:$A$501,0),MATCH(F$2,'Budget original'!$A$2:$AO$2,0))</f>
        <v>0</v>
      </c>
      <c r="G126" s="298"/>
      <c r="H126" s="41"/>
      <c r="I126" s="254"/>
      <c r="J126" s="253"/>
      <c r="K126" s="41"/>
      <c r="L126" s="256">
        <f>SUMIFS(BV_Data_An_Cour!$O:$O,BV_Data_An_Cour!$U:$U,$B126,BV_Data_An_Cour!$V:$V,$C126,BV_Data_An_Cour!$W:$W,$L$2)</f>
        <v>0</v>
      </c>
      <c r="M126" s="253"/>
      <c r="N126" s="276">
        <f t="shared" si="35"/>
        <v>0</v>
      </c>
      <c r="O126" s="253"/>
      <c r="P126" s="41"/>
      <c r="Q126" s="256">
        <f t="array" ref="Q126">+INDEX('Réel 2024'!$A$2:$AO$501,MATCH($A126,'Réel 2024'!$A$2:$A$501,0),MATCH(Q$2,'Réel 2024'!$A$2:$AO$2,0))</f>
        <v>0</v>
      </c>
      <c r="R126" s="253"/>
      <c r="S126" s="276">
        <f t="shared" si="37"/>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
        <v>427</v>
      </c>
      <c r="B127" s="41" t="s">
        <v>152</v>
      </c>
      <c r="C127" s="312" t="s">
        <v>59</v>
      </c>
      <c r="D127" s="297"/>
      <c r="E127" s="41"/>
      <c r="F127" s="254">
        <f>+INDEX('Budget original'!$A$2:$AO$501,MATCH($A127,'Budget original'!$A$2:$A$501,0),MATCH(F$2,'Budget original'!$A$2:$AO$2,0))</f>
        <v>0</v>
      </c>
      <c r="G127" s="298"/>
      <c r="H127" s="41"/>
      <c r="I127" s="254"/>
      <c r="J127" s="253"/>
      <c r="K127" s="41"/>
      <c r="L127" s="256">
        <f>SUMIFS(BV_Data_An_Cour!$O:$O,BV_Data_An_Cour!$U:$U,$B127,BV_Data_An_Cour!$V:$V,$C127,BV_Data_An_Cour!$W:$W,$L$2)</f>
        <v>0</v>
      </c>
      <c r="M127" s="253"/>
      <c r="N127" s="276">
        <f t="shared" si="35"/>
        <v>0</v>
      </c>
      <c r="O127" s="253"/>
      <c r="P127" s="41"/>
      <c r="Q127" s="256">
        <f t="array" ref="Q127">+INDEX('Réel 2024'!$A$2:$AO$501,MATCH($A127,'Réel 2024'!$A$2:$A$501,0),MATCH(Q$2,'Réel 2024'!$A$2:$AO$2,0))</f>
        <v>0</v>
      </c>
      <c r="R127" s="253"/>
      <c r="S127" s="276">
        <f t="shared" si="37"/>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427</v>
      </c>
      <c r="B128" s="41" t="s">
        <v>152</v>
      </c>
      <c r="C128" s="312" t="s">
        <v>59</v>
      </c>
      <c r="D128" s="297"/>
      <c r="E128" s="41"/>
      <c r="F128" s="254">
        <f>+INDEX('Budget original'!$A$2:$AO$501,MATCH($A128,'Budget original'!$A$2:$A$501,0),MATCH(F$2,'Budget original'!$A$2:$AO$2,0))</f>
        <v>0</v>
      </c>
      <c r="G128" s="298"/>
      <c r="H128" s="41"/>
      <c r="I128" s="254"/>
      <c r="J128" s="253"/>
      <c r="K128" s="41"/>
      <c r="L128" s="256">
        <f>SUMIFS(BV_Data_An_Cour!$O:$O,BV_Data_An_Cour!$U:$U,$B128,BV_Data_An_Cour!$V:$V,$C128,BV_Data_An_Cour!$W:$W,$L$2)</f>
        <v>0</v>
      </c>
      <c r="M128" s="253"/>
      <c r="N128" s="276">
        <f t="shared" si="35"/>
        <v>0</v>
      </c>
      <c r="O128" s="253"/>
      <c r="P128" s="41"/>
      <c r="Q128" s="256">
        <f t="array" ref="Q128">+INDEX('Réel 2024'!$A$2:$AO$501,MATCH($A128,'Réel 2024'!$A$2:$A$501,0),MATCH(Q$2,'Réel 2024'!$A$2:$AO$2,0))</f>
        <v>0</v>
      </c>
      <c r="R128" s="253"/>
      <c r="S128" s="276">
        <f t="shared" si="37"/>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
        <v>427</v>
      </c>
      <c r="B129" s="41" t="s">
        <v>152</v>
      </c>
      <c r="C129" s="312" t="s">
        <v>59</v>
      </c>
      <c r="D129" s="297"/>
      <c r="E129" s="41"/>
      <c r="F129" s="254">
        <f>+INDEX('Budget original'!$A$2:$AO$501,MATCH($A129,'Budget original'!$A$2:$A$501,0),MATCH(F$2,'Budget original'!$A$2:$AO$2,0))</f>
        <v>0</v>
      </c>
      <c r="G129" s="298"/>
      <c r="H129" s="41"/>
      <c r="I129" s="254"/>
      <c r="J129" s="253"/>
      <c r="K129" s="41"/>
      <c r="L129" s="256">
        <f>SUMIFS(BV_Data_An_Cour!$O:$O,BV_Data_An_Cour!$U:$U,$B129,BV_Data_An_Cour!$V:$V,$C129,BV_Data_An_Cour!$W:$W,$L$2)</f>
        <v>0</v>
      </c>
      <c r="M129" s="253"/>
      <c r="N129" s="276">
        <f t="shared" si="35"/>
        <v>0</v>
      </c>
      <c r="O129" s="253"/>
      <c r="P129" s="41"/>
      <c r="Q129" s="256">
        <f t="array" ref="Q129">+INDEX('Réel 2024'!$A$2:$AO$501,MATCH($A129,'Réel 2024'!$A$2:$A$501,0),MATCH(Q$2,'Réel 2024'!$A$2:$AO$2,0))</f>
        <v>0</v>
      </c>
      <c r="R129" s="253"/>
      <c r="S129" s="276">
        <f t="shared" si="37"/>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
        <v>433</v>
      </c>
      <c r="B130" s="41" t="s">
        <v>152</v>
      </c>
      <c r="C130" s="313" t="s">
        <v>124</v>
      </c>
      <c r="D130" s="297"/>
      <c r="E130" s="41"/>
      <c r="F130" s="254">
        <f>+INDEX('Budget original'!$A$2:$AO$501,MATCH($A130,'Budget original'!$A$2:$A$501,0),MATCH(F$2,'Budget original'!$A$2:$AO$2,0))</f>
        <v>9745.1404849358969</v>
      </c>
      <c r="G130" s="298"/>
      <c r="H130" s="41"/>
      <c r="I130" s="254"/>
      <c r="J130" s="253"/>
      <c r="K130" s="41"/>
      <c r="L130" s="256">
        <f>SUMIFS(BV_Data_An_Cour!$O:$O,BV_Data_An_Cour!$U:$U,$B130,BV_Data_An_Cour!$V:$V,$C130,BV_Data_An_Cour!$W:$W,$L$2)</f>
        <v>9327.2199999999993</v>
      </c>
      <c r="M130" s="253"/>
      <c r="N130" s="276">
        <f t="shared" si="35"/>
        <v>-417.92048493589755</v>
      </c>
      <c r="O130" s="253"/>
      <c r="P130" s="41"/>
      <c r="Q130" s="256">
        <f t="array" ref="Q130">+INDEX('Réel 2024'!$A$2:$AO$501,MATCH($A130,'Réel 2024'!$A$2:$A$501,0),MATCH(Q$2,'Réel 2024'!$A$2:$AO$2,0))</f>
        <v>9125.73</v>
      </c>
      <c r="R130" s="253"/>
      <c r="S130" s="276">
        <f t="shared" si="37"/>
        <v>201.48999999999978</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434</v>
      </c>
      <c r="B131" s="41" t="s">
        <v>152</v>
      </c>
      <c r="C131" s="312" t="s">
        <v>125</v>
      </c>
      <c r="D131" s="314"/>
      <c r="E131" s="315"/>
      <c r="F131" s="271">
        <f>+INDEX('Budget original'!$A$2:$AO$501,MATCH($A131,'Budget original'!$A$2:$A$501,0),MATCH(F$2,'Budget original'!$A$2:$AO$2,0))</f>
        <v>11848.717065384617</v>
      </c>
      <c r="G131" s="316"/>
      <c r="H131" s="315"/>
      <c r="I131" s="271"/>
      <c r="J131" s="241"/>
      <c r="K131" s="315"/>
      <c r="L131" s="272">
        <f>SUMIFS(BV_Data_An_Cour!$O:$O,BV_Data_An_Cour!$U:$U,$B131,BV_Data_An_Cour!$V:$V,$C131,BV_Data_An_Cour!$W:$W,$L$2)</f>
        <v>11184.74</v>
      </c>
      <c r="M131" s="241"/>
      <c r="N131" s="317">
        <f t="shared" si="35"/>
        <v>-663.97706538461716</v>
      </c>
      <c r="O131" s="241"/>
      <c r="P131" s="315"/>
      <c r="Q131" s="272">
        <f t="array" ref="Q131">+INDEX('Réel 2024'!$A$2:$AO$501,MATCH($A131,'Réel 2024'!$A$2:$A$501,0),MATCH(Q$2,'Réel 2024'!$A$2:$AO$2,0))</f>
        <v>6559.76</v>
      </c>
      <c r="R131" s="241"/>
      <c r="S131" s="317">
        <f t="shared" si="37"/>
        <v>4624.9799999999996</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435</v>
      </c>
      <c r="B132" s="41" t="s">
        <v>152</v>
      </c>
      <c r="C132" s="312" t="s">
        <v>126</v>
      </c>
      <c r="D132" s="297"/>
      <c r="E132" s="41"/>
      <c r="F132" s="254">
        <f>+INDEX('Budget original'!$A$2:$AO$501,MATCH($A132,'Budget original'!$A$2:$A$501,0),MATCH(F$2,'Budget original'!$A$2:$AO$2,0))</f>
        <v>6104.6650967307687</v>
      </c>
      <c r="G132" s="298"/>
      <c r="H132" s="41"/>
      <c r="I132" s="254"/>
      <c r="J132" s="253"/>
      <c r="K132" s="41"/>
      <c r="L132" s="256">
        <f>SUMIFS(BV_Data_An_Cour!$O:$O,BV_Data_An_Cour!$U:$U,$B132,BV_Data_An_Cour!$V:$V,$C132,BV_Data_An_Cour!$W:$W,$L$2)</f>
        <v>6075.35</v>
      </c>
      <c r="M132" s="253"/>
      <c r="N132" s="276">
        <f t="shared" si="35"/>
        <v>-29.315096730768346</v>
      </c>
      <c r="O132" s="253"/>
      <c r="P132" s="41"/>
      <c r="Q132" s="256">
        <f t="array" ref="Q132">+INDEX('Réel 2024'!$A$2:$AO$501,MATCH($A132,'Réel 2024'!$A$2:$A$501,0),MATCH(Q$2,'Réel 2024'!$A$2:$AO$2,0))</f>
        <v>1379</v>
      </c>
      <c r="R132" s="253"/>
      <c r="S132" s="276">
        <f t="shared" si="37"/>
        <v>4696.3500000000004</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
        <v>436</v>
      </c>
      <c r="B133" s="41" t="s">
        <v>152</v>
      </c>
      <c r="C133" s="312" t="s">
        <v>127</v>
      </c>
      <c r="D133" s="297"/>
      <c r="E133" s="41"/>
      <c r="F133" s="254">
        <f>+INDEX('Budget original'!$A$2:$AO$501,MATCH($A133,'Budget original'!$A$2:$A$501,0),MATCH(F$2,'Budget original'!$A$2:$AO$2,0))</f>
        <v>2661.6683262820511</v>
      </c>
      <c r="G133" s="298"/>
      <c r="H133" s="41"/>
      <c r="I133" s="254"/>
      <c r="J133" s="253"/>
      <c r="K133" s="41"/>
      <c r="L133" s="256">
        <f>SUMIFS(BV_Data_An_Cour!$O:$O,BV_Data_An_Cour!$U:$U,$B133,BV_Data_An_Cour!$V:$V,$C133,BV_Data_An_Cour!$W:$W,$L$2)</f>
        <v>1387.06</v>
      </c>
      <c r="M133" s="253"/>
      <c r="N133" s="276">
        <f t="shared" si="35"/>
        <v>-1274.6083262820512</v>
      </c>
      <c r="O133" s="253"/>
      <c r="P133" s="41"/>
      <c r="Q133" s="256">
        <f t="array" ref="Q133">+INDEX('Réel 2024'!$A$2:$AO$501,MATCH($A133,'Réel 2024'!$A$2:$A$501,0),MATCH(Q$2,'Réel 2024'!$A$2:$AO$2,0))</f>
        <v>1120.67</v>
      </c>
      <c r="R133" s="253"/>
      <c r="S133" s="276">
        <f t="shared" si="37"/>
        <v>266.38999999999987</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
        <v>427</v>
      </c>
      <c r="B134" s="41" t="s">
        <v>152</v>
      </c>
      <c r="C134" s="253" t="s">
        <v>59</v>
      </c>
      <c r="D134" s="299"/>
      <c r="E134" s="318"/>
      <c r="F134" s="254">
        <f>+INDEX('Budget original'!$A$2:$AO$501,MATCH($A134,'Budget original'!$A$2:$A$501,0),MATCH(F$2,'Budget original'!$A$2:$AO$2,0))</f>
        <v>0</v>
      </c>
      <c r="G134" s="300"/>
      <c r="H134" s="318"/>
      <c r="I134" s="254"/>
      <c r="J134" s="246"/>
      <c r="K134" s="318"/>
      <c r="L134" s="256">
        <f>SUMIFS(BV_Data_An_Cour!$O:$O,BV_Data_An_Cour!$U:$U,$B134,BV_Data_An_Cour!$V:$V,$C134,BV_Data_An_Cour!$W:$W,$L$2)</f>
        <v>0</v>
      </c>
      <c r="M134" s="246"/>
      <c r="N134" s="296">
        <f t="shared" si="35"/>
        <v>0</v>
      </c>
      <c r="O134" s="246"/>
      <c r="P134" s="318"/>
      <c r="Q134" s="256">
        <f t="array" ref="Q134">+INDEX('Réel 2024'!$A$2:$AO$501,MATCH($A134,'Réel 2024'!$A$2:$A$501,0),MATCH(Q$2,'Réel 2024'!$A$2:$AO$2,0))</f>
        <v>0</v>
      </c>
      <c r="R134" s="246"/>
      <c r="S134" s="296">
        <f t="shared" si="37"/>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
        <v>437</v>
      </c>
      <c r="B135" s="41" t="s">
        <v>152</v>
      </c>
      <c r="C135" s="304" t="s">
        <v>128</v>
      </c>
      <c r="D135" s="305" t="s">
        <v>119</v>
      </c>
      <c r="E135" s="306">
        <f>F135/F$108</f>
        <v>0.36582474231529843</v>
      </c>
      <c r="F135" s="307">
        <f>+SUM(F123:F134)</f>
        <v>55495.613409230769</v>
      </c>
      <c r="G135" s="308"/>
      <c r="H135" s="306"/>
      <c r="I135" s="307"/>
      <c r="J135" s="308" t="s">
        <v>119</v>
      </c>
      <c r="K135" s="306">
        <f>L135/L$108</f>
        <v>0.3504675223386749</v>
      </c>
      <c r="L135" s="307">
        <f>SUM(L123:L134)</f>
        <v>41889.549999999996</v>
      </c>
      <c r="M135" s="355"/>
      <c r="N135" s="320">
        <f t="shared" si="35"/>
        <v>-13606.063409230774</v>
      </c>
      <c r="O135" s="308" t="s">
        <v>119</v>
      </c>
      <c r="P135" s="306">
        <f>Q135/Q$108</f>
        <v>0.76839066522781119</v>
      </c>
      <c r="Q135" s="307">
        <f>+SUM(Q123:Q134)</f>
        <v>38022.89</v>
      </c>
      <c r="R135" s="355"/>
      <c r="S135" s="320">
        <f t="shared" si="37"/>
        <v>3866.6599999999962</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hidden="1" customHeight="1">
      <c r="A136" s="5" t="s">
        <v>438</v>
      </c>
      <c r="B136" s="41" t="s">
        <v>152</v>
      </c>
      <c r="C136" s="253" t="s">
        <v>129</v>
      </c>
      <c r="D136" s="297"/>
      <c r="E136" s="41"/>
      <c r="F136" s="254">
        <f>+INDEX('Budget original'!$A$2:$AO$501,MATCH($A136,'Budget original'!$A$2:$A$501,0),MATCH(F$2,'Budget original'!$A$2:$AO$2,0))</f>
        <v>0</v>
      </c>
      <c r="G136" s="298"/>
      <c r="H136" s="41"/>
      <c r="I136" s="254"/>
      <c r="J136" s="253"/>
      <c r="K136" s="41"/>
      <c r="L136" s="256">
        <f>SUMIFS(BV_Data_An_Cour!$O:$O,BV_Data_An_Cour!$U:$U,$B136,BV_Data_An_Cour!$V:$V,$C136,BV_Data_An_Cour!$W:$W,$L$2)</f>
        <v>0</v>
      </c>
      <c r="M136" s="253"/>
      <c r="N136" s="276">
        <f t="shared" si="35"/>
        <v>0</v>
      </c>
      <c r="O136" s="253"/>
      <c r="P136" s="41"/>
      <c r="Q136" s="256">
        <f t="array" ref="Q136">+INDEX('Réel 2024'!$A$2:$AO$501,MATCH($A136,'Réel 2024'!$A$2:$A$501,0),MATCH(Q$2,'Réel 2024'!$A$2:$AO$2,0))</f>
        <v>0</v>
      </c>
      <c r="R136" s="253"/>
      <c r="S136" s="276">
        <f t="shared" si="37"/>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hidden="1" customHeight="1">
      <c r="A137" s="5" t="s">
        <v>439</v>
      </c>
      <c r="B137" s="41" t="s">
        <v>152</v>
      </c>
      <c r="C137" s="253" t="s">
        <v>130</v>
      </c>
      <c r="D137" s="297"/>
      <c r="E137" s="41"/>
      <c r="F137" s="254">
        <f>+INDEX('Budget original'!$A$2:$AO$501,MATCH($A137,'Budget original'!$A$2:$A$501,0),MATCH(F$2,'Budget original'!$A$2:$AO$2,0))</f>
        <v>0</v>
      </c>
      <c r="G137" s="298"/>
      <c r="H137" s="41"/>
      <c r="I137" s="254"/>
      <c r="J137" s="253"/>
      <c r="K137" s="41"/>
      <c r="L137" s="256">
        <f>SUMIFS(BV_Data_An_Cour!$O:$O,BV_Data_An_Cour!$U:$U,$B137,BV_Data_An_Cour!$V:$V,$C137,BV_Data_An_Cour!$W:$W,$L$2)</f>
        <v>0</v>
      </c>
      <c r="M137" s="253"/>
      <c r="N137" s="276">
        <f t="shared" si="35"/>
        <v>0</v>
      </c>
      <c r="O137" s="253"/>
      <c r="P137" s="41"/>
      <c r="Q137" s="256">
        <f t="array" ref="Q137">+INDEX('Réel 2024'!$A$2:$AO$501,MATCH($A137,'Réel 2024'!$A$2:$A$501,0),MATCH(Q$2,'Réel 2024'!$A$2:$AO$2,0))</f>
        <v>0</v>
      </c>
      <c r="R137" s="253"/>
      <c r="S137" s="276">
        <f t="shared" si="37"/>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
        <v>440</v>
      </c>
      <c r="B138" s="41" t="s">
        <v>152</v>
      </c>
      <c r="C138" s="246" t="s">
        <v>131</v>
      </c>
      <c r="D138" s="299"/>
      <c r="E138" s="318"/>
      <c r="F138" s="248">
        <f>+INDEX('Budget original'!$A$2:$AO$501,MATCH($A138,'Budget original'!$A$2:$A$501,0),MATCH(F$2,'Budget original'!$A$2:$AO$2,0))</f>
        <v>1284.1532888888889</v>
      </c>
      <c r="G138" s="300"/>
      <c r="H138" s="318"/>
      <c r="I138" s="248"/>
      <c r="J138" s="246"/>
      <c r="K138" s="318"/>
      <c r="L138" s="248">
        <f>SUMIFS(BV_Data_An_Cour!$O:$O,BV_Data_An_Cour!$U:$U,$B138,BV_Data_An_Cour!$V:$V,$C138,BV_Data_An_Cour!$W:$W,$L$2)</f>
        <v>7333.27</v>
      </c>
      <c r="M138" s="246"/>
      <c r="N138" s="1258">
        <f t="shared" si="35"/>
        <v>6049.1167111111117</v>
      </c>
      <c r="O138" s="246"/>
      <c r="P138" s="318"/>
      <c r="Q138" s="248">
        <f t="array" ref="Q138">+INDEX('Réel 2024'!$A$2:$AO$501,MATCH($A138,'Réel 2024'!$A$2:$A$501,0),MATCH(Q$2,'Réel 2024'!$A$2:$AO$2,0))</f>
        <v>829.56</v>
      </c>
      <c r="R138" s="246"/>
      <c r="S138" s="296">
        <f t="shared" si="37"/>
        <v>6503.7100000000009</v>
      </c>
      <c r="T138" s="41"/>
      <c r="U138" s="38" t="s">
        <v>3953</v>
      </c>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441</v>
      </c>
      <c r="B139" s="41" t="s">
        <v>152</v>
      </c>
      <c r="C139" s="253" t="s">
        <v>132</v>
      </c>
      <c r="D139" s="297"/>
      <c r="E139" s="41"/>
      <c r="F139" s="254">
        <f>+INDEX('Budget original'!$A$2:$AO$501,MATCH($A139,'Budget original'!$A$2:$A$501,0),MATCH(F$2,'Budget original'!$A$2:$AO$2,0))</f>
        <v>3757.6856226933323</v>
      </c>
      <c r="G139" s="298"/>
      <c r="H139" s="41"/>
      <c r="I139" s="254"/>
      <c r="J139" s="253"/>
      <c r="K139" s="41"/>
      <c r="L139" s="256">
        <f>SUMIFS(BV_Data_An_Cour!$O:$O,BV_Data_An_Cour!$U:$U,$B139,BV_Data_An_Cour!$V:$V,$C139,BV_Data_An_Cour!$W:$W,$L$2)</f>
        <v>3875.95</v>
      </c>
      <c r="M139" s="253"/>
      <c r="N139" s="276">
        <f t="shared" si="35"/>
        <v>118.26437730666748</v>
      </c>
      <c r="O139" s="253"/>
      <c r="P139" s="41"/>
      <c r="Q139" s="256">
        <f t="array" ref="Q139">+INDEX('Réel 2024'!$A$2:$AO$501,MATCH($A139,'Réel 2024'!$A$2:$A$501,0),MATCH(Q$2,'Réel 2024'!$A$2:$AO$2,0))</f>
        <v>4193.7</v>
      </c>
      <c r="R139" s="253"/>
      <c r="S139" s="276">
        <f t="shared" si="37"/>
        <v>-317.75</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442</v>
      </c>
      <c r="B140" s="41" t="s">
        <v>152</v>
      </c>
      <c r="C140" s="253" t="s">
        <v>133</v>
      </c>
      <c r="D140" s="297"/>
      <c r="E140" s="41"/>
      <c r="F140" s="254">
        <f>+INDEX('Budget original'!$A$2:$AO$501,MATCH($A140,'Budget original'!$A$2:$A$501,0),MATCH(F$2,'Budget original'!$A$2:$AO$2,0))</f>
        <v>555.6702437740496</v>
      </c>
      <c r="G140" s="298"/>
      <c r="H140" s="41"/>
      <c r="I140" s="254"/>
      <c r="J140" s="253"/>
      <c r="K140" s="41"/>
      <c r="L140" s="256">
        <f>SUMIFS(BV_Data_An_Cour!$O:$O,BV_Data_An_Cour!$U:$U,$B140,BV_Data_An_Cour!$V:$V,$C140,BV_Data_An_Cour!$W:$W,$L$2)</f>
        <v>481.14</v>
      </c>
      <c r="M140" s="253"/>
      <c r="N140" s="276">
        <f t="shared" si="35"/>
        <v>-74.530243774049609</v>
      </c>
      <c r="O140" s="253"/>
      <c r="P140" s="41"/>
      <c r="Q140" s="256">
        <f t="array" ref="Q140">+INDEX('Réel 2024'!$A$2:$AO$501,MATCH($A140,'Réel 2024'!$A$2:$A$501,0),MATCH(Q$2,'Réel 2024'!$A$2:$AO$2,0))</f>
        <v>280.52</v>
      </c>
      <c r="R140" s="253"/>
      <c r="S140" s="276">
        <f t="shared" si="37"/>
        <v>200.62</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443</v>
      </c>
      <c r="B141" s="41" t="s">
        <v>152</v>
      </c>
      <c r="C141" s="246" t="s">
        <v>134</v>
      </c>
      <c r="D141" s="299"/>
      <c r="E141" s="318"/>
      <c r="F141" s="248">
        <f>+INDEX('Budget original'!$A$2:$AO$501,MATCH($A141,'Budget original'!$A$2:$A$501,0),MATCH(F$2,'Budget original'!$A$2:$AO$2,0))</f>
        <v>1398.8494640536576</v>
      </c>
      <c r="G141" s="300"/>
      <c r="H141" s="318"/>
      <c r="I141" s="248"/>
      <c r="J141" s="246"/>
      <c r="K141" s="318"/>
      <c r="L141" s="248">
        <f>SUMIFS(BV_Data_An_Cour!$O:$O,BV_Data_An_Cour!$U:$U,$B141,BV_Data_An_Cour!$V:$V,$C141,BV_Data_An_Cour!$W:$W,$L$2)</f>
        <v>2496.9699999999998</v>
      </c>
      <c r="M141" s="246"/>
      <c r="N141" s="296">
        <f t="shared" si="35"/>
        <v>1098.1205359463422</v>
      </c>
      <c r="O141" s="246"/>
      <c r="P141" s="318"/>
      <c r="Q141" s="248">
        <f t="array" ref="Q141">+INDEX('Réel 2024'!$A$2:$AO$501,MATCH($A141,'Réel 2024'!$A$2:$A$501,0),MATCH(Q$2,'Réel 2024'!$A$2:$AO$2,0))</f>
        <v>1199.7</v>
      </c>
      <c r="R141" s="246"/>
      <c r="S141" s="296">
        <f t="shared" si="37"/>
        <v>1297.2699999999998</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444</v>
      </c>
      <c r="B142" s="41" t="s">
        <v>152</v>
      </c>
      <c r="C142" s="253" t="s">
        <v>135</v>
      </c>
      <c r="D142" s="297"/>
      <c r="E142" s="41"/>
      <c r="F142" s="254">
        <f>+INDEX('Budget original'!$A$2:$AO$501,MATCH($A142,'Budget original'!$A$2:$A$501,0),MATCH(F$2,'Budget original'!$A$2:$AO$2,0))</f>
        <v>83.885533333333328</v>
      </c>
      <c r="G142" s="298"/>
      <c r="H142" s="41"/>
      <c r="I142" s="254"/>
      <c r="J142" s="253"/>
      <c r="K142" s="41"/>
      <c r="L142" s="256">
        <f>SUMIFS(BV_Data_An_Cour!$O:$O,BV_Data_An_Cour!$U:$U,$B142,BV_Data_An_Cour!$V:$V,$C142,BV_Data_An_Cour!$W:$W,$L$2)</f>
        <v>0</v>
      </c>
      <c r="M142" s="253"/>
      <c r="N142" s="276">
        <f t="shared" si="35"/>
        <v>-83.885533333333328</v>
      </c>
      <c r="O142" s="253"/>
      <c r="P142" s="41"/>
      <c r="Q142" s="256">
        <f t="array" ref="Q142">+INDEX('Réel 2024'!$A$2:$AO$501,MATCH($A142,'Réel 2024'!$A$2:$A$501,0),MATCH(Q$2,'Réel 2024'!$A$2:$AO$2,0))</f>
        <v>0</v>
      </c>
      <c r="R142" s="253"/>
      <c r="S142" s="276">
        <f t="shared" si="37"/>
        <v>0</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445</v>
      </c>
      <c r="B143" s="41" t="s">
        <v>152</v>
      </c>
      <c r="C143" s="253" t="s">
        <v>136</v>
      </c>
      <c r="D143" s="297"/>
      <c r="E143" s="41"/>
      <c r="F143" s="254">
        <f>+INDEX('Budget original'!$A$2:$AO$501,MATCH($A143,'Budget original'!$A$2:$A$501,0),MATCH(F$2,'Budget original'!$A$2:$AO$2,0))</f>
        <v>28.333333333333332</v>
      </c>
      <c r="G143" s="298"/>
      <c r="H143" s="41"/>
      <c r="I143" s="254"/>
      <c r="J143" s="253"/>
      <c r="K143" s="41"/>
      <c r="L143" s="256">
        <f>SUMIFS(BV_Data_An_Cour!$O:$O,BV_Data_An_Cour!$U:$U,$B143,BV_Data_An_Cour!$V:$V,$C143,BV_Data_An_Cour!$W:$W,$L$2)</f>
        <v>0</v>
      </c>
      <c r="M143" s="253"/>
      <c r="N143" s="276">
        <f t="shared" si="35"/>
        <v>-28.333333333333332</v>
      </c>
      <c r="O143" s="253"/>
      <c r="P143" s="41"/>
      <c r="Q143" s="256">
        <f t="array" ref="Q143">+INDEX('Réel 2024'!$A$2:$AO$501,MATCH($A143,'Réel 2024'!$A$2:$A$501,0),MATCH(Q$2,'Réel 2024'!$A$2:$AO$2,0))</f>
        <v>0</v>
      </c>
      <c r="R143" s="253"/>
      <c r="S143" s="276">
        <f t="shared" si="37"/>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446</v>
      </c>
      <c r="B144" s="41" t="s">
        <v>152</v>
      </c>
      <c r="C144" s="253" t="s">
        <v>137</v>
      </c>
      <c r="D144" s="297"/>
      <c r="E144" s="41"/>
      <c r="F144" s="254">
        <f>+INDEX('Budget original'!$A$2:$AO$501,MATCH($A144,'Budget original'!$A$2:$A$501,0),MATCH(F$2,'Budget original'!$A$2:$AO$2,0))</f>
        <v>323.61939737591996</v>
      </c>
      <c r="G144" s="298"/>
      <c r="H144" s="41"/>
      <c r="I144" s="254"/>
      <c r="J144" s="253"/>
      <c r="K144" s="41"/>
      <c r="L144" s="256">
        <f>SUMIFS(BV_Data_An_Cour!$O:$O,BV_Data_An_Cour!$U:$U,$B144,BV_Data_An_Cour!$V:$V,$C144,BV_Data_An_Cour!$W:$W,$L$2)</f>
        <v>392.75</v>
      </c>
      <c r="M144" s="253"/>
      <c r="N144" s="276">
        <f t="shared" si="35"/>
        <v>69.130602624080041</v>
      </c>
      <c r="O144" s="253"/>
      <c r="P144" s="41"/>
      <c r="Q144" s="256">
        <f t="array" ref="Q144">+INDEX('Réel 2024'!$A$2:$AO$501,MATCH($A144,'Réel 2024'!$A$2:$A$501,0),MATCH(Q$2,'Réel 2024'!$A$2:$AO$2,0))</f>
        <v>332.05</v>
      </c>
      <c r="R144" s="253"/>
      <c r="S144" s="276">
        <f t="shared" si="37"/>
        <v>60.699999999999989</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447</v>
      </c>
      <c r="B145" s="41" t="s">
        <v>152</v>
      </c>
      <c r="C145" s="253" t="s">
        <v>138</v>
      </c>
      <c r="D145" s="297"/>
      <c r="E145" s="41"/>
      <c r="F145" s="254">
        <f>+INDEX('Budget original'!$A$2:$AO$501,MATCH($A145,'Budget original'!$A$2:$A$501,0),MATCH(F$2,'Budget original'!$A$2:$AO$2,0))</f>
        <v>62.764554844243328</v>
      </c>
      <c r="G145" s="298"/>
      <c r="H145" s="41"/>
      <c r="I145" s="254"/>
      <c r="J145" s="253"/>
      <c r="K145" s="41"/>
      <c r="L145" s="256">
        <f>SUMIFS(BV_Data_An_Cour!$O:$O,BV_Data_An_Cour!$U:$U,$B145,BV_Data_An_Cour!$V:$V,$C145,BV_Data_An_Cour!$W:$W,$L$2)</f>
        <v>70.14</v>
      </c>
      <c r="M145" s="253"/>
      <c r="N145" s="276">
        <f t="shared" si="35"/>
        <v>7.3754451557566725</v>
      </c>
      <c r="O145" s="253"/>
      <c r="P145" s="41"/>
      <c r="Q145" s="256">
        <f t="array" ref="Q145">+INDEX('Réel 2024'!$A$2:$AO$501,MATCH($A145,'Réel 2024'!$A$2:$A$501,0),MATCH(Q$2,'Réel 2024'!$A$2:$AO$2,0))</f>
        <v>41.59</v>
      </c>
      <c r="R145" s="253"/>
      <c r="S145" s="276">
        <f t="shared" si="37"/>
        <v>28.549999999999997</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448</v>
      </c>
      <c r="B146" s="41" t="s">
        <v>152</v>
      </c>
      <c r="C146" s="253" t="s">
        <v>139</v>
      </c>
      <c r="D146" s="297"/>
      <c r="E146" s="41"/>
      <c r="F146" s="254">
        <f>+INDEX('Budget original'!$A$2:$AO$501,MATCH($A146,'Budget original'!$A$2:$A$501,0),MATCH(F$2,'Budget original'!$A$2:$AO$2,0))</f>
        <v>48.216844138156659</v>
      </c>
      <c r="G146" s="298"/>
      <c r="H146" s="41"/>
      <c r="I146" s="254"/>
      <c r="J146" s="253"/>
      <c r="K146" s="41"/>
      <c r="L146" s="256">
        <f>SUMIFS(BV_Data_An_Cour!$O:$O,BV_Data_An_Cour!$U:$U,$B146,BV_Data_An_Cour!$V:$V,$C146,BV_Data_An_Cour!$W:$W,$L$2)</f>
        <v>79.180000000000007</v>
      </c>
      <c r="M146" s="253"/>
      <c r="N146" s="276">
        <f t="shared" si="35"/>
        <v>30.963155861843347</v>
      </c>
      <c r="O146" s="253"/>
      <c r="P146" s="41"/>
      <c r="Q146" s="256">
        <f t="array" ref="Q146">+INDEX('Réel 2024'!$A$2:$AO$501,MATCH($A146,'Réel 2024'!$A$2:$A$501,0),MATCH(Q$2,'Réel 2024'!$A$2:$AO$2,0))</f>
        <v>3.96</v>
      </c>
      <c r="R146" s="253"/>
      <c r="S146" s="276">
        <f t="shared" si="37"/>
        <v>75.220000000000013</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449</v>
      </c>
      <c r="B147" s="41" t="s">
        <v>152</v>
      </c>
      <c r="C147" s="253" t="s">
        <v>140</v>
      </c>
      <c r="D147" s="297"/>
      <c r="E147" s="41"/>
      <c r="F147" s="254">
        <f>+INDEX('Budget original'!$A$2:$AO$501,MATCH($A147,'Budget original'!$A$2:$A$501,0),MATCH(F$2,'Budget original'!$A$2:$AO$2,0))</f>
        <v>107.35161743797669</v>
      </c>
      <c r="G147" s="298"/>
      <c r="H147" s="41"/>
      <c r="I147" s="254"/>
      <c r="J147" s="253"/>
      <c r="K147" s="41"/>
      <c r="L147" s="256">
        <f>SUMIFS(BV_Data_An_Cour!$O:$O,BV_Data_An_Cour!$U:$U,$B147,BV_Data_An_Cour!$V:$V,$C147,BV_Data_An_Cour!$W:$W,$L$2)</f>
        <v>41.88</v>
      </c>
      <c r="M147" s="253"/>
      <c r="N147" s="276">
        <f t="shared" si="35"/>
        <v>-65.471617437976676</v>
      </c>
      <c r="O147" s="253"/>
      <c r="P147" s="41"/>
      <c r="Q147" s="256">
        <f t="array" ref="Q147">+INDEX('Réel 2024'!$A$2:$AO$501,MATCH($A147,'Réel 2024'!$A$2:$A$501,0),MATCH(Q$2,'Réel 2024'!$A$2:$AO$2,0))</f>
        <v>39.49</v>
      </c>
      <c r="R147" s="253"/>
      <c r="S147" s="276">
        <f t="shared" si="37"/>
        <v>2.3900000000000006</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450</v>
      </c>
      <c r="B148" s="41" t="s">
        <v>152</v>
      </c>
      <c r="C148" s="253" t="s">
        <v>141</v>
      </c>
      <c r="D148" s="297"/>
      <c r="E148" s="41"/>
      <c r="F148" s="254">
        <f>+INDEX('Budget original'!$A$2:$AO$501,MATCH($A148,'Budget original'!$A$2:$A$501,0),MATCH(F$2,'Budget original'!$A$2:$AO$2,0))</f>
        <v>218.46437169698484</v>
      </c>
      <c r="G148" s="298"/>
      <c r="H148" s="41"/>
      <c r="I148" s="254"/>
      <c r="J148" s="253"/>
      <c r="K148" s="41"/>
      <c r="L148" s="256">
        <f>SUMIFS(BV_Data_An_Cour!$O:$O,BV_Data_An_Cour!$U:$U,$B148,BV_Data_An_Cour!$V:$V,$C148,BV_Data_An_Cour!$W:$W,$L$2)</f>
        <v>-16.37</v>
      </c>
      <c r="M148" s="253"/>
      <c r="N148" s="276">
        <f t="shared" si="35"/>
        <v>-234.83437169698485</v>
      </c>
      <c r="O148" s="253"/>
      <c r="P148" s="41"/>
      <c r="Q148" s="256">
        <f t="array" ref="Q148">+INDEX('Réel 2024'!$A$2:$AO$501,MATCH($A148,'Réel 2024'!$A$2:$A$501,0),MATCH(Q$2,'Réel 2024'!$A$2:$AO$2,0))</f>
        <v>119.28</v>
      </c>
      <c r="R148" s="253"/>
      <c r="S148" s="276">
        <f t="shared" si="37"/>
        <v>-135.65</v>
      </c>
      <c r="T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
        <v>451</v>
      </c>
      <c r="B149" s="41" t="s">
        <v>152</v>
      </c>
      <c r="C149" s="253" t="s">
        <v>142</v>
      </c>
      <c r="D149" s="297"/>
      <c r="E149" s="41"/>
      <c r="F149" s="254">
        <f>+INDEX('Budget original'!$A$2:$AO$501,MATCH($A149,'Budget original'!$A$2:$A$501,0),MATCH(F$2,'Budget original'!$A$2:$AO$2,0))</f>
        <v>901.5771308274592</v>
      </c>
      <c r="G149" s="298"/>
      <c r="H149" s="41"/>
      <c r="I149" s="254"/>
      <c r="J149" s="253"/>
      <c r="K149" s="41"/>
      <c r="L149" s="952">
        <f>SUMIFS(BV_Data_An_Cour!$O:$O,BV_Data_An_Cour!$U:$U,$B149,BV_Data_An_Cour!$V:$V,$C149,BV_Data_An_Cour!$W:$W,$L$2)</f>
        <v>1013.26</v>
      </c>
      <c r="M149" s="253"/>
      <c r="N149" s="961">
        <f t="shared" si="35"/>
        <v>111.68286917254079</v>
      </c>
      <c r="O149" s="253"/>
      <c r="P149" s="41"/>
      <c r="Q149" s="256">
        <f t="array" ref="Q149">+INDEX('Réel 2024'!$A$2:$AO$501,MATCH($A149,'Réel 2024'!$A$2:$A$501,0),MATCH(Q$2,'Réel 2024'!$A$2:$AO$2,0))</f>
        <v>1070.47</v>
      </c>
      <c r="R149" s="253"/>
      <c r="S149" s="276">
        <f t="shared" si="37"/>
        <v>-57.210000000000036</v>
      </c>
      <c r="T149" s="29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
        <v>427</v>
      </c>
      <c r="B150" s="41" t="s">
        <v>152</v>
      </c>
      <c r="C150" s="253" t="s">
        <v>59</v>
      </c>
      <c r="D150" s="297"/>
      <c r="E150" s="41"/>
      <c r="F150" s="254">
        <f>+INDEX('Budget original'!$A$2:$AO$501,MATCH($A150,'Budget original'!$A$2:$A$501,0),MATCH(F$2,'Budget original'!$A$2:$AO$2,0))</f>
        <v>0</v>
      </c>
      <c r="G150" s="298"/>
      <c r="H150" s="41"/>
      <c r="I150" s="254"/>
      <c r="J150" s="253"/>
      <c r="K150" s="41"/>
      <c r="L150" s="256">
        <f>SUMIFS(BV_Data_An_Cour!$O:$O,BV_Data_An_Cour!$U:$U,$B150,BV_Data_An_Cour!$V:$V,$C150,BV_Data_An_Cour!$W:$W,$L$2)</f>
        <v>0</v>
      </c>
      <c r="M150" s="253"/>
      <c r="N150" s="276">
        <f t="shared" si="35"/>
        <v>0</v>
      </c>
      <c r="O150" s="253"/>
      <c r="P150" s="41"/>
      <c r="Q150" s="256">
        <f t="array" ref="Q150">+INDEX('Réel 2024'!$A$2:$AO$501,MATCH($A150,'Réel 2024'!$A$2:$A$501,0),MATCH(Q$2,'Réel 2024'!$A$2:$AO$2,0))</f>
        <v>0</v>
      </c>
      <c r="R150" s="253"/>
      <c r="S150" s="276">
        <f t="shared" si="37"/>
        <v>0</v>
      </c>
      <c r="T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427</v>
      </c>
      <c r="B151" s="41" t="s">
        <v>152</v>
      </c>
      <c r="C151" s="253" t="s">
        <v>59</v>
      </c>
      <c r="D151" s="297"/>
      <c r="E151" s="41"/>
      <c r="F151" s="254">
        <f>+INDEX('Budget original'!$A$2:$AO$501,MATCH($A151,'Budget original'!$A$2:$A$501,0),MATCH(F$2,'Budget original'!$A$2:$AO$2,0))</f>
        <v>0</v>
      </c>
      <c r="G151" s="298"/>
      <c r="H151" s="41"/>
      <c r="I151" s="254"/>
      <c r="J151" s="253"/>
      <c r="K151" s="41"/>
      <c r="L151" s="256">
        <f>SUMIFS(BV_Data_An_Cour!$O:$O,BV_Data_An_Cour!$U:$U,$B151,BV_Data_An_Cour!$V:$V,$C151,BV_Data_An_Cour!$W:$W,$L$2)</f>
        <v>0</v>
      </c>
      <c r="M151" s="253"/>
      <c r="N151" s="276">
        <f t="shared" si="35"/>
        <v>0</v>
      </c>
      <c r="O151" s="253"/>
      <c r="P151" s="41"/>
      <c r="Q151" s="256">
        <f t="array" ref="Q151">+INDEX('Réel 2024'!$A$2:$AO$501,MATCH($A151,'Réel 2024'!$A$2:$A$501,0),MATCH(Q$2,'Réel 2024'!$A$2:$AO$2,0))</f>
        <v>0</v>
      </c>
      <c r="R151" s="253"/>
      <c r="S151" s="276">
        <f t="shared" si="37"/>
        <v>0</v>
      </c>
      <c r="T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
        <v>427</v>
      </c>
      <c r="B152" s="41" t="s">
        <v>152</v>
      </c>
      <c r="C152" s="253" t="s">
        <v>59</v>
      </c>
      <c r="D152" s="297"/>
      <c r="E152" s="41"/>
      <c r="F152" s="254">
        <f>+INDEX('Budget original'!$A$2:$AO$501,MATCH($A152,'Budget original'!$A$2:$A$501,0),MATCH(F$2,'Budget original'!$A$2:$AO$2,0))</f>
        <v>0</v>
      </c>
      <c r="G152" s="298"/>
      <c r="H152" s="41"/>
      <c r="I152" s="254"/>
      <c r="J152" s="253"/>
      <c r="K152" s="41"/>
      <c r="L152" s="256">
        <f>SUMIFS(BV_Data_An_Cour!$O:$O,BV_Data_An_Cour!$U:$U,$B152,BV_Data_An_Cour!$V:$V,$C152,BV_Data_An_Cour!$W:$W,$L$2)</f>
        <v>0</v>
      </c>
      <c r="M152" s="253"/>
      <c r="N152" s="276">
        <f t="shared" si="35"/>
        <v>0</v>
      </c>
      <c r="O152" s="253"/>
      <c r="P152" s="41"/>
      <c r="Q152" s="256">
        <f t="array" ref="Q152">+INDEX('Réel 2024'!$A$2:$AO$501,MATCH($A152,'Réel 2024'!$A$2:$A$501,0),MATCH(Q$2,'Réel 2024'!$A$2:$AO$2,0))</f>
        <v>0</v>
      </c>
      <c r="R152" s="253"/>
      <c r="S152" s="276">
        <f t="shared" si="37"/>
        <v>0</v>
      </c>
      <c r="T152" s="291"/>
      <c r="X152" s="41"/>
      <c r="Y152" s="41"/>
      <c r="Z152" s="41"/>
      <c r="AA152" s="41"/>
      <c r="AB152" s="41"/>
      <c r="AC152" s="41"/>
      <c r="AD152" s="41"/>
      <c r="AE152" s="41"/>
      <c r="AF152" s="41"/>
      <c r="AG152" s="41"/>
      <c r="AH152" s="41"/>
      <c r="AI152" s="41"/>
      <c r="AJ152" s="41"/>
      <c r="AK152" s="41"/>
      <c r="AL152" s="41"/>
      <c r="AM152" s="41"/>
      <c r="AN152" s="41"/>
    </row>
    <row r="153" spans="1:40" ht="15.75" customHeight="1">
      <c r="A153" s="5" t="s">
        <v>452</v>
      </c>
      <c r="B153" s="41" t="s">
        <v>152</v>
      </c>
      <c r="C153" s="304" t="s">
        <v>143</v>
      </c>
      <c r="D153" s="305" t="s">
        <v>119</v>
      </c>
      <c r="E153" s="306">
        <f>F153/F$108</f>
        <v>5.7815236667088557E-2</v>
      </c>
      <c r="F153" s="307">
        <f>+SUM(F136:F152)</f>
        <v>8770.5714023973342</v>
      </c>
      <c r="G153" s="308"/>
      <c r="H153" s="306"/>
      <c r="I153" s="307"/>
      <c r="J153" s="308" t="s">
        <v>119</v>
      </c>
      <c r="K153" s="306">
        <f>L153/L$108</f>
        <v>0.13192386816556931</v>
      </c>
      <c r="L153" s="307">
        <f>+SUM(L136:L152)</f>
        <v>15768.169999999998</v>
      </c>
      <c r="M153" s="311"/>
      <c r="N153" s="307">
        <f t="shared" si="35"/>
        <v>6997.5985976026641</v>
      </c>
      <c r="O153" s="308" t="s">
        <v>119</v>
      </c>
      <c r="P153" s="306">
        <f>Q153/Q$108</f>
        <v>0.16389848799000872</v>
      </c>
      <c r="Q153" s="307">
        <f>+SUM(Q136:Q152)</f>
        <v>8110.3200000000006</v>
      </c>
      <c r="R153" s="311"/>
      <c r="S153" s="307">
        <f t="shared" si="37"/>
        <v>7657.8499999999976</v>
      </c>
      <c r="T153" s="319"/>
      <c r="X153" s="41"/>
      <c r="Y153" s="41"/>
      <c r="Z153" s="41"/>
      <c r="AA153" s="41"/>
      <c r="AB153" s="41"/>
      <c r="AC153" s="41"/>
      <c r="AD153" s="41"/>
      <c r="AE153" s="41"/>
      <c r="AF153" s="41"/>
      <c r="AG153" s="41"/>
      <c r="AH153" s="41"/>
      <c r="AI153" s="41"/>
      <c r="AJ153" s="41"/>
      <c r="AK153" s="41"/>
      <c r="AL153" s="41"/>
      <c r="AM153" s="41"/>
      <c r="AN153" s="41"/>
    </row>
    <row r="154" spans="1:40" ht="15.75" customHeight="1">
      <c r="A154" s="5" t="s">
        <v>152</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
        <v>453</v>
      </c>
      <c r="B155" s="41" t="s">
        <v>152</v>
      </c>
      <c r="C155" s="304" t="s">
        <v>144</v>
      </c>
      <c r="D155" s="305" t="s">
        <v>119</v>
      </c>
      <c r="E155" s="306">
        <f>F155/F$108</f>
        <v>0.88831241888778634</v>
      </c>
      <c r="F155" s="307">
        <f>F122+F135+F153</f>
        <v>134756.99394527718</v>
      </c>
      <c r="G155" s="308"/>
      <c r="H155" s="306"/>
      <c r="I155" s="307"/>
      <c r="J155" s="308" t="s">
        <v>119</v>
      </c>
      <c r="K155" s="306">
        <f>L155/L$108</f>
        <v>0.91589492286828866</v>
      </c>
      <c r="L155" s="307">
        <f>L122+L135+L153</f>
        <v>109472.12999999999</v>
      </c>
      <c r="M155" s="311"/>
      <c r="N155" s="320">
        <f t="shared" ref="N155:N162" si="39">L155-F155</f>
        <v>-25284.863945277189</v>
      </c>
      <c r="O155" s="308" t="s">
        <v>119</v>
      </c>
      <c r="P155" s="306">
        <f>Q155/Q$108</f>
        <v>2.3048803850957262</v>
      </c>
      <c r="Q155" s="307">
        <f>Q122+Q135+Q153</f>
        <v>114054.24</v>
      </c>
      <c r="R155" s="311"/>
      <c r="S155" s="320">
        <f t="shared" ref="S155:S162" si="40">L155-Q155</f>
        <v>-4582.1100000000151</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454</v>
      </c>
      <c r="B156" s="41" t="s">
        <v>152</v>
      </c>
      <c r="C156" s="253" t="s">
        <v>158</v>
      </c>
      <c r="D156" s="356"/>
      <c r="E156" s="357"/>
      <c r="F156" s="254">
        <f>+INDEX('Budget original'!$A$2:$AO$501,MATCH($A156,'Budget original'!$A$2:$A$501,0),MATCH(F$2,'Budget original'!$A$2:$AO$2,0))</f>
        <v>0</v>
      </c>
      <c r="G156" s="358"/>
      <c r="H156" s="357"/>
      <c r="I156" s="254"/>
      <c r="J156" s="358"/>
      <c r="K156" s="357"/>
      <c r="L156" s="256">
        <v>0</v>
      </c>
      <c r="M156" s="253"/>
      <c r="N156" s="276">
        <f t="shared" si="39"/>
        <v>0</v>
      </c>
      <c r="O156" s="358"/>
      <c r="P156" s="357"/>
      <c r="Q156" s="256">
        <f t="array" ref="Q156">+INDEX('Réel 2024'!$A$2:$AO$501,MATCH($A156,'Réel 2024'!$A$2:$A$501,0),MATCH(Q$2,'Réel 2024'!$A$2:$AO$2,0))</f>
        <v>0</v>
      </c>
      <c r="R156" s="253"/>
      <c r="S156" s="276">
        <f t="shared" si="4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455</v>
      </c>
      <c r="B157" s="41" t="s">
        <v>152</v>
      </c>
      <c r="C157" s="253" t="s">
        <v>159</v>
      </c>
      <c r="D157" s="356"/>
      <c r="E157" s="357"/>
      <c r="F157" s="254">
        <f>+INDEX('Budget original'!$A$2:$AO$501,MATCH($A157,'Budget original'!$A$2:$A$501,0),MATCH(F$2,'Budget original'!$A$2:$AO$2,0))</f>
        <v>0</v>
      </c>
      <c r="G157" s="358"/>
      <c r="H157" s="357"/>
      <c r="I157" s="254"/>
      <c r="J157" s="358"/>
      <c r="K157" s="357"/>
      <c r="L157" s="256">
        <f>-SUMIFS(BV_Data_An_Cour!$O:$O,BV_Data_An_Cour!$U:$U,$B157,BV_Data_An_Cour!$V:$V,$C157,BV_Data_An_Cour!$W:$W,$L$2)</f>
        <v>0</v>
      </c>
      <c r="M157" s="253"/>
      <c r="N157" s="276">
        <f t="shared" si="39"/>
        <v>0</v>
      </c>
      <c r="O157" s="358"/>
      <c r="P157" s="357"/>
      <c r="Q157" s="256">
        <f t="array" ref="Q157">+INDEX('Réel 2024'!$A$2:$AO$501,MATCH($A157,'Réel 2024'!$A$2:$A$501,0),MATCH(Q$2,'Réel 2024'!$A$2:$AO$2,0))</f>
        <v>0</v>
      </c>
      <c r="R157" s="253"/>
      <c r="S157" s="276">
        <f t="shared" si="4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456</v>
      </c>
      <c r="B158" s="41" t="s">
        <v>152</v>
      </c>
      <c r="C158" s="253" t="s">
        <v>160</v>
      </c>
      <c r="D158" s="297"/>
      <c r="E158" s="41"/>
      <c r="F158" s="254">
        <f>+INDEX('Budget original'!$A$2:$AO$501,MATCH($A158,'Budget original'!$A$2:$A$501,0),MATCH(F$2,'Budget original'!$A$2:$AO$2,0))</f>
        <v>0</v>
      </c>
      <c r="G158" s="298"/>
      <c r="H158" s="41"/>
      <c r="I158" s="254"/>
      <c r="J158" s="253"/>
      <c r="K158" s="41"/>
      <c r="L158" s="256">
        <f>-SUMIFS(BV_Data_An_Cour!$O:$O,BV_Data_An_Cour!$U:$U,$B158,BV_Data_An_Cour!$V:$V,$C158,BV_Data_An_Cour!$W:$W,$L$2)</f>
        <v>0</v>
      </c>
      <c r="M158" s="253"/>
      <c r="N158" s="276">
        <f t="shared" si="39"/>
        <v>0</v>
      </c>
      <c r="O158" s="253"/>
      <c r="P158" s="41"/>
      <c r="Q158" s="256">
        <f t="array" ref="Q158">+INDEX('Réel 2024'!$A$2:$AO$501,MATCH($A158,'Réel 2024'!$A$2:$A$501,0),MATCH(Q$2,'Réel 2024'!$A$2:$AO$2,0))</f>
        <v>0</v>
      </c>
      <c r="R158" s="253"/>
      <c r="S158" s="276">
        <f t="shared" si="4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
        <v>457</v>
      </c>
      <c r="B159" s="41" t="s">
        <v>152</v>
      </c>
      <c r="C159" s="253" t="s">
        <v>149</v>
      </c>
      <c r="D159" s="1160">
        <f>E159/474</f>
        <v>0.79968354430379751</v>
      </c>
      <c r="E159" s="323">
        <f>F159/D97</f>
        <v>379.05</v>
      </c>
      <c r="F159" s="254">
        <f>+INDEX('Budget original'!$A$2:$AO$501,MATCH($A159,'Budget original'!$A$2:$A$501,0),MATCH(F$2,'Budget original'!$A$2:$AO$2,0))</f>
        <v>15162</v>
      </c>
      <c r="G159" s="298"/>
      <c r="H159" s="41"/>
      <c r="I159" s="254"/>
      <c r="J159" s="1161">
        <f>K159/474</f>
        <v>0.9888185654008439</v>
      </c>
      <c r="K159" s="323">
        <f>L159/J97</f>
        <v>468.7</v>
      </c>
      <c r="L159" s="256">
        <f>-SUMIFS(BV_Data_An_Cour!$O:$O,BV_Data_An_Cour!$U:$U,$B159,BV_Data_An_Cour!$V:$V,$C159,BV_Data_An_Cour!$W:$W,L$2)</f>
        <v>14061</v>
      </c>
      <c r="M159" s="253"/>
      <c r="N159" s="276">
        <f t="shared" si="39"/>
        <v>-1101</v>
      </c>
      <c r="O159" s="253"/>
      <c r="P159" s="41"/>
      <c r="Q159" s="256">
        <f t="array" ref="Q159">+INDEX('Réel 2024'!$A$2:$AO$501,MATCH($A159,'Réel 2024'!$A$2:$A$501,0),MATCH(Q$2,'Réel 2024'!$A$2:$AO$2,0))</f>
        <v>10877</v>
      </c>
      <c r="R159" s="253"/>
      <c r="S159" s="276">
        <f t="shared" si="40"/>
        <v>3184</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
        <v>427</v>
      </c>
      <c r="B160" s="41" t="s">
        <v>152</v>
      </c>
      <c r="C160" s="253" t="s">
        <v>59</v>
      </c>
      <c r="D160" s="297"/>
      <c r="E160" s="41"/>
      <c r="F160" s="254">
        <f>+INDEX('Budget original'!$A$2:$AO$501,MATCH($A160,'Budget original'!$A$2:$A$501,0),MATCH(F$2,'Budget original'!$A$2:$AO$2,0))</f>
        <v>0</v>
      </c>
      <c r="G160" s="298"/>
      <c r="H160" s="41"/>
      <c r="I160" s="254"/>
      <c r="J160" s="253"/>
      <c r="K160" s="41"/>
      <c r="L160" s="256">
        <f>-SUMIFS(BV_Data_An_Cour!$O:$O,BV_Data_An_Cour!$U:$U,$B160,BV_Data_An_Cour!$V:$V,$C160,BV_Data_An_Cour!$W:$W,$L$2)</f>
        <v>0</v>
      </c>
      <c r="M160" s="253"/>
      <c r="N160" s="276">
        <f t="shared" si="39"/>
        <v>0</v>
      </c>
      <c r="O160" s="253"/>
      <c r="P160" s="41"/>
      <c r="Q160" s="256">
        <f t="array" ref="Q160">+INDEX('Réel 2024'!$A$2:$AO$501,MATCH($A160,'Réel 2024'!$A$2:$A$501,0),MATCH(Q$2,'Réel 2024'!$A$2:$AO$2,0))</f>
        <v>0</v>
      </c>
      <c r="R160" s="253"/>
      <c r="S160" s="276">
        <f t="shared" si="4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427</v>
      </c>
      <c r="B161" s="41" t="s">
        <v>152</v>
      </c>
      <c r="C161" s="253" t="s">
        <v>59</v>
      </c>
      <c r="D161" s="297"/>
      <c r="E161" s="41"/>
      <c r="F161" s="254">
        <f>+INDEX('Budget original'!$A$2:$AO$501,MATCH($A161,'Budget original'!$A$2:$A$501,0),MATCH(F$2,'Budget original'!$A$2:$AO$2,0))</f>
        <v>0</v>
      </c>
      <c r="G161" s="298"/>
      <c r="H161" s="41"/>
      <c r="I161" s="254"/>
      <c r="J161" s="253"/>
      <c r="K161" s="41"/>
      <c r="L161" s="256">
        <f>-SUMIFS(BV_Data_An_Cour!$O:$O,BV_Data_An_Cour!$U:$U,$B161,BV_Data_An_Cour!$V:$V,$C161,BV_Data_An_Cour!$W:$W,$L$2)</f>
        <v>0</v>
      </c>
      <c r="M161" s="253"/>
      <c r="N161" s="276">
        <f t="shared" si="39"/>
        <v>0</v>
      </c>
      <c r="O161" s="253"/>
      <c r="P161" s="41"/>
      <c r="Q161" s="256">
        <f t="array" ref="Q161">+INDEX('Réel 2024'!$A$2:$AO$501,MATCH($A161,'Réel 2024'!$A$2:$A$501,0),MATCH(Q$2,'Réel 2024'!$A$2:$AO$2,0))</f>
        <v>0</v>
      </c>
      <c r="R161" s="253"/>
      <c r="S161" s="276">
        <f t="shared" si="4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
        <v>427</v>
      </c>
      <c r="B162" s="41" t="s">
        <v>152</v>
      </c>
      <c r="C162" s="246" t="s">
        <v>59</v>
      </c>
      <c r="D162" s="299"/>
      <c r="E162" s="318"/>
      <c r="F162" s="254">
        <f>+INDEX('Budget original'!$A$2:$AO$501,MATCH($A162,'Budget original'!$A$2:$A$501,0),MATCH(F$2,'Budget original'!$A$2:$AO$2,0))</f>
        <v>0</v>
      </c>
      <c r="G162" s="298"/>
      <c r="H162" s="41"/>
      <c r="I162" s="254"/>
      <c r="J162" s="253"/>
      <c r="K162" s="41"/>
      <c r="L162" s="256">
        <f>-SUMIFS(BV_Data_An_Cour!$O:$O,BV_Data_An_Cour!$U:$U,$B162,BV_Data_An_Cour!$V:$V,$C162,BV_Data_An_Cour!$W:$W,$L$2)</f>
        <v>0</v>
      </c>
      <c r="M162" s="253"/>
      <c r="N162" s="276">
        <f t="shared" si="39"/>
        <v>0</v>
      </c>
      <c r="O162" s="253"/>
      <c r="P162" s="41"/>
      <c r="Q162" s="256">
        <f t="array" ref="Q162">+INDEX('Réel 2024'!$A$2:$AO$501,MATCH($A162,'Réel 2024'!$A$2:$A$501,0),MATCH(Q$2,'Réel 2024'!$A$2:$AO$2,0))</f>
        <v>0</v>
      </c>
      <c r="R162" s="253"/>
      <c r="S162" s="276">
        <f t="shared" si="4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15162</v>
      </c>
      <c r="G163" s="308"/>
      <c r="H163" s="306"/>
      <c r="I163" s="307"/>
      <c r="J163" s="308"/>
      <c r="K163" s="306"/>
      <c r="L163" s="307">
        <f>+SUM(L156:L162)</f>
        <v>14061</v>
      </c>
      <c r="M163" s="311"/>
      <c r="N163" s="307">
        <f>SUM(N156:N159)</f>
        <v>-1101</v>
      </c>
      <c r="O163" s="308"/>
      <c r="P163" s="306"/>
      <c r="Q163" s="307">
        <f>+SUM(Q156:Q162)</f>
        <v>10877</v>
      </c>
      <c r="R163" s="311"/>
      <c r="S163" s="307">
        <f>+SUM(S156:S162)</f>
        <v>3184</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32105.00605472282</v>
      </c>
      <c r="G165" s="361"/>
      <c r="H165" s="333"/>
      <c r="I165" s="335"/>
      <c r="J165" s="332"/>
      <c r="K165" s="334"/>
      <c r="L165" s="335">
        <f>L108-L155+L163</f>
        <v>24113.640000000058</v>
      </c>
      <c r="M165" s="332"/>
      <c r="N165" s="335">
        <f>L165-F165</f>
        <v>-7991.3660547227628</v>
      </c>
      <c r="O165" s="332"/>
      <c r="P165" s="1147">
        <f>+Q165/Q93</f>
        <v>-3.0077348618048359E-2</v>
      </c>
      <c r="Q165" s="335">
        <f>Q108-Q155+Q163</f>
        <v>-53693.439999999959</v>
      </c>
      <c r="R165" s="332"/>
      <c r="S165" s="335">
        <f>L165-Q165</f>
        <v>77807.080000000016</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94"/>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8.2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39" t="str">
        <f>C1</f>
        <v>Volks</v>
      </c>
      <c r="D168" s="232"/>
      <c r="E168" s="232"/>
      <c r="F168" s="232"/>
      <c r="G168" s="232"/>
      <c r="H168" s="36"/>
      <c r="I168" s="36"/>
      <c r="J168" s="36"/>
      <c r="K168" s="9" t="s">
        <v>161</v>
      </c>
      <c r="L168" s="232"/>
      <c r="M168" s="232"/>
      <c r="N168" s="36"/>
      <c r="O168" s="36"/>
      <c r="P168" s="232"/>
      <c r="Q168" s="36"/>
      <c r="R168" s="232"/>
      <c r="S168" s="10" t="str">
        <f>$S$1</f>
        <v>Réalisé, Mai 2025</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18" t="s">
        <v>343</v>
      </c>
      <c r="E170" s="1219"/>
      <c r="F170" s="1220"/>
      <c r="G170" s="1223"/>
      <c r="H170" s="1219"/>
      <c r="I170" s="1220"/>
      <c r="J170" s="1223" t="s">
        <v>344</v>
      </c>
      <c r="K170" s="1219"/>
      <c r="L170" s="1220"/>
      <c r="M170" s="1223" t="s">
        <v>3310</v>
      </c>
      <c r="N170" s="1220"/>
      <c r="O170" s="1218" t="s">
        <v>345</v>
      </c>
      <c r="P170" s="1219"/>
      <c r="Q170" s="1220"/>
      <c r="R170" s="1221" t="s">
        <v>3312</v>
      </c>
      <c r="S170" s="1222"/>
      <c r="T170" s="356"/>
      <c r="AA170" s="38"/>
      <c r="AB170" s="38"/>
      <c r="AC170" s="38"/>
      <c r="AD170" s="38"/>
      <c r="AE170" s="38"/>
      <c r="AF170" s="38"/>
      <c r="AG170" s="38"/>
      <c r="AH170" s="38"/>
      <c r="AI170" s="38"/>
      <c r="AJ170" s="38"/>
      <c r="AK170" s="38"/>
      <c r="AL170" s="38"/>
      <c r="AM170" s="38"/>
      <c r="AN170" s="38"/>
    </row>
    <row r="171" spans="1:40" ht="15.75" customHeight="1">
      <c r="A171" s="5" t="s">
        <v>161</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AA171" s="41"/>
      <c r="AB171" s="41"/>
      <c r="AC171" s="41"/>
      <c r="AD171" s="41"/>
      <c r="AE171" s="41"/>
      <c r="AF171" s="41"/>
      <c r="AG171" s="41"/>
      <c r="AH171" s="41"/>
      <c r="AI171" s="41"/>
      <c r="AJ171" s="41"/>
      <c r="AK171" s="41"/>
      <c r="AL171" s="41"/>
      <c r="AM171" s="41"/>
      <c r="AN171" s="41"/>
    </row>
    <row r="172" spans="1:40" ht="15.75" customHeight="1">
      <c r="A172" s="5" t="s">
        <v>459</v>
      </c>
      <c r="B172" s="41" t="s">
        <v>161</v>
      </c>
      <c r="C172" s="253" t="s">
        <v>164</v>
      </c>
      <c r="D172" s="291">
        <f>+INDEX('Budget original'!$A$2:$AO$501,MATCH($A172,'Budget original'!$A$2:$A$501,0),MATCH(D$2,'Budget original'!$A$2:$AO$2,0))</f>
        <v>641.572</v>
      </c>
      <c r="E172" s="291">
        <f>+INDEX('Budget original'!$A$2:$AO$501,MATCH($A172,'Budget original'!$A$2:$A$501,0),MATCH(E$2,'Budget original'!$A$2:$AO$2,0))</f>
        <v>218134.47999999998</v>
      </c>
      <c r="F172" s="291">
        <f>+INDEX('Budget original'!$A$2:$AO$501,MATCH($A172,'Budget original'!$A$2:$A$501,0),MATCH(F$2,'Budget original'!$A$2:$AO$2,0))</f>
        <v>170144.89439999999</v>
      </c>
      <c r="G172" s="277"/>
      <c r="H172" s="291"/>
      <c r="I172" s="291"/>
      <c r="J172" s="277">
        <f>-SUMIFS(BV_Data_An_Cour!$O:$O,BV_Data_An_Cour!$U:$U,$B172,BV_Data_An_Cour!$V:$V,$C172,BV_Data_An_Cour!$W:$W,J$2)</f>
        <v>670</v>
      </c>
      <c r="K172" s="254">
        <f>-SUMIFS(BV_Data_An_Cour!$O:$O,BV_Data_An_Cour!$X:$X,"Oui",BV_Data_An_Cour!$U:$U,$B172,BV_Data_An_Cour!$V:$V,$C172)</f>
        <v>205475.49</v>
      </c>
      <c r="L172" s="256">
        <f>-SUMIFS(BV_Data_An_Cour!$O:$O,BV_Data_An_Cour!$U:$U,$B172,BV_Data_An_Cour!$V:$V,$C172,BV_Data_An_Cour!$W:$W,$L$2)</f>
        <v>158789.87</v>
      </c>
      <c r="M172" s="292">
        <f>(K172-E172)/E172</f>
        <v>-5.8032962051666435E-2</v>
      </c>
      <c r="N172" s="276">
        <f>L172-F172</f>
        <v>-11355.024399999995</v>
      </c>
      <c r="O172" s="277">
        <f t="array" ref="O172">+INDEX('Réel 2024'!$A$2:$AO$501,MATCH($A172,'Réel 2024'!$A$2:$A$501,0),MATCH(O$2,'Réel 2024'!$A$2:$AO$2,0))</f>
        <v>672</v>
      </c>
      <c r="P172" s="254">
        <f t="array" ref="P172">+INDEX('Réel 2024'!$A$2:$AO$501,MATCH($A172,'Réel 2024'!$A$2:$A$501,0),MATCH(P$2,'Réel 2024'!$A$2:$AO$2,0))</f>
        <v>204973.06</v>
      </c>
      <c r="Q172" s="256">
        <f t="array" ref="Q172">+INDEX('Réel 2024'!$A$2:$AO$501,MATCH($A172,'Réel 2024'!$A$2:$A$501,0),MATCH(Q$2,'Réel 2024'!$A$2:$AO$2,0))</f>
        <v>164440.97</v>
      </c>
      <c r="R172" s="292">
        <f>IF(O172=0,0,J172/O172)</f>
        <v>0.99702380952380953</v>
      </c>
      <c r="S172" s="276">
        <f>L172-Q172</f>
        <v>-5651.1000000000058</v>
      </c>
      <c r="T172" s="291"/>
      <c r="AA172" s="41"/>
      <c r="AB172" s="41"/>
      <c r="AC172" s="41"/>
      <c r="AD172" s="41"/>
      <c r="AE172" s="41"/>
      <c r="AF172" s="41"/>
      <c r="AG172" s="41"/>
      <c r="AH172" s="41"/>
      <c r="AI172" s="41"/>
      <c r="AJ172" s="41"/>
      <c r="AK172" s="41"/>
      <c r="AL172" s="41"/>
      <c r="AM172" s="41"/>
      <c r="AN172" s="41"/>
    </row>
    <row r="173" spans="1:40" ht="15.75" customHeight="1">
      <c r="A173" s="5" t="s">
        <v>460</v>
      </c>
      <c r="B173" s="41" t="s">
        <v>161</v>
      </c>
      <c r="C173" s="253" t="s">
        <v>165</v>
      </c>
      <c r="D173" s="291"/>
      <c r="E173" s="349"/>
      <c r="F173" s="362">
        <f>F172/E172</f>
        <v>0.78</v>
      </c>
      <c r="G173" s="277"/>
      <c r="H173" s="349"/>
      <c r="I173" s="362"/>
      <c r="J173" s="277"/>
      <c r="K173" s="41"/>
      <c r="L173" s="362">
        <f>IF(L172=0,0,L172/K172)</f>
        <v>0.77279226831385095</v>
      </c>
      <c r="M173" s="292"/>
      <c r="N173" s="276"/>
      <c r="O173" s="277"/>
      <c r="P173" s="41"/>
      <c r="Q173" s="362">
        <f>Q172/P172</f>
        <v>0.80225650141535676</v>
      </c>
      <c r="R173" s="277"/>
      <c r="S173" s="276"/>
      <c r="T173" s="291"/>
      <c r="AA173" s="41"/>
      <c r="AB173" s="41"/>
      <c r="AC173" s="41"/>
      <c r="AD173" s="41"/>
      <c r="AE173" s="41"/>
      <c r="AF173" s="41"/>
      <c r="AG173" s="41"/>
      <c r="AH173" s="41"/>
      <c r="AI173" s="41"/>
      <c r="AJ173" s="41"/>
      <c r="AK173" s="41"/>
      <c r="AL173" s="41"/>
      <c r="AM173" s="41"/>
      <c r="AN173" s="41"/>
    </row>
    <row r="174" spans="1:40" ht="15.75" customHeight="1">
      <c r="A174" s="5" t="s">
        <v>161</v>
      </c>
      <c r="B174" s="41" t="s">
        <v>161</v>
      </c>
      <c r="C174" s="246"/>
      <c r="D174" s="294"/>
      <c r="E174" s="363">
        <f>IFERROR(E172/D172,0)</f>
        <v>339.99999999999994</v>
      </c>
      <c r="F174" s="364"/>
      <c r="G174" s="365"/>
      <c r="H174" s="363"/>
      <c r="I174" s="364"/>
      <c r="J174" s="365"/>
      <c r="K174" s="363">
        <f>IFERROR(K172/J172,0)</f>
        <v>306.67983582089551</v>
      </c>
      <c r="L174" s="364"/>
      <c r="M174" s="295"/>
      <c r="N174" s="296"/>
      <c r="O174" s="365"/>
      <c r="P174" s="363">
        <f>IFERROR(P172/O172,0)</f>
        <v>305.01943452380954</v>
      </c>
      <c r="Q174" s="364"/>
      <c r="R174" s="365"/>
      <c r="S174" s="296"/>
      <c r="T174" s="291"/>
      <c r="AA174" s="41"/>
      <c r="AB174" s="41"/>
      <c r="AC174" s="41"/>
      <c r="AD174" s="41"/>
      <c r="AE174" s="41"/>
      <c r="AF174" s="41"/>
      <c r="AG174" s="41"/>
      <c r="AH174" s="41"/>
      <c r="AI174" s="41"/>
      <c r="AJ174" s="41"/>
      <c r="AK174" s="41"/>
      <c r="AL174" s="41"/>
      <c r="AM174" s="41"/>
      <c r="AN174" s="41"/>
    </row>
    <row r="175" spans="1:40" ht="18" customHeight="1">
      <c r="A175" s="5" t="s">
        <v>461</v>
      </c>
      <c r="B175" s="41" t="s">
        <v>161</v>
      </c>
      <c r="C175" s="241" t="s">
        <v>166</v>
      </c>
      <c r="D175" s="366">
        <f>+INDEX('Budget original'!$A$2:$AO$501,MATCH($A175,'Budget original'!$A$2:$A$501,0),MATCH(D$2,'Budget original'!$A$2:$AO$2,0))</f>
        <v>123.3</v>
      </c>
      <c r="E175" s="291">
        <f>+INDEX('Budget original'!$A$2:$AO$501,MATCH($A175,'Budget original'!$A$2:$A$501,0),MATCH(E$2,'Budget original'!$A$2:$AO$2,0))</f>
        <v>33291</v>
      </c>
      <c r="F175" s="291">
        <f>+INDEX('Budget original'!$A$2:$AO$501,MATCH($A175,'Budget original'!$A$2:$A$501,0),MATCH(F$2,'Budget original'!$A$2:$AO$2,0))</f>
        <v>21306.240000000002</v>
      </c>
      <c r="G175" s="367"/>
      <c r="H175" s="291"/>
      <c r="I175" s="291"/>
      <c r="J175" s="367">
        <f>-SUMIFS(BV_Data_An_Cour!$O:$O,BV_Data_An_Cour!$U:$U,$B175,BV_Data_An_Cour!$V:$V,$C175,BV_Data_An_Cour!$W:$W,J$2)</f>
        <v>178</v>
      </c>
      <c r="K175" s="271">
        <f>-SUMIFS(BV_Data_An_Cour!$O:$O,BV_Data_An_Cour!$X:$X,"Oui",BV_Data_An_Cour!$U:$U,$B175,BV_Data_An_Cour!$V:$V,$C175)</f>
        <v>42881.71</v>
      </c>
      <c r="L175" s="256">
        <f>-SUMIFS(BV_Data_An_Cour!$O:$O,BV_Data_An_Cour!$U:$U,$B175,BV_Data_An_Cour!$V:$V,$C175,BV_Data_An_Cour!$W:$W,$L$2)</f>
        <v>25065.75</v>
      </c>
      <c r="M175" s="292">
        <f>(K175-E175)/E175</f>
        <v>0.28808717070679762</v>
      </c>
      <c r="N175" s="317">
        <f>L175-F175</f>
        <v>3759.5099999999984</v>
      </c>
      <c r="O175" s="367">
        <f t="array" ref="O175">+INDEX('Réel 2024'!$A$2:$AO$501,MATCH($A175,'Réel 2024'!$A$2:$A$501,0),MATCH(O$2,'Réel 2024'!$A$2:$AO$2,0))</f>
        <v>121</v>
      </c>
      <c r="P175" s="271">
        <f t="array" ref="P175">+INDEX('Réel 2024'!$A$2:$AO$501,MATCH($A175,'Réel 2024'!$A$2:$A$501,0),MATCH(P$2,'Réel 2024'!$A$2:$AO$2,0))</f>
        <v>35390.559999999998</v>
      </c>
      <c r="Q175" s="256">
        <f t="array" ref="Q175">+INDEX('Réel 2024'!$A$2:$AO$501,MATCH($A175,'Réel 2024'!$A$2:$A$501,0),MATCH(Q$2,'Réel 2024'!$A$2:$AO$2,0))</f>
        <v>23971.609999999899</v>
      </c>
      <c r="R175" s="292">
        <f>IF(O175=0,0,J175/O175)</f>
        <v>1.4710743801652892</v>
      </c>
      <c r="S175" s="276">
        <f>L175-Q175</f>
        <v>1094.1400000001013</v>
      </c>
      <c r="T175" s="291"/>
      <c r="U175" s="41"/>
      <c r="V175" s="254"/>
      <c r="W175" s="41"/>
      <c r="AA175" s="41"/>
      <c r="AB175" s="41"/>
      <c r="AC175" s="41"/>
      <c r="AD175" s="41"/>
      <c r="AE175" s="41"/>
      <c r="AF175" s="41"/>
      <c r="AG175" s="41"/>
      <c r="AH175" s="41"/>
      <c r="AI175" s="41"/>
      <c r="AJ175" s="41"/>
      <c r="AK175" s="41"/>
      <c r="AL175" s="41"/>
      <c r="AM175" s="41"/>
      <c r="AN175" s="41"/>
    </row>
    <row r="176" spans="1:40" ht="15.75" customHeight="1">
      <c r="A176" s="5" t="s">
        <v>460</v>
      </c>
      <c r="B176" s="41" t="s">
        <v>161</v>
      </c>
      <c r="C176" s="253" t="s">
        <v>165</v>
      </c>
      <c r="D176" s="41"/>
      <c r="E176" s="41"/>
      <c r="F176" s="362">
        <f>F175/E175</f>
        <v>0.64</v>
      </c>
      <c r="G176" s="253"/>
      <c r="H176" s="41"/>
      <c r="I176" s="362"/>
      <c r="J176" s="253"/>
      <c r="K176" s="41"/>
      <c r="L176" s="1260">
        <f>IF(L175=0,0,L175/K175)</f>
        <v>0.58453242652869952</v>
      </c>
      <c r="M176" s="264"/>
      <c r="N176" s="265"/>
      <c r="O176" s="253"/>
      <c r="P176" s="41"/>
      <c r="Q176" s="362">
        <f>Q175/P175</f>
        <v>0.67734474956033197</v>
      </c>
      <c r="R176" s="264"/>
      <c r="S176" s="265"/>
      <c r="T176" s="41"/>
      <c r="U176" s="41"/>
      <c r="V176" s="254"/>
      <c r="W176" s="368"/>
      <c r="AA176" s="41"/>
      <c r="AB176" s="41"/>
      <c r="AC176" s="41"/>
      <c r="AD176" s="41"/>
      <c r="AE176" s="41"/>
      <c r="AF176" s="41"/>
      <c r="AG176" s="41"/>
      <c r="AH176" s="41"/>
      <c r="AI176" s="41"/>
      <c r="AJ176" s="41"/>
      <c r="AK176" s="41"/>
      <c r="AL176" s="41"/>
      <c r="AM176" s="41"/>
      <c r="AN176" s="41"/>
    </row>
    <row r="177" spans="1:40" ht="15.75" customHeight="1">
      <c r="A177" s="5" t="s">
        <v>161</v>
      </c>
      <c r="B177" s="41" t="s">
        <v>161</v>
      </c>
      <c r="C177" s="246"/>
      <c r="D177" s="318"/>
      <c r="E177" s="363">
        <f>IFERROR(E175/D175,0)</f>
        <v>270</v>
      </c>
      <c r="F177" s="364"/>
      <c r="G177" s="365"/>
      <c r="H177" s="363"/>
      <c r="I177" s="364"/>
      <c r="J177" s="365"/>
      <c r="K177" s="1261">
        <f>IFERROR(K175/J175,0)</f>
        <v>240.9084831460674</v>
      </c>
      <c r="L177" s="364"/>
      <c r="M177" s="295"/>
      <c r="N177" s="296"/>
      <c r="O177" s="365"/>
      <c r="P177" s="363">
        <f>IFERROR(P175/O175,0)</f>
        <v>292.48396694214875</v>
      </c>
      <c r="Q177" s="364"/>
      <c r="R177" s="369"/>
      <c r="S177" s="370"/>
      <c r="T177" s="41"/>
      <c r="AA177" s="41"/>
      <c r="AB177" s="41"/>
      <c r="AC177" s="41"/>
      <c r="AD177" s="41"/>
      <c r="AE177" s="41"/>
      <c r="AF177" s="41"/>
      <c r="AG177" s="41"/>
      <c r="AH177" s="41"/>
      <c r="AI177" s="41"/>
      <c r="AJ177" s="41"/>
      <c r="AK177" s="41"/>
      <c r="AL177" s="41"/>
      <c r="AM177" s="41"/>
      <c r="AN177" s="41"/>
    </row>
    <row r="178" spans="1:40" ht="15.75" customHeight="1">
      <c r="A178" s="5" t="s">
        <v>464</v>
      </c>
      <c r="B178" s="41" t="s">
        <v>161</v>
      </c>
      <c r="C178" s="253" t="s">
        <v>167</v>
      </c>
      <c r="D178" s="291">
        <f>+INDEX('Budget original'!$A$2:$AO$501,MATCH($A178,'Budget original'!$A$2:$A$501,0),MATCH(D$2,'Budget original'!$A$2:$AO$2,0))</f>
        <v>232.77099999999999</v>
      </c>
      <c r="E178" s="291">
        <f>+INDEX('Budget original'!$A$2:$AO$501,MATCH($A178,'Budget original'!$A$2:$A$501,0),MATCH(E$2,'Budget original'!$A$2:$AO$2,0))</f>
        <v>71465.352419999996</v>
      </c>
      <c r="F178" s="291">
        <f>+INDEX('Budget original'!$A$2:$AO$501,MATCH($A178,'Budget original'!$A$2:$A$501,0),MATCH(F$2,'Budget original'!$A$2:$AO$2,0))</f>
        <v>52884.360790799998</v>
      </c>
      <c r="G178" s="277"/>
      <c r="H178" s="291"/>
      <c r="I178" s="291"/>
      <c r="J178" s="277">
        <f>-SUMIFS(BV_Data_An_Cour!$O:$O,BV_Data_An_Cour!$U:$U,$B178,BV_Data_An_Cour!$V:$V,$C178,BV_Data_An_Cour!$W:$W,J$2)</f>
        <v>247</v>
      </c>
      <c r="K178" s="271">
        <f>-SUMIFS(BV_Data_An_Cour!$O:$O,BV_Data_An_Cour!$X:$X,"Oui",BV_Data_An_Cour!$U:$U,$B178,BV_Data_An_Cour!$V:$V,$C178)</f>
        <v>87494.05</v>
      </c>
      <c r="L178" s="256">
        <f>-SUMIFS(BV_Data_An_Cour!$O:$O,BV_Data_An_Cour!$U:$U,$B178,BV_Data_An_Cour!$V:$V,$C178,BV_Data_An_Cour!$W:$W,$L$2)</f>
        <v>66932.45</v>
      </c>
      <c r="M178" s="292">
        <f>(K178-E178)/E178</f>
        <v>0.22428627351894626</v>
      </c>
      <c r="N178" s="276">
        <f>L178-F178</f>
        <v>14048.089209199999</v>
      </c>
      <c r="O178" s="277">
        <f t="array" ref="O178">+INDEX('Réel 2024'!$A$2:$AO$501,MATCH($A178,'Réel 2024'!$A$2:$A$501,0),MATCH(O$2,'Réel 2024'!$A$2:$AO$2,0))</f>
        <v>264</v>
      </c>
      <c r="P178" s="271">
        <f t="array" ref="P178">+INDEX('Réel 2024'!$A$2:$AO$501,MATCH($A178,'Réel 2024'!$A$2:$A$501,0),MATCH(P$2,'Réel 2024'!$A$2:$AO$2,0))</f>
        <v>81821.48</v>
      </c>
      <c r="Q178" s="256">
        <f t="array" ref="Q178">+INDEX('Réel 2024'!$A$2:$AO$501,MATCH($A178,'Réel 2024'!$A$2:$A$501,0),MATCH(Q$2,'Réel 2024'!$A$2:$AO$2,0))</f>
        <v>63739.039999999899</v>
      </c>
      <c r="R178" s="292">
        <f>IF(O178=0,0,J178/O178)</f>
        <v>0.93560606060606055</v>
      </c>
      <c r="S178" s="276">
        <f>L178-Q178</f>
        <v>3193.4100000000981</v>
      </c>
      <c r="T178" s="291"/>
      <c r="AA178" s="41"/>
      <c r="AB178" s="41"/>
      <c r="AC178" s="41"/>
      <c r="AD178" s="41"/>
      <c r="AE178" s="41"/>
      <c r="AF178" s="41"/>
      <c r="AG178" s="41"/>
      <c r="AH178" s="41"/>
      <c r="AI178" s="41"/>
      <c r="AJ178" s="41"/>
      <c r="AK178" s="41"/>
      <c r="AL178" s="41"/>
      <c r="AM178" s="41"/>
      <c r="AN178" s="41"/>
    </row>
    <row r="179" spans="1:40" ht="15.75" customHeight="1">
      <c r="A179" s="5" t="s">
        <v>460</v>
      </c>
      <c r="B179" s="41" t="s">
        <v>161</v>
      </c>
      <c r="C179" s="253" t="s">
        <v>165</v>
      </c>
      <c r="D179" s="291"/>
      <c r="E179" s="349"/>
      <c r="F179" s="362">
        <f>F178/E178</f>
        <v>0.74</v>
      </c>
      <c r="G179" s="277"/>
      <c r="H179" s="349"/>
      <c r="I179" s="362"/>
      <c r="J179" s="277"/>
      <c r="K179" s="349"/>
      <c r="L179" s="362">
        <f>IF(L178=0,0,L178/K178)</f>
        <v>0.76499430532704793</v>
      </c>
      <c r="M179" s="292"/>
      <c r="N179" s="276">
        <f>L179-F179</f>
        <v>2.4994305327047939E-2</v>
      </c>
      <c r="O179" s="277"/>
      <c r="P179" s="349"/>
      <c r="Q179" s="362">
        <f>Q178/P178</f>
        <v>0.77900130870279904</v>
      </c>
      <c r="R179" s="277">
        <f>O179-K179</f>
        <v>0</v>
      </c>
      <c r="S179" s="276"/>
      <c r="T179" s="291"/>
      <c r="AA179" s="41"/>
      <c r="AB179" s="41"/>
      <c r="AC179" s="41"/>
      <c r="AD179" s="41"/>
      <c r="AE179" s="41"/>
      <c r="AF179" s="41"/>
      <c r="AG179" s="41"/>
      <c r="AH179" s="41"/>
      <c r="AI179" s="41"/>
      <c r="AJ179" s="41"/>
      <c r="AK179" s="41"/>
      <c r="AL179" s="41"/>
      <c r="AM179" s="41"/>
      <c r="AN179" s="41"/>
    </row>
    <row r="180" spans="1:40" ht="15.75" customHeight="1">
      <c r="A180" s="5" t="s">
        <v>161</v>
      </c>
      <c r="B180" s="41" t="s">
        <v>161</v>
      </c>
      <c r="C180" s="253"/>
      <c r="D180" s="291"/>
      <c r="E180" s="363">
        <f>IFERROR(E178/D178,0)</f>
        <v>307.02</v>
      </c>
      <c r="F180" s="364"/>
      <c r="G180" s="365"/>
      <c r="H180" s="363"/>
      <c r="I180" s="364"/>
      <c r="J180" s="365"/>
      <c r="K180" s="363">
        <f>IFERROR(K178/J178,0)</f>
        <v>354.22692307692307</v>
      </c>
      <c r="L180" s="364"/>
      <c r="M180" s="295"/>
      <c r="N180" s="296"/>
      <c r="O180" s="365"/>
      <c r="P180" s="363">
        <f>IFERROR(P178/O178,0)</f>
        <v>309.92984848484849</v>
      </c>
      <c r="Q180" s="362"/>
      <c r="R180" s="365"/>
      <c r="S180" s="276"/>
      <c r="T180" s="291"/>
      <c r="U180" s="1001"/>
      <c r="AA180" s="41"/>
      <c r="AB180" s="41"/>
      <c r="AC180" s="41"/>
      <c r="AD180" s="41"/>
      <c r="AE180" s="41"/>
      <c r="AF180" s="41"/>
      <c r="AG180" s="41"/>
      <c r="AH180" s="41"/>
      <c r="AI180" s="41"/>
      <c r="AJ180" s="41"/>
      <c r="AK180" s="41"/>
      <c r="AL180" s="41"/>
      <c r="AM180" s="41"/>
      <c r="AN180" s="41"/>
    </row>
    <row r="181" spans="1:40" ht="15.75" customHeight="1">
      <c r="A181" s="5" t="s">
        <v>465</v>
      </c>
      <c r="B181" s="41" t="s">
        <v>161</v>
      </c>
      <c r="C181" s="241" t="s">
        <v>168</v>
      </c>
      <c r="D181" s="366">
        <f>+INDEX('Budget original'!$A$2:$AO$501,MATCH($A181,'Budget original'!$A$2:$A$501,0),MATCH(D$2,'Budget original'!$A$2:$AO$2,0))</f>
        <v>107.38800000000001</v>
      </c>
      <c r="E181" s="291">
        <f>+INDEX('Budget original'!$A$2:$AO$501,MATCH($A181,'Budget original'!$A$2:$A$501,0),MATCH(E$2,'Budget original'!$A$2:$AO$2,0))</f>
        <v>28994.760000000002</v>
      </c>
      <c r="F181" s="291">
        <f>+INDEX('Budget original'!$A$2:$AO$501,MATCH($A181,'Budget original'!$A$2:$A$501,0),MATCH(F$2,'Budget original'!$A$2:$AO$2,0))</f>
        <v>21746.07</v>
      </c>
      <c r="G181" s="367"/>
      <c r="H181" s="291"/>
      <c r="I181" s="291"/>
      <c r="J181" s="367">
        <f>-SUMIFS(BV_Data_An_Cour!$O:$O,BV_Data_An_Cour!$U:$U,$B181,BV_Data_An_Cour!$V:$V,$C181,BV_Data_An_Cour!$W:$W,J$2)</f>
        <v>0</v>
      </c>
      <c r="K181" s="271">
        <f>-SUMIFS(BV_Data_An_Cour!$O:$O,BV_Data_An_Cour!$X:$X,"Oui",BV_Data_An_Cour!$U:$U,$B181,BV_Data_An_Cour!$V:$V,$C181)</f>
        <v>23911.63</v>
      </c>
      <c r="L181" s="272">
        <f>-SUMIFS(BV_Data_An_Cour!$O:$O,BV_Data_An_Cour!$U:$U,$B181,BV_Data_An_Cour!$V:$V,$C181,BV_Data_An_Cour!$W:$W,$L$2)</f>
        <v>19209.34</v>
      </c>
      <c r="M181" s="371">
        <f>IF(E181=0,0,(K181-E181)/E181)</f>
        <v>-0.17531202189637027</v>
      </c>
      <c r="N181" s="317">
        <f>L181-F181</f>
        <v>-2536.7299999999996</v>
      </c>
      <c r="O181" s="367">
        <f t="array" ref="O181">+INDEX('Réel 2024'!$A$2:$AO$501,MATCH($A181,'Réel 2024'!$A$2:$A$501,0),MATCH(O$2,'Réel 2024'!$A$2:$AO$2,0))</f>
        <v>0</v>
      </c>
      <c r="P181" s="271">
        <f t="array" ref="P181">+INDEX('Réel 2024'!$A$2:$AO$501,MATCH($A181,'Réel 2024'!$A$2:$A$501,0),MATCH(P$2,'Réel 2024'!$A$2:$AO$2,0))</f>
        <v>27206.52</v>
      </c>
      <c r="Q181" s="272">
        <f t="array" ref="Q181">+INDEX('Réel 2024'!$A$2:$AO$501,MATCH($A181,'Réel 2024'!$A$2:$A$501,0),MATCH(Q$2,'Réel 2024'!$A$2:$AO$2,0))</f>
        <v>17588.689999999999</v>
      </c>
      <c r="R181" s="292">
        <f>IF(O181=0,0,J181/O181)</f>
        <v>0</v>
      </c>
      <c r="S181" s="317">
        <f>L181-Q181</f>
        <v>1620.6500000000015</v>
      </c>
      <c r="T181" s="291"/>
      <c r="U181" s="1001"/>
      <c r="AA181" s="41"/>
      <c r="AB181" s="41"/>
      <c r="AC181" s="41"/>
      <c r="AD181" s="41"/>
      <c r="AE181" s="41"/>
      <c r="AF181" s="41"/>
      <c r="AG181" s="41"/>
      <c r="AH181" s="41"/>
      <c r="AI181" s="41"/>
      <c r="AJ181" s="41"/>
      <c r="AK181" s="41"/>
      <c r="AL181" s="41"/>
      <c r="AM181" s="41"/>
      <c r="AN181" s="41"/>
    </row>
    <row r="182" spans="1:40" ht="15.75" customHeight="1">
      <c r="A182" s="5" t="s">
        <v>460</v>
      </c>
      <c r="B182" s="41" t="s">
        <v>161</v>
      </c>
      <c r="C182" s="253" t="s">
        <v>165</v>
      </c>
      <c r="D182" s="11"/>
      <c r="E182" s="372"/>
      <c r="F182" s="362">
        <f>IFERROR(F181/E181,0)</f>
        <v>0.74999999999999989</v>
      </c>
      <c r="G182" s="270"/>
      <c r="H182" s="372"/>
      <c r="I182" s="362"/>
      <c r="J182" s="373"/>
      <c r="K182" s="372">
        <f>IF(J182&lt;=0,0,L182/J182)</f>
        <v>0</v>
      </c>
      <c r="L182" s="362">
        <f>IF(L181=0,0,L181/K181)</f>
        <v>0.80334715784745747</v>
      </c>
      <c r="M182" s="277">
        <f>J182-D182</f>
        <v>0</v>
      </c>
      <c r="N182" s="374"/>
      <c r="O182" s="373"/>
      <c r="P182" s="372"/>
      <c r="Q182" s="362">
        <f>IFERROR(Q181/P181,0)</f>
        <v>0.64648804771797341</v>
      </c>
      <c r="R182" s="253"/>
      <c r="S182" s="374"/>
      <c r="T182" s="319"/>
      <c r="U182" s="1001"/>
      <c r="AA182" s="41"/>
      <c r="AB182" s="41"/>
      <c r="AC182" s="41"/>
      <c r="AD182" s="41"/>
      <c r="AE182" s="41"/>
      <c r="AF182" s="41"/>
      <c r="AG182" s="41"/>
      <c r="AH182" s="41"/>
      <c r="AI182" s="41"/>
      <c r="AJ182" s="41"/>
      <c r="AK182" s="41"/>
      <c r="AL182" s="41"/>
      <c r="AM182" s="41"/>
      <c r="AN182" s="41"/>
    </row>
    <row r="183" spans="1:40" ht="15.75" customHeight="1">
      <c r="A183" s="5" t="s">
        <v>161</v>
      </c>
      <c r="B183" s="41" t="s">
        <v>161</v>
      </c>
      <c r="C183" s="246"/>
      <c r="D183" s="375"/>
      <c r="E183" s="376"/>
      <c r="F183" s="364"/>
      <c r="G183" s="266"/>
      <c r="H183" s="376"/>
      <c r="I183" s="364"/>
      <c r="J183" s="377"/>
      <c r="K183" s="250"/>
      <c r="L183" s="364"/>
      <c r="M183" s="365"/>
      <c r="N183" s="378"/>
      <c r="O183" s="377"/>
      <c r="P183" s="250">
        <f>IFERROR(P181/O181,0)</f>
        <v>0</v>
      </c>
      <c r="Q183" s="364"/>
      <c r="R183" s="246"/>
      <c r="S183" s="378"/>
      <c r="T183" s="319"/>
      <c r="AA183" s="41"/>
      <c r="AB183" s="41"/>
      <c r="AC183" s="41"/>
      <c r="AD183" s="41"/>
      <c r="AE183" s="41"/>
      <c r="AF183" s="41"/>
      <c r="AG183" s="41"/>
      <c r="AH183" s="41"/>
      <c r="AI183" s="41"/>
      <c r="AJ183" s="41"/>
      <c r="AK183" s="41"/>
      <c r="AL183" s="41"/>
      <c r="AM183" s="41"/>
      <c r="AN183" s="41"/>
    </row>
    <row r="184" spans="1:40" ht="26.25" customHeight="1">
      <c r="A184" s="5" t="s">
        <v>466</v>
      </c>
      <c r="B184" s="41" t="s">
        <v>161</v>
      </c>
      <c r="C184" s="253" t="s">
        <v>169</v>
      </c>
      <c r="D184" s="41"/>
      <c r="E184" s="41"/>
      <c r="F184" s="276">
        <f>+INDEX('Budget original'!$A$2:$AO$501,MATCH($A184,'Budget original'!$A$2:$A$501,0),MATCH(F$2,'Budget original'!$A$2:$AO$2,0))</f>
        <v>-4075.8992150135141</v>
      </c>
      <c r="G184" s="253"/>
      <c r="H184" s="291"/>
      <c r="I184" s="291"/>
      <c r="J184" s="277"/>
      <c r="K184" s="291"/>
      <c r="L184" s="291">
        <f>-SUMIFS(BV_Data_An_Cour!$O:$O,BV_Data_An_Cour!$U:$U,$B184,BV_Data_An_Cour!$V:$V,$C184,BV_Data_An_Cour!$W:$W,$L$2)</f>
        <v>-1048.6300000000001</v>
      </c>
      <c r="M184" s="373"/>
      <c r="N184" s="276">
        <f>L184-F184</f>
        <v>3027.269215013514</v>
      </c>
      <c r="O184" s="277"/>
      <c r="P184" s="291"/>
      <c r="Q184" s="256">
        <f t="array" ref="Q184">+INDEX('Réel 2024'!$A$2:$AO$501,MATCH($A184,'Réel 2024'!$A$2:$A$501,0),MATCH(Q$2,'Réel 2024'!$A$2:$AO$2,0))</f>
        <v>-2141.9499999999998</v>
      </c>
      <c r="R184" s="379"/>
      <c r="S184" s="276">
        <f t="shared" ref="S184:S185" si="41">L184-Q184</f>
        <v>1093.3199999999997</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
        <v>467</v>
      </c>
      <c r="B185" s="41" t="s">
        <v>161</v>
      </c>
      <c r="C185" s="380" t="s">
        <v>170</v>
      </c>
      <c r="D185" s="381">
        <f>D172+D175+D178+D181+D184</f>
        <v>1105.0309999999999</v>
      </c>
      <c r="E185" s="381">
        <f>E172+E175+E178+E181+E184</f>
        <v>351885.59242</v>
      </c>
      <c r="F185" s="382">
        <f>F172+F175+F178+F181+F184</f>
        <v>262005.66597578648</v>
      </c>
      <c r="G185" s="383"/>
      <c r="H185" s="381"/>
      <c r="I185" s="382"/>
      <c r="J185" s="383">
        <f t="shared" ref="J185:L185" si="42">J172+J175+J178+J181+J184</f>
        <v>1095</v>
      </c>
      <c r="K185" s="381">
        <f t="shared" si="42"/>
        <v>359762.88</v>
      </c>
      <c r="L185" s="382">
        <f t="shared" si="42"/>
        <v>268948.78000000003</v>
      </c>
      <c r="M185" s="384">
        <f>(K185-E185)/E185</f>
        <v>2.2385933808275707E-2</v>
      </c>
      <c r="N185" s="382">
        <f>L185-F185</f>
        <v>6943.1140242135443</v>
      </c>
      <c r="O185" s="383">
        <f t="shared" ref="O185:Q185" si="43">O172+O175+O178+O181+O184</f>
        <v>1057</v>
      </c>
      <c r="P185" s="381">
        <f t="shared" si="43"/>
        <v>349391.62</v>
      </c>
      <c r="Q185" s="382">
        <f t="shared" si="43"/>
        <v>267598.35999999975</v>
      </c>
      <c r="R185" s="264">
        <f>IF(O185=0,0,J185/O185)</f>
        <v>1.0359508041627248</v>
      </c>
      <c r="S185" s="382">
        <f t="shared" si="41"/>
        <v>1350.4200000002747</v>
      </c>
      <c r="T185" s="319"/>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468</v>
      </c>
      <c r="B186" s="41" t="s">
        <v>161</v>
      </c>
      <c r="C186" s="385" t="s">
        <v>171</v>
      </c>
      <c r="D186" s="386"/>
      <c r="E186" s="387"/>
      <c r="F186" s="388">
        <f>F185/E185</f>
        <v>0.74457628166561718</v>
      </c>
      <c r="G186" s="389"/>
      <c r="H186" s="387"/>
      <c r="I186" s="265"/>
      <c r="J186" s="389"/>
      <c r="K186" s="387">
        <f>IF(J185=0,0,K185/J185)</f>
        <v>328.55057534246578</v>
      </c>
      <c r="L186" s="265">
        <f>IF(L185=0,0,L185/K185)</f>
        <v>0.74757234542930062</v>
      </c>
      <c r="M186" s="389"/>
      <c r="N186" s="388">
        <f>N185/F185</f>
        <v>2.6499862124566419E-2</v>
      </c>
      <c r="O186" s="389"/>
      <c r="P186" s="387">
        <f>IF(O185=0,0,P185/O185)</f>
        <v>330.55025543992429</v>
      </c>
      <c r="Q186" s="265">
        <f>Q185/P185</f>
        <v>0.76589804872824296</v>
      </c>
      <c r="R186" s="389"/>
      <c r="S186" s="265">
        <f>S185/Q185</f>
        <v>5.0464434834364309E-3</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
        <v>161</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9.5" customHeight="1">
      <c r="A188" s="5" t="s">
        <v>469</v>
      </c>
      <c r="B188" s="41" t="s">
        <v>161</v>
      </c>
      <c r="C188" s="253" t="s">
        <v>172</v>
      </c>
      <c r="D188" s="291"/>
      <c r="E188" s="291">
        <f>+INDEX('Budget original'!$A$2:$AO$501,MATCH($A188,'Budget original'!$A$2:$A$501,0),MATCH(E$2,'Budget original'!$A$2:$AO$2,0))</f>
        <v>16335.396000000001</v>
      </c>
      <c r="F188" s="291">
        <f>+INDEX('Budget original'!$A$2:$AO$501,MATCH($A188,'Budget original'!$A$2:$A$501,0),MATCH(F$2,'Budget original'!$A$2:$AO$2,0))</f>
        <v>2875.0296960000001</v>
      </c>
      <c r="G188" s="277"/>
      <c r="H188" s="291"/>
      <c r="I188" s="291"/>
      <c r="J188" s="277"/>
      <c r="K188" s="254">
        <f>-SUMIFS(BV_Data_An_Cour!$O:$O,BV_Data_An_Cour!$X:$X,"Oui",BV_Data_An_Cour!$U:$U,$B188,BV_Data_An_Cour!$V:$V,$C188)</f>
        <v>26364.6</v>
      </c>
      <c r="L188" s="256">
        <f>-SUMIFS(BV_Data_An_Cour!$O:$O,BV_Data_An_Cour!$U:$U,$B188,BV_Data_An_Cour!$V:$V,$C188,BV_Data_An_Cour!$W:$W,$L$2)</f>
        <v>6412.0199999999986</v>
      </c>
      <c r="M188" s="292">
        <f>IF(E188=0,0,(K188-E188)/E188)</f>
        <v>0.61395536416748009</v>
      </c>
      <c r="N188" s="276">
        <f>L188-F188</f>
        <v>3536.9903039999986</v>
      </c>
      <c r="O188" s="277"/>
      <c r="P188" s="254">
        <f t="array" ref="P188">+INDEX('Réel 2024'!$A$2:$AO$501,MATCH($A188,'Réel 2024'!$A$2:$A$501,0),MATCH(P$2,'Réel 2024'!$A$2:$AO$2,0))</f>
        <v>31330.82</v>
      </c>
      <c r="Q188" s="256">
        <f t="array" ref="Q188">+INDEX('Réel 2024'!$A$2:$AO$501,MATCH($A188,'Réel 2024'!$A$2:$A$501,0),MATCH(Q$2,'Réel 2024'!$A$2:$AO$2,0))</f>
        <v>5707.76</v>
      </c>
      <c r="R188" s="292">
        <f>IF(O188=0,0,J188/O188)</f>
        <v>0</v>
      </c>
      <c r="S188" s="276">
        <f>L188-Q188</f>
        <v>704.2599999999984</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21" customHeight="1">
      <c r="A189" s="5" t="s">
        <v>460</v>
      </c>
      <c r="B189" s="41" t="s">
        <v>161</v>
      </c>
      <c r="C189" s="253" t="s">
        <v>165</v>
      </c>
      <c r="D189" s="41"/>
      <c r="E189" s="349"/>
      <c r="F189" s="362">
        <f>IFERROR(F188/E188,0)</f>
        <v>0.17599999999999999</v>
      </c>
      <c r="G189" s="253"/>
      <c r="H189" s="349"/>
      <c r="I189" s="362"/>
      <c r="J189" s="373"/>
      <c r="K189" s="372"/>
      <c r="L189" s="362">
        <f>IF(L188=0,0,L188/K188)</f>
        <v>0.24320566213786665</v>
      </c>
      <c r="M189" s="373"/>
      <c r="N189" s="374"/>
      <c r="O189" s="373"/>
      <c r="P189" s="372"/>
      <c r="Q189" s="362">
        <f>IFERROR(Q188/P188,0)</f>
        <v>0.18217716612587861</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
        <v>161</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470</v>
      </c>
      <c r="B191" s="41" t="s">
        <v>161</v>
      </c>
      <c r="C191" s="253" t="s">
        <v>173</v>
      </c>
      <c r="D191" s="41"/>
      <c r="E191" s="291">
        <f>+INDEX('Budget original'!$A$2:$AO$501,MATCH($A191,'Budget original'!$A$2:$A$501,0),MATCH(E$2,'Budget original'!$A$2:$AO$2,0))</f>
        <v>22230</v>
      </c>
      <c r="F191" s="291">
        <f>+INDEX('Budget original'!$A$2:$AO$501,MATCH($A191,'Budget original'!$A$2:$A$501,0),MATCH(F$2,'Budget original'!$A$2:$AO$2,0))</f>
        <v>15560.999999999998</v>
      </c>
      <c r="G191" s="253"/>
      <c r="H191" s="291"/>
      <c r="I191" s="291"/>
      <c r="J191" s="277">
        <f>-SUMIFS(BV_Data_An_Cour!$O:$O,BV_Data_An_Cour!$U:$U,$B191,BV_Data_An_Cour!$V:$V,$C191,BV_Data_An_Cour!$W:$W,J$2)</f>
        <v>68</v>
      </c>
      <c r="K191" s="254">
        <f>-SUMIFS(BV_Data_An_Cour!$O:$O,BV_Data_An_Cour!$X:$X,"Oui",BV_Data_An_Cour!$U:$U,$B191,BV_Data_An_Cour!$V:$V,$C191)</f>
        <v>13699.1</v>
      </c>
      <c r="L191" s="256">
        <f>-SUMIFS(BV_Data_An_Cour!$O:$O,BV_Data_An_Cour!$U:$U,$B191,BV_Data_An_Cour!$V:$V,$C191,BV_Data_An_Cour!$W:$W,$L$2)</f>
        <v>8680.98</v>
      </c>
      <c r="M191" s="292">
        <f>IF(E191=0,0,(K191-E191)/E191)</f>
        <v>-0.38375618533513267</v>
      </c>
      <c r="N191" s="276">
        <f>L191-F191</f>
        <v>-6880.0199999999986</v>
      </c>
      <c r="O191" s="373"/>
      <c r="P191" s="254">
        <f t="array" ref="P191">+INDEX('Réel 2024'!$A$2:$AO$501,MATCH($A191,'Réel 2024'!$A$2:$A$501,0),MATCH(P$2,'Réel 2024'!$A$2:$AO$2,0))</f>
        <v>15244.65</v>
      </c>
      <c r="Q191" s="256">
        <f t="array" ref="Q191">+INDEX('Réel 2024'!$A$2:$AO$501,MATCH($A191,'Réel 2024'!$A$2:$A$501,0),MATCH(Q$2,'Réel 2024'!$A$2:$AO$2,0))</f>
        <v>8650.89</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460</v>
      </c>
      <c r="B192" s="41" t="s">
        <v>161</v>
      </c>
      <c r="C192" s="253" t="s">
        <v>165</v>
      </c>
      <c r="D192" s="41"/>
      <c r="E192" s="349"/>
      <c r="F192" s="362">
        <f>IF(F191=0,0,F191/E191)</f>
        <v>0.7</v>
      </c>
      <c r="G192" s="253"/>
      <c r="H192" s="349"/>
      <c r="I192" s="362"/>
      <c r="J192" s="373"/>
      <c r="K192" s="372"/>
      <c r="L192" s="362">
        <f>IF(L191=0,0,L191/K191)</f>
        <v>0.63368980443970768</v>
      </c>
      <c r="M192" s="373"/>
      <c r="N192" s="374"/>
      <c r="O192" s="373"/>
      <c r="P192" s="372"/>
      <c r="Q192" s="362">
        <f>IF(Q191=0,0,Q191/P191)</f>
        <v>0.56747055524397083</v>
      </c>
      <c r="R192" s="373"/>
      <c r="S192" s="374"/>
      <c r="T192" s="319"/>
      <c r="U192" s="254"/>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
        <v>161</v>
      </c>
      <c r="B193" s="41" t="s">
        <v>161</v>
      </c>
      <c r="C193" s="394"/>
      <c r="D193" s="395"/>
      <c r="E193" s="396"/>
      <c r="F193" s="397"/>
      <c r="G193" s="398"/>
      <c r="H193" s="396"/>
      <c r="I193" s="397"/>
      <c r="J193" s="398">
        <f>K193/(J172+J191)</f>
        <v>329.3851219512195</v>
      </c>
      <c r="K193" s="396">
        <f>K191+K181+K172</f>
        <v>243086.22</v>
      </c>
      <c r="L193" s="397">
        <f>K193/J193</f>
        <v>738</v>
      </c>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24.75" customHeight="1">
      <c r="A194" s="5" t="s">
        <v>471</v>
      </c>
      <c r="B194" s="41" t="s">
        <v>161</v>
      </c>
      <c r="C194" s="278" t="s">
        <v>174</v>
      </c>
      <c r="D194" s="279"/>
      <c r="E194" s="279">
        <f>E185+E188+E191</f>
        <v>390450.98842000001</v>
      </c>
      <c r="F194" s="281">
        <f>F185+F188+F191</f>
        <v>280441.6956717865</v>
      </c>
      <c r="G194" s="282"/>
      <c r="H194" s="279"/>
      <c r="I194" s="281"/>
      <c r="J194" s="282"/>
      <c r="K194" s="279">
        <f t="shared" ref="K194:L194" si="44">K185+K188+K191</f>
        <v>399826.57999999996</v>
      </c>
      <c r="L194" s="281">
        <f t="shared" si="44"/>
        <v>284041.78000000003</v>
      </c>
      <c r="M194" s="399">
        <f>L195-F195</f>
        <v>-7.8382504864907832E-3</v>
      </c>
      <c r="N194" s="281">
        <f>L194-F194</f>
        <v>3600.084328213532</v>
      </c>
      <c r="O194" s="282"/>
      <c r="P194" s="279">
        <f t="shared" ref="P194:Q194" si="45">P185+P188+P191</f>
        <v>395967.09</v>
      </c>
      <c r="Q194" s="281">
        <f t="shared" si="45"/>
        <v>281957.00999999978</v>
      </c>
      <c r="R194" s="399"/>
      <c r="S194" s="281">
        <f>L194-Q194</f>
        <v>2084.7700000002515</v>
      </c>
      <c r="T194" s="319"/>
      <c r="U194" s="1160"/>
      <c r="V194" s="41"/>
      <c r="W194" s="41"/>
      <c r="X194" s="41"/>
      <c r="Y194" s="41"/>
      <c r="Z194" s="41"/>
      <c r="AA194" s="41"/>
      <c r="AB194" s="41"/>
      <c r="AC194" s="41"/>
      <c r="AD194" s="41"/>
      <c r="AE194" s="41"/>
      <c r="AF194" s="41"/>
      <c r="AG194" s="41"/>
      <c r="AH194" s="41"/>
      <c r="AI194" s="41"/>
      <c r="AJ194" s="41"/>
      <c r="AK194" s="41"/>
      <c r="AL194" s="41"/>
      <c r="AM194" s="41"/>
      <c r="AN194" s="41"/>
    </row>
    <row r="195" spans="1:40" ht="24" customHeight="1">
      <c r="A195" s="5" t="s">
        <v>161</v>
      </c>
      <c r="B195" s="41" t="s">
        <v>161</v>
      </c>
      <c r="C195" s="283"/>
      <c r="D195" s="284"/>
      <c r="E195" s="284"/>
      <c r="F195" s="287">
        <f>F194/E194</f>
        <v>0.71825069980389245</v>
      </c>
      <c r="G195" s="283"/>
      <c r="H195" s="284"/>
      <c r="I195" s="287"/>
      <c r="J195" s="283"/>
      <c r="K195" s="284"/>
      <c r="L195" s="287">
        <f>L194/K194</f>
        <v>0.71041244931740166</v>
      </c>
      <c r="M195" s="286"/>
      <c r="N195" s="287">
        <f>N194/F194</f>
        <v>1.2837193554937253E-2</v>
      </c>
      <c r="O195" s="283"/>
      <c r="P195" s="284"/>
      <c r="Q195" s="287">
        <f>Q194/P194</f>
        <v>0.71207182899972765</v>
      </c>
      <c r="R195" s="286"/>
      <c r="S195" s="287">
        <f>L194/S194</f>
        <v>136.24609909005108</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
        <v>161</v>
      </c>
      <c r="B196" s="41" t="s">
        <v>161</v>
      </c>
      <c r="C196" s="270"/>
      <c r="D196" s="11"/>
      <c r="E196" s="11"/>
      <c r="F196" s="265"/>
      <c r="G196" s="270"/>
      <c r="H196" s="11"/>
      <c r="I196" s="265"/>
      <c r="J196" s="270"/>
      <c r="K196" s="319"/>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472</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473</v>
      </c>
      <c r="B198" s="41" t="s">
        <v>161</v>
      </c>
      <c r="C198" s="312" t="s">
        <v>120</v>
      </c>
      <c r="D198" s="41"/>
      <c r="E198" s="41"/>
      <c r="F198" s="254">
        <f>+INDEX('Budget original'!$A$2:$AO$501,MATCH($A198,'Budget original'!$A$2:$A$501,0),MATCH(F$2,'Budget original'!$A$2:$AO$2,0))</f>
        <v>18635.594711538462</v>
      </c>
      <c r="G198" s="253"/>
      <c r="H198" s="41"/>
      <c r="I198" s="254"/>
      <c r="J198" s="253"/>
      <c r="K198" s="41"/>
      <c r="L198" s="256">
        <f>SUMIFS(BV_Data_An_Cour!$O:$O,BV_Data_An_Cour!$U:$U,$B198,BV_Data_An_Cour!$V:$V,$C198,BV_Data_An_Cour!$W:$W,$L$2)</f>
        <v>13576.1</v>
      </c>
      <c r="M198" s="253"/>
      <c r="N198" s="256">
        <f t="shared" ref="N198:N229" si="46">L198-F198</f>
        <v>-5059.4947115384621</v>
      </c>
      <c r="O198" s="253"/>
      <c r="P198" s="41"/>
      <c r="Q198" s="256">
        <f t="array" ref="Q198">+INDEX('Réel 2024'!$A$2:$AO$501,MATCH($A198,'Réel 2024'!$A$2:$A$501,0),MATCH(Q$2,'Réel 2024'!$A$2:$AO$2,0))</f>
        <v>12594.56</v>
      </c>
      <c r="R198" s="253"/>
      <c r="S198" s="256">
        <f t="shared" ref="S198:S229" si="47">L198-Q198</f>
        <v>981.54000000000087</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
        <v>474</v>
      </c>
      <c r="B199" s="41" t="s">
        <v>161</v>
      </c>
      <c r="C199" s="313" t="s">
        <v>121</v>
      </c>
      <c r="D199" s="297"/>
      <c r="E199" s="41"/>
      <c r="F199" s="248">
        <f>+INDEX('Budget original'!$A$2:$AO$501,MATCH($A199,'Budget original'!$A$2:$A$501,0),MATCH(F$2,'Budget original'!$A$2:$AO$2,0))</f>
        <v>10418.882923076924</v>
      </c>
      <c r="G199" s="298"/>
      <c r="H199" s="41"/>
      <c r="I199" s="248"/>
      <c r="J199" s="253"/>
      <c r="K199" s="41"/>
      <c r="L199" s="256">
        <f>SUMIFS(BV_Data_An_Cour!$O:$O,BV_Data_An_Cour!$U:$U,$B199,BV_Data_An_Cour!$V:$V,$C199,BV_Data_An_Cour!$W:$W,$L$2)</f>
        <v>6435.82</v>
      </c>
      <c r="M199" s="253"/>
      <c r="N199" s="256">
        <f t="shared" si="46"/>
        <v>-3983.0629230769246</v>
      </c>
      <c r="O199" s="253"/>
      <c r="P199" s="41"/>
      <c r="Q199" s="256">
        <f t="array" ref="Q199">+INDEX('Réel 2024'!$A$2:$AO$501,MATCH($A199,'Réel 2024'!$A$2:$A$501,0),MATCH(Q$2,'Réel 2024'!$A$2:$AO$2,0))</f>
        <v>9538.9</v>
      </c>
      <c r="R199" s="253"/>
      <c r="S199" s="276">
        <f t="shared" si="47"/>
        <v>-3103.08</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20.25">
      <c r="A200" s="5" t="s">
        <v>475</v>
      </c>
      <c r="B200" s="41" t="s">
        <v>161</v>
      </c>
      <c r="C200" s="312" t="s">
        <v>122</v>
      </c>
      <c r="D200" s="314"/>
      <c r="E200" s="315"/>
      <c r="F200" s="254">
        <f>+INDEX('Budget original'!$A$2:$AO$501,MATCH($A200,'Budget original'!$A$2:$A$501,0),MATCH(F$2,'Budget original'!$A$2:$AO$2,0))</f>
        <v>19584.721153846156</v>
      </c>
      <c r="G200" s="316"/>
      <c r="H200" s="315"/>
      <c r="I200" s="254"/>
      <c r="J200" s="241"/>
      <c r="K200" s="315"/>
      <c r="L200" s="272">
        <f>SUMIFS(BV_Data_An_Cour!$O:$O,BV_Data_An_Cour!$U:$U,$B200,BV_Data_An_Cour!$V:$V,$C200,BV_Data_An_Cour!$W:$W,$L$2)</f>
        <v>23882.37</v>
      </c>
      <c r="M200" s="241"/>
      <c r="N200" s="272">
        <f t="shared" si="46"/>
        <v>4297.6488461538429</v>
      </c>
      <c r="O200" s="241"/>
      <c r="P200" s="315"/>
      <c r="Q200" s="272">
        <f t="array" ref="Q200">+INDEX('Réel 2024'!$A$2:$AO$501,MATCH($A200,'Réel 2024'!$A$2:$A$501,0),MATCH(Q$2,'Réel 2024'!$A$2:$AO$2,0))</f>
        <v>22496.47</v>
      </c>
      <c r="R200" s="241"/>
      <c r="S200" s="317">
        <f t="shared" si="47"/>
        <v>1385.8999999999978</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20.25">
      <c r="A201" s="5" t="s">
        <v>476</v>
      </c>
      <c r="B201" s="41" t="s">
        <v>161</v>
      </c>
      <c r="C201" s="312" t="s">
        <v>123</v>
      </c>
      <c r="D201" s="297"/>
      <c r="E201" s="1144">
        <f>F201/E172</f>
        <v>0.17029890465593661</v>
      </c>
      <c r="F201" s="254">
        <f>+INDEX('Budget original'!$A$2:$AO$501,MATCH($A201,'Budget original'!$A$2:$A$501,0),MATCH(F$2,'Budget original'!$A$2:$AO$2,0))</f>
        <v>37148.063011692306</v>
      </c>
      <c r="G201" s="298"/>
      <c r="H201" s="41"/>
      <c r="I201" s="254"/>
      <c r="J201" s="253"/>
      <c r="K201" s="1162">
        <f>L201/K172</f>
        <v>0.14855606379135536</v>
      </c>
      <c r="L201" s="256">
        <f>SUMIFS(BV_Data_An_Cour!$O:$O,BV_Data_An_Cour!$U:$U,$B201,BV_Data_An_Cour!$V:$V,$C201,BV_Data_An_Cour!$W:$W,$L$2)</f>
        <v>30524.63</v>
      </c>
      <c r="M201" s="253"/>
      <c r="N201" s="256">
        <f t="shared" si="46"/>
        <v>-6623.4330116923047</v>
      </c>
      <c r="O201" s="253"/>
      <c r="P201" s="41"/>
      <c r="Q201" s="256">
        <f t="array" ref="Q201">+INDEX('Réel 2024'!$A$2:$AO$501,MATCH($A201,'Réel 2024'!$A$2:$A$501,0),MATCH(Q$2,'Réel 2024'!$A$2:$AO$2,0))</f>
        <v>37414.44</v>
      </c>
      <c r="R201" s="253"/>
      <c r="S201" s="276">
        <f t="shared" si="47"/>
        <v>-6889.8100000000013</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
        <v>477</v>
      </c>
      <c r="B202" s="41" t="s">
        <v>161</v>
      </c>
      <c r="C202" s="253" t="s">
        <v>59</v>
      </c>
      <c r="D202" s="297"/>
      <c r="E202" s="41"/>
      <c r="F202" s="254">
        <f>+INDEX('Budget original'!$A$2:$AO$501,MATCH($A202,'Budget original'!$A$2:$A$501,0),MATCH(F$2,'Budget original'!$A$2:$AO$2,0))</f>
        <v>0</v>
      </c>
      <c r="G202" s="298"/>
      <c r="H202" s="41"/>
      <c r="I202" s="254"/>
      <c r="J202" s="253"/>
      <c r="K202" s="41"/>
      <c r="L202" s="256">
        <f>SUMIFS(BV_Data_An_Cour!$O:$O,BV_Data_An_Cour!$U:$U,$B202,BV_Data_An_Cour!$V:$V,$C202,BV_Data_An_Cour!$W:$W,$L$2)</f>
        <v>0</v>
      </c>
      <c r="M202" s="253"/>
      <c r="N202" s="256">
        <f t="shared" si="46"/>
        <v>0</v>
      </c>
      <c r="O202" s="253"/>
      <c r="P202" s="41"/>
      <c r="Q202" s="256">
        <f t="array" ref="Q202">+INDEX('Réel 2024'!$A$2:$AO$501,MATCH($A202,'Réel 2024'!$A$2:$A$501,0),MATCH(Q$2,'Réel 2024'!$A$2:$AO$2,0))</f>
        <v>0</v>
      </c>
      <c r="R202" s="253"/>
      <c r="S202" s="276">
        <f t="shared" si="47"/>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477</v>
      </c>
      <c r="B203" s="41" t="s">
        <v>161</v>
      </c>
      <c r="C203" s="253" t="s">
        <v>59</v>
      </c>
      <c r="D203" s="297"/>
      <c r="E203" s="41"/>
      <c r="F203" s="254">
        <f>+INDEX('Budget original'!$A$2:$AO$501,MATCH($A203,'Budget original'!$A$2:$A$501,0),MATCH(F$2,'Budget original'!$A$2:$AO$2,0))</f>
        <v>0</v>
      </c>
      <c r="G203" s="298"/>
      <c r="H203" s="41"/>
      <c r="I203" s="254"/>
      <c r="J203" s="253"/>
      <c r="K203" s="41"/>
      <c r="L203" s="256">
        <f>SUMIFS(BV_Data_An_Cour!$O:$O,BV_Data_An_Cour!$U:$U,$B203,BV_Data_An_Cour!$V:$V,$C203,BV_Data_An_Cour!$W:$W,$L$2)</f>
        <v>0</v>
      </c>
      <c r="M203" s="253"/>
      <c r="N203" s="256">
        <f t="shared" si="46"/>
        <v>0</v>
      </c>
      <c r="O203" s="253"/>
      <c r="P203" s="41"/>
      <c r="Q203" s="256">
        <f t="array" ref="Q203">+INDEX('Réel 2024'!$A$2:$AO$501,MATCH($A203,'Réel 2024'!$A$2:$A$501,0),MATCH(Q$2,'Réel 2024'!$A$2:$AO$2,0))</f>
        <v>0</v>
      </c>
      <c r="R203" s="253"/>
      <c r="S203" s="276">
        <f t="shared" si="47"/>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
        <v>477</v>
      </c>
      <c r="B204" s="41" t="s">
        <v>161</v>
      </c>
      <c r="C204" s="253" t="s">
        <v>59</v>
      </c>
      <c r="D204" s="297"/>
      <c r="E204" s="41"/>
      <c r="F204" s="254">
        <f>+INDEX('Budget original'!$A$2:$AO$501,MATCH($A204,'Budget original'!$A$2:$A$501,0),MATCH(F$2,'Budget original'!$A$2:$AO$2,0))</f>
        <v>0</v>
      </c>
      <c r="G204" s="298"/>
      <c r="H204" s="41"/>
      <c r="I204" s="254"/>
      <c r="J204" s="253"/>
      <c r="K204" s="41"/>
      <c r="L204" s="256">
        <f>SUMIFS(BV_Data_An_Cour!$O:$O,BV_Data_An_Cour!$U:$U,$B204,BV_Data_An_Cour!$V:$V,$C204,BV_Data_An_Cour!$W:$W,$L$2)</f>
        <v>0</v>
      </c>
      <c r="M204" s="253"/>
      <c r="N204" s="256">
        <f t="shared" si="46"/>
        <v>0</v>
      </c>
      <c r="O204" s="253"/>
      <c r="P204" s="41"/>
      <c r="Q204" s="256">
        <f t="array" ref="Q204">+INDEX('Réel 2024'!$A$2:$AO$501,MATCH($A204,'Réel 2024'!$A$2:$A$501,0),MATCH(Q$2,'Réel 2024'!$A$2:$AO$2,0))</f>
        <v>0</v>
      </c>
      <c r="R204" s="253"/>
      <c r="S204" s="276">
        <f t="shared" si="47"/>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20.25">
      <c r="A205" s="5" t="s">
        <v>478</v>
      </c>
      <c r="B205" s="41" t="s">
        <v>161</v>
      </c>
      <c r="C205" s="313" t="s">
        <v>124</v>
      </c>
      <c r="D205" s="297"/>
      <c r="E205" s="41"/>
      <c r="F205" s="254">
        <f>+INDEX('Budget original'!$A$2:$AO$501,MATCH($A205,'Budget original'!$A$2:$A$501,0),MATCH(F$2,'Budget original'!$A$2:$AO$2,0))</f>
        <v>20385.092827274158</v>
      </c>
      <c r="G205" s="298"/>
      <c r="H205" s="41"/>
      <c r="I205" s="254"/>
      <c r="J205" s="253"/>
      <c r="K205" s="41"/>
      <c r="L205" s="256">
        <f>SUMIFS(BV_Data_An_Cour!$O:$O,BV_Data_An_Cour!$U:$U,$B205,BV_Data_An_Cour!$V:$V,$C205,BV_Data_An_Cour!$W:$W,$L$2)</f>
        <v>20248.400000000001</v>
      </c>
      <c r="M205" s="253"/>
      <c r="N205" s="256">
        <f t="shared" si="46"/>
        <v>-136.69282727415703</v>
      </c>
      <c r="O205" s="253"/>
      <c r="P205" s="41"/>
      <c r="Q205" s="256">
        <f t="array" ref="Q205">+INDEX('Réel 2024'!$A$2:$AO$501,MATCH($A205,'Réel 2024'!$A$2:$A$501,0),MATCH(Q$2,'Réel 2024'!$A$2:$AO$2,0))</f>
        <v>25829.47</v>
      </c>
      <c r="R205" s="253"/>
      <c r="S205" s="276">
        <f t="shared" si="47"/>
        <v>-5581.07</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
        <v>479</v>
      </c>
      <c r="B206" s="41" t="s">
        <v>161</v>
      </c>
      <c r="C206" s="312" t="s">
        <v>125</v>
      </c>
      <c r="D206" s="314"/>
      <c r="E206" s="315"/>
      <c r="F206" s="272">
        <f>+INDEX('Budget original'!$A$2:$AO$501,MATCH($A206,'Budget original'!$A$2:$A$501,0),MATCH(F$2,'Budget original'!$A$2:$AO$2,0))</f>
        <v>24785.39920849193</v>
      </c>
      <c r="G206" s="316"/>
      <c r="H206" s="315"/>
      <c r="I206" s="272"/>
      <c r="J206" s="241"/>
      <c r="K206" s="315"/>
      <c r="L206" s="272">
        <f>SUMIFS(BV_Data_An_Cour!$O:$O,BV_Data_An_Cour!$U:$U,$B206,BV_Data_An_Cour!$V:$V,$C206,BV_Data_An_Cour!$W:$W,$L$2)</f>
        <v>24326.74</v>
      </c>
      <c r="M206" s="241"/>
      <c r="N206" s="272">
        <f t="shared" si="46"/>
        <v>-458.65920849192844</v>
      </c>
      <c r="O206" s="241"/>
      <c r="P206" s="315"/>
      <c r="Q206" s="272">
        <f t="array" ref="Q206">+INDEX('Réel 2024'!$A$2:$AO$501,MATCH($A206,'Réel 2024'!$A$2:$A$501,0),MATCH(Q$2,'Réel 2024'!$A$2:$AO$2,0))</f>
        <v>26288.97</v>
      </c>
      <c r="R206" s="241"/>
      <c r="S206" s="317">
        <f t="shared" si="47"/>
        <v>-1962.2299999999996</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480</v>
      </c>
      <c r="B207" s="41" t="s">
        <v>161</v>
      </c>
      <c r="C207" s="312" t="s">
        <v>126</v>
      </c>
      <c r="D207" s="297"/>
      <c r="E207" s="41"/>
      <c r="F207" s="254">
        <f>+INDEX('Budget original'!$A$2:$AO$501,MATCH($A207,'Budget original'!$A$2:$A$501,0),MATCH(F$2,'Budget original'!$A$2:$AO$2,0))</f>
        <v>12769.868722636058</v>
      </c>
      <c r="G207" s="298"/>
      <c r="H207" s="41"/>
      <c r="I207" s="254"/>
      <c r="J207" s="253"/>
      <c r="K207" s="41"/>
      <c r="L207" s="256">
        <f>SUMIFS(BV_Data_An_Cour!$O:$O,BV_Data_An_Cour!$U:$U,$B207,BV_Data_An_Cour!$V:$V,$C207,BV_Data_An_Cour!$W:$W,$L$2)</f>
        <v>12104.1</v>
      </c>
      <c r="M207" s="253"/>
      <c r="N207" s="256">
        <f t="shared" si="46"/>
        <v>-665.76872263605765</v>
      </c>
      <c r="O207" s="253"/>
      <c r="P207" s="41"/>
      <c r="Q207" s="256">
        <f t="array" ref="Q207">+INDEX('Réel 2024'!$A$2:$AO$501,MATCH($A207,'Réel 2024'!$A$2:$A$501,0),MATCH(Q$2,'Réel 2024'!$A$2:$AO$2,0))</f>
        <v>13775.33</v>
      </c>
      <c r="R207" s="253"/>
      <c r="S207" s="276">
        <f t="shared" si="47"/>
        <v>-1671.2299999999996</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
        <v>481</v>
      </c>
      <c r="B208" s="41" t="s">
        <v>161</v>
      </c>
      <c r="C208" s="312" t="s">
        <v>127</v>
      </c>
      <c r="D208" s="297"/>
      <c r="E208" s="41"/>
      <c r="F208" s="254">
        <f>+INDEX('Budget original'!$A$2:$AO$501,MATCH($A208,'Budget original'!$A$2:$A$501,0),MATCH(F$2,'Budget original'!$A$2:$AO$2,0))</f>
        <v>5567.7346048061572</v>
      </c>
      <c r="G208" s="298"/>
      <c r="H208" s="41"/>
      <c r="I208" s="254"/>
      <c r="J208" s="253"/>
      <c r="K208" s="41"/>
      <c r="L208" s="256">
        <f>SUMIFS(BV_Data_An_Cour!$O:$O,BV_Data_An_Cour!$U:$U,$B208,BV_Data_An_Cour!$V:$V,$C208,BV_Data_An_Cour!$W:$W,$L$2)</f>
        <v>4882.72</v>
      </c>
      <c r="M208" s="253"/>
      <c r="N208" s="256">
        <f t="shared" si="46"/>
        <v>-685.01460480615697</v>
      </c>
      <c r="O208" s="253"/>
      <c r="P208" s="41"/>
      <c r="Q208" s="256">
        <f t="array" ref="Q208">+INDEX('Réel 2024'!$A$2:$AO$501,MATCH($A208,'Réel 2024'!$A$2:$A$501,0),MATCH(Q$2,'Réel 2024'!$A$2:$AO$2,0))</f>
        <v>4899.96</v>
      </c>
      <c r="R208" s="253"/>
      <c r="S208" s="276">
        <f t="shared" si="47"/>
        <v>-17.239999999999782</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
        <v>477</v>
      </c>
      <c r="B209" s="41" t="s">
        <v>161</v>
      </c>
      <c r="C209" s="253" t="s">
        <v>59</v>
      </c>
      <c r="D209" s="299"/>
      <c r="E209" s="318"/>
      <c r="F209" s="254">
        <f>+INDEX('Budget original'!$A$2:$AO$501,MATCH($A209,'Budget original'!$A$2:$A$501,0),MATCH(F$2,'Budget original'!$A$2:$AO$2,0))</f>
        <v>0</v>
      </c>
      <c r="G209" s="300"/>
      <c r="H209" s="318"/>
      <c r="I209" s="254"/>
      <c r="J209" s="246"/>
      <c r="K209" s="318"/>
      <c r="L209" s="256">
        <f>SUMIFS(BV_Data_An_Cour!$O:$O,BV_Data_An_Cour!$U:$U,$B209,BV_Data_An_Cour!$V:$V,$C209,BV_Data_An_Cour!$W:$W,$L$2)</f>
        <v>0</v>
      </c>
      <c r="M209" s="246"/>
      <c r="N209" s="256">
        <f t="shared" si="46"/>
        <v>0</v>
      </c>
      <c r="O209" s="246"/>
      <c r="P209" s="318"/>
      <c r="Q209" s="256">
        <f t="array" ref="Q209">+INDEX('Réel 2024'!$A$2:$AO$501,MATCH($A209,'Réel 2024'!$A$2:$A$501,0),MATCH(Q$2,'Réel 2024'!$A$2:$AO$2,0))</f>
        <v>0</v>
      </c>
      <c r="R209" s="246"/>
      <c r="S209" s="296">
        <f t="shared" si="47"/>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
        <v>482</v>
      </c>
      <c r="B210" s="41" t="s">
        <v>161</v>
      </c>
      <c r="C210" s="304" t="s">
        <v>128</v>
      </c>
      <c r="D210" s="305" t="s">
        <v>175</v>
      </c>
      <c r="E210" s="306">
        <f>F210/F$194</f>
        <v>0.53235791776872299</v>
      </c>
      <c r="F210" s="307">
        <f>+SUM(F198:F209)</f>
        <v>149295.35716336215</v>
      </c>
      <c r="G210" s="308"/>
      <c r="H210" s="306"/>
      <c r="I210" s="307"/>
      <c r="J210" s="308" t="s">
        <v>175</v>
      </c>
      <c r="K210" s="306">
        <f>L210/L$194</f>
        <v>0.47873548743427813</v>
      </c>
      <c r="L210" s="307">
        <f>+SUM(L198:L209)</f>
        <v>135980.88</v>
      </c>
      <c r="M210" s="355"/>
      <c r="N210" s="307">
        <f t="shared" si="46"/>
        <v>-13314.477163362142</v>
      </c>
      <c r="O210" s="308" t="s">
        <v>175</v>
      </c>
      <c r="P210" s="306">
        <f>Q210/Q$194</f>
        <v>0.54206171359243771</v>
      </c>
      <c r="Q210" s="307">
        <f>+SUM(Q198:Q209)</f>
        <v>152838.09999999998</v>
      </c>
      <c r="R210" s="355"/>
      <c r="S210" s="320">
        <f t="shared" si="47"/>
        <v>-16857.219999999972</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483</v>
      </c>
      <c r="B211" s="41" t="s">
        <v>161</v>
      </c>
      <c r="C211" s="253" t="s">
        <v>129</v>
      </c>
      <c r="D211" s="297"/>
      <c r="E211" s="41"/>
      <c r="F211" s="254">
        <f>+INDEX('Budget original'!$A$2:$AO$501,MATCH($A211,'Budget original'!$A$2:$A$501,0),MATCH(F$2,'Budget original'!$A$2:$AO$2,0))</f>
        <v>12567.820151081718</v>
      </c>
      <c r="G211" s="298"/>
      <c r="H211" s="41"/>
      <c r="I211" s="254"/>
      <c r="J211" s="253"/>
      <c r="K211" s="41"/>
      <c r="L211" s="256">
        <f>SUMIFS(BV_Data_An_Cour!$O:$O,BV_Data_An_Cour!$U:$U,$B211,BV_Data_An_Cour!$V:$V,$C211,BV_Data_An_Cour!$W:$W,$L$2)</f>
        <v>15357.7</v>
      </c>
      <c r="M211" s="253"/>
      <c r="N211" s="276">
        <f t="shared" si="46"/>
        <v>2789.8798489182827</v>
      </c>
      <c r="O211" s="253"/>
      <c r="P211" s="41"/>
      <c r="Q211" s="256">
        <f t="array" ref="Q211">+INDEX('Réel 2024'!$A$2:$AO$501,MATCH($A211,'Réel 2024'!$A$2:$A$501,0),MATCH(Q$2,'Réel 2024'!$A$2:$AO$2,0))</f>
        <v>11204.43</v>
      </c>
      <c r="R211" s="253"/>
      <c r="S211" s="276">
        <f t="shared" si="47"/>
        <v>4153.2700000000004</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484</v>
      </c>
      <c r="B212" s="41" t="s">
        <v>161</v>
      </c>
      <c r="C212" s="253" t="s">
        <v>130</v>
      </c>
      <c r="D212" s="297"/>
      <c r="E212" s="41"/>
      <c r="F212" s="254">
        <f>+INDEX('Budget original'!$A$2:$AO$501,MATCH($A212,'Budget original'!$A$2:$A$501,0),MATCH(F$2,'Budget original'!$A$2:$AO$2,0))</f>
        <v>3422.1774033237093</v>
      </c>
      <c r="G212" s="298"/>
      <c r="H212" s="41"/>
      <c r="I212" s="254"/>
      <c r="J212" s="253"/>
      <c r="K212" s="41"/>
      <c r="L212" s="256">
        <f>SUMIFS(BV_Data_An_Cour!$O:$O,BV_Data_An_Cour!$U:$U,$B212,BV_Data_An_Cour!$V:$V,$C212,BV_Data_An_Cour!$W:$W,$L$2)</f>
        <v>4586.43</v>
      </c>
      <c r="M212" s="253"/>
      <c r="N212" s="276">
        <f t="shared" si="46"/>
        <v>1164.252596676291</v>
      </c>
      <c r="O212" s="253"/>
      <c r="P212" s="41"/>
      <c r="Q212" s="256">
        <f t="array" ref="Q212">+INDEX('Réel 2024'!$A$2:$AO$501,MATCH($A212,'Réel 2024'!$A$2:$A$501,0),MATCH(Q$2,'Réel 2024'!$A$2:$AO$2,0))</f>
        <v>3949.0899999999901</v>
      </c>
      <c r="R212" s="253"/>
      <c r="S212" s="276">
        <f t="shared" si="47"/>
        <v>637.34000000001015</v>
      </c>
      <c r="T212" s="41"/>
      <c r="U212" s="1178"/>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485</v>
      </c>
      <c r="B213" s="41" t="s">
        <v>161</v>
      </c>
      <c r="C213" s="246" t="s">
        <v>131</v>
      </c>
      <c r="D213" s="299"/>
      <c r="E213" s="318"/>
      <c r="F213" s="248">
        <f>+INDEX('Budget original'!$A$2:$AO$501,MATCH($A213,'Budget original'!$A$2:$A$501,0),MATCH(F$2,'Budget original'!$A$2:$AO$2,0))</f>
        <v>16083.739355555555</v>
      </c>
      <c r="G213" s="300"/>
      <c r="H213" s="318"/>
      <c r="I213" s="248"/>
      <c r="J213" s="246"/>
      <c r="K213" s="318"/>
      <c r="L213" s="256">
        <f>SUMIFS(BV_Data_An_Cour!$O:$O,BV_Data_An_Cour!$U:$U,$B213,BV_Data_An_Cour!$V:$V,$C213,BV_Data_An_Cour!$W:$W,$L$2)</f>
        <v>12345.56</v>
      </c>
      <c r="M213" s="246"/>
      <c r="N213" s="296">
        <f t="shared" si="46"/>
        <v>-3738.179355555556</v>
      </c>
      <c r="O213" s="246"/>
      <c r="P213" s="318"/>
      <c r="Q213" s="256">
        <f t="array" ref="Q213">+INDEX('Réel 2024'!$A$2:$AO$501,MATCH($A213,'Réel 2024'!$A$2:$A$501,0),MATCH(Q$2,'Réel 2024'!$A$2:$AO$2,0))</f>
        <v>12840.8</v>
      </c>
      <c r="R213" s="246"/>
      <c r="S213" s="296">
        <f t="shared" si="47"/>
        <v>-495.23999999999978</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486</v>
      </c>
      <c r="B214" s="41" t="s">
        <v>161</v>
      </c>
      <c r="C214" s="253" t="s">
        <v>132</v>
      </c>
      <c r="D214" s="297"/>
      <c r="E214" s="41"/>
      <c r="F214" s="254">
        <f>+INDEX('Budget original'!$A$2:$AO$501,MATCH($A214,'Budget original'!$A$2:$A$501,0),MATCH(F$2,'Budget original'!$A$2:$AO$2,0))</f>
        <v>4783.316137386666</v>
      </c>
      <c r="G214" s="298"/>
      <c r="H214" s="41"/>
      <c r="I214" s="254"/>
      <c r="J214" s="253"/>
      <c r="K214" s="41"/>
      <c r="L214" s="272">
        <f>SUMIFS(BV_Data_An_Cour!$O:$O,BV_Data_An_Cour!$U:$U,$B214,BV_Data_An_Cour!$V:$V,$C214,BV_Data_An_Cour!$W:$W,$L$2)</f>
        <v>6920.01</v>
      </c>
      <c r="M214" s="253"/>
      <c r="N214" s="276">
        <f t="shared" si="46"/>
        <v>2136.6938626133342</v>
      </c>
      <c r="O214" s="253"/>
      <c r="P214" s="41"/>
      <c r="Q214" s="272">
        <f t="array" ref="Q214">+INDEX('Réel 2024'!$A$2:$AO$501,MATCH($A214,'Réel 2024'!$A$2:$A$501,0),MATCH(Q$2,'Réel 2024'!$A$2:$AO$2,0))</f>
        <v>4890.13</v>
      </c>
      <c r="R214" s="253"/>
      <c r="S214" s="276">
        <f t="shared" si="47"/>
        <v>2029.88</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487</v>
      </c>
      <c r="B215" s="41" t="s">
        <v>161</v>
      </c>
      <c r="C215" s="253" t="s">
        <v>133</v>
      </c>
      <c r="D215" s="297"/>
      <c r="E215" s="41"/>
      <c r="F215" s="254">
        <f>+INDEX('Budget original'!$A$2:$AO$501,MATCH($A215,'Budget original'!$A$2:$A$501,0),MATCH(F$2,'Budget original'!$A$2:$AO$2,0))</f>
        <v>1050.8751805936904</v>
      </c>
      <c r="G215" s="298"/>
      <c r="H215" s="41"/>
      <c r="I215" s="254"/>
      <c r="J215" s="253"/>
      <c r="K215" s="41"/>
      <c r="L215" s="256">
        <f>SUMIFS(BV_Data_An_Cour!$O:$O,BV_Data_An_Cour!$U:$U,$B215,BV_Data_An_Cour!$V:$V,$C215,BV_Data_An_Cour!$W:$W,$L$2)</f>
        <v>1292</v>
      </c>
      <c r="M215" s="253"/>
      <c r="N215" s="276">
        <f t="shared" si="46"/>
        <v>241.1248194063096</v>
      </c>
      <c r="O215" s="253"/>
      <c r="P215" s="41"/>
      <c r="Q215" s="256">
        <f t="array" ref="Q215">+INDEX('Réel 2024'!$A$2:$AO$501,MATCH($A215,'Réel 2024'!$A$2:$A$501,0),MATCH(Q$2,'Réel 2024'!$A$2:$AO$2,0))</f>
        <v>603.02</v>
      </c>
      <c r="R215" s="253"/>
      <c r="S215" s="276">
        <f t="shared" si="47"/>
        <v>688.98</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488</v>
      </c>
      <c r="B216" s="41" t="s">
        <v>161</v>
      </c>
      <c r="C216" s="246" t="s">
        <v>134</v>
      </c>
      <c r="D216" s="299"/>
      <c r="E216" s="318"/>
      <c r="F216" s="248">
        <f>+INDEX('Budget original'!$A$2:$AO$501,MATCH($A216,'Budget original'!$A$2:$A$501,0),MATCH(F$2,'Budget original'!$A$2:$AO$2,0))</f>
        <v>15128.231788350371</v>
      </c>
      <c r="G216" s="300"/>
      <c r="H216" s="318"/>
      <c r="I216" s="248"/>
      <c r="J216" s="246"/>
      <c r="K216" s="318"/>
      <c r="L216" s="256">
        <f>SUMIFS(BV_Data_An_Cour!$O:$O,BV_Data_An_Cour!$U:$U,$B216,BV_Data_An_Cour!$V:$V,$C216,BV_Data_An_Cour!$W:$W,$L$2)</f>
        <v>17314.099999999999</v>
      </c>
      <c r="M216" s="246"/>
      <c r="N216" s="296">
        <f t="shared" si="46"/>
        <v>2185.8682116496275</v>
      </c>
      <c r="O216" s="246"/>
      <c r="P216" s="318"/>
      <c r="Q216" s="256">
        <f t="array" ref="Q216">+INDEX('Réel 2024'!$A$2:$AO$501,MATCH($A216,'Réel 2024'!$A$2:$A$501,0),MATCH(Q$2,'Réel 2024'!$A$2:$AO$2,0))</f>
        <v>11277.68</v>
      </c>
      <c r="R216" s="246"/>
      <c r="S216" s="296">
        <f t="shared" si="47"/>
        <v>6036.4199999999983</v>
      </c>
      <c r="T216" s="41"/>
      <c r="U216" s="38"/>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489</v>
      </c>
      <c r="B217" s="41" t="s">
        <v>161</v>
      </c>
      <c r="C217" s="253" t="s">
        <v>490</v>
      </c>
      <c r="D217" s="297"/>
      <c r="E217" s="41"/>
      <c r="F217" s="254"/>
      <c r="G217" s="298"/>
      <c r="H217" s="41"/>
      <c r="I217" s="254"/>
      <c r="J217" s="253"/>
      <c r="K217" s="41"/>
      <c r="L217" s="272">
        <f>SUMIFS(BV_Data_An_Cour!$O:$O,BV_Data_An_Cour!$U:$U,$B217,BV_Data_An_Cour!$V:$V,$C217,BV_Data_An_Cour!$W:$W,$L$2)</f>
        <v>0</v>
      </c>
      <c r="M217" s="253"/>
      <c r="N217" s="276">
        <f t="shared" si="46"/>
        <v>0</v>
      </c>
      <c r="O217" s="253"/>
      <c r="P217" s="41"/>
      <c r="Q217" s="272">
        <f t="array" ref="Q217">+INDEX('Réel 2024'!$A$2:$AO$501,MATCH($A217,'Réel 2024'!$A$2:$A$501,0),MATCH(Q$2,'Réel 2024'!$A$2:$AO$2,0))</f>
        <v>0</v>
      </c>
      <c r="R217" s="253"/>
      <c r="S217" s="276">
        <f t="shared" si="47"/>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491</v>
      </c>
      <c r="B218" s="41" t="s">
        <v>161</v>
      </c>
      <c r="C218" s="253" t="s">
        <v>135</v>
      </c>
      <c r="D218" s="297"/>
      <c r="E218" s="41"/>
      <c r="F218" s="254">
        <f>+INDEX('Budget original'!$A$2:$AO$501,MATCH($A218,'Budget original'!$A$2:$A$501,0),MATCH(F$2,'Budget original'!$A$2:$AO$2,0))</f>
        <v>4769.9204222222234</v>
      </c>
      <c r="G218" s="298"/>
      <c r="H218" s="41"/>
      <c r="I218" s="254"/>
      <c r="J218" s="253"/>
      <c r="K218" s="41"/>
      <c r="L218" s="256">
        <f>SUMIFS(BV_Data_An_Cour!$O:$O,BV_Data_An_Cour!$U:$U,$B218,BV_Data_An_Cour!$V:$V,$C218,BV_Data_An_Cour!$W:$W,$L$2)</f>
        <v>6967.67</v>
      </c>
      <c r="M218" s="253"/>
      <c r="N218" s="276">
        <f t="shared" si="46"/>
        <v>2197.7495777777767</v>
      </c>
      <c r="O218" s="253"/>
      <c r="P218" s="41"/>
      <c r="Q218" s="256">
        <f t="array" ref="Q218">+INDEX('Réel 2024'!$A$2:$AO$501,MATCH($A218,'Réel 2024'!$A$2:$A$501,0),MATCH(Q$2,'Réel 2024'!$A$2:$AO$2,0))</f>
        <v>1539.27</v>
      </c>
      <c r="R218" s="253"/>
      <c r="S218" s="276">
        <f t="shared" si="47"/>
        <v>5428.4</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492</v>
      </c>
      <c r="B219" s="41" t="s">
        <v>161</v>
      </c>
      <c r="C219" s="253" t="s">
        <v>136</v>
      </c>
      <c r="D219" s="297"/>
      <c r="E219" s="41"/>
      <c r="F219" s="254">
        <f>+INDEX('Budget original'!$A$2:$AO$501,MATCH($A219,'Budget original'!$A$2:$A$501,0),MATCH(F$2,'Budget original'!$A$2:$AO$2,0))</f>
        <v>1220.4654067864171</v>
      </c>
      <c r="G219" s="298"/>
      <c r="H219" s="41"/>
      <c r="I219" s="254"/>
      <c r="J219" s="253"/>
      <c r="K219" s="41"/>
      <c r="L219" s="256">
        <f>SUMIFS(BV_Data_An_Cour!$O:$O,BV_Data_An_Cour!$U:$U,$B219,BV_Data_An_Cour!$V:$V,$C219,BV_Data_An_Cour!$W:$W,$L$2)</f>
        <v>785.83</v>
      </c>
      <c r="M219" s="253"/>
      <c r="N219" s="276">
        <f t="shared" si="46"/>
        <v>-434.63540678641709</v>
      </c>
      <c r="O219" s="253"/>
      <c r="P219" s="41"/>
      <c r="Q219" s="256">
        <f t="array" ref="Q219">+INDEX('Réel 2024'!$A$2:$AO$501,MATCH($A219,'Réel 2024'!$A$2:$A$501,0),MATCH(Q$2,'Réel 2024'!$A$2:$AO$2,0))</f>
        <v>1556.43</v>
      </c>
      <c r="R219" s="253"/>
      <c r="S219" s="276">
        <f t="shared" si="47"/>
        <v>-770.6</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493</v>
      </c>
      <c r="B220" s="41" t="s">
        <v>161</v>
      </c>
      <c r="C220" s="253" t="s">
        <v>137</v>
      </c>
      <c r="D220" s="297"/>
      <c r="E220" s="41"/>
      <c r="F220" s="254">
        <f>+INDEX('Budget original'!$A$2:$AO$501,MATCH($A220,'Budget original'!$A$2:$A$501,0),MATCH(F$2,'Budget original'!$A$2:$AO$2,0))</f>
        <v>833.0541497518401</v>
      </c>
      <c r="G220" s="298"/>
      <c r="H220" s="41"/>
      <c r="I220" s="254"/>
      <c r="J220" s="253"/>
      <c r="K220" s="41"/>
      <c r="L220" s="256">
        <f>SUMIFS(BV_Data_An_Cour!$O:$O,BV_Data_An_Cour!$U:$U,$B220,BV_Data_An_Cour!$V:$V,$C220,BV_Data_An_Cour!$W:$W,$L$2)</f>
        <v>785.52</v>
      </c>
      <c r="M220" s="253"/>
      <c r="N220" s="276">
        <f t="shared" si="46"/>
        <v>-47.534149751840118</v>
      </c>
      <c r="O220" s="253"/>
      <c r="P220" s="41"/>
      <c r="Q220" s="256">
        <f t="array" ref="Q220">+INDEX('Réel 2024'!$A$2:$AO$501,MATCH($A220,'Réel 2024'!$A$2:$A$501,0),MATCH(Q$2,'Réel 2024'!$A$2:$AO$2,0))</f>
        <v>1120.67</v>
      </c>
      <c r="R220" s="253"/>
      <c r="S220" s="276">
        <f t="shared" si="47"/>
        <v>-335.15000000000009</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494</v>
      </c>
      <c r="B221" s="41" t="s">
        <v>161</v>
      </c>
      <c r="C221" s="253" t="s">
        <v>138</v>
      </c>
      <c r="D221" s="297"/>
      <c r="E221" s="41"/>
      <c r="F221" s="254">
        <f>+INDEX('Budget original'!$A$2:$AO$501,MATCH($A221,'Budget original'!$A$2:$A$501,0),MATCH(F$2,'Budget original'!$A$2:$AO$2,0))</f>
        <v>179.20450168848672</v>
      </c>
      <c r="G221" s="298"/>
      <c r="H221" s="41"/>
      <c r="I221" s="254"/>
      <c r="J221" s="253"/>
      <c r="K221" s="41"/>
      <c r="L221" s="256">
        <f>SUMIFS(BV_Data_An_Cour!$O:$O,BV_Data_An_Cour!$U:$U,$B221,BV_Data_An_Cour!$V:$V,$C221,BV_Data_An_Cour!$W:$W,$L$2)</f>
        <v>223.36</v>
      </c>
      <c r="M221" s="253"/>
      <c r="N221" s="276">
        <f t="shared" si="46"/>
        <v>44.155498311513298</v>
      </c>
      <c r="O221" s="253"/>
      <c r="P221" s="41"/>
      <c r="Q221" s="256">
        <f t="array" ref="Q221">+INDEX('Réel 2024'!$A$2:$AO$501,MATCH($A221,'Réel 2024'!$A$2:$A$501,0),MATCH(Q$2,'Réel 2024'!$A$2:$AO$2,0))</f>
        <v>129.33000000000001</v>
      </c>
      <c r="R221" s="253"/>
      <c r="S221" s="276">
        <f t="shared" si="47"/>
        <v>94.03</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495</v>
      </c>
      <c r="B222" s="41" t="s">
        <v>161</v>
      </c>
      <c r="C222" s="253" t="s">
        <v>139</v>
      </c>
      <c r="D222" s="297"/>
      <c r="E222" s="41"/>
      <c r="F222" s="254">
        <f>+INDEX('Budget original'!$A$2:$AO$501,MATCH($A222,'Budget original'!$A$2:$A$501,0),MATCH(F$2,'Budget original'!$A$2:$AO$2,0))</f>
        <v>92.790571276313315</v>
      </c>
      <c r="G222" s="298"/>
      <c r="H222" s="41"/>
      <c r="I222" s="254"/>
      <c r="J222" s="253"/>
      <c r="K222" s="41"/>
      <c r="L222" s="256">
        <f>SUMIFS(BV_Data_An_Cour!$O:$O,BV_Data_An_Cour!$U:$U,$B222,BV_Data_An_Cour!$V:$V,$C222,BV_Data_An_Cour!$W:$W,$L$2)</f>
        <v>158.37</v>
      </c>
      <c r="M222" s="253"/>
      <c r="N222" s="276">
        <f t="shared" si="46"/>
        <v>65.579428723686689</v>
      </c>
      <c r="O222" s="253"/>
      <c r="P222" s="41"/>
      <c r="Q222" s="256">
        <f t="array" ref="Q222">+INDEX('Réel 2024'!$A$2:$AO$501,MATCH($A222,'Réel 2024'!$A$2:$A$501,0),MATCH(Q$2,'Réel 2024'!$A$2:$AO$2,0))</f>
        <v>35.72</v>
      </c>
      <c r="R222" s="253"/>
      <c r="S222" s="276">
        <f t="shared" si="47"/>
        <v>122.65</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496</v>
      </c>
      <c r="B223" s="41" t="s">
        <v>161</v>
      </c>
      <c r="C223" s="253" t="s">
        <v>140</v>
      </c>
      <c r="D223" s="297"/>
      <c r="E223" s="41"/>
      <c r="F223" s="254">
        <f>+INDEX('Budget original'!$A$2:$AO$501,MATCH($A223,'Budget original'!$A$2:$A$501,0),MATCH(F$2,'Budget original'!$A$2:$AO$2,0))</f>
        <v>152.45095187595334</v>
      </c>
      <c r="G223" s="298"/>
      <c r="H223" s="41"/>
      <c r="I223" s="254"/>
      <c r="J223" s="253"/>
      <c r="K223" s="41"/>
      <c r="L223" s="256">
        <f>SUMIFS(BV_Data_An_Cour!$O:$O,BV_Data_An_Cour!$U:$U,$B223,BV_Data_An_Cour!$V:$V,$C223,BV_Data_An_Cour!$W:$W,$L$2)</f>
        <v>83.76</v>
      </c>
      <c r="M223" s="253"/>
      <c r="N223" s="276">
        <f t="shared" si="46"/>
        <v>-68.690951875953331</v>
      </c>
      <c r="O223" s="253"/>
      <c r="P223" s="41"/>
      <c r="Q223" s="256">
        <f t="array" ref="Q223">+INDEX('Réel 2024'!$A$2:$AO$501,MATCH($A223,'Réel 2024'!$A$2:$A$501,0),MATCH(Q$2,'Réel 2024'!$A$2:$AO$2,0))</f>
        <v>78.989999999999995</v>
      </c>
      <c r="R223" s="253"/>
      <c r="S223" s="276">
        <f t="shared" si="47"/>
        <v>4.7700000000000102</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497</v>
      </c>
      <c r="B224" s="41" t="s">
        <v>161</v>
      </c>
      <c r="C224" s="253" t="s">
        <v>141</v>
      </c>
      <c r="D224" s="297"/>
      <c r="E224" s="41"/>
      <c r="F224" s="254">
        <f>+INDEX('Budget original'!$A$2:$AO$501,MATCH($A224,'Budget original'!$A$2:$A$501,0),MATCH(F$2,'Budget original'!$A$2:$AO$2,0))</f>
        <v>3066.5133988524863</v>
      </c>
      <c r="G224" s="298"/>
      <c r="H224" s="41"/>
      <c r="I224" s="254"/>
      <c r="J224" s="253"/>
      <c r="K224" s="41"/>
      <c r="L224" s="256">
        <f>SUMIFS(BV_Data_An_Cour!$O:$O,BV_Data_An_Cour!$U:$U,$B224,BV_Data_An_Cour!$V:$V,$C224,BV_Data_An_Cour!$W:$W,$L$2)</f>
        <v>418.5</v>
      </c>
      <c r="M224" s="253"/>
      <c r="N224" s="276">
        <f t="shared" si="46"/>
        <v>-2648.0133988524863</v>
      </c>
      <c r="O224" s="253"/>
      <c r="P224" s="41"/>
      <c r="Q224" s="256">
        <f t="array" ref="Q224">+INDEX('Réel 2024'!$A$2:$AO$501,MATCH($A224,'Réel 2024'!$A$2:$A$501,0),MATCH(Q$2,'Réel 2024'!$A$2:$AO$2,0))</f>
        <v>667.07</v>
      </c>
      <c r="R224" s="253"/>
      <c r="S224" s="276">
        <f t="shared" si="47"/>
        <v>-248.57000000000005</v>
      </c>
      <c r="T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
        <v>498</v>
      </c>
      <c r="B225" s="41" t="s">
        <v>161</v>
      </c>
      <c r="C225" s="253" t="s">
        <v>142</v>
      </c>
      <c r="D225" s="297"/>
      <c r="E225" s="41"/>
      <c r="F225" s="254">
        <f>+INDEX('Budget original'!$A$2:$AO$501,MATCH($A225,'Budget original'!$A$2:$A$501,0),MATCH(F$2,'Budget original'!$A$2:$AO$2,0))</f>
        <v>2081.5147954694116</v>
      </c>
      <c r="G225" s="298"/>
      <c r="H225" s="41"/>
      <c r="I225" s="254"/>
      <c r="J225" s="253"/>
      <c r="K225" s="41"/>
      <c r="L225" s="256">
        <f>SUMIFS(BV_Data_An_Cour!$O:$O,BV_Data_An_Cour!$U:$U,$B225,BV_Data_An_Cour!$V:$V,$C225,BV_Data_An_Cour!$W:$W,$L$2)</f>
        <v>2279.83</v>
      </c>
      <c r="M225" s="253"/>
      <c r="N225" s="276">
        <f t="shared" si="46"/>
        <v>198.31520453058829</v>
      </c>
      <c r="O225" s="253"/>
      <c r="P225" s="41"/>
      <c r="Q225" s="256">
        <f t="array" ref="Q225">+INDEX('Réel 2024'!$A$2:$AO$501,MATCH($A225,'Réel 2024'!$A$2:$A$501,0),MATCH(Q$2,'Réel 2024'!$A$2:$AO$2,0))</f>
        <v>2375.2600000000002</v>
      </c>
      <c r="R225" s="253"/>
      <c r="S225" s="276">
        <f t="shared" si="47"/>
        <v>-95.430000000000291</v>
      </c>
      <c r="T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
        <v>477</v>
      </c>
      <c r="B226" s="41" t="s">
        <v>161</v>
      </c>
      <c r="C226" s="253" t="s">
        <v>59</v>
      </c>
      <c r="D226" s="297"/>
      <c r="E226" s="41"/>
      <c r="F226" s="254">
        <f>+INDEX('Budget original'!$A$2:$AO$501,MATCH($A226,'Budget original'!$A$2:$A$501,0),MATCH(F$2,'Budget original'!$A$2:$AO$2,0))</f>
        <v>0</v>
      </c>
      <c r="G226" s="298"/>
      <c r="H226" s="41"/>
      <c r="I226" s="254"/>
      <c r="J226" s="253"/>
      <c r="K226" s="41"/>
      <c r="L226" s="256">
        <f>SUMIFS(BV_Data_An_Cour!$O:$O,BV_Data_An_Cour!$U:$U,$B226,BV_Data_An_Cour!$V:$V,$C226,BV_Data_An_Cour!$W:$W,$L$2)</f>
        <v>0</v>
      </c>
      <c r="M226" s="253"/>
      <c r="N226" s="276">
        <f t="shared" si="46"/>
        <v>0</v>
      </c>
      <c r="O226" s="253"/>
      <c r="P226" s="41"/>
      <c r="Q226" s="256">
        <f t="array" ref="Q226">+INDEX('Réel 2024'!$A$2:$AO$501,MATCH($A226,'Réel 2024'!$A$2:$A$501,0),MATCH(Q$2,'Réel 2024'!$A$2:$AO$2,0))</f>
        <v>0</v>
      </c>
      <c r="R226" s="253"/>
      <c r="S226" s="276">
        <f t="shared" si="47"/>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477</v>
      </c>
      <c r="B227" s="41" t="s">
        <v>161</v>
      </c>
      <c r="C227" s="253" t="s">
        <v>59</v>
      </c>
      <c r="D227" s="297"/>
      <c r="E227" s="41"/>
      <c r="F227" s="254">
        <f>+INDEX('Budget original'!$A$2:$AO$501,MATCH($A227,'Budget original'!$A$2:$A$501,0),MATCH(F$2,'Budget original'!$A$2:$AO$2,0))</f>
        <v>0</v>
      </c>
      <c r="G227" s="298"/>
      <c r="H227" s="41"/>
      <c r="I227" s="254"/>
      <c r="J227" s="253"/>
      <c r="K227" s="41"/>
      <c r="L227" s="256">
        <f>SUMIFS(BV_Data_An_Cour!$O:$O,BV_Data_An_Cour!$U:$U,$B227,BV_Data_An_Cour!$V:$V,$C227,BV_Data_An_Cour!$W:$W,$L$2)</f>
        <v>0</v>
      </c>
      <c r="M227" s="253"/>
      <c r="N227" s="276">
        <f t="shared" si="46"/>
        <v>0</v>
      </c>
      <c r="O227" s="253"/>
      <c r="P227" s="41"/>
      <c r="Q227" s="256">
        <f t="array" ref="Q227">+INDEX('Réel 2024'!$A$2:$AO$501,MATCH($A227,'Réel 2024'!$A$2:$A$501,0),MATCH(Q$2,'Réel 2024'!$A$2:$AO$2,0))</f>
        <v>0</v>
      </c>
      <c r="R227" s="253"/>
      <c r="S227" s="276">
        <f t="shared" si="47"/>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
        <v>477</v>
      </c>
      <c r="B228" s="41" t="s">
        <v>161</v>
      </c>
      <c r="C228" s="253" t="s">
        <v>59</v>
      </c>
      <c r="D228" s="297"/>
      <c r="E228" s="41"/>
      <c r="F228" s="254">
        <f>+INDEX('Budget original'!$A$2:$AO$501,MATCH($A228,'Budget original'!$A$2:$A$501,0),MATCH(F$2,'Budget original'!$A$2:$AO$2,0))</f>
        <v>0</v>
      </c>
      <c r="G228" s="298"/>
      <c r="H228" s="41"/>
      <c r="I228" s="254"/>
      <c r="J228" s="253"/>
      <c r="K228" s="41"/>
      <c r="L228" s="256">
        <f>SUMIFS(BV_Data_An_Cour!$O:$O,BV_Data_An_Cour!$U:$U,$B228,BV_Data_An_Cour!$V:$V,$C228,BV_Data_An_Cour!$W:$W,$L$2)</f>
        <v>0</v>
      </c>
      <c r="M228" s="253"/>
      <c r="N228" s="276">
        <f t="shared" si="46"/>
        <v>0</v>
      </c>
      <c r="O228" s="253"/>
      <c r="P228" s="41"/>
      <c r="Q228" s="256">
        <f t="array" ref="Q228">+INDEX('Réel 2024'!$A$2:$AO$501,MATCH($A228,'Réel 2024'!$A$2:$A$501,0),MATCH(Q$2,'Réel 2024'!$A$2:$AO$2,0))</f>
        <v>0</v>
      </c>
      <c r="R228" s="253"/>
      <c r="S228" s="276">
        <f t="shared" si="47"/>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0.23331792391810716</v>
      </c>
      <c r="F229" s="307">
        <f>+SUM(F211:F228)</f>
        <v>65432.074214214845</v>
      </c>
      <c r="G229" s="308"/>
      <c r="H229" s="306"/>
      <c r="I229" s="307"/>
      <c r="J229" s="308" t="s">
        <v>175</v>
      </c>
      <c r="K229" s="306">
        <f>L229/L$194</f>
        <v>0.24474793813783308</v>
      </c>
      <c r="L229" s="307">
        <f>+SUM(L211:L228)</f>
        <v>69518.64</v>
      </c>
      <c r="M229" s="311"/>
      <c r="N229" s="307">
        <f t="shared" si="46"/>
        <v>4086.5657857851547</v>
      </c>
      <c r="O229" s="308" t="s">
        <v>175</v>
      </c>
      <c r="P229" s="306">
        <f>Q229/Q$194</f>
        <v>0.18537538754578234</v>
      </c>
      <c r="Q229" s="307">
        <f>+SUM(Q211:Q228)</f>
        <v>52267.889999999985</v>
      </c>
      <c r="R229" s="311"/>
      <c r="S229" s="307">
        <f t="shared" si="47"/>
        <v>17250.750000000015</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0.76567584168683012</v>
      </c>
      <c r="F231" s="307">
        <f>F210+F229</f>
        <v>214727.43137757698</v>
      </c>
      <c r="G231" s="308"/>
      <c r="H231" s="306"/>
      <c r="I231" s="307"/>
      <c r="J231" s="308" t="s">
        <v>119</v>
      </c>
      <c r="K231" s="306">
        <f>L231/L$194</f>
        <v>0.72348342557211121</v>
      </c>
      <c r="L231" s="307">
        <f>L210+L229</f>
        <v>205499.52000000002</v>
      </c>
      <c r="M231" s="311"/>
      <c r="N231" s="320">
        <f>L231-F231</f>
        <v>-9227.9113775769656</v>
      </c>
      <c r="O231" s="308" t="s">
        <v>119</v>
      </c>
      <c r="P231" s="306">
        <f>Q231/Q$194</f>
        <v>0.72743710113822002</v>
      </c>
      <c r="Q231" s="307">
        <f>Q210+Q229</f>
        <v>205105.98999999996</v>
      </c>
      <c r="R231" s="311"/>
      <c r="S231" s="320">
        <f>L231-Q231</f>
        <v>393.53000000005704</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65714.264294209512</v>
      </c>
      <c r="G233" s="361"/>
      <c r="H233" s="333"/>
      <c r="I233" s="335"/>
      <c r="J233" s="332"/>
      <c r="K233" s="334"/>
      <c r="L233" s="335">
        <f>L194-L231</f>
        <v>78542.260000000009</v>
      </c>
      <c r="M233" s="332"/>
      <c r="N233" s="335">
        <f>L233-F233</f>
        <v>12827.995705790498</v>
      </c>
      <c r="O233" s="332"/>
      <c r="P233" s="1147">
        <f>+Q233/P194</f>
        <v>0.19408436190997541</v>
      </c>
      <c r="Q233" s="335">
        <f>Q194-Q231</f>
        <v>76851.019999999815</v>
      </c>
      <c r="R233" s="332"/>
      <c r="S233" s="335">
        <f>L233-Q233</f>
        <v>1691.2400000001944</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39" t="str">
        <f>C1</f>
        <v>Volks</v>
      </c>
      <c r="D236" s="232"/>
      <c r="E236" s="232"/>
      <c r="F236" s="232"/>
      <c r="G236" s="232"/>
      <c r="H236" s="36"/>
      <c r="I236" s="36"/>
      <c r="J236" s="36"/>
      <c r="K236" s="9" t="s">
        <v>176</v>
      </c>
      <c r="L236" s="232"/>
      <c r="M236" s="232"/>
      <c r="N236" s="36"/>
      <c r="O236" s="36"/>
      <c r="P236" s="232"/>
      <c r="Q236" s="36"/>
      <c r="R236" s="232"/>
      <c r="S236" s="10" t="str">
        <f>$S$1</f>
        <v>Réalisé, Mai 2025</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18" t="s">
        <v>343</v>
      </c>
      <c r="E238" s="1219"/>
      <c r="F238" s="1220"/>
      <c r="G238" s="1223"/>
      <c r="H238" s="1219"/>
      <c r="I238" s="1220"/>
      <c r="J238" s="1223" t="s">
        <v>344</v>
      </c>
      <c r="K238" s="1219"/>
      <c r="L238" s="1220"/>
      <c r="M238" s="1223" t="s">
        <v>3310</v>
      </c>
      <c r="N238" s="1220"/>
      <c r="O238" s="1218" t="s">
        <v>345</v>
      </c>
      <c r="P238" s="1219"/>
      <c r="Q238" s="1220"/>
      <c r="R238" s="1221" t="s">
        <v>3312</v>
      </c>
      <c r="S238" s="1222"/>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
        <v>176</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
        <v>176</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
        <v>499</v>
      </c>
      <c r="B241" s="41" t="s">
        <v>176</v>
      </c>
      <c r="C241" s="253" t="s">
        <v>177</v>
      </c>
      <c r="D241" s="400">
        <f>+INDEX('Budget original'!$A$2:$AO$501,MATCH($A241,'Budget original'!$A$2:$A$501,0),MATCH(D$2,'Budget original'!$A$2:$AO$2,0))</f>
        <v>0</v>
      </c>
      <c r="E241" s="291">
        <f>+INDEX('Budget original'!$A$2:$AO$501,MATCH($A241,'Budget original'!$A$2:$A$501,0),MATCH(E$2,'Budget original'!$A$2:$AO$2,0))</f>
        <v>60000</v>
      </c>
      <c r="F241" s="291">
        <f>+INDEX('Budget original'!$A$2:$AO$501,MATCH($A241,'Budget original'!$A$2:$A$501,0),MATCH(F$2,'Budget original'!$A$2:$AO$2,0))</f>
        <v>13200</v>
      </c>
      <c r="G241" s="322"/>
      <c r="H241" s="291"/>
      <c r="I241" s="291"/>
      <c r="J241" s="277">
        <f>-SUMIFS(BV_Data_An_Cour!$O:$O,BV_Data_An_Cour!$U:$U,$B241,BV_Data_An_Cour!$V:$V,$C241,BV_Data_An_Cour!$W:$W,J$2)</f>
        <v>5</v>
      </c>
      <c r="K241" s="254">
        <f>-SUMIFS(BV_Data_An_Cour!$O:$O,BV_Data_An_Cour!$X:$X,"Oui",BV_Data_An_Cour!$U:$U,$B241,BV_Data_An_Cour!$V:$V,$C241)</f>
        <v>7721.01</v>
      </c>
      <c r="L241" s="256">
        <f>-SUMIFS(BV_Data_An_Cour!$O:$O,BV_Data_An_Cour!$U:$U,$B241,BV_Data_An_Cour!$V:$V,$C241,BV_Data_An_Cour!$W:$W,$L$2)</f>
        <v>2028.9899999999998</v>
      </c>
      <c r="M241" s="292">
        <f>IFERROR((K241-E241)/E241,0)</f>
        <v>-0.87131649999999994</v>
      </c>
      <c r="N241" s="276">
        <f>L241-F241</f>
        <v>-11171.01</v>
      </c>
      <c r="O241" s="277">
        <f t="array" ref="O241">+INDEX('Réel 2024'!$A$2:$AO$501,MATCH($A241,'Réel 2024'!$A$2:$A$501,0),MATCH(O$2,'Réel 2024'!$A$2:$AO$2,0))</f>
        <v>1</v>
      </c>
      <c r="P241" s="254">
        <f t="array" ref="P241">+INDEX('Réel 2024'!$A$2:$AO$501,MATCH($A241,'Réel 2024'!$A$2:$A$501,0),MATCH(P$2,'Réel 2024'!$A$2:$AO$2,0))</f>
        <v>2841.31</v>
      </c>
      <c r="Q241" s="256">
        <f t="array" ref="Q241">+INDEX('Réel 2024'!$A$2:$AO$501,MATCH($A241,'Réel 2024'!$A$2:$A$501,0),MATCH(Q$2,'Réel 2024'!$A$2:$AO$2,0))</f>
        <v>1481.92</v>
      </c>
      <c r="R241" s="292">
        <f>IF(O241=0,0,J241/O241)</f>
        <v>5</v>
      </c>
      <c r="S241" s="276">
        <f>L241-Q241</f>
        <v>547.06999999999971</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
        <v>500</v>
      </c>
      <c r="B242" s="41" t="s">
        <v>176</v>
      </c>
      <c r="C242" s="253" t="s">
        <v>165</v>
      </c>
      <c r="D242" s="39"/>
      <c r="E242" s="349"/>
      <c r="F242" s="362">
        <f>IFERROR(F241/E241,0)</f>
        <v>0.22</v>
      </c>
      <c r="G242" s="253"/>
      <c r="H242" s="349"/>
      <c r="I242" s="362"/>
      <c r="J242" s="277"/>
      <c r="K242" s="41"/>
      <c r="L242" s="362">
        <f>IFERROR(L241/K241,0)</f>
        <v>0.26278815854402465</v>
      </c>
      <c r="M242" s="292"/>
      <c r="N242" s="276">
        <f>IFERROR(N241/M241,0)</f>
        <v>12820.840647457038</v>
      </c>
      <c r="O242" s="277"/>
      <c r="P242" s="41"/>
      <c r="Q242" s="362">
        <f>IFERROR(Q241/P241,0)</f>
        <v>0.52156223713709526</v>
      </c>
      <c r="R242" s="277"/>
      <c r="S242" s="276">
        <f>IFERROR(S241/R241,0)</f>
        <v>109.41399999999994</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
        <v>176</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
        <v>501</v>
      </c>
      <c r="B244" s="41" t="s">
        <v>176</v>
      </c>
      <c r="C244" s="241" t="s">
        <v>178</v>
      </c>
      <c r="D244" s="366">
        <f>+INDEX('Budget original'!$A$2:$AO$501,MATCH($A244,'Budget original'!$A$2:$A$501,0),MATCH(D$2,'Budget original'!$A$2:$AO$2,0))</f>
        <v>0</v>
      </c>
      <c r="E244" s="291">
        <f>+INDEX('Budget original'!$A$2:$AO$501,MATCH($A244,'Budget original'!$A$2:$A$501,0),MATCH(E$2,'Budget original'!$A$2:$AO$2,0))</f>
        <v>0</v>
      </c>
      <c r="F244" s="291">
        <f>+INDEX('Budget original'!$A$2:$AO$501,MATCH($A244,'Budget original'!$A$2:$A$501,0),MATCH(F$2,'Budget original'!$A$2:$AO$2,0))</f>
        <v>0</v>
      </c>
      <c r="G244" s="402"/>
      <c r="H244" s="291"/>
      <c r="I244" s="291"/>
      <c r="J244" s="367">
        <f>SUMIFS(BV_Data_An_Cour!$C$1:$C$386,BV_Data_An_Cour!$V$1:$V$386,$C244,BV_Data_An_Cour!$U$1:$U$386,$K$236)</f>
        <v>0</v>
      </c>
      <c r="K244" s="271">
        <f>-SUMIFS(BV_Data_An_Cour!$O:$O,BV_Data_An_Cour!$X:$X,"Oui",BV_Data_An_Cour!$U:$U,$B244,BV_Data_An_Cour!$V:$V,$C244)</f>
        <v>0</v>
      </c>
      <c r="L244" s="272">
        <f>-SUMIFS(BV_Data_An_Cour!$O:$O,BV_Data_An_Cour!$U:$U,$B244,BV_Data_An_Cour!$V:$V,$C244,BV_Data_An_Cour!$W:$W,$L$2)</f>
        <v>0</v>
      </c>
      <c r="M244" s="371">
        <f>IFERROR((K244-E244)/E244,0)</f>
        <v>0</v>
      </c>
      <c r="N244" s="317">
        <f>L244-F244</f>
        <v>0</v>
      </c>
      <c r="O244" s="367">
        <f t="array" ref="O244">+INDEX('Réel 2024'!$A$2:$AO$501,MATCH($A244,'Réel 2024'!$A$2:$A$501,0),MATCH(O$2,'Réel 2024'!$A$2:$AO$2,0))</f>
        <v>0</v>
      </c>
      <c r="P244" s="271">
        <f t="array" ref="P244">+INDEX('Réel 2024'!$A$2:$AO$501,MATCH($A244,'Réel 2024'!$A$2:$A$501,0),MATCH(P$2,'Réel 2024'!$A$2:$AO$2,0))</f>
        <v>0</v>
      </c>
      <c r="Q244" s="272">
        <f t="array" ref="Q244">+INDEX('Réel 2024'!$A$2:$AO$501,MATCH($A244,'Réel 2024'!$A$2:$A$501,0),MATCH(Q$2,'Réel 2024'!$A$2:$AO$2,0))</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
        <v>500</v>
      </c>
      <c r="B245" s="41" t="s">
        <v>176</v>
      </c>
      <c r="C245" s="253" t="s">
        <v>165</v>
      </c>
      <c r="D245" s="41"/>
      <c r="E245" s="349"/>
      <c r="F245" s="362" t="e">
        <f>F244/E244</f>
        <v>#DIV/0!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
        <v>176</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
        <v>502</v>
      </c>
      <c r="B247" s="41" t="s">
        <v>176</v>
      </c>
      <c r="C247" s="241" t="s">
        <v>179</v>
      </c>
      <c r="D247" s="366">
        <v>0</v>
      </c>
      <c r="E247" s="291">
        <v>0</v>
      </c>
      <c r="F247" s="291">
        <v>0</v>
      </c>
      <c r="G247" s="367"/>
      <c r="H247" s="291"/>
      <c r="I247" s="291"/>
      <c r="J247" s="367">
        <f>SUMIFS(BV_Data_An_Cour!$C$1:$C$386,BV_Data_An_Cour!$V$1:$V$386,$C247,BV_Data_An_Cour!$U$1:$U$386,$K$236)</f>
        <v>0</v>
      </c>
      <c r="K247" s="254">
        <f>-SUMIFS(BV_Data_An_Cour!$O:$O,BV_Data_An_Cour!$X:$X,"Oui",BV_Data_An_Cour!$U:$U,$B247,BV_Data_An_Cour!$V:$V,$C247)</f>
        <v>0</v>
      </c>
      <c r="L247" s="256">
        <f>-SUMIFS(BV_Data_An_Cour!$O:$O,BV_Data_An_Cour!$U:$U,$B247,BV_Data_An_Cour!$V:$V,$C247,BV_Data_An_Cour!$W:$W,$L$2)</f>
        <v>0</v>
      </c>
      <c r="M247" s="292">
        <f>IFERROR((K247-E247)/E247,0)</f>
        <v>0</v>
      </c>
      <c r="N247" s="317">
        <f>L247-F247</f>
        <v>0</v>
      </c>
      <c r="O247" s="367">
        <v>0</v>
      </c>
      <c r="P247" s="254">
        <v>0</v>
      </c>
      <c r="Q247" s="256">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
        <v>500</v>
      </c>
      <c r="B248" s="41" t="s">
        <v>176</v>
      </c>
      <c r="C248" s="253" t="s">
        <v>165</v>
      </c>
      <c r="D248" s="41"/>
      <c r="E248" s="41"/>
      <c r="F248" s="362" t="e">
        <f>F247/E247</f>
        <v>#DIV/0!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
        <v>176</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
        <v>503</v>
      </c>
      <c r="B250" s="41" t="s">
        <v>176</v>
      </c>
      <c r="C250" s="278" t="s">
        <v>174</v>
      </c>
      <c r="D250" s="279"/>
      <c r="E250" s="279">
        <f>E244+E247+E241</f>
        <v>60000</v>
      </c>
      <c r="F250" s="281">
        <f>F244+F247+F241</f>
        <v>13200</v>
      </c>
      <c r="G250" s="282"/>
      <c r="H250" s="279"/>
      <c r="I250" s="281"/>
      <c r="J250" s="282"/>
      <c r="K250" s="279">
        <f t="shared" ref="K250:L250" si="48">K244+K247+K241</f>
        <v>7721.01</v>
      </c>
      <c r="L250" s="281">
        <f t="shared" si="48"/>
        <v>2028.9899999999998</v>
      </c>
      <c r="M250" s="399">
        <f>L251-F251</f>
        <v>4.2788158544024651E-2</v>
      </c>
      <c r="N250" s="281">
        <f>L250-F250</f>
        <v>-11171.01</v>
      </c>
      <c r="O250" s="282"/>
      <c r="P250" s="279">
        <f t="shared" ref="P250:Q250" si="49">P244+P247+P241</f>
        <v>2841.31</v>
      </c>
      <c r="Q250" s="281">
        <f t="shared" si="49"/>
        <v>1481.92</v>
      </c>
      <c r="R250" s="405">
        <f>L251-Q251</f>
        <v>-0.25877407859307061</v>
      </c>
      <c r="S250" s="281">
        <f>L250-Q250</f>
        <v>547.06999999999971</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
        <v>176</v>
      </c>
      <c r="B251" s="41" t="s">
        <v>176</v>
      </c>
      <c r="C251" s="283"/>
      <c r="D251" s="284"/>
      <c r="E251" s="284"/>
      <c r="F251" s="287">
        <f>F250/E250</f>
        <v>0.22</v>
      </c>
      <c r="G251" s="283"/>
      <c r="H251" s="284"/>
      <c r="I251" s="287"/>
      <c r="J251" s="283"/>
      <c r="K251" s="284"/>
      <c r="L251" s="287">
        <f>IF(K250=0,0,L250/K250)</f>
        <v>0.26278815854402465</v>
      </c>
      <c r="M251" s="286"/>
      <c r="N251" s="287">
        <f>N250/F250</f>
        <v>-0.84628863636363638</v>
      </c>
      <c r="O251" s="283"/>
      <c r="P251" s="284"/>
      <c r="Q251" s="287">
        <f>Q250/P250</f>
        <v>0.52156223713709526</v>
      </c>
      <c r="R251" s="286"/>
      <c r="S251" s="287">
        <f>S250/Q250</f>
        <v>0.36916297775858326</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
        <v>176</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
        <v>504</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
        <v>505</v>
      </c>
      <c r="B254" s="41" t="s">
        <v>176</v>
      </c>
      <c r="C254" s="312" t="s">
        <v>120</v>
      </c>
      <c r="D254" s="41"/>
      <c r="E254" s="41"/>
      <c r="F254" s="254">
        <f>+INDEX('Budget original'!$A$2:$AO$501,MATCH($A254,'Budget original'!$A$2:$A$501,0),MATCH(F$2,'Budget original'!$A$2:$AO$2,0))</f>
        <v>371.65625000000006</v>
      </c>
      <c r="G254" s="253"/>
      <c r="H254" s="41"/>
      <c r="I254" s="254"/>
      <c r="J254" s="253"/>
      <c r="K254" s="41"/>
      <c r="L254" s="256">
        <f>SUMIFS(BV_Data_An_Cour!$O:$O,BV_Data_An_Cour!$U:$U,$B254,BV_Data_An_Cour!$V:$V,$C254,BV_Data_An_Cour!$W:$W,$L$2)</f>
        <v>901.88</v>
      </c>
      <c r="M254" s="253"/>
      <c r="N254" s="276">
        <f t="shared" ref="N254:N284" si="50">L254-F254</f>
        <v>530.22374999999988</v>
      </c>
      <c r="O254" s="253"/>
      <c r="P254" s="41"/>
      <c r="Q254" s="256">
        <f t="array" ref="Q254">+INDEX('Réel 2024'!$A$2:$AO$501,MATCH($A254,'Réel 2024'!$A$2:$A$501,0),MATCH(Q$2,'Réel 2024'!$A$2:$AO$2,0))</f>
        <v>901.88</v>
      </c>
      <c r="R254" s="253"/>
      <c r="S254" s="256">
        <f t="shared" ref="S254:S285" si="51">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
        <v>506</v>
      </c>
      <c r="B255" s="41" t="s">
        <v>176</v>
      </c>
      <c r="C255" s="313" t="s">
        <v>121</v>
      </c>
      <c r="D255" s="297"/>
      <c r="E255" s="41"/>
      <c r="F255" s="248">
        <f>+INDEX('Budget original'!$A$2:$AO$501,MATCH($A255,'Budget original'!$A$2:$A$501,0),MATCH(F$2,'Budget original'!$A$2:$AO$2,0))</f>
        <v>5927.3807692307682</v>
      </c>
      <c r="G255" s="298"/>
      <c r="H255" s="41"/>
      <c r="I255" s="248"/>
      <c r="J255" s="253"/>
      <c r="K255" s="41"/>
      <c r="L255" s="256">
        <f>SUMIFS(BV_Data_An_Cour!$O:$O,BV_Data_An_Cour!$U:$U,$B255,BV_Data_An_Cour!$V:$V,$C255,BV_Data_An_Cour!$W:$W,$L$2)</f>
        <v>4976.26</v>
      </c>
      <c r="M255" s="253"/>
      <c r="N255" s="276">
        <f t="shared" si="50"/>
        <v>-951.12076923076802</v>
      </c>
      <c r="O255" s="253"/>
      <c r="P255" s="41"/>
      <c r="Q255" s="256">
        <f t="array" ref="Q255">+INDEX('Réel 2024'!$A$2:$AO$501,MATCH($A255,'Réel 2024'!$A$2:$A$501,0),MATCH(Q$2,'Réel 2024'!$A$2:$AO$2,0))</f>
        <v>492.92</v>
      </c>
      <c r="R255" s="253"/>
      <c r="S255" s="276">
        <f t="shared" si="51"/>
        <v>4483.34</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
        <v>507</v>
      </c>
      <c r="B256" s="41" t="s">
        <v>176</v>
      </c>
      <c r="C256" s="312" t="s">
        <v>122</v>
      </c>
      <c r="D256" s="314"/>
      <c r="E256" s="315"/>
      <c r="F256" s="254">
        <f>+INDEX('Budget original'!$A$2:$AO$501,MATCH($A256,'Budget original'!$A$2:$A$501,0),MATCH(F$2,'Budget original'!$A$2:$AO$2,0))</f>
        <v>21.91346153846154</v>
      </c>
      <c r="G256" s="316"/>
      <c r="H256" s="315"/>
      <c r="I256" s="254"/>
      <c r="J256" s="241"/>
      <c r="K256" s="315"/>
      <c r="L256" s="272">
        <f>SUMIFS(BV_Data_An_Cour!$O:$O,BV_Data_An_Cour!$U:$U,$B256,BV_Data_An_Cour!$V:$V,$C256,BV_Data_An_Cour!$W:$W,$L$2)</f>
        <v>0.08</v>
      </c>
      <c r="M256" s="241"/>
      <c r="N256" s="317">
        <f t="shared" si="50"/>
        <v>-21.833461538461542</v>
      </c>
      <c r="O256" s="241"/>
      <c r="P256" s="315"/>
      <c r="Q256" s="272">
        <f t="array" ref="Q256">+INDEX('Réel 2024'!$A$2:$AO$501,MATCH($A256,'Réel 2024'!$A$2:$A$501,0),MATCH(Q$2,'Réel 2024'!$A$2:$AO$2,0))</f>
        <v>0.48</v>
      </c>
      <c r="R256" s="241"/>
      <c r="S256" s="317">
        <f t="shared" si="51"/>
        <v>-0.39999999999999997</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
        <v>508</v>
      </c>
      <c r="B257" s="41" t="s">
        <v>176</v>
      </c>
      <c r="C257" s="312" t="s">
        <v>123</v>
      </c>
      <c r="D257" s="297"/>
      <c r="E257" s="41"/>
      <c r="F257" s="254">
        <f>+INDEX('Budget original'!$A$2:$AO$501,MATCH($A257,'Budget original'!$A$2:$A$501,0),MATCH(F$2,'Budget original'!$A$2:$AO$2,0))</f>
        <v>0</v>
      </c>
      <c r="G257" s="298"/>
      <c r="H257" s="41"/>
      <c r="I257" s="254"/>
      <c r="J257" s="253"/>
      <c r="K257" s="41"/>
      <c r="L257" s="256">
        <f>SUMIFS(BV_Data_An_Cour!$O:$O,BV_Data_An_Cour!$U:$U,$B257,BV_Data_An_Cour!$V:$V,$C257,BV_Data_An_Cour!$W:$W,$L$2)</f>
        <v>0</v>
      </c>
      <c r="M257" s="253"/>
      <c r="N257" s="276">
        <f t="shared" si="50"/>
        <v>0</v>
      </c>
      <c r="O257" s="253"/>
      <c r="P257" s="41"/>
      <c r="Q257" s="256">
        <f t="array" ref="Q257">+INDEX('Réel 2024'!$A$2:$AO$501,MATCH($A257,'Réel 2024'!$A$2:$A$501,0),MATCH(Q$2,'Réel 2024'!$A$2:$AO$2,0))</f>
        <v>0</v>
      </c>
      <c r="R257" s="253"/>
      <c r="S257" s="276">
        <f t="shared" si="51"/>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509</v>
      </c>
      <c r="B258" s="41" t="s">
        <v>176</v>
      </c>
      <c r="C258" s="253" t="s">
        <v>59</v>
      </c>
      <c r="D258" s="297"/>
      <c r="E258" s="41"/>
      <c r="F258" s="254">
        <f>+INDEX('Budget original'!$A$2:$AO$501,MATCH($A258,'Budget original'!$A$2:$A$501,0),MATCH(F$2,'Budget original'!$A$2:$AO$2,0))</f>
        <v>0</v>
      </c>
      <c r="G258" s="298"/>
      <c r="H258" s="41"/>
      <c r="I258" s="254"/>
      <c r="J258" s="253"/>
      <c r="K258" s="41"/>
      <c r="L258" s="256">
        <f>SUMIFS(BV_Data_An_Cour!$O:$O,BV_Data_An_Cour!$U:$U,$B258,BV_Data_An_Cour!$V:$V,$C258,BV_Data_An_Cour!$W:$W,$L$2)</f>
        <v>0</v>
      </c>
      <c r="M258" s="253"/>
      <c r="N258" s="276">
        <f t="shared" si="50"/>
        <v>0</v>
      </c>
      <c r="O258" s="253"/>
      <c r="P258" s="41"/>
      <c r="Q258" s="256">
        <f t="array" ref="Q258">+INDEX('Réel 2024'!$A$2:$AO$501,MATCH($A258,'Réel 2024'!$A$2:$A$501,0),MATCH(Q$2,'Réel 2024'!$A$2:$AO$2,0))</f>
        <v>0</v>
      </c>
      <c r="R258" s="253"/>
      <c r="S258" s="276">
        <f t="shared" si="51"/>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509</v>
      </c>
      <c r="B259" s="41" t="s">
        <v>176</v>
      </c>
      <c r="C259" s="253" t="s">
        <v>59</v>
      </c>
      <c r="D259" s="297"/>
      <c r="E259" s="41"/>
      <c r="F259" s="254">
        <f>+INDEX('Budget original'!$A$2:$AO$501,MATCH($A259,'Budget original'!$A$2:$A$501,0),MATCH(F$2,'Budget original'!$A$2:$AO$2,0))</f>
        <v>0</v>
      </c>
      <c r="G259" s="298"/>
      <c r="H259" s="41"/>
      <c r="I259" s="254"/>
      <c r="J259" s="253"/>
      <c r="K259" s="41"/>
      <c r="L259" s="256">
        <f>SUMIFS(BV_Data_An_Cour!$O:$O,BV_Data_An_Cour!$U:$U,$B259,BV_Data_An_Cour!$V:$V,$C259,BV_Data_An_Cour!$W:$W,$L$2)</f>
        <v>0</v>
      </c>
      <c r="M259" s="253"/>
      <c r="N259" s="276">
        <f t="shared" si="50"/>
        <v>0</v>
      </c>
      <c r="O259" s="253"/>
      <c r="P259" s="41"/>
      <c r="Q259" s="256">
        <f t="array" ref="Q259">+INDEX('Réel 2024'!$A$2:$AO$501,MATCH($A259,'Réel 2024'!$A$2:$A$501,0),MATCH(Q$2,'Réel 2024'!$A$2:$AO$2,0))</f>
        <v>0</v>
      </c>
      <c r="R259" s="253"/>
      <c r="S259" s="276">
        <f t="shared" si="51"/>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
        <v>509</v>
      </c>
      <c r="B260" s="41" t="s">
        <v>176</v>
      </c>
      <c r="C260" s="253" t="s">
        <v>59</v>
      </c>
      <c r="D260" s="297"/>
      <c r="E260" s="41"/>
      <c r="F260" s="254">
        <f>+INDEX('Budget original'!$A$2:$AO$501,MATCH($A260,'Budget original'!$A$2:$A$501,0),MATCH(F$2,'Budget original'!$A$2:$AO$2,0))</f>
        <v>0</v>
      </c>
      <c r="G260" s="298"/>
      <c r="H260" s="41"/>
      <c r="I260" s="254"/>
      <c r="J260" s="253"/>
      <c r="K260" s="41"/>
      <c r="L260" s="256">
        <f>SUMIFS(BV_Data_An_Cour!$O:$O,BV_Data_An_Cour!$U:$U,$B260,BV_Data_An_Cour!$V:$V,$C260,BV_Data_An_Cour!$W:$W,$L$2)</f>
        <v>0</v>
      </c>
      <c r="M260" s="253"/>
      <c r="N260" s="276">
        <f t="shared" si="50"/>
        <v>0</v>
      </c>
      <c r="O260" s="253"/>
      <c r="P260" s="41"/>
      <c r="Q260" s="256">
        <f t="array" ref="Q260">+INDEX('Réel 2024'!$A$2:$AO$501,MATCH($A260,'Réel 2024'!$A$2:$A$501,0),MATCH(Q$2,'Réel 2024'!$A$2:$AO$2,0))</f>
        <v>0</v>
      </c>
      <c r="R260" s="253"/>
      <c r="S260" s="276">
        <f t="shared" si="51"/>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
        <v>510</v>
      </c>
      <c r="B261" s="41" t="s">
        <v>176</v>
      </c>
      <c r="C261" s="313" t="s">
        <v>124</v>
      </c>
      <c r="D261" s="297"/>
      <c r="E261" s="41"/>
      <c r="F261" s="248">
        <f>+INDEX('Budget original'!$A$2:$AO$501,MATCH($A261,'Budget original'!$A$2:$A$501,0),MATCH(F$2,'Budget original'!$A$2:$AO$2,0))</f>
        <v>759.74482668269218</v>
      </c>
      <c r="G261" s="298"/>
      <c r="H261" s="41"/>
      <c r="I261" s="248"/>
      <c r="J261" s="253"/>
      <c r="K261" s="41"/>
      <c r="L261" s="256">
        <f>SUMIFS(BV_Data_An_Cour!$O:$O,BV_Data_An_Cour!$U:$U,$B261,BV_Data_An_Cour!$V:$V,$C261,BV_Data_An_Cour!$W:$W,$L$2)</f>
        <v>572.55999999999995</v>
      </c>
      <c r="M261" s="253"/>
      <c r="N261" s="276">
        <f t="shared" si="50"/>
        <v>-187.18482668269223</v>
      </c>
      <c r="O261" s="253"/>
      <c r="P261" s="41"/>
      <c r="Q261" s="256">
        <f t="array" ref="Q261">+INDEX('Réel 2024'!$A$2:$AO$501,MATCH($A261,'Réel 2024'!$A$2:$A$501,0),MATCH(Q$2,'Réel 2024'!$A$2:$AO$2,0))</f>
        <v>608.66999999999996</v>
      </c>
      <c r="R261" s="253"/>
      <c r="S261" s="276">
        <f t="shared" si="51"/>
        <v>-36.110000000000014</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
        <v>511</v>
      </c>
      <c r="B262" s="41" t="s">
        <v>176</v>
      </c>
      <c r="C262" s="312" t="s">
        <v>125</v>
      </c>
      <c r="D262" s="314"/>
      <c r="E262" s="315"/>
      <c r="F262" s="254">
        <f>+INDEX('Budget original'!$A$2:$AO$501,MATCH($A262,'Budget original'!$A$2:$A$501,0),MATCH(F$2,'Budget original'!$A$2:$AO$2,0))</f>
        <v>923.7426086538461</v>
      </c>
      <c r="G262" s="316"/>
      <c r="H262" s="315"/>
      <c r="I262" s="254"/>
      <c r="J262" s="241"/>
      <c r="K262" s="315"/>
      <c r="L262" s="272">
        <f>SUMIFS(BV_Data_An_Cour!$O:$O,BV_Data_An_Cour!$U:$U,$B262,BV_Data_An_Cour!$V:$V,$C262,BV_Data_An_Cour!$W:$W,$L$2)</f>
        <v>1444.17</v>
      </c>
      <c r="M262" s="241"/>
      <c r="N262" s="317">
        <f t="shared" si="50"/>
        <v>520.42739134615397</v>
      </c>
      <c r="O262" s="241"/>
      <c r="P262" s="315"/>
      <c r="Q262" s="272">
        <f t="array" ref="Q262">+INDEX('Réel 2024'!$A$2:$AO$501,MATCH($A262,'Réel 2024'!$A$2:$A$501,0),MATCH(Q$2,'Réel 2024'!$A$2:$AO$2,0))</f>
        <v>1185.3800000000001</v>
      </c>
      <c r="R262" s="241"/>
      <c r="S262" s="317">
        <f t="shared" si="51"/>
        <v>258.78999999999996</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
        <v>512</v>
      </c>
      <c r="B263" s="41" t="s">
        <v>176</v>
      </c>
      <c r="C263" s="312" t="s">
        <v>126</v>
      </c>
      <c r="D263" s="297"/>
      <c r="E263" s="41"/>
      <c r="F263" s="254">
        <f>+INDEX('Budget original'!$A$2:$AO$501,MATCH($A263,'Budget original'!$A$2:$A$501,0),MATCH(F$2,'Budget original'!$A$2:$AO$2,0))</f>
        <v>475.92825706730758</v>
      </c>
      <c r="G263" s="298"/>
      <c r="H263" s="41"/>
      <c r="I263" s="254"/>
      <c r="J263" s="253"/>
      <c r="K263" s="41"/>
      <c r="L263" s="256">
        <f>SUMIFS(BV_Data_An_Cour!$O:$O,BV_Data_An_Cour!$U:$U,$B263,BV_Data_An_Cour!$V:$V,$C263,BV_Data_An_Cour!$W:$W,$L$2)</f>
        <v>463.91999999999996</v>
      </c>
      <c r="M263" s="253"/>
      <c r="N263" s="276">
        <f t="shared" si="50"/>
        <v>-12.008257067307625</v>
      </c>
      <c r="O263" s="253"/>
      <c r="P263" s="41"/>
      <c r="Q263" s="256">
        <f t="array" ref="Q263">+INDEX('Réel 2024'!$A$2:$AO$501,MATCH($A263,'Réel 2024'!$A$2:$A$501,0),MATCH(Q$2,'Réel 2024'!$A$2:$AO$2,0))</f>
        <v>293.75</v>
      </c>
      <c r="R263" s="253"/>
      <c r="S263" s="276">
        <f t="shared" si="51"/>
        <v>170.16999999999996</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
        <v>513</v>
      </c>
      <c r="B264" s="41" t="s">
        <v>176</v>
      </c>
      <c r="C264" s="312" t="s">
        <v>127</v>
      </c>
      <c r="D264" s="297"/>
      <c r="E264" s="41"/>
      <c r="F264" s="254">
        <f>+INDEX('Budget original'!$A$2:$AO$501,MATCH($A264,'Budget original'!$A$2:$A$501,0),MATCH(F$2,'Budget original'!$A$2:$AO$2,0))</f>
        <v>207.50739759615382</v>
      </c>
      <c r="G264" s="298"/>
      <c r="H264" s="41"/>
      <c r="I264" s="254"/>
      <c r="J264" s="253"/>
      <c r="K264" s="41"/>
      <c r="L264" s="256">
        <f>SUMIFS(BV_Data_An_Cour!$O:$O,BV_Data_An_Cour!$U:$U,$B264,BV_Data_An_Cour!$V:$V,$C264,BV_Data_An_Cour!$W:$W,$L$2)</f>
        <v>164.21</v>
      </c>
      <c r="M264" s="253"/>
      <c r="N264" s="276">
        <f t="shared" si="50"/>
        <v>-43.297397596153814</v>
      </c>
      <c r="O264" s="253"/>
      <c r="P264" s="41"/>
      <c r="Q264" s="256">
        <f t="array" ref="Q264">+INDEX('Réel 2024'!$A$2:$AO$501,MATCH($A264,'Réel 2024'!$A$2:$A$501,0),MATCH(Q$2,'Réel 2024'!$A$2:$AO$2,0))</f>
        <v>120.18</v>
      </c>
      <c r="R264" s="253"/>
      <c r="S264" s="276">
        <f t="shared" si="51"/>
        <v>44.03</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
        <v>509</v>
      </c>
      <c r="B265" s="41" t="s">
        <v>176</v>
      </c>
      <c r="C265" s="253" t="s">
        <v>59</v>
      </c>
      <c r="D265" s="299"/>
      <c r="E265" s="318"/>
      <c r="F265" s="254">
        <f>+INDEX('Budget original'!$A$2:$AO$501,MATCH($A265,'Budget original'!$A$2:$A$501,0),MATCH(F$2,'Budget original'!$A$2:$AO$2,0))</f>
        <v>0</v>
      </c>
      <c r="G265" s="300"/>
      <c r="H265" s="318"/>
      <c r="I265" s="254"/>
      <c r="J265" s="246"/>
      <c r="K265" s="318"/>
      <c r="L265" s="256">
        <f>SUMIFS(BV_Data_An_Cour!$O:$O,BV_Data_An_Cour!$U:$U,$B265,BV_Data_An_Cour!$V:$V,$C265,BV_Data_An_Cour!$W:$W,$L$2)</f>
        <v>0</v>
      </c>
      <c r="M265" s="246"/>
      <c r="N265" s="296">
        <f t="shared" si="50"/>
        <v>0</v>
      </c>
      <c r="O265" s="246"/>
      <c r="P265" s="318"/>
      <c r="Q265" s="256">
        <f t="array" ref="Q265">+INDEX('Réel 2024'!$A$2:$AO$501,MATCH($A265,'Réel 2024'!$A$2:$A$501,0),MATCH(Q$2,'Réel 2024'!$A$2:$AO$2,0))</f>
        <v>0</v>
      </c>
      <c r="R265" s="246"/>
      <c r="S265" s="296">
        <f t="shared" si="51"/>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
        <v>514</v>
      </c>
      <c r="B266" s="41" t="s">
        <v>176</v>
      </c>
      <c r="C266" s="304" t="s">
        <v>128</v>
      </c>
      <c r="D266" s="305" t="s">
        <v>119</v>
      </c>
      <c r="E266" s="306">
        <f>F266/F$250</f>
        <v>0.65817224020979004</v>
      </c>
      <c r="F266" s="307">
        <f>+SUM(F254:F265)</f>
        <v>8687.8735707692285</v>
      </c>
      <c r="G266" s="308"/>
      <c r="H266" s="306"/>
      <c r="I266" s="307"/>
      <c r="J266" s="308" t="s">
        <v>119</v>
      </c>
      <c r="K266" s="306">
        <f>IF(L250=0,0,L266/L$250)</f>
        <v>4.2006515557001274</v>
      </c>
      <c r="L266" s="307">
        <f>+SUM(L254:L265)</f>
        <v>8523.08</v>
      </c>
      <c r="M266" s="355"/>
      <c r="N266" s="320">
        <f t="shared" si="50"/>
        <v>-164.79357076922861</v>
      </c>
      <c r="O266" s="308" t="s">
        <v>119</v>
      </c>
      <c r="P266" s="306">
        <f>IF(Q244=0,0,Q266/Q$244)</f>
        <v>0</v>
      </c>
      <c r="Q266" s="307">
        <f>+SUM(Q254:Q265)</f>
        <v>3603.2599999999998</v>
      </c>
      <c r="R266" s="355"/>
      <c r="S266" s="320">
        <f t="shared" si="51"/>
        <v>4919.82</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
        <v>515</v>
      </c>
      <c r="B267" s="41" t="s">
        <v>176</v>
      </c>
      <c r="C267" s="406" t="s">
        <v>129</v>
      </c>
      <c r="D267" s="297"/>
      <c r="E267" s="41"/>
      <c r="F267" s="254">
        <f>+INDEX('Budget original'!$A$2:$AO$501,MATCH($A267,'Budget original'!$A$2:$A$501,0),MATCH(F$2,'Budget original'!$A$2:$AO$2,0))</f>
        <v>48.333333333333336</v>
      </c>
      <c r="G267" s="298"/>
      <c r="H267" s="41"/>
      <c r="I267" s="254"/>
      <c r="J267" s="253"/>
      <c r="K267" s="41"/>
      <c r="L267" s="256">
        <f>SUMIFS(BV_Data_An_Cour!$O:$O,BV_Data_An_Cour!$U:$U,$B267,BV_Data_An_Cour!$V:$V,$C267,BV_Data_An_Cour!$W:$W,$L$2)</f>
        <v>3.5</v>
      </c>
      <c r="M267" s="253"/>
      <c r="N267" s="276">
        <f t="shared" si="50"/>
        <v>-44.833333333333336</v>
      </c>
      <c r="O267" s="253"/>
      <c r="P267" s="41"/>
      <c r="Q267" s="276">
        <f t="array" ref="Q267">+INDEX('Réel 2024'!$A$2:$AO$501,MATCH($A267,'Réel 2024'!$A$2:$A$501,0),MATCH(Q$2,'Réel 2024'!$A$2:$AO$2,0))</f>
        <v>154.94999999999999</v>
      </c>
      <c r="R267" s="253"/>
      <c r="S267" s="276">
        <f t="shared" si="51"/>
        <v>-151.44999999999999</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
        <v>516</v>
      </c>
      <c r="B268" s="41" t="s">
        <v>176</v>
      </c>
      <c r="C268" s="312" t="s">
        <v>130</v>
      </c>
      <c r="D268" s="297"/>
      <c r="E268" s="41"/>
      <c r="F268" s="254">
        <f>+INDEX('Budget original'!$A$2:$AO$501,MATCH($A268,'Budget original'!$A$2:$A$501,0),MATCH(F$2,'Budget original'!$A$2:$AO$2,0))</f>
        <v>561.67798128057109</v>
      </c>
      <c r="G268" s="298"/>
      <c r="H268" s="41"/>
      <c r="I268" s="254"/>
      <c r="J268" s="253"/>
      <c r="K268" s="41"/>
      <c r="L268" s="256">
        <f>SUMIFS(BV_Data_An_Cour!$O:$O,BV_Data_An_Cour!$U:$U,$B268,BV_Data_An_Cour!$V:$V,$C268,BV_Data_An_Cour!$W:$W,$L$2)</f>
        <v>0</v>
      </c>
      <c r="M268" s="253"/>
      <c r="N268" s="276">
        <f t="shared" si="50"/>
        <v>-561.67798128057109</v>
      </c>
      <c r="O268" s="253"/>
      <c r="P268" s="41"/>
      <c r="Q268" s="276">
        <f t="array" ref="Q268">+INDEX('Réel 2024'!$A$2:$AO$501,MATCH($A268,'Réel 2024'!$A$2:$A$501,0),MATCH(Q$2,'Réel 2024'!$A$2:$AO$2,0))</f>
        <v>389.26</v>
      </c>
      <c r="R268" s="253"/>
      <c r="S268" s="276">
        <f t="shared" si="51"/>
        <v>-389.26</v>
      </c>
      <c r="T268" s="41"/>
      <c r="U268" s="1178"/>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
        <v>517</v>
      </c>
      <c r="B269" s="41" t="s">
        <v>176</v>
      </c>
      <c r="C269" s="313" t="s">
        <v>131</v>
      </c>
      <c r="D269" s="299"/>
      <c r="E269" s="318"/>
      <c r="F269" s="248">
        <f>+INDEX('Budget original'!$A$2:$AO$501,MATCH($A269,'Budget original'!$A$2:$A$501,0),MATCH(F$2,'Budget original'!$A$2:$AO$2,0))</f>
        <v>124.50360000000001</v>
      </c>
      <c r="G269" s="300"/>
      <c r="H269" s="318"/>
      <c r="I269" s="248"/>
      <c r="J269" s="246"/>
      <c r="K269" s="318"/>
      <c r="L269" s="256">
        <f>SUMIFS(BV_Data_An_Cour!$O:$O,BV_Data_An_Cour!$U:$U,$B269,BV_Data_An_Cour!$V:$V,$C269,BV_Data_An_Cour!$W:$W,$L$2)</f>
        <v>177.91</v>
      </c>
      <c r="M269" s="246"/>
      <c r="N269" s="296">
        <f t="shared" si="50"/>
        <v>53.406399999999991</v>
      </c>
      <c r="O269" s="246"/>
      <c r="P269" s="318"/>
      <c r="Q269" s="296">
        <f t="array" ref="Q269">+INDEX('Réel 2024'!$A$2:$AO$501,MATCH($A269,'Réel 2024'!$A$2:$A$501,0),MATCH(Q$2,'Réel 2024'!$A$2:$AO$2,0))</f>
        <v>177.91</v>
      </c>
      <c r="R269" s="246"/>
      <c r="S269" s="296">
        <f t="shared" si="51"/>
        <v>0</v>
      </c>
      <c r="T269" s="41"/>
      <c r="U269" s="41" t="s">
        <v>337</v>
      </c>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
        <v>518</v>
      </c>
      <c r="B270" s="41" t="s">
        <v>176</v>
      </c>
      <c r="C270" s="312" t="s">
        <v>132</v>
      </c>
      <c r="D270" s="297"/>
      <c r="E270" s="41"/>
      <c r="F270" s="254">
        <f>+INDEX('Budget original'!$A$2:$AO$501,MATCH($A270,'Budget original'!$A$2:$A$501,0),MATCH(F$2,'Budget original'!$A$2:$AO$2,0))</f>
        <v>1450.4268862377776</v>
      </c>
      <c r="G270" s="298"/>
      <c r="H270" s="41"/>
      <c r="I270" s="254"/>
      <c r="J270" s="253"/>
      <c r="K270" s="41"/>
      <c r="L270" s="272">
        <f>SUMIFS(BV_Data_An_Cour!$O:$O,BV_Data_An_Cour!$U:$U,$B270,BV_Data_An_Cour!$V:$V,$C270,BV_Data_An_Cour!$W:$W,$L$2)</f>
        <v>2065.0700000000002</v>
      </c>
      <c r="M270" s="253"/>
      <c r="N270" s="276">
        <f t="shared" si="50"/>
        <v>614.64311376222258</v>
      </c>
      <c r="O270" s="253"/>
      <c r="P270" s="41"/>
      <c r="Q270" s="276">
        <f t="array" ref="Q270">+INDEX('Réel 2024'!$A$2:$AO$501,MATCH($A270,'Réel 2024'!$A$2:$A$501,0),MATCH(Q$2,'Réel 2024'!$A$2:$AO$2,0))</f>
        <v>1501.65</v>
      </c>
      <c r="R270" s="253"/>
      <c r="S270" s="276">
        <f t="shared" si="51"/>
        <v>563.42000000000007</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
        <v>519</v>
      </c>
      <c r="B271" s="41" t="s">
        <v>176</v>
      </c>
      <c r="C271" s="312" t="s">
        <v>133</v>
      </c>
      <c r="D271" s="297"/>
      <c r="E271" s="41"/>
      <c r="F271" s="254">
        <f>+INDEX('Budget original'!$A$2:$AO$501,MATCH($A271,'Budget original'!$A$2:$A$501,0),MATCH(F$2,'Budget original'!$A$2:$AO$2,0))</f>
        <v>214.03823837858201</v>
      </c>
      <c r="G271" s="298"/>
      <c r="H271" s="41"/>
      <c r="I271" s="254"/>
      <c r="J271" s="253"/>
      <c r="K271" s="41"/>
      <c r="L271" s="256">
        <f>SUMIFS(BV_Data_An_Cour!$O:$O,BV_Data_An_Cour!$U:$U,$B271,BV_Data_An_Cour!$V:$V,$C271,BV_Data_An_Cour!$W:$W,$L$2)</f>
        <v>264.81</v>
      </c>
      <c r="M271" s="253"/>
      <c r="N271" s="276">
        <f t="shared" si="50"/>
        <v>50.771761621417994</v>
      </c>
      <c r="O271" s="253"/>
      <c r="P271" s="41"/>
      <c r="Q271" s="276">
        <f t="array" ref="Q271">+INDEX('Réel 2024'!$A$2:$AO$501,MATCH($A271,'Réel 2024'!$A$2:$A$501,0),MATCH(Q$2,'Réel 2024'!$A$2:$AO$2,0))</f>
        <v>163.65</v>
      </c>
      <c r="R271" s="253"/>
      <c r="S271" s="276">
        <f t="shared" si="51"/>
        <v>101.16</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
        <v>520</v>
      </c>
      <c r="B272" s="41" t="s">
        <v>176</v>
      </c>
      <c r="C272" s="312" t="s">
        <v>134</v>
      </c>
      <c r="D272" s="299"/>
      <c r="E272" s="318"/>
      <c r="F272" s="248">
        <f>+INDEX('Budget original'!$A$2:$AO$501,MATCH($A272,'Budget original'!$A$2:$A$501,0),MATCH(F$2,'Budget original'!$A$2:$AO$2,0))</f>
        <v>687.14674435248071</v>
      </c>
      <c r="G272" s="300"/>
      <c r="H272" s="318"/>
      <c r="I272" s="248"/>
      <c r="J272" s="246"/>
      <c r="K272" s="318"/>
      <c r="L272" s="256">
        <f>SUMIFS(BV_Data_An_Cour!$O:$O,BV_Data_An_Cour!$U:$U,$B272,BV_Data_An_Cour!$V:$V,$C272,BV_Data_An_Cour!$W:$W,$L$2)</f>
        <v>730.06</v>
      </c>
      <c r="M272" s="246"/>
      <c r="N272" s="296">
        <f t="shared" si="50"/>
        <v>42.913255647519236</v>
      </c>
      <c r="O272" s="246"/>
      <c r="P272" s="318"/>
      <c r="Q272" s="296">
        <f t="array" ref="Q272">+INDEX('Réel 2024'!$A$2:$AO$501,MATCH($A272,'Réel 2024'!$A$2:$A$501,0),MATCH(Q$2,'Réel 2024'!$A$2:$AO$2,0))</f>
        <v>699.86</v>
      </c>
      <c r="R272" s="246"/>
      <c r="S272" s="296">
        <f t="shared" si="51"/>
        <v>30.199999999999932</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
        <v>521</v>
      </c>
      <c r="B273" s="41" t="s">
        <v>176</v>
      </c>
      <c r="C273" s="406" t="s">
        <v>490</v>
      </c>
      <c r="D273" s="297"/>
      <c r="E273" s="41"/>
      <c r="F273" s="254"/>
      <c r="G273" s="298"/>
      <c r="H273" s="41"/>
      <c r="I273" s="254"/>
      <c r="J273" s="253"/>
      <c r="K273" s="41"/>
      <c r="L273" s="272">
        <f>SUMIFS(BV_Data_An_Cour!$O:$O,BV_Data_An_Cour!$U:$U,$B273,BV_Data_An_Cour!$V:$V,$C273,BV_Data_An_Cour!$W:$W,$L$2)</f>
        <v>0</v>
      </c>
      <c r="M273" s="253"/>
      <c r="N273" s="276">
        <f t="shared" si="50"/>
        <v>0</v>
      </c>
      <c r="O273" s="253"/>
      <c r="P273" s="41"/>
      <c r="Q273" s="276">
        <f t="array" ref="Q273">+INDEX('Réel 2024'!$A$2:$AO$501,MATCH($A273,'Réel 2024'!$A$2:$A$501,0),MATCH(Q$2,'Réel 2024'!$A$2:$AO$2,0))</f>
        <v>0</v>
      </c>
      <c r="R273" s="253"/>
      <c r="S273" s="276">
        <f t="shared" si="51"/>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
        <v>522</v>
      </c>
      <c r="B274" s="41" t="s">
        <v>176</v>
      </c>
      <c r="C274" s="312" t="s">
        <v>135</v>
      </c>
      <c r="D274" s="297"/>
      <c r="E274" s="41"/>
      <c r="F274" s="254">
        <f>+INDEX('Budget original'!$A$2:$AO$501,MATCH($A274,'Budget original'!$A$2:$A$501,0),MATCH(F$2,'Budget original'!$A$2:$AO$2,0))</f>
        <v>45.951533333333337</v>
      </c>
      <c r="G274" s="298"/>
      <c r="H274" s="41"/>
      <c r="I274" s="254"/>
      <c r="J274" s="253"/>
      <c r="K274" s="41"/>
      <c r="L274" s="256">
        <f>SUMIFS(BV_Data_An_Cour!$O:$O,BV_Data_An_Cour!$U:$U,$B274,BV_Data_An_Cour!$V:$V,$C274,BV_Data_An_Cour!$W:$W,$L$2)</f>
        <v>0</v>
      </c>
      <c r="M274" s="253"/>
      <c r="N274" s="276">
        <f t="shared" si="50"/>
        <v>-45.951533333333337</v>
      </c>
      <c r="O274" s="253"/>
      <c r="P274" s="41"/>
      <c r="Q274" s="276">
        <f t="array" ref="Q274">+INDEX('Réel 2024'!$A$2:$AO$501,MATCH($A274,'Réel 2024'!$A$2:$A$501,0),MATCH(Q$2,'Réel 2024'!$A$2:$AO$2,0))</f>
        <v>0</v>
      </c>
      <c r="R274" s="253"/>
      <c r="S274" s="276">
        <f t="shared" si="51"/>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
        <v>523</v>
      </c>
      <c r="B275" s="41" t="s">
        <v>176</v>
      </c>
      <c r="C275" s="312" t="s">
        <v>136</v>
      </c>
      <c r="D275" s="297"/>
      <c r="E275" s="41"/>
      <c r="F275" s="254">
        <f>+INDEX('Budget original'!$A$2:$AO$501,MATCH($A275,'Budget original'!$A$2:$A$501,0),MATCH(F$2,'Budget original'!$A$2:$AO$2,0))</f>
        <v>28.333333333333332</v>
      </c>
      <c r="G275" s="298"/>
      <c r="H275" s="41"/>
      <c r="I275" s="254"/>
      <c r="J275" s="253"/>
      <c r="K275" s="41"/>
      <c r="L275" s="256">
        <f>SUMIFS(BV_Data_An_Cour!$O:$O,BV_Data_An_Cour!$U:$U,$B275,BV_Data_An_Cour!$V:$V,$C275,BV_Data_An_Cour!$W:$W,$L$2)</f>
        <v>0</v>
      </c>
      <c r="M275" s="253"/>
      <c r="N275" s="276">
        <f t="shared" si="50"/>
        <v>-28.333333333333332</v>
      </c>
      <c r="O275" s="253"/>
      <c r="P275" s="41"/>
      <c r="Q275" s="276">
        <f t="array" ref="Q275">+INDEX('Réel 2024'!$A$2:$AO$501,MATCH($A275,'Réel 2024'!$A$2:$A$501,0),MATCH(Q$2,'Réel 2024'!$A$2:$AO$2,0))</f>
        <v>0</v>
      </c>
      <c r="R275" s="253"/>
      <c r="S275" s="276">
        <f t="shared" si="51"/>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
        <v>524</v>
      </c>
      <c r="B276" s="41" t="s">
        <v>176</v>
      </c>
      <c r="C276" s="312" t="s">
        <v>137</v>
      </c>
      <c r="D276" s="297"/>
      <c r="E276" s="41"/>
      <c r="F276" s="254">
        <f>+INDEX('Budget original'!$A$2:$AO$501,MATCH($A276,'Budget original'!$A$2:$A$501,0),MATCH(F$2,'Budget original'!$A$2:$AO$2,0))</f>
        <v>146.23689705261995</v>
      </c>
      <c r="G276" s="298"/>
      <c r="H276" s="41"/>
      <c r="I276" s="254"/>
      <c r="J276" s="253"/>
      <c r="K276" s="41"/>
      <c r="L276" s="256">
        <f>SUMIFS(BV_Data_An_Cour!$O:$O,BV_Data_An_Cour!$U:$U,$B276,BV_Data_An_Cour!$V:$V,$C276,BV_Data_An_Cour!$W:$W,$L$2)</f>
        <v>229.11</v>
      </c>
      <c r="M276" s="253"/>
      <c r="N276" s="276">
        <f t="shared" si="50"/>
        <v>82.873102947380062</v>
      </c>
      <c r="O276" s="253"/>
      <c r="P276" s="41"/>
      <c r="Q276" s="276">
        <f t="array" ref="Q276">+INDEX('Réel 2024'!$A$2:$AO$501,MATCH($A276,'Réel 2024'!$A$2:$A$501,0),MATCH(Q$2,'Réel 2024'!$A$2:$AO$2,0))</f>
        <v>193.7</v>
      </c>
      <c r="R276" s="253"/>
      <c r="S276" s="276">
        <f t="shared" si="51"/>
        <v>35.410000000000025</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
        <v>525</v>
      </c>
      <c r="B277" s="41" t="s">
        <v>176</v>
      </c>
      <c r="C277" s="312" t="s">
        <v>138</v>
      </c>
      <c r="D277" s="297"/>
      <c r="E277" s="41"/>
      <c r="F277" s="254">
        <f>+INDEX('Budget original'!$A$2:$AO$501,MATCH($A277,'Budget original'!$A$2:$A$501,0),MATCH(F$2,'Budget original'!$A$2:$AO$2,0))</f>
        <v>32.368975325808613</v>
      </c>
      <c r="G277" s="298"/>
      <c r="H277" s="41"/>
      <c r="I277" s="254"/>
      <c r="J277" s="253"/>
      <c r="K277" s="41"/>
      <c r="L277" s="256">
        <f>SUMIFS(BV_Data_An_Cour!$O:$O,BV_Data_An_Cour!$U:$U,$B277,BV_Data_An_Cour!$V:$V,$C277,BV_Data_An_Cour!$W:$W,$L$2)</f>
        <v>24.76</v>
      </c>
      <c r="M277" s="253"/>
      <c r="N277" s="276">
        <f t="shared" si="50"/>
        <v>-7.6089753258086112</v>
      </c>
      <c r="O277" s="253"/>
      <c r="P277" s="41"/>
      <c r="Q277" s="276">
        <f t="array" ref="Q277">+INDEX('Réel 2024'!$A$2:$AO$501,MATCH($A277,'Réel 2024'!$A$2:$A$501,0),MATCH(Q$2,'Réel 2024'!$A$2:$AO$2,0))</f>
        <v>24.27</v>
      </c>
      <c r="R277" s="253"/>
      <c r="S277" s="276">
        <f t="shared" si="51"/>
        <v>0.49000000000000199</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
        <v>526</v>
      </c>
      <c r="B278" s="41" t="s">
        <v>176</v>
      </c>
      <c r="C278" s="312" t="s">
        <v>139</v>
      </c>
      <c r="D278" s="297"/>
      <c r="E278" s="41"/>
      <c r="F278" s="254">
        <f>+INDEX('Budget original'!$A$2:$AO$501,MATCH($A278,'Budget original'!$A$2:$A$501,0),MATCH(F$2,'Budget original'!$A$2:$AO$2,0))</f>
        <v>22.492098830591392</v>
      </c>
      <c r="G278" s="298"/>
      <c r="H278" s="41"/>
      <c r="I278" s="254"/>
      <c r="J278" s="253"/>
      <c r="K278" s="41"/>
      <c r="L278" s="256">
        <f>SUMIFS(BV_Data_An_Cour!$O:$O,BV_Data_An_Cour!$U:$U,$B278,BV_Data_An_Cour!$V:$V,$C278,BV_Data_An_Cour!$W:$W,$L$2)</f>
        <v>46.19</v>
      </c>
      <c r="M278" s="253"/>
      <c r="N278" s="276">
        <f t="shared" si="50"/>
        <v>23.697901169408606</v>
      </c>
      <c r="O278" s="253"/>
      <c r="P278" s="41"/>
      <c r="Q278" s="276">
        <f t="array" ref="Q278">+INDEX('Réel 2024'!$A$2:$AO$501,MATCH($A278,'Réel 2024'!$A$2:$A$501,0),MATCH(Q$2,'Réel 2024'!$A$2:$AO$2,0))</f>
        <v>2.31</v>
      </c>
      <c r="R278" s="253"/>
      <c r="S278" s="276">
        <f t="shared" si="51"/>
        <v>43.879999999999995</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
        <v>527</v>
      </c>
      <c r="B279" s="41" t="s">
        <v>176</v>
      </c>
      <c r="C279" s="312" t="s">
        <v>140</v>
      </c>
      <c r="D279" s="297"/>
      <c r="E279" s="41"/>
      <c r="F279" s="254">
        <f>+INDEX('Budget original'!$A$2:$AO$501,MATCH($A279,'Budget original'!$A$2:$A$501,0),MATCH(F$2,'Budget original'!$A$2:$AO$2,0))</f>
        <v>102.90506750548639</v>
      </c>
      <c r="G279" s="298"/>
      <c r="H279" s="41"/>
      <c r="I279" s="254"/>
      <c r="J279" s="253"/>
      <c r="K279" s="41"/>
      <c r="L279" s="256">
        <f>SUMIFS(BV_Data_An_Cour!$O:$O,BV_Data_An_Cour!$U:$U,$B279,BV_Data_An_Cour!$V:$V,$C279,BV_Data_An_Cour!$W:$W,$L$2)</f>
        <v>24.43</v>
      </c>
      <c r="M279" s="253"/>
      <c r="N279" s="276">
        <f t="shared" si="50"/>
        <v>-78.475067505486379</v>
      </c>
      <c r="O279" s="253"/>
      <c r="P279" s="41"/>
      <c r="Q279" s="276">
        <f t="array" ref="Q279">+INDEX('Réel 2024'!$A$2:$AO$501,MATCH($A279,'Réel 2024'!$A$2:$A$501,0),MATCH(Q$2,'Réel 2024'!$A$2:$AO$2,0))</f>
        <v>23.05</v>
      </c>
      <c r="R279" s="253"/>
      <c r="S279" s="276">
        <f t="shared" si="51"/>
        <v>1.379999999999999</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
        <v>528</v>
      </c>
      <c r="B280" s="41" t="s">
        <v>176</v>
      </c>
      <c r="C280" s="312" t="s">
        <v>141</v>
      </c>
      <c r="D280" s="297"/>
      <c r="E280" s="41"/>
      <c r="F280" s="254">
        <f>+INDEX('Budget original'!$A$2:$AO$501,MATCH($A280,'Budget original'!$A$2:$A$501,0),MATCH(F$2,'Budget original'!$A$2:$AO$2,0))</f>
        <v>175.49870178698256</v>
      </c>
      <c r="G280" s="298"/>
      <c r="H280" s="41"/>
      <c r="I280" s="254"/>
      <c r="J280" s="253"/>
      <c r="K280" s="41"/>
      <c r="L280" s="256">
        <f>SUMIFS(BV_Data_An_Cour!$O:$O,BV_Data_An_Cour!$U:$U,$B280,BV_Data_An_Cour!$V:$V,$C280,BV_Data_An_Cour!$W:$W,$L$2)</f>
        <v>-9.5500000000000007</v>
      </c>
      <c r="M280" s="253"/>
      <c r="N280" s="276">
        <f t="shared" si="50"/>
        <v>-185.04870178698258</v>
      </c>
      <c r="O280" s="253"/>
      <c r="P280" s="41"/>
      <c r="Q280" s="276">
        <f t="array" ref="Q280">+INDEX('Réel 2024'!$A$2:$AO$501,MATCH($A280,'Réel 2024'!$A$2:$A$501,0),MATCH(Q$2,'Réel 2024'!$A$2:$AO$2,0))</f>
        <v>69.58</v>
      </c>
      <c r="R280" s="253"/>
      <c r="S280" s="276">
        <f t="shared" si="51"/>
        <v>-79.13</v>
      </c>
      <c r="T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
        <v>529</v>
      </c>
      <c r="B281" s="41" t="s">
        <v>176</v>
      </c>
      <c r="C281" s="312" t="s">
        <v>142</v>
      </c>
      <c r="D281" s="297"/>
      <c r="E281" s="41"/>
      <c r="F281" s="254">
        <f>+INDEX('Budget original'!$A$2:$AO$501,MATCH($A281,'Budget original'!$A$2:$A$501,0),MATCH(F$2,'Budget original'!$A$2:$AO$2,0))</f>
        <v>226.98206782432285</v>
      </c>
      <c r="G281" s="298"/>
      <c r="H281" s="41"/>
      <c r="I281" s="254"/>
      <c r="J281" s="253"/>
      <c r="K281" s="41"/>
      <c r="L281" s="256">
        <f>SUMIFS(BV_Data_An_Cour!$O:$O,BV_Data_An_Cour!$U:$U,$B281,BV_Data_An_Cour!$V:$V,$C281,BV_Data_An_Cour!$W:$W,$L$2)</f>
        <v>253.32</v>
      </c>
      <c r="M281" s="253"/>
      <c r="N281" s="276">
        <f t="shared" si="50"/>
        <v>26.337932175677139</v>
      </c>
      <c r="O281" s="253"/>
      <c r="P281" s="41"/>
      <c r="Q281" s="276">
        <f t="array" ref="Q281">+INDEX('Réel 2024'!$A$2:$AO$501,MATCH($A281,'Réel 2024'!$A$2:$A$501,0),MATCH(Q$2,'Réel 2024'!$A$2:$AO$2,0))</f>
        <v>263.92</v>
      </c>
      <c r="R281" s="253"/>
      <c r="S281" s="276">
        <f t="shared" si="51"/>
        <v>-10.600000000000023</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509</v>
      </c>
      <c r="B282" s="41" t="s">
        <v>176</v>
      </c>
      <c r="C282" s="312" t="s">
        <v>59</v>
      </c>
      <c r="D282" s="297"/>
      <c r="E282" s="41"/>
      <c r="F282" s="254">
        <f>+INDEX('Budget original'!$A$2:$AO$501,MATCH($A282,'Budget original'!$A$2:$A$501,0),MATCH(F$2,'Budget original'!$A$2:$AO$2,0))</f>
        <v>0</v>
      </c>
      <c r="G282" s="298"/>
      <c r="H282" s="41"/>
      <c r="I282" s="254"/>
      <c r="J282" s="253"/>
      <c r="K282" s="41"/>
      <c r="L282" s="256">
        <f>SUMIFS(BV_Data_An_Cour!$O:$O,BV_Data_An_Cour!$U:$U,$B282,BV_Data_An_Cour!$V:$V,$C282,BV_Data_An_Cour!$W:$W,$L$2)</f>
        <v>0</v>
      </c>
      <c r="M282" s="253"/>
      <c r="N282" s="276">
        <f t="shared" si="50"/>
        <v>0</v>
      </c>
      <c r="O282" s="253"/>
      <c r="P282" s="41"/>
      <c r="Q282" s="256">
        <f t="array" ref="Q282">+INDEX('Réel 2024'!$A$2:$AO$501,MATCH($A282,'Réel 2024'!$A$2:$A$501,0),MATCH(Q$2,'Réel 2024'!$A$2:$AO$2,0))</f>
        <v>0</v>
      </c>
      <c r="R282" s="253"/>
      <c r="S282" s="276">
        <f t="shared" si="51"/>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509</v>
      </c>
      <c r="B283" s="41" t="s">
        <v>176</v>
      </c>
      <c r="C283" s="312" t="s">
        <v>59</v>
      </c>
      <c r="D283" s="297"/>
      <c r="E283" s="41"/>
      <c r="F283" s="254">
        <f>+INDEX('Budget original'!$A$2:$AO$501,MATCH($A283,'Budget original'!$A$2:$A$501,0),MATCH(F$2,'Budget original'!$A$2:$AO$2,0))</f>
        <v>0</v>
      </c>
      <c r="G283" s="298"/>
      <c r="H283" s="41"/>
      <c r="I283" s="254"/>
      <c r="J283" s="253"/>
      <c r="K283" s="41"/>
      <c r="L283" s="256">
        <f>SUMIFS(BV_Data_An_Cour!$O:$O,BV_Data_An_Cour!$U:$U,$B283,BV_Data_An_Cour!$V:$V,$C283,BV_Data_An_Cour!$W:$W,$L$2)</f>
        <v>0</v>
      </c>
      <c r="M283" s="253"/>
      <c r="N283" s="276">
        <f t="shared" si="50"/>
        <v>0</v>
      </c>
      <c r="O283" s="253"/>
      <c r="P283" s="41"/>
      <c r="Q283" s="256">
        <f t="array" ref="Q283">+INDEX('Réel 2024'!$A$2:$AO$501,MATCH($A283,'Réel 2024'!$A$2:$A$501,0),MATCH(Q$2,'Réel 2024'!$A$2:$AO$2,0))</f>
        <v>0</v>
      </c>
      <c r="R283" s="253"/>
      <c r="S283" s="276">
        <f t="shared" si="51"/>
        <v>0</v>
      </c>
      <c r="T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
        <v>509</v>
      </c>
      <c r="B284" s="41" t="s">
        <v>176</v>
      </c>
      <c r="C284" s="312" t="s">
        <v>59</v>
      </c>
      <c r="D284" s="297"/>
      <c r="E284" s="41"/>
      <c r="F284" s="254">
        <f>+INDEX('Budget original'!$A$2:$AO$501,MATCH($A284,'Budget original'!$A$2:$A$501,0),MATCH(F$2,'Budget original'!$A$2:$AO$2,0))</f>
        <v>0</v>
      </c>
      <c r="G284" s="298"/>
      <c r="H284" s="41"/>
      <c r="I284" s="254"/>
      <c r="J284" s="253"/>
      <c r="K284" s="41"/>
      <c r="L284" s="256">
        <f>SUMIFS(BV_Data_An_Cour!$O:$O,BV_Data_An_Cour!$U:$U,$B284,BV_Data_An_Cour!$V:$V,$C284,BV_Data_An_Cour!$W:$W,$L$2)</f>
        <v>0</v>
      </c>
      <c r="M284" s="253"/>
      <c r="N284" s="276">
        <f t="shared" si="50"/>
        <v>0</v>
      </c>
      <c r="O284" s="253"/>
      <c r="P284" s="41"/>
      <c r="Q284" s="256">
        <f t="array" ref="Q284">+INDEX('Réel 2024'!$A$2:$AO$501,MATCH($A284,'Réel 2024'!$A$2:$A$501,0),MATCH(Q$2,'Réel 2024'!$A$2:$AO$2,0))</f>
        <v>0</v>
      </c>
      <c r="R284" s="253"/>
      <c r="S284" s="276">
        <f t="shared" si="51"/>
        <v>0</v>
      </c>
      <c r="T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t="e">
        <f>F285/F$244</f>
        <v>#DIV/0!</v>
      </c>
      <c r="F285" s="307">
        <f>+SUM(F267:F284)</f>
        <v>3866.8954585752231</v>
      </c>
      <c r="G285" s="308"/>
      <c r="H285" s="306"/>
      <c r="I285" s="307"/>
      <c r="J285" s="308" t="s">
        <v>119</v>
      </c>
      <c r="K285" s="306">
        <f>L285/L$250</f>
        <v>1.8775893424807419</v>
      </c>
      <c r="L285" s="307">
        <f>+SUM(L267:L284)</f>
        <v>3809.61</v>
      </c>
      <c r="M285" s="311"/>
      <c r="N285" s="307">
        <f>+SUM(N267:N284)</f>
        <v>-57.285458575223117</v>
      </c>
      <c r="O285" s="308" t="s">
        <v>119</v>
      </c>
      <c r="P285" s="306">
        <f>IF(Q$244=0,0,Q285/Q$244)</f>
        <v>0</v>
      </c>
      <c r="Q285" s="307">
        <f>+SUM(Q267:Q284)</f>
        <v>3664.11</v>
      </c>
      <c r="R285" s="311"/>
      <c r="S285" s="307">
        <f t="shared" si="51"/>
        <v>145.5</v>
      </c>
      <c r="T285" s="1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t="e">
        <f>F287/F$244</f>
        <v>#DIV/0!</v>
      </c>
      <c r="F287" s="307">
        <f>F266+F285</f>
        <v>12554.769029344452</v>
      </c>
      <c r="G287" s="308"/>
      <c r="H287" s="306"/>
      <c r="I287" s="307"/>
      <c r="J287" s="308" t="s">
        <v>119</v>
      </c>
      <c r="K287" s="306">
        <f>L287/L$250</f>
        <v>6.0782408981808693</v>
      </c>
      <c r="L287" s="307">
        <f>L266+L285</f>
        <v>12332.69</v>
      </c>
      <c r="M287" s="311"/>
      <c r="N287" s="320">
        <f>L287-F287</f>
        <v>-222.07902934445156</v>
      </c>
      <c r="O287" s="308" t="s">
        <v>119</v>
      </c>
      <c r="P287" s="306">
        <f>IF(Q$244=0,0,Q287/Q$244)</f>
        <v>0</v>
      </c>
      <c r="Q287" s="307">
        <f>Q266+Q285</f>
        <v>7267.37</v>
      </c>
      <c r="R287" s="311"/>
      <c r="S287" s="320">
        <f>L287-Q287</f>
        <v>5065.3200000000006</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29.25" customHeight="1">
      <c r="B289" s="41"/>
      <c r="C289" s="332" t="s">
        <v>151</v>
      </c>
      <c r="D289" s="360"/>
      <c r="E289" s="333"/>
      <c r="F289" s="335">
        <f>F250-F287</f>
        <v>645.23097065554794</v>
      </c>
      <c r="G289" s="361"/>
      <c r="H289" s="333"/>
      <c r="I289" s="335"/>
      <c r="J289" s="332"/>
      <c r="K289" s="334"/>
      <c r="L289" s="335">
        <f>L250-L287</f>
        <v>-10303.700000000001</v>
      </c>
      <c r="M289" s="332"/>
      <c r="N289" s="335">
        <f>L289-F289</f>
        <v>-10948.930970655549</v>
      </c>
      <c r="O289" s="332"/>
      <c r="P289" s="1147">
        <f>+Q289/P250</f>
        <v>-2.0361910527186402</v>
      </c>
      <c r="Q289" s="335">
        <f>Q250-Q287</f>
        <v>-5785.45</v>
      </c>
      <c r="R289" s="332"/>
      <c r="S289" s="335">
        <f>L289-Q289</f>
        <v>-4518.2500000000009</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39" t="str">
        <f>C1</f>
        <v>Volks</v>
      </c>
      <c r="D291" s="232"/>
      <c r="E291" s="232"/>
      <c r="F291" s="232"/>
      <c r="G291" s="232"/>
      <c r="H291" s="36"/>
      <c r="I291" s="36"/>
      <c r="J291" s="36"/>
      <c r="K291" s="9" t="s">
        <v>180</v>
      </c>
      <c r="L291" s="232"/>
      <c r="M291" s="232"/>
      <c r="N291" s="36"/>
      <c r="O291" s="36"/>
      <c r="P291" s="232"/>
      <c r="Q291" s="36"/>
      <c r="R291" s="232"/>
      <c r="S291" s="10" t="str">
        <f>$S$1</f>
        <v>Réalisé, Mai 2025</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18" t="s">
        <v>343</v>
      </c>
      <c r="E293" s="1219"/>
      <c r="F293" s="1220"/>
      <c r="G293" s="1223"/>
      <c r="H293" s="1219"/>
      <c r="I293" s="1220"/>
      <c r="J293" s="1223" t="s">
        <v>344</v>
      </c>
      <c r="K293" s="1219"/>
      <c r="L293" s="1220"/>
      <c r="M293" s="1223" t="s">
        <v>3310</v>
      </c>
      <c r="N293" s="1220"/>
      <c r="O293" s="1218" t="s">
        <v>345</v>
      </c>
      <c r="P293" s="1219"/>
      <c r="Q293" s="1220"/>
      <c r="R293" s="1221" t="s">
        <v>3312</v>
      </c>
      <c r="S293" s="1222"/>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
        <v>180</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531</v>
      </c>
      <c r="B295" s="41" t="s">
        <v>180</v>
      </c>
      <c r="C295" s="253" t="s">
        <v>182</v>
      </c>
      <c r="D295" s="291">
        <f>+INDEX('Budget original'!$A$2:$AO$501,MATCH($A295,'Budget original'!$A$2:$A$501,0),MATCH(D$2,'Budget original'!$A$2:$AO$2,0))</f>
        <v>123965.82498399999</v>
      </c>
      <c r="E295" s="353">
        <f>IF(D295=0,0,F295/D295)</f>
        <v>0.35699999999999998</v>
      </c>
      <c r="F295" s="276">
        <f>+INDEX('Budget original'!$A$2:$AO$501,MATCH($A295,'Budget original'!$A$2:$A$501,0),MATCH(F$2,'Budget original'!$A$2:$AO$2,0))</f>
        <v>44255.799519287997</v>
      </c>
      <c r="G295" s="291"/>
      <c r="H295" s="353"/>
      <c r="I295" s="276"/>
      <c r="J295" s="254">
        <f>-SUMIFS(BV_Data_An_Cour!$O:$O,BV_Data_An_Cour!$X:$X,"Oui",BV_Data_An_Cour!$U:$U,$B295,BV_Data_An_Cour!$V:$V,$C295)</f>
        <v>118021.43</v>
      </c>
      <c r="K295" s="353">
        <f t="shared" ref="K295:K304" si="52">IF(J295&lt;=0,0,L295/J295)</f>
        <v>0.31805825433567442</v>
      </c>
      <c r="L295" s="276">
        <f>-SUMIFS(BV_Data_An_Cour!$O:$O,BV_Data_An_Cour!$U:$U,$B295,BV_Data_An_Cour!$V:$V,$C295,BV_Data_An_Cour!$W:$W,$L$2)</f>
        <v>37537.689999999995</v>
      </c>
      <c r="M295" s="292">
        <f t="shared" ref="M295:M301" si="53">(+J295-D295)/D295</f>
        <v>-4.7951885003526006E-2</v>
      </c>
      <c r="N295" s="276">
        <f t="shared" ref="N295:N304" si="54">L295-F295</f>
        <v>-6718.109519288002</v>
      </c>
      <c r="O295" s="254">
        <f t="array" ref="O295">+INDEX('Réel 2024'!$A$2:$AO$501,MATCH($A295,'Réel 2024'!$A$2:$A$501,0),MATCH(O$2,'Réel 2024'!$A$2:$AO$2,0))</f>
        <v>109437.56</v>
      </c>
      <c r="P295" s="353">
        <f t="shared" ref="P295:P303" si="55">IF(O295=0,0,Q295/O295)</f>
        <v>0.37261000702135444</v>
      </c>
      <c r="Q295" s="276">
        <f t="array" ref="Q295">+INDEX('Réel 2024'!$A$2:$AO$501,MATCH($A295,'Réel 2024'!$A$2:$A$501,0),MATCH(Q$2,'Réel 2024'!$A$2:$AO$2,0))</f>
        <v>40777.529999999897</v>
      </c>
      <c r="R295" s="292">
        <f t="shared" ref="R295:R304" si="56">IF(O295=0,0,(J295-O295)/O295)</f>
        <v>7.843623341017468E-2</v>
      </c>
      <c r="S295" s="276">
        <f t="shared" ref="S295:S304" si="57">L295-Q295</f>
        <v>-3239.8399999999019</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532</v>
      </c>
      <c r="B296" s="41" t="s">
        <v>180</v>
      </c>
      <c r="C296" s="253" t="s">
        <v>183</v>
      </c>
      <c r="D296" s="291">
        <f>+INDEX('Budget original'!$A$2:$AO$501,MATCH($A296,'Budget original'!$A$2:$A$501,0),MATCH(D$2,'Budget original'!$A$2:$AO$2,0))</f>
        <v>36000</v>
      </c>
      <c r="E296" s="353">
        <f t="shared" ref="E296:E303" si="58">IF(D296=0,0,F296/D296)</f>
        <v>0.248</v>
      </c>
      <c r="F296" s="276">
        <f>+INDEX('Budget original'!$A$2:$AO$501,MATCH($A296,'Budget original'!$A$2:$A$501,0),MATCH(F$2,'Budget original'!$A$2:$AO$2,0))</f>
        <v>8928</v>
      </c>
      <c r="G296" s="291"/>
      <c r="H296" s="353"/>
      <c r="I296" s="276"/>
      <c r="J296" s="254">
        <f>-SUMIFS(BV_Data_An_Cour!$O:$O,BV_Data_An_Cour!$X:$X,"Oui",BV_Data_An_Cour!$U:$U,$B296,BV_Data_An_Cour!$V:$V,$C296)</f>
        <v>1379.61</v>
      </c>
      <c r="K296" s="353">
        <f t="shared" si="52"/>
        <v>0.2307898609027188</v>
      </c>
      <c r="L296" s="276">
        <f>-SUMIFS(BV_Data_An_Cour!$O:$O,BV_Data_An_Cour!$U:$U,$B296,BV_Data_An_Cour!$V:$V,$C296,BV_Data_An_Cour!$W:$W,$L$2)</f>
        <v>318.39999999999986</v>
      </c>
      <c r="M296" s="292">
        <f t="shared" si="53"/>
        <v>-0.96167749999999996</v>
      </c>
      <c r="N296" s="276">
        <f t="shared" si="54"/>
        <v>-8609.6</v>
      </c>
      <c r="O296" s="254">
        <f t="array" ref="O296">+INDEX('Réel 2024'!$A$2:$AO$501,MATCH($A296,'Réel 2024'!$A$2:$A$501,0),MATCH(O$2,'Réel 2024'!$A$2:$AO$2,0))</f>
        <v>254.91</v>
      </c>
      <c r="P296" s="353">
        <f t="shared" si="55"/>
        <v>0.23086579577105606</v>
      </c>
      <c r="Q296" s="276">
        <f t="array" ref="Q296">+INDEX('Réel 2024'!$A$2:$AO$501,MATCH($A296,'Réel 2024'!$A$2:$A$501,0),MATCH(Q$2,'Réel 2024'!$A$2:$AO$2,0))</f>
        <v>58.849999999999902</v>
      </c>
      <c r="R296" s="292">
        <f t="shared" si="56"/>
        <v>4.4121454631046246</v>
      </c>
      <c r="S296" s="276">
        <f t="shared" si="57"/>
        <v>259.54999999999995</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533</v>
      </c>
      <c r="B297" s="41" t="s">
        <v>180</v>
      </c>
      <c r="C297" s="253" t="s">
        <v>184</v>
      </c>
      <c r="D297" s="291">
        <f>+INDEX('Budget original'!$A$2:$AO$501,MATCH($A297,'Budget original'!$A$2:$A$501,0),MATCH(D$2,'Budget original'!$A$2:$AO$2,0))</f>
        <v>50240.924999999996</v>
      </c>
      <c r="E297" s="353">
        <f t="shared" si="58"/>
        <v>0.23699999999999999</v>
      </c>
      <c r="F297" s="276">
        <f>+INDEX('Budget original'!$A$2:$AO$501,MATCH($A297,'Budget original'!$A$2:$A$501,0),MATCH(F$2,'Budget original'!$A$2:$AO$2,0))</f>
        <v>11907.099224999998</v>
      </c>
      <c r="G297" s="291"/>
      <c r="H297" s="353"/>
      <c r="I297" s="276"/>
      <c r="J297" s="254">
        <f>-SUMIFS(BV_Data_An_Cour!$O:$O,BV_Data_An_Cour!$X:$X,"Oui",BV_Data_An_Cour!$U:$U,$B297,BV_Data_An_Cour!$V:$V,$C297)</f>
        <v>85718.31</v>
      </c>
      <c r="K297" s="353">
        <f t="shared" si="52"/>
        <v>0.2366525891609389</v>
      </c>
      <c r="L297" s="276">
        <f>-SUMIFS(BV_Data_An_Cour!$O:$O,BV_Data_An_Cour!$U:$U,$B297,BV_Data_An_Cour!$V:$V,$C297,BV_Data_An_Cour!$W:$W,$L$2)</f>
        <v>20285.46</v>
      </c>
      <c r="M297" s="292">
        <f t="shared" si="53"/>
        <v>0.70614513964462244</v>
      </c>
      <c r="N297" s="276">
        <f t="shared" si="54"/>
        <v>8378.360775000001</v>
      </c>
      <c r="O297" s="254">
        <f t="array" ref="O297">+INDEX('Réel 2024'!$A$2:$AO$501,MATCH($A297,'Réel 2024'!$A$2:$A$501,0),MATCH(O$2,'Réel 2024'!$A$2:$AO$2,0))</f>
        <v>42120.959999999999</v>
      </c>
      <c r="P297" s="353">
        <f t="shared" si="55"/>
        <v>0.23626123431184853</v>
      </c>
      <c r="Q297" s="276">
        <f t="array" ref="Q297">+INDEX('Réel 2024'!$A$2:$AO$501,MATCH($A297,'Réel 2024'!$A$2:$A$501,0),MATCH(Q$2,'Réel 2024'!$A$2:$AO$2,0))</f>
        <v>9951.5499999999993</v>
      </c>
      <c r="R297" s="292">
        <f t="shared" si="56"/>
        <v>1.0350511954143495</v>
      </c>
      <c r="S297" s="276">
        <f t="shared" si="57"/>
        <v>10333.91</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534</v>
      </c>
      <c r="B298" s="41" t="s">
        <v>180</v>
      </c>
      <c r="C298" s="253" t="s">
        <v>185</v>
      </c>
      <c r="D298" s="291">
        <f>+INDEX('Budget original'!$A$2:$AO$501,MATCH($A298,'Budget original'!$A$2:$A$501,0),MATCH(D$2,'Budget original'!$A$2:$AO$2,0))</f>
        <v>55909.877099999991</v>
      </c>
      <c r="E298" s="353">
        <f t="shared" si="58"/>
        <v>0.29399999999999998</v>
      </c>
      <c r="F298" s="276">
        <f>+INDEX('Budget original'!$A$2:$AO$501,MATCH($A298,'Budget original'!$A$2:$A$501,0),MATCH(F$2,'Budget original'!$A$2:$AO$2,0))</f>
        <v>16437.503867399995</v>
      </c>
      <c r="G298" s="291"/>
      <c r="H298" s="353"/>
      <c r="I298" s="276"/>
      <c r="J298" s="254">
        <f>-SUMIFS(BV_Data_An_Cour!$O:$O,BV_Data_An_Cour!$X:$X,"Oui",BV_Data_An_Cour!$U:$U,$B298,BV_Data_An_Cour!$V:$V,$C298)</f>
        <v>56839.72</v>
      </c>
      <c r="K298" s="353">
        <f t="shared" si="52"/>
        <v>0.28767435870549679</v>
      </c>
      <c r="L298" s="276">
        <f>-SUMIFS(BV_Data_An_Cour!$O:$O,BV_Data_An_Cour!$U:$U,$B298,BV_Data_An_Cour!$V:$V,$C298,BV_Data_An_Cour!$W:$W,$L$2)</f>
        <v>16351.330000000002</v>
      </c>
      <c r="M298" s="292">
        <f t="shared" si="53"/>
        <v>1.6631102557011536E-2</v>
      </c>
      <c r="N298" s="276">
        <f t="shared" si="54"/>
        <v>-86.173867399993469</v>
      </c>
      <c r="O298" s="254">
        <f t="array" ref="O298">+INDEX('Réel 2024'!$A$2:$AO$501,MATCH($A298,'Réel 2024'!$A$2:$A$501,0),MATCH(O$2,'Réel 2024'!$A$2:$AO$2,0))</f>
        <v>59301.120000000003</v>
      </c>
      <c r="P298" s="353">
        <f t="shared" si="55"/>
        <v>0.29746706301668502</v>
      </c>
      <c r="Q298" s="276">
        <f t="array" ref="Q298">+INDEX('Réel 2024'!$A$2:$AO$501,MATCH($A298,'Réel 2024'!$A$2:$A$501,0),MATCH(Q$2,'Réel 2024'!$A$2:$AO$2,0))</f>
        <v>17640.13</v>
      </c>
      <c r="R298" s="292">
        <f t="shared" si="56"/>
        <v>-4.1506804593235358E-2</v>
      </c>
      <c r="S298" s="276">
        <f t="shared" si="57"/>
        <v>-1288.7999999999993</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535</v>
      </c>
      <c r="B299" s="41" t="s">
        <v>180</v>
      </c>
      <c r="C299" s="253" t="s">
        <v>186</v>
      </c>
      <c r="D299" s="291">
        <f>+INDEX('Budget original'!$A$2:$AO$501,MATCH($A299,'Budget original'!$A$2:$A$501,0),MATCH(D$2,'Budget original'!$A$2:$AO$2,0))</f>
        <v>22507.302</v>
      </c>
      <c r="E299" s="353">
        <f t="shared" si="58"/>
        <v>0.27700000000000002</v>
      </c>
      <c r="F299" s="276">
        <f>+INDEX('Budget original'!$A$2:$AO$501,MATCH($A299,'Budget original'!$A$2:$A$501,0),MATCH(F$2,'Budget original'!$A$2:$AO$2,0))</f>
        <v>6234.5226540000003</v>
      </c>
      <c r="G299" s="291"/>
      <c r="H299" s="353"/>
      <c r="I299" s="276"/>
      <c r="J299" s="254">
        <f>-SUMIFS(BV_Data_An_Cour!$O:$O,BV_Data_An_Cour!$X:$X,"Oui",BV_Data_An_Cour!$U:$U,$B299,BV_Data_An_Cour!$V:$V,$C299)</f>
        <v>22502.2</v>
      </c>
      <c r="K299" s="353">
        <f t="shared" si="52"/>
        <v>0.24628525210868266</v>
      </c>
      <c r="L299" s="276">
        <f>-SUMIFS(BV_Data_An_Cour!$O:$O,BV_Data_An_Cour!$U:$U,$B299,BV_Data_An_Cour!$V:$V,$C299,BV_Data_An_Cour!$W:$W,$L$2)</f>
        <v>5541.9599999999991</v>
      </c>
      <c r="M299" s="292">
        <f t="shared" si="53"/>
        <v>-2.2668198969378703E-4</v>
      </c>
      <c r="N299" s="276">
        <f t="shared" si="54"/>
        <v>-692.5626540000012</v>
      </c>
      <c r="O299" s="254">
        <f t="array" ref="O299">+INDEX('Réel 2024'!$A$2:$AO$501,MATCH($A299,'Réel 2024'!$A$2:$A$501,0),MATCH(O$2,'Réel 2024'!$A$2:$AO$2,0))</f>
        <v>21253.68</v>
      </c>
      <c r="P299" s="353">
        <f t="shared" si="55"/>
        <v>0.22581360028004513</v>
      </c>
      <c r="Q299" s="276">
        <f t="array" ref="Q299">+INDEX('Réel 2024'!$A$2:$AO$501,MATCH($A299,'Réel 2024'!$A$2:$A$501,0),MATCH(Q$2,'Réel 2024'!$A$2:$AO$2,0))</f>
        <v>4799.3699999999899</v>
      </c>
      <c r="R299" s="292">
        <f t="shared" si="56"/>
        <v>5.8743709324691085E-2</v>
      </c>
      <c r="S299" s="276">
        <f t="shared" si="57"/>
        <v>742.59000000000924</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
        <v>536</v>
      </c>
      <c r="B300" s="41" t="s">
        <v>180</v>
      </c>
      <c r="C300" s="253" t="s">
        <v>187</v>
      </c>
      <c r="D300" s="291">
        <f>+INDEX('Budget original'!$A$2:$AO$501,MATCH($A300,'Budget original'!$A$2:$A$501,0),MATCH(D$2,'Budget original'!$A$2:$AO$2,0))</f>
        <v>153843.459</v>
      </c>
      <c r="E300" s="353">
        <f t="shared" si="58"/>
        <v>0.13500000000000001</v>
      </c>
      <c r="F300" s="276">
        <f>+INDEX('Budget original'!$A$2:$AO$501,MATCH($A300,'Budget original'!$A$2:$A$501,0),MATCH(F$2,'Budget original'!$A$2:$AO$2,0))</f>
        <v>20768.866965000001</v>
      </c>
      <c r="G300" s="291"/>
      <c r="H300" s="353"/>
      <c r="I300" s="276"/>
      <c r="J300" s="254">
        <f>-SUMIFS(BV_Data_An_Cour!$O:$O,BV_Data_An_Cour!$X:$X,"Oui",BV_Data_An_Cour!$U:$U,$B300,BV_Data_An_Cour!$V:$V,$C300)</f>
        <v>196342.46</v>
      </c>
      <c r="K300" s="353">
        <f t="shared" si="52"/>
        <v>0.13329399051025437</v>
      </c>
      <c r="L300" s="276">
        <f>-SUMIFS(BV_Data_An_Cour!$O:$O,BV_Data_An_Cour!$U:$U,$B300,BV_Data_An_Cour!$V:$V,$C300,BV_Data_An_Cour!$W:$W,$L$2)</f>
        <v>26171.269999999997</v>
      </c>
      <c r="M300" s="292">
        <f t="shared" si="53"/>
        <v>0.27624834540414217</v>
      </c>
      <c r="N300" s="276">
        <f t="shared" si="54"/>
        <v>5402.4030349999957</v>
      </c>
      <c r="O300" s="254">
        <f t="array" ref="O300">+INDEX('Réel 2024'!$A$2:$AO$501,MATCH($A300,'Réel 2024'!$A$2:$A$501,0),MATCH(O$2,'Réel 2024'!$A$2:$AO$2,0))</f>
        <v>144594.10999999999</v>
      </c>
      <c r="P300" s="353">
        <f t="shared" si="55"/>
        <v>0.16606506309281827</v>
      </c>
      <c r="Q300" s="276">
        <f t="array" ref="Q300">+INDEX('Réel 2024'!$A$2:$AO$501,MATCH($A300,'Réel 2024'!$A$2:$A$501,0),MATCH(Q$2,'Réel 2024'!$A$2:$AO$2,0))</f>
        <v>24012.029999999901</v>
      </c>
      <c r="R300" s="292">
        <f t="shared" si="56"/>
        <v>0.35788698446983774</v>
      </c>
      <c r="S300" s="276">
        <f t="shared" si="57"/>
        <v>2159.2400000000962</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
        <v>537</v>
      </c>
      <c r="B301" s="41" t="s">
        <v>180</v>
      </c>
      <c r="C301" s="253" t="s">
        <v>59</v>
      </c>
      <c r="D301" s="291">
        <f>+INDEX('Budget original'!$A$2:$AO$501,MATCH($A301,'Budget original'!$A$2:$A$501,0),MATCH(D$2,'Budget original'!$A$2:$AO$2,0))</f>
        <v>0</v>
      </c>
      <c r="E301" s="353">
        <f>IF(D301=0,0,F301/D301)</f>
        <v>0</v>
      </c>
      <c r="F301" s="276">
        <f>+INDEX('Budget original'!$A$2:$AO$501,MATCH($A301,'Budget original'!$A$2:$A$501,0),MATCH(F$2,'Budget original'!$A$2:$AO$2,0))</f>
        <v>0</v>
      </c>
      <c r="G301" s="291"/>
      <c r="H301" s="353"/>
      <c r="I301" s="276"/>
      <c r="J301" s="254">
        <f>-SUMIFS(BV_Data_An_Cour!$O:$O,BV_Data_An_Cour!$X:$X,"Oui",BV_Data_An_Cour!$U:$U,$B301,BV_Data_An_Cour!$V:$V,$C301)</f>
        <v>0</v>
      </c>
      <c r="K301" s="353">
        <f t="shared" si="52"/>
        <v>0</v>
      </c>
      <c r="L301" s="276">
        <f>-SUMIFS(BV_Data_An_Cour!$O:$O,BV_Data_An_Cour!$U:$U,$B301,BV_Data_An_Cour!$V:$V,$C301,BV_Data_An_Cour!$W:$W,$L$2)</f>
        <v>0</v>
      </c>
      <c r="M301" s="292" t="e">
        <f t="shared" si="53"/>
        <v>#DIV/0!</v>
      </c>
      <c r="N301" s="276">
        <f t="shared" si="54"/>
        <v>0</v>
      </c>
      <c r="O301" s="254">
        <f t="array" ref="O301">+INDEX('Réel 2024'!$A$2:$AO$501,MATCH($A301,'Réel 2024'!$A$2:$A$501,0),MATCH(O$2,'Réel 2024'!$A$2:$AO$2,0))</f>
        <v>0</v>
      </c>
      <c r="P301" s="353">
        <f t="shared" si="55"/>
        <v>0</v>
      </c>
      <c r="Q301" s="276">
        <f t="array" ref="Q301">+INDEX('Réel 2024'!$A$2:$AO$501,MATCH($A301,'Réel 2024'!$A$2:$A$501,0),MATCH(Q$2,'Réel 2024'!$A$2:$AO$2,0))</f>
        <v>0</v>
      </c>
      <c r="R301" s="292">
        <f t="shared" si="56"/>
        <v>0</v>
      </c>
      <c r="S301" s="276">
        <f t="shared" si="57"/>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
        <v>538</v>
      </c>
      <c r="B302" s="41" t="s">
        <v>180</v>
      </c>
      <c r="C302" s="253" t="s">
        <v>188</v>
      </c>
      <c r="D302" s="291">
        <f>+INDEX('Budget original'!$A$2:$AO$501,MATCH($A302,'Budget original'!$A$2:$A$501,0),MATCH(D$2,'Budget original'!$A$2:$AO$2,0))</f>
        <v>0</v>
      </c>
      <c r="E302" s="353">
        <f t="shared" si="58"/>
        <v>0</v>
      </c>
      <c r="F302" s="276">
        <f>+INDEX('Budget original'!$A$2:$AO$501,MATCH($A302,'Budget original'!$A$2:$A$501,0),MATCH(F$2,'Budget original'!$A$2:$AO$2,0))</f>
        <v>11344.051136382641</v>
      </c>
      <c r="G302" s="291"/>
      <c r="H302" s="353"/>
      <c r="I302" s="276"/>
      <c r="J302" s="254">
        <f>-SUMIFS(BV_Data_An_Cour!$O:$O,BV_Data_An_Cour!$X:$X,"Oui",BV_Data_An_Cour!$U:$U,$B302,BV_Data_An_Cour!$V:$V,$C302)</f>
        <v>0</v>
      </c>
      <c r="K302" s="353">
        <f t="shared" si="52"/>
        <v>0</v>
      </c>
      <c r="L302" s="1259">
        <f>-SUMIFS(BV_Data_An_Cour!$O:$O,BV_Data_An_Cour!$U:$U,$B302,BV_Data_An_Cour!$V:$V,$C302,BV_Data_An_Cour!$W:$W,$L$2)</f>
        <v>3743.16</v>
      </c>
      <c r="M302" s="292"/>
      <c r="N302" s="276">
        <f t="shared" si="54"/>
        <v>-7600.891136382641</v>
      </c>
      <c r="O302" s="254">
        <f t="array" ref="O302">+INDEX('Réel 2024'!$A$2:$AO$501,MATCH($A302,'Réel 2024'!$A$2:$A$501,0),MATCH(O$2,'Réel 2024'!$A$2:$AO$2,0))</f>
        <v>0</v>
      </c>
      <c r="P302" s="353">
        <f t="shared" si="55"/>
        <v>0</v>
      </c>
      <c r="Q302" s="276">
        <f t="array" ref="Q302">+INDEX('Réel 2024'!$A$2:$AO$501,MATCH($A302,'Réel 2024'!$A$2:$A$501,0),MATCH(Q$2,'Réel 2024'!$A$2:$AO$2,0))</f>
        <v>12321.78</v>
      </c>
      <c r="R302" s="292">
        <f t="shared" si="56"/>
        <v>0</v>
      </c>
      <c r="S302" s="276">
        <f t="shared" si="57"/>
        <v>-8578.6200000000008</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539</v>
      </c>
      <c r="B303" s="41" t="s">
        <v>180</v>
      </c>
      <c r="C303" s="246" t="s">
        <v>189</v>
      </c>
      <c r="D303" s="291">
        <f>+INDEX('Budget original'!$A$2:$AO$501,MATCH($A303,'Budget original'!$A$2:$A$501,0),MATCH(D$2,'Budget original'!$A$2:$AO$2,0))</f>
        <v>0</v>
      </c>
      <c r="E303" s="353">
        <f t="shared" si="58"/>
        <v>0</v>
      </c>
      <c r="F303" s="276">
        <f>+INDEX('Budget original'!$A$2:$AO$501,MATCH($A303,'Budget original'!$A$2:$A$501,0),MATCH(F$2,'Budget original'!$A$2:$AO$2,0))</f>
        <v>0</v>
      </c>
      <c r="G303" s="291"/>
      <c r="H303" s="353"/>
      <c r="I303" s="276"/>
      <c r="J303" s="254">
        <f>-SUMIFS(BV_Data_An_Cour!$O:$O,BV_Data_An_Cour!$X:$X,"Oui",BV_Data_An_Cour!$U:$U,$B303,BV_Data_An_Cour!$V:$V,$C303)</f>
        <v>0</v>
      </c>
      <c r="K303" s="353">
        <f t="shared" si="52"/>
        <v>0</v>
      </c>
      <c r="L303" s="276">
        <f>-SUMIFS(BV_Data_An_Cour!$O:$O,BV_Data_An_Cour!$U:$U,$B303,BV_Data_An_Cour!$V:$V,$C303,BV_Data_An_Cour!$W:$W,$L$2)</f>
        <v>0</v>
      </c>
      <c r="M303" s="292"/>
      <c r="N303" s="276">
        <f t="shared" si="54"/>
        <v>0</v>
      </c>
      <c r="O303" s="254">
        <f t="array" ref="O303">+INDEX('Réel 2024'!$A$2:$AO$501,MATCH($A303,'Réel 2024'!$A$2:$A$501,0),MATCH(O$2,'Réel 2024'!$A$2:$AO$2,0))</f>
        <v>0</v>
      </c>
      <c r="P303" s="353">
        <f t="shared" si="55"/>
        <v>0</v>
      </c>
      <c r="Q303" s="276">
        <f t="array" ref="Q303">+INDEX('Réel 2024'!$A$2:$AO$501,MATCH($A303,'Réel 2024'!$A$2:$A$501,0),MATCH(Q$2,'Réel 2024'!$A$2:$AO$2,0))</f>
        <v>0</v>
      </c>
      <c r="R303" s="292">
        <f t="shared" si="56"/>
        <v>0</v>
      </c>
      <c r="S303" s="276">
        <f t="shared" si="57"/>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540</v>
      </c>
      <c r="B304" s="41" t="s">
        <v>180</v>
      </c>
      <c r="C304" s="270" t="s">
        <v>190</v>
      </c>
      <c r="D304" s="390">
        <f>SUM(D295:D303)</f>
        <v>442467.38808399998</v>
      </c>
      <c r="E304" s="407">
        <f>IF(D304&lt;=0,0,F304/D304)</f>
        <v>0.27092582774555318</v>
      </c>
      <c r="F304" s="392">
        <f>SUM(F295:F303)</f>
        <v>119875.84336707061</v>
      </c>
      <c r="G304" s="390"/>
      <c r="H304" s="407"/>
      <c r="I304" s="392"/>
      <c r="J304" s="390">
        <f t="shared" ref="J304" si="59">SUM(J295:J303)</f>
        <v>480803.73</v>
      </c>
      <c r="K304" s="407">
        <f t="shared" si="52"/>
        <v>0.2286780720274362</v>
      </c>
      <c r="L304" s="392">
        <f>SUM(L295:L303)</f>
        <v>109949.26999999999</v>
      </c>
      <c r="M304" s="408">
        <f>(+J304-D304)/D304</f>
        <v>8.6642186403853252E-2</v>
      </c>
      <c r="N304" s="392">
        <f t="shared" si="54"/>
        <v>-9926.573367070625</v>
      </c>
      <c r="O304" s="390">
        <f>SUM(O295:O303)</f>
        <v>376962.33999999997</v>
      </c>
      <c r="P304" s="407">
        <f>IF(O304&lt;=0,0,Q304/O304)</f>
        <v>0.2906424021030849</v>
      </c>
      <c r="Q304" s="392">
        <f t="shared" ref="Q304" si="60">SUM(Q295:Q303)</f>
        <v>109561.23999999979</v>
      </c>
      <c r="R304" s="408">
        <f t="shared" si="56"/>
        <v>0.27546887044472407</v>
      </c>
      <c r="S304" s="392">
        <f t="shared" si="57"/>
        <v>388.03000000020256</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180</v>
      </c>
      <c r="B305" s="41" t="s">
        <v>180</v>
      </c>
      <c r="C305" s="253"/>
      <c r="D305" s="41"/>
      <c r="E305" s="41"/>
      <c r="F305" s="263"/>
      <c r="G305" s="253"/>
      <c r="H305" s="41"/>
      <c r="I305" s="263"/>
      <c r="J305" s="253"/>
      <c r="K305" s="41"/>
      <c r="L305" s="263"/>
      <c r="M305" s="253"/>
      <c r="N305" s="265">
        <f>N304/F304</f>
        <v>-8.2807120169111667E-2</v>
      </c>
      <c r="O305" s="253"/>
      <c r="P305" s="41"/>
      <c r="Q305" s="263"/>
      <c r="R305" s="253"/>
      <c r="S305" s="265">
        <f>IF(Q304=0,0,S304/Q304)</f>
        <v>3.5416722191187622E-3</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180</v>
      </c>
      <c r="B306" s="41" t="s">
        <v>180</v>
      </c>
      <c r="C306" s="246"/>
      <c r="D306" s="318"/>
      <c r="E306" s="318"/>
      <c r="F306" s="409"/>
      <c r="G306" s="246"/>
      <c r="H306" s="318"/>
      <c r="I306" s="409"/>
      <c r="J306" s="246"/>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541</v>
      </c>
      <c r="B307" s="41" t="s">
        <v>180</v>
      </c>
      <c r="C307" s="253" t="s">
        <v>191</v>
      </c>
      <c r="D307" s="291">
        <f>+INDEX('Budget original'!$A$2:$AO$501,MATCH($A307,'Budget original'!$A$2:$A$501,0),MATCH(D$2,'Budget original'!$A$2:$AO$2,0))</f>
        <v>28768.550000000003</v>
      </c>
      <c r="E307" s="353">
        <f>IF(D307=0,0,F307/D307)</f>
        <v>0.17100000000000001</v>
      </c>
      <c r="F307" s="317">
        <f>+INDEX('Budget original'!$A$2:$AO$501,MATCH($A307,'Budget original'!$A$2:$A$501,0),MATCH(F$2,'Budget original'!$A$2:$AO$2,0))</f>
        <v>4919.422050000001</v>
      </c>
      <c r="G307" s="291"/>
      <c r="H307" s="353"/>
      <c r="I307" s="317"/>
      <c r="J307" s="254">
        <f>-SUMIFS(BV_Data_An_Cour!$O:$O,BV_Data_An_Cour!$X:$X,"Oui",BV_Data_An_Cour!$U:$U,$B307,BV_Data_An_Cour!$V:$V,$C307)</f>
        <v>41058.479999999996</v>
      </c>
      <c r="K307" s="353">
        <f t="shared" ref="K307:K309" si="61">IF(J307&lt;=0,0,L307/J307)</f>
        <v>0.16683398898351812</v>
      </c>
      <c r="L307" s="317">
        <f>-SUMIFS(BV_Data_An_Cour!$O:$O,BV_Data_An_Cour!$U:$U,$B307,BV_Data_An_Cour!$V:$V,$C307,BV_Data_An_Cour!$W:$W,$L$2)</f>
        <v>6849.949999999998</v>
      </c>
      <c r="M307" s="292">
        <f>(+J307-D307)/D307</f>
        <v>0.42720018909538338</v>
      </c>
      <c r="N307" s="276">
        <f>L307-F307</f>
        <v>1930.527949999997</v>
      </c>
      <c r="O307" s="254">
        <f t="array" ref="O307">+INDEX('Réel 2024'!$A$2:$AO$501,MATCH($A307,'Réel 2024'!$A$2:$A$501,0),MATCH(O$2,'Réel 2024'!$A$2:$AO$2,0))</f>
        <v>39158.370000000003</v>
      </c>
      <c r="P307" s="353">
        <f t="shared" ref="P307:P308" si="62">IF(O307=0,0,Q307/O307)</f>
        <v>0.16776592079803115</v>
      </c>
      <c r="Q307" s="317">
        <f t="array" ref="Q307">+INDEX('Réel 2024'!$A$2:$AO$501,MATCH($A307,'Réel 2024'!$A$2:$A$501,0),MATCH(Q$2,'Réel 2024'!$A$2:$AO$2,0))</f>
        <v>6569.44</v>
      </c>
      <c r="R307" s="292">
        <f t="shared" ref="R307:R309" si="63">IF(O307=0,0,(J307-O307)/O307)</f>
        <v>4.8523725578975663E-2</v>
      </c>
      <c r="S307" s="276">
        <f t="shared" ref="S307:S309" si="64">L307-Q307</f>
        <v>280.5099999999984</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542</v>
      </c>
      <c r="B308" s="41" t="s">
        <v>180</v>
      </c>
      <c r="C308" s="246" t="s">
        <v>192</v>
      </c>
      <c r="D308" s="291">
        <f>+INDEX('Budget original'!$A$2:$AO$501,MATCH($A308,'Budget original'!$A$2:$A$501,0),MATCH(D$2,'Budget original'!$A$2:$AO$2,0))</f>
        <v>24789.98267957495</v>
      </c>
      <c r="E308" s="353">
        <f>IF(D308=0,0,F308/D308)</f>
        <v>0.25600000000000001</v>
      </c>
      <c r="F308" s="296">
        <f>+INDEX('Budget original'!$A$2:$AO$501,MATCH($A308,'Budget original'!$A$2:$A$501,0),MATCH(F$2,'Budget original'!$A$2:$AO$2,0))</f>
        <v>6346.2355659711875</v>
      </c>
      <c r="G308" s="291"/>
      <c r="H308" s="353"/>
      <c r="I308" s="296"/>
      <c r="J308" s="254">
        <f>-SUMIFS(BV_Data_An_Cour!$O:$O,BV_Data_An_Cour!$X:$X,"Oui",BV_Data_An_Cour!$U:$U,$B308,BV_Data_An_Cour!$V:$V,$C308)</f>
        <v>30042.26</v>
      </c>
      <c r="K308" s="353">
        <f t="shared" si="61"/>
        <v>0.26962452225631489</v>
      </c>
      <c r="L308" s="296">
        <f>-SUMIFS(BV_Data_An_Cour!$O:$O,BV_Data_An_Cour!$U:$U,$B308,BV_Data_An_Cour!$V:$V,$C308,BV_Data_An_Cour!$W:$W,$L$2)</f>
        <v>8100.1299999999974</v>
      </c>
      <c r="M308" s="292">
        <f>(+J308-D308)/D308</f>
        <v>0.21187095563211195</v>
      </c>
      <c r="N308" s="276">
        <f>L308-F308</f>
        <v>1753.8944340288099</v>
      </c>
      <c r="O308" s="254">
        <f t="array" ref="O308">+INDEX('Réel 2024'!$A$2:$AO$501,MATCH($A308,'Réel 2024'!$A$2:$A$501,0),MATCH(O$2,'Réel 2024'!$A$2:$AO$2,0))</f>
        <v>28957.45</v>
      </c>
      <c r="P308" s="353">
        <f t="shared" si="62"/>
        <v>0.2606904268158971</v>
      </c>
      <c r="Q308" s="296">
        <f t="array" ref="Q308">+INDEX('Réel 2024'!$A$2:$AO$501,MATCH($A308,'Réel 2024'!$A$2:$A$501,0),MATCH(Q$2,'Réel 2024'!$A$2:$AO$2,0))</f>
        <v>7548.93</v>
      </c>
      <c r="R308" s="292">
        <f t="shared" si="63"/>
        <v>3.7462207480285649E-2</v>
      </c>
      <c r="S308" s="276">
        <f t="shared" si="64"/>
        <v>551.19999999999709</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543</v>
      </c>
      <c r="B309" s="41" t="s">
        <v>180</v>
      </c>
      <c r="C309" s="270" t="s">
        <v>193</v>
      </c>
      <c r="D309" s="390">
        <f>D304+D307+D308</f>
        <v>496025.92076357489</v>
      </c>
      <c r="E309" s="407">
        <f>IF(D309&lt;=0,0,F309/D309)</f>
        <v>0.26438437084329086</v>
      </c>
      <c r="F309" s="392">
        <f>F304+F307+F308</f>
        <v>131141.5009830418</v>
      </c>
      <c r="G309" s="393"/>
      <c r="H309" s="407"/>
      <c r="I309" s="392"/>
      <c r="J309" s="393">
        <f t="shared" ref="J309" si="65">J304+J307+J308</f>
        <v>551904.47</v>
      </c>
      <c r="K309" s="407">
        <f t="shared" si="61"/>
        <v>0.22630610330081216</v>
      </c>
      <c r="L309" s="392">
        <f>L304+L307+L308</f>
        <v>124899.34999999998</v>
      </c>
      <c r="M309" s="408">
        <f>(+J309-D309)/D309</f>
        <v>0.11265247822211888</v>
      </c>
      <c r="N309" s="392">
        <f>L309-F309</f>
        <v>-6242.1509830418217</v>
      </c>
      <c r="O309" s="393">
        <f>O304+O307+O308</f>
        <v>445078.16</v>
      </c>
      <c r="P309" s="407">
        <f>IF(O309&lt;=0,0,Q309/O309)</f>
        <v>0.27788290038765279</v>
      </c>
      <c r="Q309" s="392">
        <f t="shared" ref="Q309" si="66">Q304+Q307+Q308</f>
        <v>123679.60999999978</v>
      </c>
      <c r="R309" s="408">
        <f t="shared" si="63"/>
        <v>0.24001696690756519</v>
      </c>
      <c r="S309" s="392">
        <f t="shared" si="64"/>
        <v>1219.7400000001944</v>
      </c>
      <c r="T309" s="41"/>
      <c r="U309" s="29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180</v>
      </c>
      <c r="B310" s="41" t="s">
        <v>180</v>
      </c>
      <c r="C310" s="253"/>
      <c r="D310" s="41"/>
      <c r="E310" s="41"/>
      <c r="F310" s="263"/>
      <c r="G310" s="253"/>
      <c r="H310" s="41"/>
      <c r="I310" s="263"/>
      <c r="J310" s="253"/>
      <c r="K310" s="41"/>
      <c r="L310" s="263"/>
      <c r="M310" s="253"/>
      <c r="N310" s="265">
        <f>N309/F309</f>
        <v>-4.7598593399117858E-2</v>
      </c>
      <c r="O310" s="253"/>
      <c r="P310" s="41"/>
      <c r="Q310" s="263"/>
      <c r="R310" s="253"/>
      <c r="S310" s="265">
        <f>IF(Q309=0,0,S309/Q309)</f>
        <v>9.8620944875246336E-3</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180</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544</v>
      </c>
      <c r="B312" s="41" t="s">
        <v>180</v>
      </c>
      <c r="C312" s="246" t="s">
        <v>194</v>
      </c>
      <c r="D312" s="294">
        <f>+INDEX('Budget original'!$A$2:$AO$501,MATCH($A312,'Budget original'!$A$2:$A$501,0),MATCH(D$2,'Budget original'!$A$2:$AO$2,0))</f>
        <v>0</v>
      </c>
      <c r="E312" s="354">
        <f>IF(D312=0,0,F312/D312)</f>
        <v>0</v>
      </c>
      <c r="F312" s="296">
        <f>+INDEX('Budget original'!$A$2:$AO$501,MATCH($A312,'Budget original'!$A$2:$A$501,0),MATCH(F$2,'Budget original'!$A$2:$AO$2,0))</f>
        <v>0</v>
      </c>
      <c r="G312" s="365"/>
      <c r="H312" s="354"/>
      <c r="I312" s="296"/>
      <c r="J312" s="267">
        <f>-SUMIFS(BV_Data_An_Cour!$O:$O,BV_Data_An_Cour!$X:$X,"Oui",BV_Data_An_Cour!$U:$U,$B312,BV_Data_An_Cour!$V:$V,$C312)</f>
        <v>0</v>
      </c>
      <c r="K312" s="354">
        <f>IF(J312&lt;=0,0,L312/J312)</f>
        <v>0</v>
      </c>
      <c r="L312" s="248">
        <f>-SUMIFS(BV_Data_An_Cour!$O:$O,BV_Data_An_Cour!$U:$U,$B312,BV_Data_An_Cour!$V:$V,$C312,BV_Data_An_Cour!$W:$W,$L$2)</f>
        <v>0</v>
      </c>
      <c r="M312" s="354">
        <f>IF(F312=0,0,(+L312-F312)/F312)</f>
        <v>0</v>
      </c>
      <c r="N312" s="296">
        <f>L312-F312</f>
        <v>0</v>
      </c>
      <c r="O312" s="267">
        <f t="array" ref="O312">+INDEX('Réel 2024'!$A$2:$AO$501,MATCH($A312,'Réel 2024'!$A$2:$A$501,0),MATCH(O$2,'Réel 2024'!$A$2:$AO$2,0))</f>
        <v>0</v>
      </c>
      <c r="P312" s="354">
        <f>IF(O312=0,0,Q312/O312)</f>
        <v>0</v>
      </c>
      <c r="Q312" s="248">
        <f t="array" ref="Q312">+INDEX('Réel 2024'!$A$2:$AO$501,MATCH($A312,'Réel 2024'!$A$2:$A$501,0),MATCH(Q$2,'Réel 2024'!$A$2:$AO$2,0))</f>
        <v>0</v>
      </c>
      <c r="R312" s="354">
        <f>IF(S312=0,0,(+O312-K312)/K312)</f>
        <v>0</v>
      </c>
      <c r="S312" s="296">
        <f>L312-Q312</f>
        <v>0</v>
      </c>
      <c r="T312" s="41"/>
      <c r="U312" s="29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180</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
        <v>545</v>
      </c>
      <c r="B314" s="41" t="s">
        <v>180</v>
      </c>
      <c r="C314" s="278" t="s">
        <v>195</v>
      </c>
      <c r="D314" s="279">
        <f>D309+D312</f>
        <v>496025.92076357489</v>
      </c>
      <c r="E314" s="410">
        <f>IF(D314&lt;=0,0,F314/D314)</f>
        <v>0.26438437084329086</v>
      </c>
      <c r="F314" s="281">
        <f>F309+F312</f>
        <v>131141.5009830418</v>
      </c>
      <c r="G314" s="282"/>
      <c r="H314" s="410"/>
      <c r="I314" s="281"/>
      <c r="J314" s="282">
        <f t="shared" ref="J314" si="67">J309+J312</f>
        <v>551904.47</v>
      </c>
      <c r="K314" s="1262">
        <f>IF(J314&lt;=0,0,L314/J314)</f>
        <v>0.22630610330081216</v>
      </c>
      <c r="L314" s="281">
        <f>L309+L312</f>
        <v>124899.34999999998</v>
      </c>
      <c r="M314" s="411">
        <f>(+J314-D314)/D314</f>
        <v>0.11265247822211888</v>
      </c>
      <c r="N314" s="412">
        <f>L314-F314</f>
        <v>-6242.1509830418217</v>
      </c>
      <c r="O314" s="282">
        <f>O309+O312</f>
        <v>445078.16</v>
      </c>
      <c r="P314" s="410">
        <f>IF(O314&lt;=0,0,Q314/O314)</f>
        <v>0.27788290038765279</v>
      </c>
      <c r="Q314" s="281">
        <f t="shared" ref="Q314" si="68">Q309+Q312</f>
        <v>123679.60999999978</v>
      </c>
      <c r="R314" s="411">
        <f>IF(O314=0,0,(J314-O314)/O314)</f>
        <v>0.24001696690756519</v>
      </c>
      <c r="S314" s="412">
        <f>L314-Q314</f>
        <v>1219.7400000001944</v>
      </c>
      <c r="T314" s="41"/>
      <c r="U314" s="94"/>
      <c r="V314" s="291"/>
      <c r="W314" s="291"/>
      <c r="X314" s="41"/>
      <c r="Y314" s="41"/>
      <c r="Z314" s="41"/>
      <c r="AA314" s="41"/>
      <c r="AB314" s="41"/>
      <c r="AC314" s="41"/>
      <c r="AD314" s="41"/>
      <c r="AE314" s="41"/>
      <c r="AF314" s="41"/>
      <c r="AG314" s="41"/>
      <c r="AH314" s="41"/>
      <c r="AI314" s="41"/>
      <c r="AJ314" s="41"/>
      <c r="AK314" s="41"/>
      <c r="AL314" s="41"/>
      <c r="AM314" s="41"/>
      <c r="AN314" s="41"/>
    </row>
    <row r="315" spans="1:40" ht="15.75" customHeight="1">
      <c r="A315" s="5" t="s">
        <v>180</v>
      </c>
      <c r="B315" s="41" t="s">
        <v>180</v>
      </c>
      <c r="C315" s="332"/>
      <c r="D315" s="413"/>
      <c r="E315" s="414"/>
      <c r="F315" s="335"/>
      <c r="G315" s="415"/>
      <c r="H315" s="414"/>
      <c r="I315" s="335"/>
      <c r="J315" s="415"/>
      <c r="K315" s="414"/>
      <c r="L315" s="953">
        <f>L314/F314</f>
        <v>0.95240140660088213</v>
      </c>
      <c r="M315" s="416"/>
      <c r="N315" s="287">
        <f>N314/F314</f>
        <v>-4.7598593399117858E-2</v>
      </c>
      <c r="O315" s="415"/>
      <c r="P315" s="414"/>
      <c r="Q315" s="335"/>
      <c r="R315" s="416"/>
      <c r="S315" s="287">
        <f>IF(Q314=0,0,S314/Q314)</f>
        <v>9.8620944875246336E-3</v>
      </c>
      <c r="T315" s="41"/>
      <c r="U315" s="38"/>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
        <v>180</v>
      </c>
      <c r="B316" s="41" t="s">
        <v>180</v>
      </c>
      <c r="C316" s="270"/>
      <c r="D316" s="319"/>
      <c r="E316" s="372"/>
      <c r="F316" s="374"/>
      <c r="G316" s="373"/>
      <c r="H316" s="372"/>
      <c r="I316" s="374"/>
      <c r="J316" s="373"/>
      <c r="K316" s="372"/>
      <c r="L316" s="374"/>
      <c r="M316" s="253"/>
      <c r="N316" s="265"/>
      <c r="O316" s="373"/>
      <c r="P316" s="372"/>
      <c r="Q316" s="374"/>
      <c r="R316" s="253"/>
      <c r="S316" s="265"/>
      <c r="T316" s="41"/>
      <c r="U316" s="38"/>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
        <v>546</v>
      </c>
      <c r="B317" s="41" t="s">
        <v>180</v>
      </c>
      <c r="C317" s="289" t="s">
        <v>110</v>
      </c>
      <c r="D317" s="41"/>
      <c r="E317" s="41"/>
      <c r="F317" s="276"/>
      <c r="G317" s="253"/>
      <c r="H317" s="41"/>
      <c r="I317" s="276"/>
      <c r="J317" s="253"/>
      <c r="K317" s="41"/>
      <c r="L317" s="263"/>
      <c r="M317" s="253"/>
      <c r="N317" s="263"/>
      <c r="O317" s="253"/>
      <c r="P317" s="41"/>
      <c r="Q317" s="263"/>
      <c r="R317" s="253"/>
      <c r="S317" s="263"/>
      <c r="T317" s="41"/>
      <c r="U317" s="38"/>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547</v>
      </c>
      <c r="B318" s="41" t="s">
        <v>180</v>
      </c>
      <c r="C318" s="312" t="s">
        <v>120</v>
      </c>
      <c r="D318" s="41"/>
      <c r="E318" s="41"/>
      <c r="F318" s="254">
        <f>+INDEX('Budget original'!$A$2:$AO$501,MATCH($A318,'Budget original'!$A$2:$A$501,0),MATCH(F$2,'Budget original'!$A$2:$AO$2,0))</f>
        <v>8192.0423076923089</v>
      </c>
      <c r="G318" s="253"/>
      <c r="H318" s="41"/>
      <c r="I318" s="254"/>
      <c r="J318" s="253"/>
      <c r="K318" s="41"/>
      <c r="L318" s="256">
        <f>SUMIFS(BV_Data_An_Cour!$O:$O,BV_Data_An_Cour!$U:$U,$B318,BV_Data_An_Cour!$V:$V,$C318,BV_Data_An_Cour!$W:$W,$L$2)</f>
        <v>6651.89</v>
      </c>
      <c r="M318" s="253"/>
      <c r="N318" s="256">
        <f t="shared" ref="N318:N348" si="69">L318-F318</f>
        <v>-1540.1523076923086</v>
      </c>
      <c r="O318" s="253"/>
      <c r="P318" s="41"/>
      <c r="Q318" s="256">
        <f t="array" ref="Q318">+INDEX('Réel 2024'!$A$2:$AO$501,MATCH($A318,'Réel 2024'!$A$2:$A$501,0),MATCH(Q$2,'Réel 2024'!$A$2:$AO$2,0))</f>
        <v>7201.22</v>
      </c>
      <c r="R318" s="253"/>
      <c r="S318" s="256">
        <f t="shared" ref="S318:S348" si="70">L318-Q318</f>
        <v>-549.32999999999993</v>
      </c>
      <c r="T318" s="41"/>
      <c r="U318" s="38"/>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548</v>
      </c>
      <c r="B319" s="41" t="s">
        <v>180</v>
      </c>
      <c r="C319" s="313" t="s">
        <v>121</v>
      </c>
      <c r="D319" s="297"/>
      <c r="E319" s="41"/>
      <c r="F319" s="248">
        <f>+INDEX('Budget original'!$A$2:$AO$501,MATCH($A319,'Budget original'!$A$2:$A$501,0),MATCH(F$2,'Budget original'!$A$2:$AO$2,0))</f>
        <v>32608.030153846154</v>
      </c>
      <c r="G319" s="298"/>
      <c r="H319" s="41"/>
      <c r="I319" s="248"/>
      <c r="J319" s="253"/>
      <c r="K319" s="41"/>
      <c r="L319" s="256">
        <f>SUMIFS(BV_Data_An_Cour!$O:$O,BV_Data_An_Cour!$U:$U,$B319,BV_Data_An_Cour!$V:$V,$C319,BV_Data_An_Cour!$W:$W,$L$2)</f>
        <v>30722.14</v>
      </c>
      <c r="M319" s="253"/>
      <c r="N319" s="256">
        <f t="shared" si="69"/>
        <v>-1885.8901538461541</v>
      </c>
      <c r="O319" s="253"/>
      <c r="P319" s="41"/>
      <c r="Q319" s="256">
        <f t="array" ref="Q319">+INDEX('Réel 2024'!$A$2:$AO$501,MATCH($A319,'Réel 2024'!$A$2:$A$501,0),MATCH(Q$2,'Réel 2024'!$A$2:$AO$2,0))</f>
        <v>30808.98</v>
      </c>
      <c r="R319" s="253"/>
      <c r="S319" s="276">
        <f t="shared" si="70"/>
        <v>-86.840000000000146</v>
      </c>
      <c r="T319" s="41"/>
      <c r="U319" s="38"/>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549</v>
      </c>
      <c r="B320" s="41" t="s">
        <v>180</v>
      </c>
      <c r="C320" s="312" t="s">
        <v>122</v>
      </c>
      <c r="D320" s="314"/>
      <c r="E320" s="315"/>
      <c r="F320" s="254">
        <f>+INDEX('Budget original'!$A$2:$AO$501,MATCH($A320,'Budget original'!$A$2:$A$501,0),MATCH(F$2,'Budget original'!$A$2:$AO$2,0))</f>
        <v>175.30769230769232</v>
      </c>
      <c r="G320" s="316"/>
      <c r="H320" s="315"/>
      <c r="I320" s="254"/>
      <c r="J320" s="241"/>
      <c r="K320" s="315"/>
      <c r="L320" s="272">
        <f>SUMIFS(BV_Data_An_Cour!$O:$O,BV_Data_An_Cour!$U:$U,$B320,BV_Data_An_Cour!$V:$V,$C320,BV_Data_An_Cour!$W:$W,$L$2)</f>
        <v>113.92</v>
      </c>
      <c r="M320" s="241"/>
      <c r="N320" s="272">
        <f t="shared" si="69"/>
        <v>-61.387692307692319</v>
      </c>
      <c r="O320" s="241"/>
      <c r="P320" s="315"/>
      <c r="Q320" s="272">
        <f t="array" ref="Q320">+INDEX('Réel 2024'!$A$2:$AO$501,MATCH($A320,'Réel 2024'!$A$2:$A$501,0),MATCH(Q$2,'Réel 2024'!$A$2:$AO$2,0))</f>
        <v>704.82</v>
      </c>
      <c r="R320" s="241"/>
      <c r="S320" s="317">
        <f t="shared" si="70"/>
        <v>-590.90000000000009</v>
      </c>
      <c r="T320" s="41"/>
      <c r="U320" s="1205"/>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
        <v>550</v>
      </c>
      <c r="B321" s="41" t="s">
        <v>180</v>
      </c>
      <c r="C321" s="312" t="s">
        <v>123</v>
      </c>
      <c r="D321" s="297"/>
      <c r="E321" s="41"/>
      <c r="F321" s="254">
        <f>+INDEX('Budget original'!$A$2:$AO$501,MATCH($A321,'Budget original'!$A$2:$A$501,0),MATCH(F$2,'Budget original'!$A$2:$AO$2,0))</f>
        <v>0</v>
      </c>
      <c r="G321" s="298"/>
      <c r="H321" s="41"/>
      <c r="I321" s="254"/>
      <c r="J321" s="253"/>
      <c r="K321" s="41"/>
      <c r="L321" s="256">
        <f>SUMIFS(BV_Data_An_Cour!$O:$O,BV_Data_An_Cour!$U:$U,$B321,BV_Data_An_Cour!$V:$V,$C321,BV_Data_An_Cour!$W:$W,$L$2)</f>
        <v>0</v>
      </c>
      <c r="M321" s="253"/>
      <c r="N321" s="256">
        <f t="shared" si="69"/>
        <v>0</v>
      </c>
      <c r="O321" s="253"/>
      <c r="P321" s="41"/>
      <c r="Q321" s="256">
        <f t="array" ref="Q321">+INDEX('Réel 2024'!$A$2:$AO$501,MATCH($A321,'Réel 2024'!$A$2:$A$501,0),MATCH(Q$2,'Réel 2024'!$A$2:$AO$2,0))</f>
        <v>0</v>
      </c>
      <c r="R321" s="253"/>
      <c r="S321" s="276">
        <f t="shared" si="70"/>
        <v>0</v>
      </c>
      <c r="T321" s="41"/>
      <c r="U321" s="38"/>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
        <v>537</v>
      </c>
      <c r="B322" s="41" t="s">
        <v>180</v>
      </c>
      <c r="C322" s="253" t="s">
        <v>59</v>
      </c>
      <c r="D322" s="297"/>
      <c r="E322" s="41"/>
      <c r="F322" s="254">
        <f>+INDEX('Budget original'!$A$2:$AO$501,MATCH($A322,'Budget original'!$A$2:$A$501,0),MATCH(F$2,'Budget original'!$A$2:$AO$2,0))</f>
        <v>0</v>
      </c>
      <c r="G322" s="298"/>
      <c r="H322" s="41"/>
      <c r="I322" s="254"/>
      <c r="J322" s="253"/>
      <c r="K322" s="41"/>
      <c r="L322" s="256">
        <f>SUMIFS(BV_Data_An_Cour!$O:$O,BV_Data_An_Cour!$U:$U,$B322,BV_Data_An_Cour!$V:$V,$C322,BV_Data_An_Cour!$W:$W,$L$2)</f>
        <v>0</v>
      </c>
      <c r="M322" s="253"/>
      <c r="N322" s="256">
        <f t="shared" si="69"/>
        <v>0</v>
      </c>
      <c r="O322" s="253"/>
      <c r="P322" s="41"/>
      <c r="Q322" s="256">
        <f t="array" ref="Q322">+INDEX('Réel 2024'!$A$2:$AO$501,MATCH($A322,'Réel 2024'!$A$2:$A$501,0),MATCH(Q$2,'Réel 2024'!$A$2:$AO$2,0))</f>
        <v>0</v>
      </c>
      <c r="R322" s="253"/>
      <c r="S322" s="276">
        <f t="shared" si="70"/>
        <v>0</v>
      </c>
      <c r="T322" s="41"/>
      <c r="U322" s="38"/>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537</v>
      </c>
      <c r="B323" s="41" t="s">
        <v>180</v>
      </c>
      <c r="C323" s="253" t="s">
        <v>59</v>
      </c>
      <c r="D323" s="297"/>
      <c r="E323" s="41"/>
      <c r="F323" s="254">
        <f>+INDEX('Budget original'!$A$2:$AO$501,MATCH($A323,'Budget original'!$A$2:$A$501,0),MATCH(F$2,'Budget original'!$A$2:$AO$2,0))</f>
        <v>0</v>
      </c>
      <c r="G323" s="298"/>
      <c r="H323" s="41"/>
      <c r="I323" s="254"/>
      <c r="J323" s="253"/>
      <c r="K323" s="41"/>
      <c r="L323" s="256">
        <f>SUMIFS(BV_Data_An_Cour!$O:$O,BV_Data_An_Cour!$U:$U,$B323,BV_Data_An_Cour!$V:$V,$C323,BV_Data_An_Cour!$W:$W,$L$2)</f>
        <v>0</v>
      </c>
      <c r="M323" s="253"/>
      <c r="N323" s="256">
        <f t="shared" si="69"/>
        <v>0</v>
      </c>
      <c r="O323" s="253"/>
      <c r="P323" s="41"/>
      <c r="Q323" s="256">
        <f t="array" ref="Q323">+INDEX('Réel 2024'!$A$2:$AO$501,MATCH($A323,'Réel 2024'!$A$2:$A$501,0),MATCH(Q$2,'Réel 2024'!$A$2:$AO$2,0))</f>
        <v>0</v>
      </c>
      <c r="R323" s="253"/>
      <c r="S323" s="276">
        <f t="shared" si="70"/>
        <v>0</v>
      </c>
      <c r="T323" s="41"/>
      <c r="U323" s="38"/>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
        <v>537</v>
      </c>
      <c r="B324" s="41" t="s">
        <v>180</v>
      </c>
      <c r="C324" s="253" t="s">
        <v>59</v>
      </c>
      <c r="D324" s="297"/>
      <c r="E324" s="41"/>
      <c r="F324" s="254">
        <f>+INDEX('Budget original'!$A$2:$AO$501,MATCH($A324,'Budget original'!$A$2:$A$501,0),MATCH(F$2,'Budget original'!$A$2:$AO$2,0))</f>
        <v>0</v>
      </c>
      <c r="G324" s="298"/>
      <c r="H324" s="41"/>
      <c r="I324" s="254"/>
      <c r="J324" s="253"/>
      <c r="K324" s="41"/>
      <c r="L324" s="256">
        <f>SUMIFS(BV_Data_An_Cour!$O:$O,BV_Data_An_Cour!$U:$U,$B324,BV_Data_An_Cour!$V:$V,$C324,BV_Data_An_Cour!$W:$W,$L$2)</f>
        <v>0</v>
      </c>
      <c r="M324" s="253"/>
      <c r="N324" s="256">
        <f t="shared" si="69"/>
        <v>0</v>
      </c>
      <c r="O324" s="253"/>
      <c r="P324" s="41"/>
      <c r="Q324" s="256">
        <f t="array" ref="Q324">+INDEX('Réel 2024'!$A$2:$AO$501,MATCH($A324,'Réel 2024'!$A$2:$A$501,0),MATCH(Q$2,'Réel 2024'!$A$2:$AO$2,0))</f>
        <v>0</v>
      </c>
      <c r="R324" s="253"/>
      <c r="S324" s="276">
        <f t="shared" si="70"/>
        <v>0</v>
      </c>
      <c r="T324" s="41"/>
      <c r="U324" s="38"/>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
        <v>551</v>
      </c>
      <c r="B325" s="41" t="s">
        <v>180</v>
      </c>
      <c r="C325" s="313" t="s">
        <v>124</v>
      </c>
      <c r="D325" s="297"/>
      <c r="E325" s="41"/>
      <c r="F325" s="248">
        <f>+INDEX('Budget original'!$A$2:$AO$501,MATCH($A325,'Budget original'!$A$2:$A$501,0),MATCH(F$2,'Budget original'!$A$2:$AO$2,0))</f>
        <v>5047.9207243846158</v>
      </c>
      <c r="G325" s="298"/>
      <c r="H325" s="41"/>
      <c r="I325" s="248"/>
      <c r="J325" s="253"/>
      <c r="K325" s="41"/>
      <c r="L325" s="256">
        <f>SUMIFS(BV_Data_An_Cour!$O:$O,BV_Data_An_Cour!$U:$U,$B325,BV_Data_An_Cour!$V:$V,$C325,BV_Data_An_Cour!$W:$W,$L$2)</f>
        <v>4518.67</v>
      </c>
      <c r="M325" s="253"/>
      <c r="N325" s="256">
        <f t="shared" si="69"/>
        <v>-529.25072438461575</v>
      </c>
      <c r="O325" s="253"/>
      <c r="P325" s="41"/>
      <c r="Q325" s="256">
        <f t="array" ref="Q325">+INDEX('Réel 2024'!$A$2:$AO$501,MATCH($A325,'Réel 2024'!$A$2:$A$501,0),MATCH(Q$2,'Réel 2024'!$A$2:$AO$2,0))</f>
        <v>5375.55</v>
      </c>
      <c r="R325" s="253"/>
      <c r="S325" s="276">
        <f t="shared" si="70"/>
        <v>-856.88000000000011</v>
      </c>
      <c r="T325" s="41"/>
      <c r="U325" s="38"/>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552</v>
      </c>
      <c r="B326" s="41" t="s">
        <v>180</v>
      </c>
      <c r="C326" s="312" t="s">
        <v>125</v>
      </c>
      <c r="D326" s="314"/>
      <c r="E326" s="315"/>
      <c r="F326" s="254">
        <f>+INDEX('Budget original'!$A$2:$AO$501,MATCH($A326,'Budget original'!$A$2:$A$501,0),MATCH(F$2,'Budget original'!$A$2:$AO$2,0))</f>
        <v>6137.5599996923083</v>
      </c>
      <c r="G326" s="316"/>
      <c r="H326" s="315"/>
      <c r="I326" s="254"/>
      <c r="J326" s="241"/>
      <c r="K326" s="315"/>
      <c r="L326" s="272">
        <f>SUMIFS(BV_Data_An_Cour!$O:$O,BV_Data_An_Cour!$U:$U,$B326,BV_Data_An_Cour!$V:$V,$C326,BV_Data_An_Cour!$W:$W,$L$2)</f>
        <v>6165.28</v>
      </c>
      <c r="M326" s="241"/>
      <c r="N326" s="272">
        <f t="shared" si="69"/>
        <v>27.720000307691407</v>
      </c>
      <c r="O326" s="241"/>
      <c r="P326" s="315"/>
      <c r="Q326" s="272">
        <f t="array" ref="Q326">+INDEX('Réel 2024'!$A$2:$AO$501,MATCH($A326,'Réel 2024'!$A$2:$A$501,0),MATCH(Q$2,'Réel 2024'!$A$2:$AO$2,0))</f>
        <v>8164.94</v>
      </c>
      <c r="R326" s="241"/>
      <c r="S326" s="317">
        <f t="shared" si="70"/>
        <v>-1999.6599999999999</v>
      </c>
      <c r="T326" s="41"/>
      <c r="U326" s="38"/>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553</v>
      </c>
      <c r="B327" s="41" t="s">
        <v>180</v>
      </c>
      <c r="C327" s="312" t="s">
        <v>126</v>
      </c>
      <c r="D327" s="297"/>
      <c r="E327" s="41"/>
      <c r="F327" s="254">
        <f>+INDEX('Budget original'!$A$2:$AO$501,MATCH($A327,'Budget original'!$A$2:$A$501,0),MATCH(F$2,'Budget original'!$A$2:$AO$2,0))</f>
        <v>3162.1776520153844</v>
      </c>
      <c r="G327" s="298"/>
      <c r="H327" s="41"/>
      <c r="I327" s="254"/>
      <c r="J327" s="253"/>
      <c r="K327" s="41"/>
      <c r="L327" s="256">
        <f>SUMIFS(BV_Data_An_Cour!$O:$O,BV_Data_An_Cour!$U:$U,$B327,BV_Data_An_Cour!$V:$V,$C327,BV_Data_An_Cour!$W:$W,$L$2)</f>
        <v>1705.62</v>
      </c>
      <c r="M327" s="253"/>
      <c r="N327" s="256">
        <f t="shared" si="69"/>
        <v>-1456.5576520153845</v>
      </c>
      <c r="O327" s="253"/>
      <c r="P327" s="41"/>
      <c r="Q327" s="256">
        <f t="array" ref="Q327">+INDEX('Réel 2024'!$A$2:$AO$501,MATCH($A327,'Réel 2024'!$A$2:$A$501,0),MATCH(Q$2,'Réel 2024'!$A$2:$AO$2,0))</f>
        <v>1439.68</v>
      </c>
      <c r="R327" s="253"/>
      <c r="S327" s="276">
        <f t="shared" si="70"/>
        <v>265.93999999999983</v>
      </c>
      <c r="T327" s="41"/>
      <c r="U327" s="38"/>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
        <v>554</v>
      </c>
      <c r="B328" s="41" t="s">
        <v>180</v>
      </c>
      <c r="C328" s="312" t="s">
        <v>127</v>
      </c>
      <c r="D328" s="297"/>
      <c r="E328" s="41"/>
      <c r="F328" s="254">
        <f>+INDEX('Budget original'!$A$2:$AO$501,MATCH($A328,'Budget original'!$A$2:$A$501,0),MATCH(F$2,'Budget original'!$A$2:$AO$2,0))</f>
        <v>1378.7272463076922</v>
      </c>
      <c r="G328" s="298"/>
      <c r="H328" s="41"/>
      <c r="I328" s="254"/>
      <c r="J328" s="253"/>
      <c r="K328" s="41"/>
      <c r="L328" s="256">
        <f>SUMIFS(BV_Data_An_Cour!$O:$O,BV_Data_An_Cour!$U:$U,$B328,BV_Data_An_Cour!$V:$V,$C328,BV_Data_An_Cour!$W:$W,$L$2)</f>
        <v>1138</v>
      </c>
      <c r="M328" s="253"/>
      <c r="N328" s="256">
        <f t="shared" si="69"/>
        <v>-240.72724630769221</v>
      </c>
      <c r="O328" s="253"/>
      <c r="P328" s="41"/>
      <c r="Q328" s="256">
        <f t="array" ref="Q328">+INDEX('Réel 2024'!$A$2:$AO$501,MATCH($A328,'Réel 2024'!$A$2:$A$501,0),MATCH(Q$2,'Réel 2024'!$A$2:$AO$2,0))</f>
        <v>1065.93</v>
      </c>
      <c r="R328" s="253"/>
      <c r="S328" s="276">
        <f t="shared" si="70"/>
        <v>72.069999999999936</v>
      </c>
      <c r="T328" s="41"/>
      <c r="U328" s="38"/>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
        <v>537</v>
      </c>
      <c r="B329" s="41" t="s">
        <v>180</v>
      </c>
      <c r="C329" s="253" t="s">
        <v>59</v>
      </c>
      <c r="D329" s="299"/>
      <c r="E329" s="318"/>
      <c r="F329" s="254">
        <f>+INDEX('Budget original'!$A$2:$AO$501,MATCH($A329,'Budget original'!$A$2:$A$501,0),MATCH(F$2,'Budget original'!$A$2:$AO$2,0))</f>
        <v>0</v>
      </c>
      <c r="G329" s="300"/>
      <c r="H329" s="318"/>
      <c r="I329" s="254"/>
      <c r="J329" s="246"/>
      <c r="K329" s="318"/>
      <c r="L329" s="256">
        <f>SUMIFS(BV_Data_An_Cour!$O:$O,BV_Data_An_Cour!$U:$U,$B329,BV_Data_An_Cour!$V:$V,$C329,BV_Data_An_Cour!$W:$W,$L$2)</f>
        <v>0</v>
      </c>
      <c r="M329" s="246"/>
      <c r="N329" s="296">
        <f t="shared" si="69"/>
        <v>0</v>
      </c>
      <c r="O329" s="246"/>
      <c r="P329" s="318"/>
      <c r="Q329" s="256">
        <f t="array" ref="Q329">+INDEX('Réel 2024'!$A$2:$AO$501,MATCH($A329,'Réel 2024'!$A$2:$A$501,0),MATCH(Q$2,'Réel 2024'!$A$2:$AO$2,0))</f>
        <v>0</v>
      </c>
      <c r="R329" s="246"/>
      <c r="S329" s="296">
        <f t="shared" si="70"/>
        <v>0</v>
      </c>
      <c r="T329" s="41"/>
      <c r="U329" s="38"/>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
        <v>555</v>
      </c>
      <c r="B330" s="41" t="s">
        <v>180</v>
      </c>
      <c r="C330" s="304" t="s">
        <v>128</v>
      </c>
      <c r="D330" s="305" t="s">
        <v>119</v>
      </c>
      <c r="E330" s="306">
        <f>F330/F$314</f>
        <v>0.43237087688647396</v>
      </c>
      <c r="F330" s="307">
        <f>+SUM(F318:F329)</f>
        <v>56701.765776246168</v>
      </c>
      <c r="G330" s="308"/>
      <c r="H330" s="306"/>
      <c r="I330" s="307"/>
      <c r="J330" s="308" t="s">
        <v>119</v>
      </c>
      <c r="K330" s="306">
        <f>L330/L$314</f>
        <v>0.40845304639295565</v>
      </c>
      <c r="L330" s="307">
        <f>+SUM(L318:L329)</f>
        <v>51015.519999999997</v>
      </c>
      <c r="M330" s="355"/>
      <c r="N330" s="320">
        <f t="shared" si="69"/>
        <v>-5686.2457762461709</v>
      </c>
      <c r="O330" s="308" t="s">
        <v>119</v>
      </c>
      <c r="P330" s="306">
        <f>Q330/Q$314</f>
        <v>0.442765949860289</v>
      </c>
      <c r="Q330" s="307">
        <f>+SUM(Q318:Q329)</f>
        <v>54761.120000000003</v>
      </c>
      <c r="R330" s="355"/>
      <c r="S330" s="320">
        <f t="shared" si="70"/>
        <v>-3745.6000000000058</v>
      </c>
      <c r="T330" s="41"/>
      <c r="U330" s="38"/>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
        <v>556</v>
      </c>
      <c r="B331" s="41" t="s">
        <v>180</v>
      </c>
      <c r="C331" s="406" t="s">
        <v>129</v>
      </c>
      <c r="D331" s="297"/>
      <c r="E331" s="41"/>
      <c r="F331" s="254">
        <f>+INDEX('Budget original'!$A$2:$AO$501,MATCH($A331,'Budget original'!$A$2:$A$501,0),MATCH(F$2,'Budget original'!$A$2:$AO$2,0))</f>
        <v>5653.4690242329343</v>
      </c>
      <c r="G331" s="298"/>
      <c r="H331" s="41"/>
      <c r="I331" s="254"/>
      <c r="J331" s="253"/>
      <c r="K331" s="41"/>
      <c r="L331" s="256">
        <f>SUMIFS(BV_Data_An_Cour!$O:$O,BV_Data_An_Cour!$U:$U,$B331,BV_Data_An_Cour!$V:$V,$C331,BV_Data_An_Cour!$W:$W,$L$2)</f>
        <v>7263.68</v>
      </c>
      <c r="M331" s="253"/>
      <c r="N331" s="276">
        <f t="shared" si="69"/>
        <v>1610.210975767066</v>
      </c>
      <c r="O331" s="253"/>
      <c r="P331" s="41"/>
      <c r="Q331" s="256">
        <f t="array" ref="Q331">+INDEX('Réel 2024'!$A$2:$AO$501,MATCH($A331,'Réel 2024'!$A$2:$A$501,0),MATCH(Q$2,'Réel 2024'!$A$2:$AO$2,0))</f>
        <v>4654.3900000000003</v>
      </c>
      <c r="R331" s="253"/>
      <c r="S331" s="276">
        <f t="shared" si="70"/>
        <v>2609.29</v>
      </c>
      <c r="T331" s="41"/>
      <c r="U331" s="38"/>
      <c r="V331" s="41"/>
      <c r="W331" s="291"/>
      <c r="X331" s="41"/>
      <c r="Y331" s="41"/>
      <c r="Z331" s="41"/>
      <c r="AA331" s="41"/>
      <c r="AB331" s="41"/>
      <c r="AC331" s="41"/>
      <c r="AD331" s="41"/>
      <c r="AE331" s="41"/>
      <c r="AF331" s="41"/>
      <c r="AG331" s="41"/>
      <c r="AH331" s="41"/>
      <c r="AI331" s="41"/>
      <c r="AJ331" s="41"/>
      <c r="AK331" s="41"/>
      <c r="AL331" s="41"/>
      <c r="AM331" s="41"/>
      <c r="AN331" s="41"/>
    </row>
    <row r="332" spans="1:40" ht="15.75" customHeight="1">
      <c r="A332" s="5" t="s">
        <v>557</v>
      </c>
      <c r="B332" s="41" t="s">
        <v>180</v>
      </c>
      <c r="C332" s="312" t="s">
        <v>130</v>
      </c>
      <c r="D332" s="297"/>
      <c r="E332" s="41"/>
      <c r="F332" s="254">
        <f>+INDEX('Budget original'!$A$2:$AO$501,MATCH($A332,'Budget original'!$A$2:$A$501,0),MATCH(F$2,'Budget original'!$A$2:$AO$2,0))</f>
        <v>561.52577820142733</v>
      </c>
      <c r="G332" s="298"/>
      <c r="H332" s="41"/>
      <c r="I332" s="254"/>
      <c r="J332" s="253"/>
      <c r="K332" s="41"/>
      <c r="L332" s="256">
        <f>SUMIFS(BV_Data_An_Cour!$O:$O,BV_Data_An_Cour!$U:$U,$B332,BV_Data_An_Cour!$V:$V,$C332,BV_Data_An_Cour!$W:$W,$L$2)</f>
        <v>522.87</v>
      </c>
      <c r="M332" s="253"/>
      <c r="N332" s="276">
        <f t="shared" si="69"/>
        <v>-38.655778201427324</v>
      </c>
      <c r="O332" s="253"/>
      <c r="P332" s="41"/>
      <c r="Q332" s="256">
        <f t="array" ref="Q332">+INDEX('Réel 2024'!$A$2:$AO$501,MATCH($A332,'Réel 2024'!$A$2:$A$501,0),MATCH(Q$2,'Réel 2024'!$A$2:$AO$2,0))</f>
        <v>2532.06</v>
      </c>
      <c r="R332" s="253"/>
      <c r="S332" s="276">
        <f t="shared" si="70"/>
        <v>-2009.19</v>
      </c>
      <c r="T332" s="41"/>
      <c r="U332" s="38"/>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
        <v>558</v>
      </c>
      <c r="B333" s="41" t="s">
        <v>180</v>
      </c>
      <c r="C333" s="313" t="s">
        <v>131</v>
      </c>
      <c r="D333" s="299"/>
      <c r="E333" s="318"/>
      <c r="F333" s="248">
        <f>+INDEX('Budget original'!$A$2:$AO$501,MATCH($A333,'Budget original'!$A$2:$A$501,0),MATCH(F$2,'Budget original'!$A$2:$AO$2,0))</f>
        <v>1264.3204888888893</v>
      </c>
      <c r="G333" s="300"/>
      <c r="H333" s="318"/>
      <c r="I333" s="248"/>
      <c r="J333" s="246"/>
      <c r="K333" s="318"/>
      <c r="L333" s="256">
        <f>SUMIFS(BV_Data_An_Cour!$O:$O,BV_Data_An_Cour!$U:$U,$B333,BV_Data_An_Cour!$V:$V,$C333,BV_Data_An_Cour!$W:$W,$L$2)</f>
        <v>1353.63</v>
      </c>
      <c r="M333" s="246"/>
      <c r="N333" s="296">
        <f t="shared" si="69"/>
        <v>89.309511111110851</v>
      </c>
      <c r="O333" s="246"/>
      <c r="P333" s="318"/>
      <c r="Q333" s="256">
        <f t="array" ref="Q333">+INDEX('Réel 2024'!$A$2:$AO$501,MATCH($A333,'Réel 2024'!$A$2:$A$501,0),MATCH(Q$2,'Réel 2024'!$A$2:$AO$2,0))</f>
        <v>1412.1</v>
      </c>
      <c r="R333" s="246"/>
      <c r="S333" s="296">
        <f t="shared" si="70"/>
        <v>-58.4699999999998</v>
      </c>
      <c r="T333" s="41"/>
      <c r="U333" s="38"/>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559</v>
      </c>
      <c r="B334" s="41" t="s">
        <v>180</v>
      </c>
      <c r="C334" s="312" t="s">
        <v>132</v>
      </c>
      <c r="D334" s="297"/>
      <c r="E334" s="41"/>
      <c r="F334" s="254">
        <f>+INDEX('Budget original'!$A$2:$AO$501,MATCH($A334,'Budget original'!$A$2:$A$501,0),MATCH(F$2,'Budget original'!$A$2:$AO$2,0))</f>
        <v>4449.6567389444454</v>
      </c>
      <c r="G334" s="298"/>
      <c r="H334" s="41"/>
      <c r="I334" s="254"/>
      <c r="J334" s="253"/>
      <c r="K334" s="41"/>
      <c r="L334" s="272">
        <f>SUMIFS(BV_Data_An_Cour!$O:$O,BV_Data_An_Cour!$U:$U,$B334,BV_Data_An_Cour!$V:$V,$C334,BV_Data_An_Cour!$W:$W,$L$2)</f>
        <v>7804.67</v>
      </c>
      <c r="M334" s="253"/>
      <c r="N334" s="276">
        <f t="shared" si="69"/>
        <v>3355.0132610555547</v>
      </c>
      <c r="O334" s="253"/>
      <c r="P334" s="41"/>
      <c r="Q334" s="272">
        <f t="array" ref="Q334">+INDEX('Réel 2024'!$A$2:$AO$501,MATCH($A334,'Réel 2024'!$A$2:$A$501,0),MATCH(Q$2,'Réel 2024'!$A$2:$AO$2,0))</f>
        <v>4532.71</v>
      </c>
      <c r="R334" s="253"/>
      <c r="S334" s="276">
        <f t="shared" si="70"/>
        <v>3271.96</v>
      </c>
      <c r="T334" s="41"/>
      <c r="U334" s="38"/>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560</v>
      </c>
      <c r="B335" s="41" t="s">
        <v>180</v>
      </c>
      <c r="C335" s="312" t="s">
        <v>133</v>
      </c>
      <c r="D335" s="297"/>
      <c r="E335" s="41"/>
      <c r="F335" s="254">
        <f>+INDEX('Budget original'!$A$2:$AO$501,MATCH($A335,'Budget original'!$A$2:$A$501,0),MATCH(F$2,'Budget original'!$A$2:$AO$2,0))</f>
        <v>818.27646887680896</v>
      </c>
      <c r="G335" s="298"/>
      <c r="H335" s="41"/>
      <c r="I335" s="254"/>
      <c r="J335" s="253"/>
      <c r="K335" s="41"/>
      <c r="L335" s="256">
        <f>SUMIFS(BV_Data_An_Cour!$O:$O,BV_Data_An_Cour!$U:$U,$B335,BV_Data_An_Cour!$V:$V,$C335,BV_Data_An_Cour!$W:$W,$L$2)</f>
        <v>945.81</v>
      </c>
      <c r="M335" s="253"/>
      <c r="N335" s="276">
        <f t="shared" si="69"/>
        <v>127.53353112319098</v>
      </c>
      <c r="O335" s="253"/>
      <c r="P335" s="41"/>
      <c r="Q335" s="256">
        <f t="array" ref="Q335">+INDEX('Réel 2024'!$A$2:$AO$501,MATCH($A335,'Réel 2024'!$A$2:$A$501,0),MATCH(Q$2,'Réel 2024'!$A$2:$AO$2,0))</f>
        <v>584.44000000000005</v>
      </c>
      <c r="R335" s="253"/>
      <c r="S335" s="276">
        <f t="shared" si="70"/>
        <v>361.36999999999989</v>
      </c>
      <c r="T335" s="41"/>
      <c r="U335" s="38"/>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561</v>
      </c>
      <c r="B336" s="41" t="s">
        <v>180</v>
      </c>
      <c r="C336" s="313" t="s">
        <v>134</v>
      </c>
      <c r="D336" s="299"/>
      <c r="E336" s="318"/>
      <c r="F336" s="248">
        <f>+INDEX('Budget original'!$A$2:$AO$501,MATCH($A336,'Budget original'!$A$2:$A$501,0),MATCH(F$2,'Budget original'!$A$2:$AO$2,0))</f>
        <v>12488.085877265243</v>
      </c>
      <c r="G336" s="300"/>
      <c r="H336" s="318"/>
      <c r="I336" s="248"/>
      <c r="J336" s="246"/>
      <c r="K336" s="318"/>
      <c r="L336" s="248">
        <f>SUMIFS(BV_Data_An_Cour!$O:$O,BV_Data_An_Cour!$U:$U,$B336,BV_Data_An_Cour!$V:$V,$C336,BV_Data_An_Cour!$W:$W,$L$2)</f>
        <v>14454.17</v>
      </c>
      <c r="M336" s="246"/>
      <c r="N336" s="296">
        <f t="shared" si="69"/>
        <v>1966.0841227347573</v>
      </c>
      <c r="O336" s="246"/>
      <c r="P336" s="318"/>
      <c r="Q336" s="248">
        <f t="array" ref="Q336">+INDEX('Réel 2024'!$A$2:$AO$501,MATCH($A336,'Réel 2024'!$A$2:$A$501,0),MATCH(Q$2,'Réel 2024'!$A$2:$AO$2,0))</f>
        <v>11822.3</v>
      </c>
      <c r="R336" s="246"/>
      <c r="S336" s="296">
        <f t="shared" si="70"/>
        <v>2631.8700000000008</v>
      </c>
      <c r="T336" s="41"/>
      <c r="U336" s="38"/>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562</v>
      </c>
      <c r="B337" s="41" t="s">
        <v>180</v>
      </c>
      <c r="C337" s="312" t="s">
        <v>490</v>
      </c>
      <c r="D337" s="297"/>
      <c r="E337" s="41"/>
      <c r="F337" s="254"/>
      <c r="G337" s="298"/>
      <c r="H337" s="41"/>
      <c r="I337" s="254"/>
      <c r="J337" s="253"/>
      <c r="K337" s="41"/>
      <c r="L337" s="256">
        <f>SUMIFS(BV_Data_An_Cour!$O:$O,BV_Data_An_Cour!$U:$U,$B337,BV_Data_An_Cour!$V:$V,$C337,BV_Data_An_Cour!$W:$W,$L$2)</f>
        <v>0</v>
      </c>
      <c r="M337" s="253"/>
      <c r="N337" s="276">
        <f t="shared" si="69"/>
        <v>0</v>
      </c>
      <c r="O337" s="253"/>
      <c r="P337" s="41"/>
      <c r="Q337" s="256">
        <f>+INDEX('Réel 2024'!$A$2:$AO$501,MATCH($A337,'Réel 2024'!$A$2:$A$501,0),MATCH(Q$2,'Réel 2024'!$A$2:$AO$2,0))</f>
        <v>0</v>
      </c>
      <c r="R337" s="253"/>
      <c r="S337" s="276">
        <f t="shared" si="70"/>
        <v>0</v>
      </c>
      <c r="T337" s="41"/>
      <c r="U337" s="38"/>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563</v>
      </c>
      <c r="B338" s="41" t="s">
        <v>180</v>
      </c>
      <c r="C338" s="312" t="s">
        <v>135</v>
      </c>
      <c r="D338" s="297"/>
      <c r="E338" s="41"/>
      <c r="F338" s="254">
        <f>+INDEX('Budget original'!$A$2:$AO$501,MATCH($A338,'Budget original'!$A$2:$A$501,0),MATCH(F$2,'Budget original'!$A$2:$AO$2,0))</f>
        <v>255.67533333333333</v>
      </c>
      <c r="G338" s="298"/>
      <c r="H338" s="41"/>
      <c r="I338" s="254"/>
      <c r="J338" s="253"/>
      <c r="K338" s="41"/>
      <c r="L338" s="256">
        <f>SUMIFS(BV_Data_An_Cour!$O:$O,BV_Data_An_Cour!$U:$U,$B338,BV_Data_An_Cour!$V:$V,$C338,BV_Data_An_Cour!$W:$W,$L$2)</f>
        <v>0</v>
      </c>
      <c r="M338" s="253"/>
      <c r="N338" s="276">
        <f t="shared" si="69"/>
        <v>-255.67533333333333</v>
      </c>
      <c r="O338" s="253"/>
      <c r="P338" s="41"/>
      <c r="Q338" s="256">
        <f t="array" ref="Q338">+INDEX('Réel 2024'!$A$2:$AO$501,MATCH($A338,'Réel 2024'!$A$2:$A$501,0),MATCH(Q$2,'Réel 2024'!$A$2:$AO$2,0))</f>
        <v>99.95</v>
      </c>
      <c r="R338" s="253"/>
      <c r="S338" s="276">
        <f t="shared" si="70"/>
        <v>-99.95</v>
      </c>
      <c r="T338" s="41"/>
      <c r="U338" s="38"/>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564</v>
      </c>
      <c r="B339" s="41" t="s">
        <v>180</v>
      </c>
      <c r="C339" s="312" t="s">
        <v>136</v>
      </c>
      <c r="D339" s="297"/>
      <c r="E339" s="41"/>
      <c r="F339" s="254">
        <f>+INDEX('Budget original'!$A$2:$AO$501,MATCH($A339,'Budget original'!$A$2:$A$501,0),MATCH(F$2,'Budget original'!$A$2:$AO$2,0))</f>
        <v>28.333333333333332</v>
      </c>
      <c r="G339" s="298"/>
      <c r="H339" s="41"/>
      <c r="I339" s="254"/>
      <c r="J339" s="253"/>
      <c r="K339" s="41"/>
      <c r="L339" s="256">
        <f>SUMIFS(BV_Data_An_Cour!$O:$O,BV_Data_An_Cour!$U:$U,$B339,BV_Data_An_Cour!$V:$V,$C339,BV_Data_An_Cour!$W:$W,$L$2)</f>
        <v>0</v>
      </c>
      <c r="M339" s="253"/>
      <c r="N339" s="276">
        <f t="shared" si="69"/>
        <v>-28.333333333333332</v>
      </c>
      <c r="O339" s="253"/>
      <c r="P339" s="41"/>
      <c r="Q339" s="256">
        <f t="array" ref="Q339">+INDEX('Réel 2024'!$A$2:$AO$501,MATCH($A339,'Réel 2024'!$A$2:$A$501,0),MATCH(Q$2,'Réel 2024'!$A$2:$AO$2,0))</f>
        <v>0</v>
      </c>
      <c r="R339" s="253"/>
      <c r="S339" s="276">
        <f t="shared" si="70"/>
        <v>0</v>
      </c>
      <c r="T339" s="41"/>
      <c r="U339" s="38"/>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565</v>
      </c>
      <c r="B340" s="41" t="s">
        <v>180</v>
      </c>
      <c r="C340" s="312" t="s">
        <v>137</v>
      </c>
      <c r="D340" s="297"/>
      <c r="E340" s="41"/>
      <c r="F340" s="254">
        <f>+INDEX('Budget original'!$A$2:$AO$501,MATCH($A340,'Budget original'!$A$2:$A$501,0),MATCH(F$2,'Budget original'!$A$2:$AO$2,0))</f>
        <v>716.40904661649995</v>
      </c>
      <c r="G340" s="298"/>
      <c r="H340" s="41"/>
      <c r="I340" s="254"/>
      <c r="J340" s="253"/>
      <c r="K340" s="41"/>
      <c r="L340" s="256">
        <f>SUMIFS(BV_Data_An_Cour!$O:$O,BV_Data_An_Cour!$U:$U,$B340,BV_Data_An_Cour!$V:$V,$C340,BV_Data_An_Cour!$W:$W,$L$2)</f>
        <v>818.22</v>
      </c>
      <c r="M340" s="253"/>
      <c r="N340" s="276">
        <f t="shared" si="69"/>
        <v>101.81095338350008</v>
      </c>
      <c r="O340" s="253"/>
      <c r="P340" s="41"/>
      <c r="Q340" s="256">
        <f t="array" ref="Q340">+INDEX('Réel 2024'!$A$2:$AO$501,MATCH($A340,'Réel 2024'!$A$2:$A$501,0),MATCH(Q$2,'Réel 2024'!$A$2:$AO$2,0))</f>
        <v>691.77</v>
      </c>
      <c r="R340" s="253"/>
      <c r="S340" s="276">
        <f t="shared" si="70"/>
        <v>126.45000000000005</v>
      </c>
      <c r="T340" s="41"/>
      <c r="U340" s="38"/>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566</v>
      </c>
      <c r="B341" s="41" t="s">
        <v>180</v>
      </c>
      <c r="C341" s="312" t="s">
        <v>138</v>
      </c>
      <c r="D341" s="297"/>
      <c r="E341" s="41"/>
      <c r="F341" s="254">
        <f>+INDEX('Budget original'!$A$2:$AO$501,MATCH($A341,'Budget original'!$A$2:$A$501,0),MATCH(F$2,'Budget original'!$A$2:$AO$2,0))</f>
        <v>115.54074359217363</v>
      </c>
      <c r="G341" s="298"/>
      <c r="H341" s="41"/>
      <c r="I341" s="254"/>
      <c r="J341" s="253"/>
      <c r="K341" s="41"/>
      <c r="L341" s="256">
        <f>SUMIFS(BV_Data_An_Cour!$O:$O,BV_Data_An_Cour!$U:$U,$B341,BV_Data_An_Cour!$V:$V,$C341,BV_Data_An_Cour!$W:$W,$L$2)</f>
        <v>88.45</v>
      </c>
      <c r="M341" s="253"/>
      <c r="N341" s="276">
        <f t="shared" si="69"/>
        <v>-27.090743592173624</v>
      </c>
      <c r="O341" s="253"/>
      <c r="P341" s="41"/>
      <c r="Q341" s="256">
        <f t="array" ref="Q341">+INDEX('Réel 2024'!$A$2:$AO$501,MATCH($A341,'Réel 2024'!$A$2:$A$501,0),MATCH(Q$2,'Réel 2024'!$A$2:$AO$2,0))</f>
        <v>86.59</v>
      </c>
      <c r="R341" s="253"/>
      <c r="S341" s="276">
        <f t="shared" si="70"/>
        <v>1.8599999999999994</v>
      </c>
      <c r="T341" s="41"/>
      <c r="U341" s="38"/>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567</v>
      </c>
      <c r="B342" s="41" t="s">
        <v>180</v>
      </c>
      <c r="C342" s="312" t="s">
        <v>139</v>
      </c>
      <c r="D342" s="297"/>
      <c r="E342" s="41"/>
      <c r="F342" s="254">
        <f>+INDEX('Budget original'!$A$2:$AO$501,MATCH($A342,'Budget original'!$A$2:$A$501,0),MATCH(F$2,'Budget original'!$A$2:$AO$2,0))</f>
        <v>-31.110347462173621</v>
      </c>
      <c r="G342" s="298"/>
      <c r="H342" s="41"/>
      <c r="I342" s="254"/>
      <c r="J342" s="253"/>
      <c r="K342" s="41"/>
      <c r="L342" s="256">
        <f>SUMIFS(BV_Data_An_Cour!$O:$O,BV_Data_An_Cour!$U:$U,$B342,BV_Data_An_Cour!$V:$V,$C342,BV_Data_An_Cour!$W:$W,$L$2)</f>
        <v>-151.96</v>
      </c>
      <c r="M342" s="253"/>
      <c r="N342" s="276">
        <f t="shared" si="69"/>
        <v>-120.84965253782639</v>
      </c>
      <c r="O342" s="253"/>
      <c r="P342" s="41"/>
      <c r="Q342" s="256">
        <f t="array" ref="Q342">+INDEX('Réel 2024'!$A$2:$AO$501,MATCH($A342,'Réel 2024'!$A$2:$A$501,0),MATCH(Q$2,'Réel 2024'!$A$2:$AO$2,0))</f>
        <v>-264.58999999999997</v>
      </c>
      <c r="R342" s="253"/>
      <c r="S342" s="276">
        <f t="shared" si="70"/>
        <v>112.62999999999997</v>
      </c>
      <c r="T342" s="41"/>
      <c r="U342" s="38"/>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568</v>
      </c>
      <c r="B343" s="41" t="s">
        <v>180</v>
      </c>
      <c r="C343" s="312" t="s">
        <v>140</v>
      </c>
      <c r="D343" s="297"/>
      <c r="E343" s="41"/>
      <c r="F343" s="254">
        <f>+INDEX('Budget original'!$A$2:$AO$501,MATCH($A343,'Budget original'!$A$2:$A$501,0),MATCH(F$2,'Budget original'!$A$2:$AO$2,0))</f>
        <v>156.51117666245145</v>
      </c>
      <c r="G343" s="298"/>
      <c r="H343" s="41"/>
      <c r="I343" s="254"/>
      <c r="J343" s="253"/>
      <c r="K343" s="41"/>
      <c r="L343" s="256">
        <f>SUMIFS(BV_Data_An_Cour!$O:$O,BV_Data_An_Cour!$U:$U,$B343,BV_Data_An_Cour!$V:$V,$C343,BV_Data_An_Cour!$W:$W,$L$2)</f>
        <v>87.25</v>
      </c>
      <c r="M343" s="253"/>
      <c r="N343" s="276">
        <f t="shared" si="69"/>
        <v>-69.261176662451447</v>
      </c>
      <c r="O343" s="253"/>
      <c r="P343" s="41"/>
      <c r="Q343" s="256">
        <f t="array" ref="Q343">+INDEX('Réel 2024'!$A$2:$AO$501,MATCH($A343,'Réel 2024'!$A$2:$A$501,0),MATCH(Q$2,'Réel 2024'!$A$2:$AO$2,0))</f>
        <v>82.26</v>
      </c>
      <c r="R343" s="253"/>
      <c r="S343" s="276">
        <f t="shared" si="70"/>
        <v>4.9899999999999949</v>
      </c>
      <c r="T343" s="41"/>
      <c r="U343" s="38"/>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569</v>
      </c>
      <c r="B344" s="41" t="s">
        <v>180</v>
      </c>
      <c r="C344" s="312" t="s">
        <v>141</v>
      </c>
      <c r="D344" s="297"/>
      <c r="E344" s="41"/>
      <c r="F344" s="254">
        <f>+INDEX('Budget original'!$A$2:$AO$501,MATCH($A344,'Budget original'!$A$2:$A$501,0),MATCH(F$2,'Budget original'!$A$2:$AO$2,0))</f>
        <v>378.95432121431327</v>
      </c>
      <c r="G344" s="298"/>
      <c r="H344" s="41"/>
      <c r="I344" s="254"/>
      <c r="J344" s="253"/>
      <c r="K344" s="41"/>
      <c r="L344" s="256">
        <f>SUMIFS(BV_Data_An_Cour!$O:$O,BV_Data_An_Cour!$U:$U,$B344,BV_Data_An_Cour!$V:$V,$C344,BV_Data_An_Cour!$W:$W,$L$2)</f>
        <v>-34.119999999999997</v>
      </c>
      <c r="M344" s="253"/>
      <c r="N344" s="276">
        <f t="shared" si="69"/>
        <v>-413.07432121431327</v>
      </c>
      <c r="O344" s="253"/>
      <c r="P344" s="41"/>
      <c r="Q344" s="256">
        <f t="array" ref="Q344">+INDEX('Réel 2024'!$A$2:$AO$501,MATCH($A344,'Réel 2024'!$A$2:$A$501,0),MATCH(Q$2,'Réel 2024'!$A$2:$AO$2,0))</f>
        <v>248.5</v>
      </c>
      <c r="R344" s="253"/>
      <c r="S344" s="276">
        <f t="shared" si="70"/>
        <v>-282.62</v>
      </c>
      <c r="T344" s="41"/>
      <c r="U344" s="1206"/>
      <c r="X344" s="41"/>
      <c r="Y344" s="41"/>
      <c r="Z344" s="41"/>
      <c r="AA344" s="41"/>
      <c r="AB344" s="41"/>
      <c r="AC344" s="41"/>
      <c r="AD344" s="41"/>
      <c r="AE344" s="41"/>
      <c r="AF344" s="41"/>
      <c r="AG344" s="41"/>
      <c r="AH344" s="41"/>
      <c r="AI344" s="41"/>
      <c r="AJ344" s="41"/>
      <c r="AK344" s="41"/>
      <c r="AL344" s="41"/>
      <c r="AM344" s="41"/>
      <c r="AN344" s="41"/>
    </row>
    <row r="345" spans="1:40" ht="15.75" customHeight="1">
      <c r="A345" s="5" t="s">
        <v>570</v>
      </c>
      <c r="B345" s="41" t="s">
        <v>180</v>
      </c>
      <c r="C345" s="312" t="s">
        <v>142</v>
      </c>
      <c r="D345" s="297"/>
      <c r="E345" s="41"/>
      <c r="F345" s="254">
        <f>+INDEX('Budget original'!$A$2:$AO$501,MATCH($A345,'Budget original'!$A$2:$A$501,0),MATCH(F$2,'Budget original'!$A$2:$AO$2,0))</f>
        <v>1754.3101197821436</v>
      </c>
      <c r="G345" s="298"/>
      <c r="H345" s="41"/>
      <c r="I345" s="254"/>
      <c r="J345" s="253"/>
      <c r="K345" s="41"/>
      <c r="L345" s="256">
        <f>SUMIFS(BV_Data_An_Cour!$O:$O,BV_Data_An_Cour!$U:$U,$B345,BV_Data_An_Cour!$V:$V,$C345,BV_Data_An_Cour!$W:$W,$L$2)</f>
        <v>2026.49</v>
      </c>
      <c r="M345" s="253"/>
      <c r="N345" s="276">
        <f t="shared" si="69"/>
        <v>272.17988021785641</v>
      </c>
      <c r="O345" s="253"/>
      <c r="P345" s="41"/>
      <c r="Q345" s="256">
        <f t="array" ref="Q345">+INDEX('Réel 2024'!$A$2:$AO$501,MATCH($A345,'Réel 2024'!$A$2:$A$501,0),MATCH(Q$2,'Réel 2024'!$A$2:$AO$2,0))</f>
        <v>2111.31</v>
      </c>
      <c r="R345" s="253"/>
      <c r="S345" s="276">
        <f t="shared" si="70"/>
        <v>-84.819999999999936</v>
      </c>
      <c r="T345" s="41"/>
      <c r="U345" s="1206"/>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
        <v>537</v>
      </c>
      <c r="B346" s="41" t="s">
        <v>180</v>
      </c>
      <c r="C346" s="312" t="s">
        <v>59</v>
      </c>
      <c r="D346" s="297"/>
      <c r="E346" s="41"/>
      <c r="F346" s="254">
        <f>+INDEX('Budget original'!$A$2:$AO$501,MATCH($A346,'Budget original'!$A$2:$A$501,0),MATCH(F$2,'Budget original'!$A$2:$AO$2,0))</f>
        <v>0</v>
      </c>
      <c r="G346" s="298"/>
      <c r="H346" s="41"/>
      <c r="I346" s="254"/>
      <c r="J346" s="253"/>
      <c r="K346" s="41"/>
      <c r="L346" s="256">
        <f>SUMIFS(BV_Data_An_Cour!$O:$O,BV_Data_An_Cour!$U:$U,$B346,BV_Data_An_Cour!$V:$V,$C346,BV_Data_An_Cour!$W:$W,$L$2)</f>
        <v>0</v>
      </c>
      <c r="M346" s="253"/>
      <c r="N346" s="276">
        <f t="shared" si="69"/>
        <v>0</v>
      </c>
      <c r="O346" s="253"/>
      <c r="P346" s="41"/>
      <c r="Q346" s="256">
        <f t="array" ref="Q346">+INDEX('Réel 2024'!$A$2:$AO$501,MATCH($A346,'Réel 2024'!$A$2:$A$501,0),MATCH(Q$2,'Réel 2024'!$A$2:$AO$2,0))</f>
        <v>0</v>
      </c>
      <c r="R346" s="253"/>
      <c r="S346" s="276">
        <f t="shared" si="70"/>
        <v>0</v>
      </c>
      <c r="T346" s="41"/>
      <c r="U346" s="1206"/>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537</v>
      </c>
      <c r="B347" s="41" t="s">
        <v>180</v>
      </c>
      <c r="C347" s="312" t="s">
        <v>59</v>
      </c>
      <c r="D347" s="297"/>
      <c r="E347" s="41"/>
      <c r="F347" s="254">
        <f>+INDEX('Budget original'!$A$2:$AO$501,MATCH($A347,'Budget original'!$A$2:$A$501,0),MATCH(F$2,'Budget original'!$A$2:$AO$2,0))</f>
        <v>0</v>
      </c>
      <c r="G347" s="298"/>
      <c r="H347" s="41"/>
      <c r="I347" s="254"/>
      <c r="J347" s="253"/>
      <c r="K347" s="41"/>
      <c r="L347" s="256">
        <f>SUMIFS(BV_Data_An_Cour!$O:$O,BV_Data_An_Cour!$U:$U,$B347,BV_Data_An_Cour!$V:$V,$C347,BV_Data_An_Cour!$W:$W,$L$2)</f>
        <v>0</v>
      </c>
      <c r="M347" s="253"/>
      <c r="N347" s="276">
        <f t="shared" si="69"/>
        <v>0</v>
      </c>
      <c r="O347" s="253"/>
      <c r="P347" s="41"/>
      <c r="Q347" s="256">
        <f t="array" ref="Q347">+INDEX('Réel 2024'!$A$2:$AO$501,MATCH($A347,'Réel 2024'!$A$2:$A$501,0),MATCH(Q$2,'Réel 2024'!$A$2:$AO$2,0))</f>
        <v>0</v>
      </c>
      <c r="R347" s="253"/>
      <c r="S347" s="276">
        <f t="shared" si="70"/>
        <v>0</v>
      </c>
      <c r="T347" s="41"/>
      <c r="U347" s="1206"/>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
        <v>537</v>
      </c>
      <c r="B348" s="41" t="s">
        <v>180</v>
      </c>
      <c r="C348" s="312" t="s">
        <v>59</v>
      </c>
      <c r="D348" s="297"/>
      <c r="E348" s="41"/>
      <c r="F348" s="254">
        <f>+INDEX('Budget original'!$A$2:$AO$501,MATCH($A348,'Budget original'!$A$2:$A$501,0),MATCH(F$2,'Budget original'!$A$2:$AO$2,0))</f>
        <v>0</v>
      </c>
      <c r="G348" s="298"/>
      <c r="H348" s="41"/>
      <c r="I348" s="254"/>
      <c r="J348" s="253"/>
      <c r="K348" s="41"/>
      <c r="L348" s="256">
        <f>SUMIFS(BV_Data_An_Cour!$O:$O,BV_Data_An_Cour!$U:$U,$B348,BV_Data_An_Cour!$V:$V,$C348,BV_Data_An_Cour!$W:$W,$L$2)</f>
        <v>0</v>
      </c>
      <c r="M348" s="253"/>
      <c r="N348" s="276">
        <f t="shared" si="69"/>
        <v>0</v>
      </c>
      <c r="O348" s="253"/>
      <c r="P348" s="41"/>
      <c r="Q348" s="256">
        <f t="array" ref="Q348">+INDEX('Réel 2024'!$A$2:$AO$501,MATCH($A348,'Réel 2024'!$A$2:$A$501,0),MATCH(Q$2,'Réel 2024'!$A$2:$AO$2,0))</f>
        <v>0</v>
      </c>
      <c r="R348" s="253"/>
      <c r="S348" s="276">
        <f t="shared" si="70"/>
        <v>0</v>
      </c>
      <c r="T348" s="41"/>
      <c r="U348" s="1206"/>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0.21816097794382755</v>
      </c>
      <c r="F349" s="307">
        <f>+SUM(F331:F348)</f>
        <v>28609.958103481822</v>
      </c>
      <c r="G349" s="308"/>
      <c r="H349" s="306"/>
      <c r="I349" s="307"/>
      <c r="J349" s="308" t="s">
        <v>119</v>
      </c>
      <c r="K349" s="306">
        <f>L349/L$314</f>
        <v>0.28166007269053045</v>
      </c>
      <c r="L349" s="307">
        <f>+SUM(L331:L348)</f>
        <v>35179.159999999996</v>
      </c>
      <c r="M349" s="311"/>
      <c r="N349" s="307">
        <f>+SUM(N331:N348)</f>
        <v>6569.2018965181787</v>
      </c>
      <c r="O349" s="308" t="s">
        <v>119</v>
      </c>
      <c r="P349" s="306">
        <f>Q349/Q$314</f>
        <v>0.23119243341727913</v>
      </c>
      <c r="Q349" s="307">
        <f>+SUM(Q331:Q348)</f>
        <v>28593.79</v>
      </c>
      <c r="R349" s="311"/>
      <c r="S349" s="307">
        <f>+SUM(S331:S348)</f>
        <v>6585.3700000000008</v>
      </c>
      <c r="T349" s="41"/>
      <c r="U349" s="1206"/>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38"/>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0.65053185483030151</v>
      </c>
      <c r="F351" s="307">
        <f>F330+F349</f>
        <v>85311.723879727986</v>
      </c>
      <c r="G351" s="308"/>
      <c r="H351" s="306"/>
      <c r="I351" s="307"/>
      <c r="J351" s="308" t="s">
        <v>119</v>
      </c>
      <c r="K351" s="306">
        <f>L351/L$314</f>
        <v>0.69011311908348605</v>
      </c>
      <c r="L351" s="307">
        <f>L330+L349</f>
        <v>86194.68</v>
      </c>
      <c r="M351" s="311"/>
      <c r="N351" s="320">
        <f>L351-F351</f>
        <v>882.95612027200696</v>
      </c>
      <c r="O351" s="308" t="s">
        <v>119</v>
      </c>
      <c r="P351" s="306">
        <f>Q351/Q$314</f>
        <v>0.67395838327756818</v>
      </c>
      <c r="Q351" s="307">
        <f>Q330+Q349</f>
        <v>83354.91</v>
      </c>
      <c r="R351" s="311"/>
      <c r="S351" s="320">
        <f>L351-Q351</f>
        <v>2839.7699999999895</v>
      </c>
      <c r="T351" s="41"/>
      <c r="U351" s="38"/>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38"/>
      <c r="V352" s="41"/>
      <c r="W352" s="41"/>
      <c r="X352" s="41"/>
      <c r="Y352" s="41"/>
      <c r="Z352" s="41"/>
      <c r="AA352" s="41"/>
      <c r="AB352" s="41"/>
      <c r="AC352" s="41"/>
      <c r="AD352" s="41"/>
      <c r="AE352" s="41"/>
      <c r="AF352" s="41"/>
      <c r="AG352" s="41"/>
      <c r="AH352" s="41"/>
      <c r="AI352" s="41"/>
      <c r="AJ352" s="41"/>
      <c r="AK352" s="41"/>
      <c r="AL352" s="41"/>
      <c r="AM352" s="41"/>
      <c r="AN352" s="41"/>
    </row>
    <row r="353" spans="1:40" ht="24" customHeight="1">
      <c r="B353" s="3"/>
      <c r="C353" s="332" t="s">
        <v>151</v>
      </c>
      <c r="D353" s="360"/>
      <c r="E353" s="333"/>
      <c r="F353" s="335">
        <f>F314-F351</f>
        <v>45829.777103313812</v>
      </c>
      <c r="G353" s="361"/>
      <c r="H353" s="333"/>
      <c r="I353" s="335"/>
      <c r="J353" s="332"/>
      <c r="K353" s="334"/>
      <c r="L353" s="335">
        <f>L314-L351</f>
        <v>38704.669999999984</v>
      </c>
      <c r="M353" s="332"/>
      <c r="N353" s="335">
        <f>L353-F353</f>
        <v>-7125.1071033138287</v>
      </c>
      <c r="O353" s="332"/>
      <c r="P353" s="1147">
        <f>+Q353/O314</f>
        <v>9.0601390101908805E-2</v>
      </c>
      <c r="Q353" s="335">
        <f>Q314-Q351</f>
        <v>40324.699999999779</v>
      </c>
      <c r="R353" s="332"/>
      <c r="S353" s="335">
        <f>L353-Q353</f>
        <v>-1620.0299999997951</v>
      </c>
      <c r="T353" s="41"/>
      <c r="U353" s="38"/>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319"/>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hidden="1"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39" t="str">
        <f>+C291</f>
        <v>Volks</v>
      </c>
      <c r="D356" s="232"/>
      <c r="E356" s="232"/>
      <c r="F356" s="232"/>
      <c r="G356" s="232"/>
      <c r="H356" s="36"/>
      <c r="I356" s="36"/>
      <c r="J356" s="36"/>
      <c r="K356" s="9" t="s">
        <v>196</v>
      </c>
      <c r="L356" s="232"/>
      <c r="M356" s="232"/>
      <c r="N356" s="36"/>
      <c r="O356" s="36"/>
      <c r="P356" s="232"/>
      <c r="Q356" s="36"/>
      <c r="R356" s="232"/>
      <c r="S356" s="10" t="str">
        <f>$S$1</f>
        <v>Réalisé, Mai 2025</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B358" s="3"/>
      <c r="C358" s="238"/>
      <c r="D358" s="1218" t="s">
        <v>343</v>
      </c>
      <c r="E358" s="1219"/>
      <c r="F358" s="1220"/>
      <c r="G358" s="1223"/>
      <c r="H358" s="1219"/>
      <c r="I358" s="1220"/>
      <c r="J358" s="1223" t="s">
        <v>344</v>
      </c>
      <c r="K358" s="1219"/>
      <c r="L358" s="1220"/>
      <c r="M358" s="1223"/>
      <c r="N358" s="1220"/>
      <c r="O358" s="1218" t="s">
        <v>345</v>
      </c>
      <c r="P358" s="1219"/>
      <c r="Q358" s="1220"/>
      <c r="R358" s="1223" t="s">
        <v>346</v>
      </c>
      <c r="S358" s="1220"/>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
        <v>196</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
        <v>571</v>
      </c>
      <c r="B360" s="41" t="s">
        <v>196</v>
      </c>
      <c r="C360" s="278" t="s">
        <v>196</v>
      </c>
      <c r="D360" s="421">
        <f>+INDEX('Budget original'!$A$2:$AO$501,MATCH($A360,'Budget original'!$A$2:$A$501,0),MATCH(D$2,'Budget original'!$A$2:$AO$2,0))</f>
        <v>0</v>
      </c>
      <c r="E360" s="422">
        <f>IFERROR(F360/D360,0)</f>
        <v>0</v>
      </c>
      <c r="F360" s="423">
        <f>+INDEX('Budget original'!$A$2:$AO$501,MATCH($A360,'Budget original'!$A$2:$A$501,0),MATCH(F$2,'Budget original'!$A$2:$AO$2,0))</f>
        <v>0</v>
      </c>
      <c r="G360" s="421"/>
      <c r="H360" s="422"/>
      <c r="I360" s="421"/>
      <c r="J360" s="424">
        <f>-SUMIFS(BV_Data_An_Cour!$O:$O,BV_Data_An_Cour!$X:$X,"Oui",BV_Data_An_Cour!$U:$U,$B360,BV_Data_An_Cour!$V:$V,$C360)</f>
        <v>0</v>
      </c>
      <c r="K360" s="410">
        <f>IF(J360&lt;=0,0,L360/J360)</f>
        <v>0</v>
      </c>
      <c r="L360" s="425">
        <f>-SUMIFS(BV_Data_An_Cour!$O:$O,BV_Data_An_Cour!$X:$X,"Oui",BV_Data_An_Cour!$U:$U,$B360,BV_Data_An_Cour!$V:$V,$C360)</f>
        <v>0</v>
      </c>
      <c r="M360" s="411"/>
      <c r="N360" s="412"/>
      <c r="O360" s="424">
        <f t="array" ref="O360">+INDEX('Réel 2024'!$A$2:$AO$501,MATCH($A360,'Réel 2024'!$A$2:$A$501,0),MATCH(O$2,'Réel 2024'!$A$2:$AO$2,0))</f>
        <v>0</v>
      </c>
      <c r="P360" s="410">
        <f>IFERROR(Q360/O360,0)</f>
        <v>0</v>
      </c>
      <c r="Q360" s="425">
        <f t="array" ref="Q360">+INDEX('Réel 2024'!$A$2:$AO$501,MATCH($A360,'Réel 2024'!$A$2:$A$501,0),MATCH(Q$2,'Réel 2024'!$A$2:$AO$2,0))</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
        <v>196</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
        <v>572</v>
      </c>
      <c r="B362" s="41" t="s">
        <v>196</v>
      </c>
      <c r="C362" s="270" t="s">
        <v>197</v>
      </c>
      <c r="D362" s="319">
        <f>+D360</f>
        <v>0</v>
      </c>
      <c r="E362" s="372">
        <f>IF(D362&lt;=0,0,F362/D362)</f>
        <v>0</v>
      </c>
      <c r="F362" s="374">
        <f>+F360</f>
        <v>0</v>
      </c>
      <c r="G362" s="373"/>
      <c r="H362" s="372"/>
      <c r="I362" s="374"/>
      <c r="J362" s="373">
        <f t="shared" ref="J362" si="71">+J360</f>
        <v>0</v>
      </c>
      <c r="K362" s="372">
        <f>IF(J362&lt;=0,0,L362/J362)</f>
        <v>0</v>
      </c>
      <c r="L362" s="374">
        <f>+L360</f>
        <v>0</v>
      </c>
      <c r="M362" s="353"/>
      <c r="N362" s="427"/>
      <c r="O362" s="373">
        <f>+O360</f>
        <v>0</v>
      </c>
      <c r="P362" s="372">
        <f>IF(O362&lt;=0,0,Q362/O362)</f>
        <v>0</v>
      </c>
      <c r="Q362" s="374">
        <f t="shared" ref="Q362" si="72">+Q360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
        <v>196</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573</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574</v>
      </c>
      <c r="B365" s="41" t="s">
        <v>196</v>
      </c>
      <c r="C365" s="312" t="s">
        <v>120</v>
      </c>
      <c r="D365" s="41"/>
      <c r="E365" s="41"/>
      <c r="F365" s="254">
        <f>+INDEX('Budget original'!$A$2:$AO$501,MATCH($A365,'Budget original'!$A$2:$A$501,0),MATCH(F$2,'Budget original'!$A$2:$AO$2,0))</f>
        <v>0</v>
      </c>
      <c r="G365" s="253"/>
      <c r="H365" s="41"/>
      <c r="I365" s="254"/>
      <c r="J365" s="253"/>
      <c r="K365" s="41"/>
      <c r="L365" s="256">
        <f>-SUMIFS(BV_Data_An_Cour!$O:$O,BV_Data_An_Cour!$U:$U,$B365,BV_Data_An_Cour!$V:$V,$C365,BV_Data_An_Cour!$W:$W,$L$2)</f>
        <v>0</v>
      </c>
      <c r="M365" s="253"/>
      <c r="N365" s="263"/>
      <c r="O365" s="253"/>
      <c r="P365" s="41"/>
      <c r="Q365" s="256">
        <f t="array" ref="Q365">+INDEX('Réel 2024'!$A$2:$AO$501,MATCH($A365,'Réel 2024'!$A$2:$A$501,0),MATCH(Q$2,'Réel 2024'!$A$2:$AO$2,0))</f>
        <v>0</v>
      </c>
      <c r="R365" s="253"/>
      <c r="S365" s="256">
        <f t="shared" ref="S365:S394" si="73">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575</v>
      </c>
      <c r="B366" s="41" t="s">
        <v>196</v>
      </c>
      <c r="C366" s="313" t="s">
        <v>121</v>
      </c>
      <c r="D366" s="297"/>
      <c r="E366" s="41"/>
      <c r="F366" s="248">
        <f>+INDEX('Budget original'!$A$2:$AO$501,MATCH($A366,'Budget original'!$A$2:$A$501,0),MATCH(F$2,'Budget original'!$A$2:$AO$2,0))</f>
        <v>0</v>
      </c>
      <c r="G366" s="298"/>
      <c r="H366" s="41"/>
      <c r="I366" s="248"/>
      <c r="J366" s="253"/>
      <c r="K366" s="41"/>
      <c r="L366" s="248">
        <f>-SUMIFS(BV_Data_An_Cour!$O:$O,BV_Data_An_Cour!$U:$U,$B366,BV_Data_An_Cour!$V:$V,$C366,BV_Data_An_Cour!$W:$W,$L$2)</f>
        <v>0</v>
      </c>
      <c r="M366" s="253"/>
      <c r="N366" s="276"/>
      <c r="O366" s="253"/>
      <c r="P366" s="41"/>
      <c r="Q366" s="248">
        <f t="array" ref="Q366">+INDEX('Réel 2024'!$A$2:$AO$501,MATCH($A366,'Réel 2024'!$A$2:$A$501,0),MATCH(Q$2,'Réel 2024'!$A$2:$AO$2,0))</f>
        <v>0</v>
      </c>
      <c r="R366" s="253"/>
      <c r="S366" s="276">
        <f t="shared" si="73"/>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576</v>
      </c>
      <c r="B367" s="41" t="s">
        <v>196</v>
      </c>
      <c r="C367" s="312" t="s">
        <v>122</v>
      </c>
      <c r="D367" s="314"/>
      <c r="E367" s="315"/>
      <c r="F367" s="254">
        <f>+INDEX('Budget original'!$A$2:$AO$501,MATCH($A367,'Budget original'!$A$2:$A$501,0),MATCH(F$2,'Budget original'!$A$2:$AO$2,0))</f>
        <v>0</v>
      </c>
      <c r="G367" s="316"/>
      <c r="H367" s="315"/>
      <c r="I367" s="254"/>
      <c r="J367" s="241"/>
      <c r="K367" s="315"/>
      <c r="L367" s="256">
        <f>-SUMIFS(BV_Data_An_Cour!$O:$O,BV_Data_An_Cour!$U:$U,$B367,BV_Data_An_Cour!$V:$V,$C367,BV_Data_An_Cour!$W:$W,$L$2)</f>
        <v>0</v>
      </c>
      <c r="M367" s="241"/>
      <c r="N367" s="317"/>
      <c r="O367" s="241"/>
      <c r="P367" s="315"/>
      <c r="Q367" s="256">
        <f t="array" ref="Q367">+INDEX('Réel 2024'!$A$2:$AO$501,MATCH($A367,'Réel 2024'!$A$2:$A$501,0),MATCH(Q$2,'Réel 2024'!$A$2:$AO$2,0))</f>
        <v>0</v>
      </c>
      <c r="R367" s="241"/>
      <c r="S367" s="317">
        <f t="shared" si="73"/>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577</v>
      </c>
      <c r="B368" s="41" t="s">
        <v>196</v>
      </c>
      <c r="C368" s="312" t="s">
        <v>123</v>
      </c>
      <c r="D368" s="297"/>
      <c r="E368" s="41"/>
      <c r="F368" s="254">
        <f>+INDEX('Budget original'!$A$2:$AO$501,MATCH($A368,'Budget original'!$A$2:$A$501,0),MATCH(F$2,'Budget original'!$A$2:$AO$2,0))</f>
        <v>0</v>
      </c>
      <c r="G368" s="298"/>
      <c r="H368" s="41"/>
      <c r="I368" s="254"/>
      <c r="J368" s="253"/>
      <c r="K368" s="41"/>
      <c r="L368" s="256">
        <f>-SUMIFS(BV_Data_An_Cour!$O:$O,BV_Data_An_Cour!$U:$U,$B368,BV_Data_An_Cour!$V:$V,$C368,BV_Data_An_Cour!$W:$W,$L$2)</f>
        <v>0</v>
      </c>
      <c r="M368" s="253"/>
      <c r="N368" s="276"/>
      <c r="O368" s="253"/>
      <c r="P368" s="41"/>
      <c r="Q368" s="256">
        <f t="array" ref="Q368">+INDEX('Réel 2024'!$A$2:$AO$501,MATCH($A368,'Réel 2024'!$A$2:$A$501,0),MATCH(Q$2,'Réel 2024'!$A$2:$AO$2,0))</f>
        <v>0</v>
      </c>
      <c r="R368" s="253"/>
      <c r="S368" s="276">
        <f t="shared" si="73"/>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578</v>
      </c>
      <c r="B369" s="41" t="s">
        <v>196</v>
      </c>
      <c r="C369" s="253" t="s">
        <v>59</v>
      </c>
      <c r="D369" s="297"/>
      <c r="E369" s="41"/>
      <c r="F369" s="254">
        <f>+INDEX('Budget original'!$A$2:$AO$501,MATCH($A369,'Budget original'!$A$2:$A$501,0),MATCH(F$2,'Budget original'!$A$2:$AO$2,0))</f>
        <v>0</v>
      </c>
      <c r="G369" s="298"/>
      <c r="H369" s="41"/>
      <c r="I369" s="254"/>
      <c r="J369" s="253"/>
      <c r="K369" s="41"/>
      <c r="L369" s="256">
        <f>-SUMIFS(BV_Data_An_Cour!$O:$O,BV_Data_An_Cour!$U:$U,$B369,BV_Data_An_Cour!$V:$V,$C369,BV_Data_An_Cour!$W:$W,$L$2)</f>
        <v>0</v>
      </c>
      <c r="M369" s="253"/>
      <c r="N369" s="276"/>
      <c r="O369" s="253"/>
      <c r="P369" s="41"/>
      <c r="Q369" s="256">
        <f t="array" ref="Q369">+INDEX('Réel 2024'!$A$2:$AO$501,MATCH($A369,'Réel 2024'!$A$2:$A$501,0),MATCH(Q$2,'Réel 2024'!$A$2:$AO$2,0))</f>
        <v>0</v>
      </c>
      <c r="R369" s="253"/>
      <c r="S369" s="276">
        <f t="shared" si="73"/>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578</v>
      </c>
      <c r="B370" s="41" t="s">
        <v>196</v>
      </c>
      <c r="C370" s="253" t="s">
        <v>59</v>
      </c>
      <c r="D370" s="297"/>
      <c r="E370" s="41"/>
      <c r="F370" s="254">
        <f>+INDEX('Budget original'!$A$2:$AO$501,MATCH($A370,'Budget original'!$A$2:$A$501,0),MATCH(F$2,'Budget original'!$A$2:$AO$2,0))</f>
        <v>0</v>
      </c>
      <c r="G370" s="298"/>
      <c r="H370" s="41"/>
      <c r="I370" s="254"/>
      <c r="J370" s="253"/>
      <c r="K370" s="41"/>
      <c r="L370" s="256">
        <f>-SUMIFS(BV_Data_An_Cour!$O:$O,BV_Data_An_Cour!$U:$U,$B370,BV_Data_An_Cour!$V:$V,$C370,BV_Data_An_Cour!$W:$W,$L$2)</f>
        <v>0</v>
      </c>
      <c r="M370" s="253"/>
      <c r="N370" s="276"/>
      <c r="O370" s="253"/>
      <c r="P370" s="41"/>
      <c r="Q370" s="256">
        <f t="array" ref="Q370">+INDEX('Réel 2024'!$A$2:$AO$501,MATCH($A370,'Réel 2024'!$A$2:$A$501,0),MATCH(Q$2,'Réel 2024'!$A$2:$AO$2,0))</f>
        <v>0</v>
      </c>
      <c r="R370" s="253"/>
      <c r="S370" s="276">
        <f t="shared" si="73"/>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578</v>
      </c>
      <c r="B371" s="41" t="s">
        <v>196</v>
      </c>
      <c r="C371" s="253" t="s">
        <v>59</v>
      </c>
      <c r="D371" s="297"/>
      <c r="E371" s="41"/>
      <c r="F371" s="254">
        <f>+INDEX('Budget original'!$A$2:$AO$501,MATCH($A371,'Budget original'!$A$2:$A$501,0),MATCH(F$2,'Budget original'!$A$2:$AO$2,0))</f>
        <v>0</v>
      </c>
      <c r="G371" s="298"/>
      <c r="H371" s="41"/>
      <c r="I371" s="254"/>
      <c r="J371" s="253"/>
      <c r="K371" s="41"/>
      <c r="L371" s="256">
        <f>-SUMIFS(BV_Data_An_Cour!$O:$O,BV_Data_An_Cour!$U:$U,$B371,BV_Data_An_Cour!$V:$V,$C371,BV_Data_An_Cour!$W:$W,$L$2)</f>
        <v>0</v>
      </c>
      <c r="M371" s="253"/>
      <c r="N371" s="276"/>
      <c r="O371" s="253"/>
      <c r="P371" s="41"/>
      <c r="Q371" s="256">
        <f t="array" ref="Q371">+INDEX('Réel 2024'!$A$2:$AO$501,MATCH($A371,'Réel 2024'!$A$2:$A$501,0),MATCH(Q$2,'Réel 2024'!$A$2:$AO$2,0))</f>
        <v>0</v>
      </c>
      <c r="R371" s="253"/>
      <c r="S371" s="276">
        <f t="shared" si="73"/>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579</v>
      </c>
      <c r="B372" s="41" t="s">
        <v>196</v>
      </c>
      <c r="C372" s="313" t="s">
        <v>124</v>
      </c>
      <c r="D372" s="297"/>
      <c r="E372" s="41"/>
      <c r="F372" s="248">
        <f>+INDEX('Budget original'!$A$2:$AO$501,MATCH($A372,'Budget original'!$A$2:$A$501,0),MATCH(F$2,'Budget original'!$A$2:$AO$2,0))</f>
        <v>0</v>
      </c>
      <c r="G372" s="298"/>
      <c r="H372" s="41"/>
      <c r="I372" s="248"/>
      <c r="J372" s="253"/>
      <c r="K372" s="41"/>
      <c r="L372" s="248">
        <f>-SUMIFS(BV_Data_An_Cour!$O:$O,BV_Data_An_Cour!$U:$U,$B372,BV_Data_An_Cour!$V:$V,$C372,BV_Data_An_Cour!$W:$W,$L$2)</f>
        <v>0</v>
      </c>
      <c r="M372" s="253"/>
      <c r="N372" s="276"/>
      <c r="O372" s="253"/>
      <c r="P372" s="41"/>
      <c r="Q372" s="248">
        <f t="array" ref="Q372">+INDEX('Réel 2024'!$A$2:$AO$501,MATCH($A372,'Réel 2024'!$A$2:$A$501,0),MATCH(Q$2,'Réel 2024'!$A$2:$AO$2,0))</f>
        <v>0</v>
      </c>
      <c r="R372" s="253"/>
      <c r="S372" s="276">
        <f t="shared" si="73"/>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580</v>
      </c>
      <c r="B373" s="41" t="s">
        <v>196</v>
      </c>
      <c r="C373" s="312" t="s">
        <v>125</v>
      </c>
      <c r="D373" s="314"/>
      <c r="E373" s="315"/>
      <c r="F373" s="254">
        <f>+INDEX('Budget original'!$A$2:$AO$501,MATCH($A373,'Budget original'!$A$2:$A$501,0),MATCH(F$2,'Budget original'!$A$2:$AO$2,0))</f>
        <v>0</v>
      </c>
      <c r="G373" s="316"/>
      <c r="H373" s="315"/>
      <c r="I373" s="254"/>
      <c r="J373" s="241"/>
      <c r="K373" s="315"/>
      <c r="L373" s="256">
        <f>-SUMIFS(BV_Data_An_Cour!$O:$O,BV_Data_An_Cour!$U:$U,$B373,BV_Data_An_Cour!$V:$V,$C373,BV_Data_An_Cour!$W:$W,$L$2)</f>
        <v>0</v>
      </c>
      <c r="M373" s="241"/>
      <c r="N373" s="317"/>
      <c r="O373" s="241"/>
      <c r="P373" s="315"/>
      <c r="Q373" s="256">
        <f t="array" ref="Q373">+INDEX('Réel 2024'!$A$2:$AO$501,MATCH($A373,'Réel 2024'!$A$2:$A$501,0),MATCH(Q$2,'Réel 2024'!$A$2:$AO$2,0))</f>
        <v>0</v>
      </c>
      <c r="R373" s="241"/>
      <c r="S373" s="317">
        <f t="shared" si="73"/>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581</v>
      </c>
      <c r="B374" s="41" t="s">
        <v>196</v>
      </c>
      <c r="C374" s="312" t="s">
        <v>126</v>
      </c>
      <c r="D374" s="297"/>
      <c r="E374" s="41"/>
      <c r="F374" s="254">
        <f>+INDEX('Budget original'!$A$2:$AO$501,MATCH($A374,'Budget original'!$A$2:$A$501,0),MATCH(F$2,'Budget original'!$A$2:$AO$2,0))</f>
        <v>0</v>
      </c>
      <c r="G374" s="298"/>
      <c r="H374" s="41"/>
      <c r="I374" s="254"/>
      <c r="J374" s="253"/>
      <c r="K374" s="41"/>
      <c r="L374" s="256">
        <f>-SUMIFS(BV_Data_An_Cour!$O:$O,BV_Data_An_Cour!$U:$U,$B374,BV_Data_An_Cour!$V:$V,$C374,BV_Data_An_Cour!$W:$W,$L$2)</f>
        <v>0</v>
      </c>
      <c r="M374" s="253"/>
      <c r="N374" s="276"/>
      <c r="O374" s="253"/>
      <c r="P374" s="41"/>
      <c r="Q374" s="256">
        <f t="array" ref="Q374">+INDEX('Réel 2024'!$A$2:$AO$501,MATCH($A374,'Réel 2024'!$A$2:$A$501,0),MATCH(Q$2,'Réel 2024'!$A$2:$AO$2,0))</f>
        <v>0</v>
      </c>
      <c r="R374" s="253"/>
      <c r="S374" s="276">
        <f t="shared" si="73"/>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582</v>
      </c>
      <c r="B375" s="41" t="s">
        <v>196</v>
      </c>
      <c r="C375" s="312" t="s">
        <v>127</v>
      </c>
      <c r="D375" s="297"/>
      <c r="E375" s="41"/>
      <c r="F375" s="254">
        <f>+INDEX('Budget original'!$A$2:$AO$501,MATCH($A375,'Budget original'!$A$2:$A$501,0),MATCH(F$2,'Budget original'!$A$2:$AO$2,0))</f>
        <v>0</v>
      </c>
      <c r="G375" s="298"/>
      <c r="H375" s="41"/>
      <c r="I375" s="254"/>
      <c r="J375" s="253"/>
      <c r="K375" s="41"/>
      <c r="L375" s="256">
        <f>-SUMIFS(BV_Data_An_Cour!$O:$O,BV_Data_An_Cour!$U:$U,$B375,BV_Data_An_Cour!$V:$V,$C375,BV_Data_An_Cour!$W:$W,$L$2)</f>
        <v>0</v>
      </c>
      <c r="M375" s="253"/>
      <c r="N375" s="276"/>
      <c r="O375" s="253"/>
      <c r="P375" s="41"/>
      <c r="Q375" s="256">
        <f t="array" ref="Q375">+INDEX('Réel 2024'!$A$2:$AO$501,MATCH($A375,'Réel 2024'!$A$2:$A$501,0),MATCH(Q$2,'Réel 2024'!$A$2:$AO$2,0))</f>
        <v>0</v>
      </c>
      <c r="R375" s="253"/>
      <c r="S375" s="276">
        <f t="shared" si="73"/>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578</v>
      </c>
      <c r="B376" s="41" t="s">
        <v>196</v>
      </c>
      <c r="C376" s="253" t="s">
        <v>59</v>
      </c>
      <c r="D376" s="299"/>
      <c r="E376" s="318"/>
      <c r="F376" s="254">
        <f>+INDEX('Budget original'!$A$2:$AO$501,MATCH($A376,'Budget original'!$A$2:$A$501,0),MATCH(F$2,'Budget original'!$A$2:$AO$2,0))</f>
        <v>0</v>
      </c>
      <c r="G376" s="300"/>
      <c r="H376" s="318"/>
      <c r="I376" s="254"/>
      <c r="J376" s="246"/>
      <c r="K376" s="318"/>
      <c r="L376" s="256">
        <f>-SUMIFS(BV_Data_An_Cour!$O:$O,BV_Data_An_Cour!$U:$U,$B376,BV_Data_An_Cour!$V:$V,$C376,BV_Data_An_Cour!$W:$W,$L$2)</f>
        <v>0</v>
      </c>
      <c r="M376" s="246"/>
      <c r="N376" s="296"/>
      <c r="O376" s="246"/>
      <c r="P376" s="318"/>
      <c r="Q376" s="256">
        <f t="array" ref="Q376">+INDEX('Réel 2024'!$A$2:$AO$501,MATCH($A376,'Réel 2024'!$A$2:$A$501,0),MATCH(Q$2,'Réel 2024'!$A$2:$AO$2,0))</f>
        <v>0</v>
      </c>
      <c r="R376" s="246"/>
      <c r="S376" s="296">
        <f t="shared" si="73"/>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583</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73"/>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584</v>
      </c>
      <c r="B378" s="41" t="s">
        <v>196</v>
      </c>
      <c r="C378" s="406" t="s">
        <v>129</v>
      </c>
      <c r="D378" s="297"/>
      <c r="E378" s="41"/>
      <c r="F378" s="254">
        <f>+INDEX('Budget original'!$A$2:$AO$501,MATCH($A378,'Budget original'!$A$2:$A$501,0),MATCH(F$2,'Budget original'!$A$2:$AO$2,0))</f>
        <v>0</v>
      </c>
      <c r="G378" s="298"/>
      <c r="H378" s="41"/>
      <c r="I378" s="254"/>
      <c r="J378" s="253"/>
      <c r="K378" s="41"/>
      <c r="L378" s="256">
        <f>-SUMIFS(BV_Data_An_Cour!$O:$O,BV_Data_An_Cour!$U:$U,$B378,BV_Data_An_Cour!$V:$V,$C378,BV_Data_An_Cour!$W:$W,$L$2)</f>
        <v>0</v>
      </c>
      <c r="M378" s="253"/>
      <c r="N378" s="276"/>
      <c r="O378" s="253"/>
      <c r="P378" s="41"/>
      <c r="Q378" s="256">
        <f t="array" ref="Q378">+INDEX('Réel 2024'!$A$2:$AO$501,MATCH($A378,'Réel 2024'!$A$2:$A$501,0),MATCH(Q$2,'Réel 2024'!$A$2:$AO$2,0))</f>
        <v>0</v>
      </c>
      <c r="R378" s="253"/>
      <c r="S378" s="276">
        <f t="shared" si="73"/>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585</v>
      </c>
      <c r="B379" s="41" t="s">
        <v>196</v>
      </c>
      <c r="C379" s="312" t="s">
        <v>130</v>
      </c>
      <c r="D379" s="297"/>
      <c r="E379" s="41"/>
      <c r="F379" s="254">
        <f>+INDEX('Budget original'!$A$2:$AO$501,MATCH($A379,'Budget original'!$A$2:$A$501,0),MATCH(F$2,'Budget original'!$A$2:$AO$2,0))</f>
        <v>0</v>
      </c>
      <c r="G379" s="298"/>
      <c r="H379" s="41"/>
      <c r="I379" s="254"/>
      <c r="J379" s="253"/>
      <c r="K379" s="41"/>
      <c r="L379" s="256">
        <f>-SUMIFS(BV_Data_An_Cour!$O:$O,BV_Data_An_Cour!$U:$U,$B379,BV_Data_An_Cour!$V:$V,$C379,BV_Data_An_Cour!$W:$W,$L$2)</f>
        <v>0</v>
      </c>
      <c r="M379" s="253"/>
      <c r="N379" s="276"/>
      <c r="O379" s="253"/>
      <c r="P379" s="41"/>
      <c r="Q379" s="256">
        <f t="array" ref="Q379">+INDEX('Réel 2024'!$A$2:$AO$501,MATCH($A379,'Réel 2024'!$A$2:$A$501,0),MATCH(Q$2,'Réel 2024'!$A$2:$AO$2,0))</f>
        <v>0</v>
      </c>
      <c r="R379" s="253"/>
      <c r="S379" s="276">
        <f t="shared" si="73"/>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586</v>
      </c>
      <c r="B380" s="41" t="s">
        <v>196</v>
      </c>
      <c r="C380" s="313" t="s">
        <v>131</v>
      </c>
      <c r="D380" s="299"/>
      <c r="E380" s="318"/>
      <c r="F380" s="248">
        <f>+INDEX('Budget original'!$A$2:$AO$501,MATCH($A380,'Budget original'!$A$2:$A$501,0),MATCH(F$2,'Budget original'!$A$2:$AO$2,0))</f>
        <v>0</v>
      </c>
      <c r="G380" s="300"/>
      <c r="H380" s="318"/>
      <c r="I380" s="248"/>
      <c r="J380" s="246"/>
      <c r="K380" s="318"/>
      <c r="L380" s="248">
        <f>-SUMIFS(BV_Data_An_Cour!$O:$O,BV_Data_An_Cour!$U:$U,$B380,BV_Data_An_Cour!$V:$V,$C380,BV_Data_An_Cour!$W:$W,$L$2)</f>
        <v>0</v>
      </c>
      <c r="M380" s="246"/>
      <c r="N380" s="296"/>
      <c r="O380" s="246"/>
      <c r="P380" s="318"/>
      <c r="Q380" s="248">
        <f t="array" ref="Q380">+INDEX('Réel 2024'!$A$2:$AO$501,MATCH($A380,'Réel 2024'!$A$2:$A$501,0),MATCH(Q$2,'Réel 2024'!$A$2:$AO$2,0))</f>
        <v>0</v>
      </c>
      <c r="R380" s="246"/>
      <c r="S380" s="296">
        <f t="shared" si="73"/>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587</v>
      </c>
      <c r="B381" s="41" t="s">
        <v>196</v>
      </c>
      <c r="C381" s="312" t="s">
        <v>132</v>
      </c>
      <c r="D381" s="297"/>
      <c r="E381" s="41"/>
      <c r="F381" s="254">
        <f>+INDEX('Budget original'!$A$2:$AO$501,MATCH($A381,'Budget original'!$A$2:$A$501,0),MATCH(F$2,'Budget original'!$A$2:$AO$2,0))</f>
        <v>0</v>
      </c>
      <c r="G381" s="298"/>
      <c r="H381" s="41"/>
      <c r="I381" s="254"/>
      <c r="J381" s="253"/>
      <c r="K381" s="41"/>
      <c r="L381" s="256">
        <f>-SUMIFS(BV_Data_An_Cour!$O:$O,BV_Data_An_Cour!$U:$U,$B381,BV_Data_An_Cour!$V:$V,$C381,BV_Data_An_Cour!$W:$W,$L$2)</f>
        <v>0</v>
      </c>
      <c r="M381" s="253"/>
      <c r="N381" s="276"/>
      <c r="O381" s="253"/>
      <c r="P381" s="41"/>
      <c r="Q381" s="256">
        <f t="array" ref="Q381">+INDEX('Réel 2024'!$A$2:$AO$501,MATCH($A381,'Réel 2024'!$A$2:$A$501,0),MATCH(Q$2,'Réel 2024'!$A$2:$AO$2,0))</f>
        <v>0</v>
      </c>
      <c r="R381" s="253"/>
      <c r="S381" s="276">
        <f t="shared" si="73"/>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588</v>
      </c>
      <c r="B382" s="41" t="s">
        <v>196</v>
      </c>
      <c r="C382" s="312" t="s">
        <v>133</v>
      </c>
      <c r="D382" s="297"/>
      <c r="E382" s="41"/>
      <c r="F382" s="254">
        <f>+INDEX('Budget original'!$A$2:$AO$501,MATCH($A382,'Budget original'!$A$2:$A$501,0),MATCH(F$2,'Budget original'!$A$2:$AO$2,0))</f>
        <v>0</v>
      </c>
      <c r="G382" s="298"/>
      <c r="H382" s="41"/>
      <c r="I382" s="254"/>
      <c r="J382" s="253"/>
      <c r="K382" s="41"/>
      <c r="L382" s="256">
        <f>-SUMIFS(BV_Data_An_Cour!$O:$O,BV_Data_An_Cour!$U:$U,$B382,BV_Data_An_Cour!$V:$V,$C382,BV_Data_An_Cour!$W:$W,$L$2)</f>
        <v>0</v>
      </c>
      <c r="M382" s="253"/>
      <c r="N382" s="276"/>
      <c r="O382" s="253"/>
      <c r="P382" s="41"/>
      <c r="Q382" s="256">
        <f t="array" ref="Q382">+INDEX('Réel 2024'!$A$2:$AO$501,MATCH($A382,'Réel 2024'!$A$2:$A$501,0),MATCH(Q$2,'Réel 2024'!$A$2:$AO$2,0))</f>
        <v>0</v>
      </c>
      <c r="R382" s="253"/>
      <c r="S382" s="276">
        <f t="shared" si="73"/>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
        <v>589</v>
      </c>
      <c r="B383" s="41" t="s">
        <v>196</v>
      </c>
      <c r="C383" s="312" t="s">
        <v>134</v>
      </c>
      <c r="D383" s="299"/>
      <c r="E383" s="318"/>
      <c r="F383" s="248">
        <f>+INDEX('Budget original'!$A$2:$AO$501,MATCH($A383,'Budget original'!$A$2:$A$501,0),MATCH(F$2,'Budget original'!$A$2:$AO$2,0))</f>
        <v>0</v>
      </c>
      <c r="G383" s="300"/>
      <c r="H383" s="318"/>
      <c r="I383" s="248"/>
      <c r="J383" s="246"/>
      <c r="K383" s="318"/>
      <c r="L383" s="248">
        <f>-SUMIFS(BV_Data_An_Cour!$O:$O,BV_Data_An_Cour!$U:$U,$B383,BV_Data_An_Cour!$V:$V,$C383,BV_Data_An_Cour!$W:$W,$L$2)</f>
        <v>0</v>
      </c>
      <c r="M383" s="246"/>
      <c r="N383" s="296"/>
      <c r="O383" s="246"/>
      <c r="P383" s="318"/>
      <c r="Q383" s="248">
        <f t="array" ref="Q383">+INDEX('Réel 2024'!$A$2:$AO$501,MATCH($A383,'Réel 2024'!$A$2:$A$501,0),MATCH(Q$2,'Réel 2024'!$A$2:$AO$2,0))</f>
        <v>0</v>
      </c>
      <c r="R383" s="246"/>
      <c r="S383" s="296">
        <f t="shared" si="73"/>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
        <v>590</v>
      </c>
      <c r="B384" s="41" t="s">
        <v>196</v>
      </c>
      <c r="C384" s="406" t="s">
        <v>135</v>
      </c>
      <c r="D384" s="297"/>
      <c r="E384" s="41"/>
      <c r="F384" s="254">
        <f>+INDEX('Budget original'!$A$2:$AO$501,MATCH($A384,'Budget original'!$A$2:$A$501,0),MATCH(F$2,'Budget original'!$A$2:$AO$2,0))</f>
        <v>0</v>
      </c>
      <c r="G384" s="298"/>
      <c r="H384" s="41"/>
      <c r="I384" s="254"/>
      <c r="J384" s="253"/>
      <c r="K384" s="41"/>
      <c r="L384" s="256">
        <f>-SUMIFS(BV_Data_An_Cour!$O:$O,BV_Data_An_Cour!$U:$U,$B384,BV_Data_An_Cour!$V:$V,$C384,BV_Data_An_Cour!$W:$W,$L$2)</f>
        <v>0</v>
      </c>
      <c r="M384" s="253"/>
      <c r="N384" s="276"/>
      <c r="O384" s="253"/>
      <c r="P384" s="41"/>
      <c r="Q384" s="256">
        <f t="array" ref="Q384">+INDEX('Réel 2024'!$A$2:$AO$501,MATCH($A384,'Réel 2024'!$A$2:$A$501,0),MATCH(Q$2,'Réel 2024'!$A$2:$AO$2,0))</f>
        <v>0</v>
      </c>
      <c r="R384" s="253"/>
      <c r="S384" s="276">
        <f t="shared" si="73"/>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591</v>
      </c>
      <c r="B385" s="41" t="s">
        <v>196</v>
      </c>
      <c r="C385" s="312" t="s">
        <v>136</v>
      </c>
      <c r="D385" s="297"/>
      <c r="E385" s="41"/>
      <c r="F385" s="254">
        <f>+INDEX('Budget original'!$A$2:$AO$501,MATCH($A385,'Budget original'!$A$2:$A$501,0),MATCH(F$2,'Budget original'!$A$2:$AO$2,0))</f>
        <v>0</v>
      </c>
      <c r="G385" s="298"/>
      <c r="H385" s="41"/>
      <c r="I385" s="254"/>
      <c r="J385" s="253"/>
      <c r="K385" s="41"/>
      <c r="L385" s="256">
        <f>-SUMIFS(BV_Data_An_Cour!$O:$O,BV_Data_An_Cour!$U:$U,$B385,BV_Data_An_Cour!$V:$V,$C385,BV_Data_An_Cour!$W:$W,$L$2)</f>
        <v>0</v>
      </c>
      <c r="M385" s="253"/>
      <c r="N385" s="276"/>
      <c r="O385" s="253"/>
      <c r="P385" s="41"/>
      <c r="Q385" s="256">
        <f t="array" ref="Q385">+INDEX('Réel 2024'!$A$2:$AO$501,MATCH($A385,'Réel 2024'!$A$2:$A$501,0),MATCH(Q$2,'Réel 2024'!$A$2:$AO$2,0))</f>
        <v>0</v>
      </c>
      <c r="R385" s="253"/>
      <c r="S385" s="276">
        <f t="shared" si="73"/>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592</v>
      </c>
      <c r="B386" s="41" t="s">
        <v>196</v>
      </c>
      <c r="C386" s="312" t="s">
        <v>137</v>
      </c>
      <c r="D386" s="297"/>
      <c r="E386" s="41"/>
      <c r="F386" s="254">
        <f>+INDEX('Budget original'!$A$2:$AO$501,MATCH($A386,'Budget original'!$A$2:$A$501,0),MATCH(F$2,'Budget original'!$A$2:$AO$2,0))</f>
        <v>0</v>
      </c>
      <c r="G386" s="298"/>
      <c r="H386" s="41"/>
      <c r="I386" s="254"/>
      <c r="J386" s="253"/>
      <c r="K386" s="41"/>
      <c r="L386" s="256">
        <f>-SUMIFS(BV_Data_An_Cour!$O:$O,BV_Data_An_Cour!$U:$U,$B386,BV_Data_An_Cour!$V:$V,$C386,BV_Data_An_Cour!$W:$W,$L$2)</f>
        <v>0</v>
      </c>
      <c r="M386" s="253"/>
      <c r="N386" s="276"/>
      <c r="O386" s="253"/>
      <c r="P386" s="41"/>
      <c r="Q386" s="256">
        <f t="array" ref="Q386">+INDEX('Réel 2024'!$A$2:$AO$501,MATCH($A386,'Réel 2024'!$A$2:$A$501,0),MATCH(Q$2,'Réel 2024'!$A$2:$AO$2,0))</f>
        <v>0</v>
      </c>
      <c r="R386" s="253"/>
      <c r="S386" s="276">
        <f t="shared" si="73"/>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593</v>
      </c>
      <c r="B387" s="41" t="s">
        <v>196</v>
      </c>
      <c r="C387" s="312" t="s">
        <v>138</v>
      </c>
      <c r="D387" s="297"/>
      <c r="E387" s="41"/>
      <c r="F387" s="254">
        <f>+INDEX('Budget original'!$A$2:$AO$501,MATCH($A387,'Budget original'!$A$2:$A$501,0),MATCH(F$2,'Budget original'!$A$2:$AO$2,0))</f>
        <v>0</v>
      </c>
      <c r="G387" s="298"/>
      <c r="H387" s="41"/>
      <c r="I387" s="254"/>
      <c r="J387" s="253"/>
      <c r="K387" s="41"/>
      <c r="L387" s="256">
        <f>-SUMIFS(BV_Data_An_Cour!$O:$O,BV_Data_An_Cour!$U:$U,$B387,BV_Data_An_Cour!$V:$V,$C387,BV_Data_An_Cour!$W:$W,$L$2)</f>
        <v>0</v>
      </c>
      <c r="M387" s="253"/>
      <c r="N387" s="276"/>
      <c r="O387" s="253"/>
      <c r="P387" s="41"/>
      <c r="Q387" s="256">
        <f t="array" ref="Q387">+INDEX('Réel 2024'!$A$2:$AO$501,MATCH($A387,'Réel 2024'!$A$2:$A$501,0),MATCH(Q$2,'Réel 2024'!$A$2:$AO$2,0))</f>
        <v>0</v>
      </c>
      <c r="R387" s="253"/>
      <c r="S387" s="276">
        <f t="shared" si="73"/>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594</v>
      </c>
      <c r="B388" s="41" t="s">
        <v>196</v>
      </c>
      <c r="C388" s="312" t="s">
        <v>139</v>
      </c>
      <c r="D388" s="297"/>
      <c r="E388" s="41"/>
      <c r="F388" s="254">
        <f>+INDEX('Budget original'!$A$2:$AO$501,MATCH($A388,'Budget original'!$A$2:$A$501,0),MATCH(F$2,'Budget original'!$A$2:$AO$2,0))</f>
        <v>0</v>
      </c>
      <c r="G388" s="298"/>
      <c r="H388" s="41"/>
      <c r="I388" s="254"/>
      <c r="J388" s="253"/>
      <c r="K388" s="41"/>
      <c r="L388" s="256">
        <f>-SUMIFS(BV_Data_An_Cour!$O:$O,BV_Data_An_Cour!$U:$U,$B388,BV_Data_An_Cour!$V:$V,$C388,BV_Data_An_Cour!$W:$W,$L$2)</f>
        <v>0</v>
      </c>
      <c r="M388" s="253"/>
      <c r="N388" s="276"/>
      <c r="O388" s="253"/>
      <c r="P388" s="41"/>
      <c r="Q388" s="256">
        <f t="array" ref="Q388">+INDEX('Réel 2024'!$A$2:$AO$501,MATCH($A388,'Réel 2024'!$A$2:$A$501,0),MATCH(Q$2,'Réel 2024'!$A$2:$AO$2,0))</f>
        <v>0</v>
      </c>
      <c r="R388" s="253"/>
      <c r="S388" s="276">
        <f t="shared" si="73"/>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595</v>
      </c>
      <c r="B389" s="41" t="s">
        <v>196</v>
      </c>
      <c r="C389" s="312" t="s">
        <v>140</v>
      </c>
      <c r="D389" s="297"/>
      <c r="E389" s="41"/>
      <c r="F389" s="254">
        <f>+INDEX('Budget original'!$A$2:$AO$501,MATCH($A389,'Budget original'!$A$2:$A$501,0),MATCH(F$2,'Budget original'!$A$2:$AO$2,0))</f>
        <v>0</v>
      </c>
      <c r="G389" s="298"/>
      <c r="H389" s="41"/>
      <c r="I389" s="254"/>
      <c r="J389" s="253"/>
      <c r="K389" s="41"/>
      <c r="L389" s="256">
        <f>-SUMIFS(BV_Data_An_Cour!$O:$O,BV_Data_An_Cour!$U:$U,$B389,BV_Data_An_Cour!$V:$V,$C389,BV_Data_An_Cour!$W:$W,$L$2)</f>
        <v>0</v>
      </c>
      <c r="M389" s="253"/>
      <c r="N389" s="276"/>
      <c r="O389" s="253"/>
      <c r="P389" s="41"/>
      <c r="Q389" s="256">
        <f t="array" ref="Q389">+INDEX('Réel 2024'!$A$2:$AO$501,MATCH($A389,'Réel 2024'!$A$2:$A$501,0),MATCH(Q$2,'Réel 2024'!$A$2:$AO$2,0))</f>
        <v>0</v>
      </c>
      <c r="R389" s="253"/>
      <c r="S389" s="276">
        <f t="shared" si="73"/>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596</v>
      </c>
      <c r="B390" s="41" t="s">
        <v>196</v>
      </c>
      <c r="C390" s="312" t="s">
        <v>141</v>
      </c>
      <c r="D390" s="297"/>
      <c r="E390" s="41"/>
      <c r="F390" s="254">
        <f>+INDEX('Budget original'!$A$2:$AO$501,MATCH($A390,'Budget original'!$A$2:$A$501,0),MATCH(F$2,'Budget original'!$A$2:$AO$2,0))</f>
        <v>0</v>
      </c>
      <c r="G390" s="298"/>
      <c r="H390" s="41"/>
      <c r="I390" s="254"/>
      <c r="J390" s="253"/>
      <c r="K390" s="41"/>
      <c r="L390" s="256">
        <f>-SUMIFS(BV_Data_An_Cour!$O:$O,BV_Data_An_Cour!$U:$U,$B390,BV_Data_An_Cour!$V:$V,$C390,BV_Data_An_Cour!$W:$W,$L$2)</f>
        <v>0</v>
      </c>
      <c r="M390" s="253"/>
      <c r="N390" s="276"/>
      <c r="O390" s="253"/>
      <c r="P390" s="41"/>
      <c r="Q390" s="256">
        <f t="array" ref="Q390">+INDEX('Réel 2024'!$A$2:$AO$501,MATCH($A390,'Réel 2024'!$A$2:$A$501,0),MATCH(Q$2,'Réel 2024'!$A$2:$AO$2,0))</f>
        <v>0</v>
      </c>
      <c r="R390" s="253"/>
      <c r="S390" s="276">
        <f t="shared" si="73"/>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
        <v>597</v>
      </c>
      <c r="B391" s="41" t="s">
        <v>196</v>
      </c>
      <c r="C391" s="312" t="s">
        <v>142</v>
      </c>
      <c r="D391" s="297"/>
      <c r="E391" s="41"/>
      <c r="F391" s="254">
        <f>+INDEX('Budget original'!$A$2:$AO$501,MATCH($A391,'Budget original'!$A$2:$A$501,0),MATCH(F$2,'Budget original'!$A$2:$AO$2,0))</f>
        <v>0</v>
      </c>
      <c r="G391" s="298"/>
      <c r="H391" s="41"/>
      <c r="I391" s="254"/>
      <c r="J391" s="253"/>
      <c r="K391" s="41"/>
      <c r="L391" s="256">
        <f>-SUMIFS(BV_Data_An_Cour!$O:$O,BV_Data_An_Cour!$U:$U,$B391,BV_Data_An_Cour!$V:$V,$C391,BV_Data_An_Cour!$W:$W,$L$2)</f>
        <v>0</v>
      </c>
      <c r="M391" s="253"/>
      <c r="N391" s="276"/>
      <c r="O391" s="253"/>
      <c r="P391" s="41"/>
      <c r="Q391" s="256">
        <f t="array" ref="Q391">+INDEX('Réel 2024'!$A$2:$AO$501,MATCH($A391,'Réel 2024'!$A$2:$A$501,0),MATCH(Q$2,'Réel 2024'!$A$2:$AO$2,0))</f>
        <v>0</v>
      </c>
      <c r="R391" s="253"/>
      <c r="S391" s="276">
        <f t="shared" si="73"/>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
        <v>578</v>
      </c>
      <c r="B392" s="41" t="s">
        <v>196</v>
      </c>
      <c r="C392" s="312" t="s">
        <v>59</v>
      </c>
      <c r="D392" s="297"/>
      <c r="E392" s="41"/>
      <c r="F392" s="254">
        <f>+INDEX('Budget original'!$A$2:$AO$501,MATCH($A392,'Budget original'!$A$2:$A$501,0),MATCH(F$2,'Budget original'!$A$2:$AO$2,0))</f>
        <v>0</v>
      </c>
      <c r="G392" s="298"/>
      <c r="H392" s="41"/>
      <c r="I392" s="254"/>
      <c r="J392" s="253"/>
      <c r="K392" s="41"/>
      <c r="L392" s="256">
        <f>-SUMIFS(BV_Data_An_Cour!$O:$O,BV_Data_An_Cour!$U:$U,$B392,BV_Data_An_Cour!$V:$V,$C392,BV_Data_An_Cour!$W:$W,$L$2)</f>
        <v>0</v>
      </c>
      <c r="M392" s="253"/>
      <c r="N392" s="276"/>
      <c r="O392" s="253"/>
      <c r="P392" s="41"/>
      <c r="Q392" s="256">
        <f t="array" ref="Q392">+INDEX('Réel 2024'!$A$2:$AO$501,MATCH($A392,'Réel 2024'!$A$2:$A$501,0),MATCH(Q$2,'Réel 2024'!$A$2:$AO$2,0))</f>
        <v>0</v>
      </c>
      <c r="R392" s="253"/>
      <c r="S392" s="276">
        <f t="shared" si="73"/>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578</v>
      </c>
      <c r="B393" s="41" t="s">
        <v>196</v>
      </c>
      <c r="C393" s="312" t="s">
        <v>59</v>
      </c>
      <c r="D393" s="297"/>
      <c r="E393" s="41"/>
      <c r="F393" s="254">
        <f>+INDEX('Budget original'!$A$2:$AO$501,MATCH($A393,'Budget original'!$A$2:$A$501,0),MATCH(F$2,'Budget original'!$A$2:$AO$2,0))</f>
        <v>0</v>
      </c>
      <c r="G393" s="298"/>
      <c r="H393" s="41"/>
      <c r="I393" s="254"/>
      <c r="J393" s="253"/>
      <c r="K393" s="41"/>
      <c r="L393" s="256">
        <f>-SUMIFS(BV_Data_An_Cour!$O:$O,BV_Data_An_Cour!$U:$U,$B393,BV_Data_An_Cour!$V:$V,$C393,BV_Data_An_Cour!$W:$W,$L$2)</f>
        <v>0</v>
      </c>
      <c r="M393" s="253"/>
      <c r="N393" s="276"/>
      <c r="O393" s="253"/>
      <c r="P393" s="41"/>
      <c r="Q393" s="256">
        <f t="array" ref="Q393">+INDEX('Réel 2024'!$A$2:$AO$501,MATCH($A393,'Réel 2024'!$A$2:$A$501,0),MATCH(Q$2,'Réel 2024'!$A$2:$AO$2,0))</f>
        <v>0</v>
      </c>
      <c r="R393" s="253"/>
      <c r="S393" s="276">
        <f t="shared" si="73"/>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
        <v>578</v>
      </c>
      <c r="B394" s="41" t="s">
        <v>196</v>
      </c>
      <c r="C394" s="312" t="s">
        <v>59</v>
      </c>
      <c r="D394" s="299"/>
      <c r="E394" s="318"/>
      <c r="F394" s="254">
        <f>+INDEX('Budget original'!$A$2:$AO$501,MATCH($A394,'Budget original'!$A$2:$A$501,0),MATCH(F$2,'Budget original'!$A$2:$AO$2,0))</f>
        <v>0</v>
      </c>
      <c r="G394" s="300"/>
      <c r="H394" s="318"/>
      <c r="I394" s="254"/>
      <c r="J394" s="246"/>
      <c r="K394" s="318"/>
      <c r="L394" s="256">
        <f>-SUMIFS(BV_Data_An_Cour!$O:$O,BV_Data_An_Cour!$U:$U,$B394,BV_Data_An_Cour!$V:$V,$C394,BV_Data_An_Cour!$W:$W,$L$2)</f>
        <v>0</v>
      </c>
      <c r="M394" s="246"/>
      <c r="N394" s="296"/>
      <c r="O394" s="246"/>
      <c r="P394" s="318"/>
      <c r="Q394" s="256">
        <f t="array" ref="Q394">+INDEX('Réel 2024'!$A$2:$AO$501,MATCH($A394,'Réel 2024'!$A$2:$A$501,0),MATCH(Q$2,'Réel 2024'!$A$2:$AO$2,0))</f>
        <v>0</v>
      </c>
      <c r="R394" s="246"/>
      <c r="S394" s="296">
        <f t="shared" si="73"/>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customHeight="1">
      <c r="B400" s="3"/>
      <c r="C400" s="11"/>
      <c r="D400" s="1040"/>
      <c r="E400" s="41"/>
      <c r="F400" s="319">
        <f>F353+F233</f>
        <v>111544.04139752332</v>
      </c>
      <c r="G400" s="297"/>
      <c r="H400" s="41"/>
      <c r="I400" s="319"/>
      <c r="J400" s="1040"/>
      <c r="K400" s="11"/>
      <c r="L400" s="319">
        <f>L353+L233</f>
        <v>117246.93</v>
      </c>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F401" s="1034"/>
      <c r="L401" s="1034"/>
      <c r="V401" s="41"/>
      <c r="W401" s="38"/>
      <c r="X401" s="38"/>
      <c r="Y401" s="38"/>
      <c r="Z401" s="38"/>
      <c r="AA401" s="38"/>
      <c r="AB401" s="38"/>
      <c r="AC401" s="38"/>
      <c r="AD401" s="38"/>
      <c r="AE401" s="38"/>
      <c r="AF401" s="38"/>
      <c r="AG401" s="38"/>
      <c r="AH401" s="38"/>
      <c r="AI401" s="38"/>
      <c r="AJ401" s="38"/>
      <c r="AK401" s="38"/>
      <c r="AL401" s="38"/>
      <c r="AM401" s="38"/>
      <c r="AN401" s="38"/>
    </row>
    <row r="402" spans="1:61" ht="35.25">
      <c r="B402" s="3"/>
      <c r="C402" s="433" t="s">
        <v>598</v>
      </c>
      <c r="F402" s="1034"/>
      <c r="L402" s="1034"/>
      <c r="V402" s="954" t="str">
        <f>C1</f>
        <v>Volks</v>
      </c>
      <c r="W402" s="36"/>
      <c r="X402" s="36"/>
      <c r="Y402" s="36"/>
      <c r="Z402" s="36"/>
      <c r="AA402" s="36"/>
      <c r="AB402" s="36"/>
      <c r="AC402" s="36"/>
      <c r="AD402" s="36"/>
      <c r="AE402" s="232" t="s">
        <v>3309</v>
      </c>
      <c r="AF402" s="36"/>
      <c r="AG402" s="36"/>
      <c r="AH402" s="36"/>
      <c r="AI402" s="36"/>
      <c r="AJ402" s="955"/>
      <c r="AK402" s="956"/>
      <c r="AL402" s="957"/>
      <c r="AM402" s="957"/>
      <c r="AN402" s="957"/>
      <c r="AO402" s="955" t="str">
        <f>$S$1</f>
        <v>Réalisé, Mai 2025</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433" t="s">
        <v>598</v>
      </c>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
        <v>599</v>
      </c>
      <c r="B404" s="3"/>
      <c r="C404" s="433" t="s">
        <v>598</v>
      </c>
      <c r="V404" s="435"/>
      <c r="W404" s="436"/>
      <c r="X404" s="1227" t="s">
        <v>600</v>
      </c>
      <c r="Y404" s="1225"/>
      <c r="Z404" s="1228"/>
      <c r="AA404" s="1224"/>
      <c r="AB404" s="1225"/>
      <c r="AC404" s="1228"/>
      <c r="AD404" s="1224" t="s">
        <v>344</v>
      </c>
      <c r="AE404" s="1225"/>
      <c r="AF404" s="1228"/>
      <c r="AG404" s="1224" t="s">
        <v>3310</v>
      </c>
      <c r="AH404" s="1225"/>
      <c r="AI404" s="1228"/>
      <c r="AJ404" s="1224" t="s">
        <v>601</v>
      </c>
      <c r="AK404" s="1225"/>
      <c r="AL404" s="1225"/>
      <c r="AM404" s="1224" t="s">
        <v>602</v>
      </c>
      <c r="AN404" s="1225"/>
      <c r="AO404" s="1226"/>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599</v>
      </c>
      <c r="B405" s="3"/>
      <c r="C405" s="433" t="s">
        <v>598</v>
      </c>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96</v>
      </c>
      <c r="B406" s="3"/>
      <c r="C406" s="433" t="s">
        <v>598</v>
      </c>
      <c r="V406" s="313" t="s">
        <v>96</v>
      </c>
      <c r="W406" s="440"/>
      <c r="X406" s="440"/>
      <c r="Y406" s="440"/>
      <c r="Z406" s="441">
        <f>F5+F93+E194+E250+D314+D362</f>
        <v>6218544.1428936739</v>
      </c>
      <c r="AA406" s="440"/>
      <c r="AB406" s="440"/>
      <c r="AC406" s="441"/>
      <c r="AD406" s="442"/>
      <c r="AE406" s="443"/>
      <c r="AF406" s="443">
        <f>L5+L93+K194+K250+J314+J362</f>
        <v>5431944.5899999999</v>
      </c>
      <c r="AG406" s="442"/>
      <c r="AH406" s="443"/>
      <c r="AI406" s="444"/>
      <c r="AJ406" s="442"/>
      <c r="AK406" s="443"/>
      <c r="AL406" s="443">
        <f>Q5+Q93+P194+P250+O314+O362</f>
        <v>6535324.9799999995</v>
      </c>
      <c r="AM406" s="445"/>
      <c r="AN406" s="443"/>
      <c r="AO406" s="446"/>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202</v>
      </c>
      <c r="B407" s="3"/>
      <c r="C407" s="433" t="s">
        <v>598</v>
      </c>
      <c r="V407" s="447" t="s">
        <v>202</v>
      </c>
      <c r="W407" s="448"/>
      <c r="X407" s="1188">
        <f>Z407/Z406</f>
        <v>0.12669970251976723</v>
      </c>
      <c r="Y407" s="448"/>
      <c r="Z407" s="449">
        <f>F27+F108+F194+F250+F314+F362</f>
        <v>787887.69301066932</v>
      </c>
      <c r="AA407" s="448"/>
      <c r="AB407" s="448"/>
      <c r="AC407" s="449"/>
      <c r="AD407" s="1188">
        <f>AF407/AF406</f>
        <v>0.13522402296817249</v>
      </c>
      <c r="AE407" s="451"/>
      <c r="AF407" s="449">
        <f>L27+L108+L194+L250+L314+L362</f>
        <v>734529.40000000026</v>
      </c>
      <c r="AG407" s="450"/>
      <c r="AH407" s="451">
        <f>AF407-Z407</f>
        <v>-53358.293010669062</v>
      </c>
      <c r="AI407" s="452">
        <f>AH407/Z407</f>
        <v>-6.7723221829721486E-2</v>
      </c>
      <c r="AJ407" s="450">
        <f>+AL407/AL406</f>
        <v>0.10592082599081394</v>
      </c>
      <c r="AK407" s="451"/>
      <c r="AL407" s="451">
        <f>Q27+Q108+Q194+Q250+Q314+Q362</f>
        <v>692227.01999999955</v>
      </c>
      <c r="AM407" s="453"/>
      <c r="AN407" s="451">
        <f>AF407-AL407</f>
        <v>42302.380000000703</v>
      </c>
      <c r="AO407" s="454">
        <f>IF(AL407=0,0,AN407/AL407)</f>
        <v>6.1110558787492476E-2</v>
      </c>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203</v>
      </c>
      <c r="B408" s="3"/>
      <c r="C408" s="433" t="s">
        <v>598</v>
      </c>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111</v>
      </c>
      <c r="B409" s="3"/>
      <c r="C409" s="433" t="s">
        <v>598</v>
      </c>
      <c r="V409" s="312" t="s">
        <v>111</v>
      </c>
      <c r="W409" s="463" t="s">
        <v>607</v>
      </c>
      <c r="X409" s="456"/>
      <c r="Y409" s="464">
        <f t="shared" ref="Y409:Y418" si="74">Z409/(D$13+D$97)</f>
        <v>679.50765774804984</v>
      </c>
      <c r="Z409" s="457">
        <f t="shared" ref="Z409:Z415" si="75">+SUMIF($C:$C,$V409,F:F)</f>
        <v>67271.258117056932</v>
      </c>
      <c r="AA409" s="456"/>
      <c r="AB409" s="464"/>
      <c r="AC409" s="457"/>
      <c r="AD409" s="465"/>
      <c r="AE409" s="464">
        <f t="shared" ref="AE409:AE414" si="76">IF(AF409=0,0,AF409/(J$13+J$97))</f>
        <v>630.2964634146341</v>
      </c>
      <c r="AF409" s="457">
        <f t="shared" ref="AF409:AF415" si="77">+SUMIF($C:$C,$V409,L:L)</f>
        <v>51684.31</v>
      </c>
      <c r="AG409" s="458">
        <f t="shared" ref="AG409:AG418" si="78">AE409-Y409</f>
        <v>-49.211194333415733</v>
      </c>
      <c r="AH409" s="459">
        <f t="shared" ref="AH409:AH418" si="79">AF409-Z409</f>
        <v>-15586.948117056934</v>
      </c>
      <c r="AI409" s="460">
        <f t="shared" ref="AI409:AI418" si="80">IF(Z409=0,0,AH409/Z409)</f>
        <v>-0.23170293752994034</v>
      </c>
      <c r="AJ409" s="1148">
        <f t="shared" ref="AJ409:AJ415" si="81">AL409/AL$407</f>
        <v>8.2136970036217352E-2</v>
      </c>
      <c r="AK409" s="459">
        <f t="shared" ref="AK409:AK418" si="82">AL409/(O$13+O$97)</f>
        <v>521.62779816513751</v>
      </c>
      <c r="AL409" s="457">
        <f t="shared" ref="AL409:AL414" si="83">+SUMIF($C:$C,$V409,Q:Q)</f>
        <v>56857.429999999993</v>
      </c>
      <c r="AM409" s="461">
        <f t="shared" ref="AM409:AM418" si="84">AE409-Y409</f>
        <v>-49.211194333415733</v>
      </c>
      <c r="AN409" s="459">
        <f t="shared" ref="AN409:AN431" si="85">AF409-AL409</f>
        <v>-5173.1199999999953</v>
      </c>
      <c r="AO409" s="466">
        <f t="shared" ref="AO409:AO431" si="86">IF(AL409=0,0,AN409/AL409)</f>
        <v>-9.0984063120686173E-2</v>
      </c>
      <c r="AP409" s="38"/>
      <c r="AQ409" s="38"/>
      <c r="AR409" s="3"/>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112</v>
      </c>
      <c r="B410" s="3"/>
      <c r="C410" s="433" t="s">
        <v>598</v>
      </c>
      <c r="V410" s="313" t="s">
        <v>112</v>
      </c>
      <c r="W410" s="467" t="s">
        <v>608</v>
      </c>
      <c r="X410" s="440"/>
      <c r="Y410" s="468">
        <f t="shared" si="74"/>
        <v>402.82828282828285</v>
      </c>
      <c r="Z410" s="441">
        <f t="shared" si="75"/>
        <v>39880</v>
      </c>
      <c r="AA410" s="440"/>
      <c r="AB410" s="468"/>
      <c r="AC410" s="441"/>
      <c r="AD410" s="469"/>
      <c r="AE410" s="468">
        <f t="shared" si="76"/>
        <v>453.27048780487803</v>
      </c>
      <c r="AF410" s="441">
        <f t="shared" si="77"/>
        <v>37168.18</v>
      </c>
      <c r="AG410" s="442">
        <f t="shared" si="78"/>
        <v>50.442204976595178</v>
      </c>
      <c r="AH410" s="443">
        <f t="shared" si="79"/>
        <v>-2711.8199999999997</v>
      </c>
      <c r="AI410" s="470">
        <f t="shared" si="80"/>
        <v>-6.7999498495486449E-2</v>
      </c>
      <c r="AJ410" s="1149">
        <f t="shared" si="81"/>
        <v>6.1015156559476723E-2</v>
      </c>
      <c r="AK410" s="443">
        <f t="shared" si="82"/>
        <v>387.48935779816509</v>
      </c>
      <c r="AL410" s="441">
        <f t="shared" si="83"/>
        <v>42236.34</v>
      </c>
      <c r="AM410" s="445">
        <f t="shared" si="84"/>
        <v>50.442204976595178</v>
      </c>
      <c r="AN410" s="443">
        <f t="shared" si="85"/>
        <v>-5068.1599999999962</v>
      </c>
      <c r="AO410" s="446">
        <f t="shared" si="86"/>
        <v>-0.11999524580018052</v>
      </c>
      <c r="AP410" s="38"/>
      <c r="AQ410" s="38"/>
      <c r="AR410" s="41"/>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113</v>
      </c>
      <c r="B411" s="3"/>
      <c r="C411" s="433" t="s">
        <v>598</v>
      </c>
      <c r="V411" s="312" t="s">
        <v>113</v>
      </c>
      <c r="W411" s="463" t="s">
        <v>609</v>
      </c>
      <c r="X411" s="456"/>
      <c r="Y411" s="464">
        <f t="shared" si="74"/>
        <v>74.090909090909093</v>
      </c>
      <c r="Z411" s="457">
        <f t="shared" si="75"/>
        <v>7335</v>
      </c>
      <c r="AA411" s="456"/>
      <c r="AB411" s="464"/>
      <c r="AC411" s="457"/>
      <c r="AD411" s="465"/>
      <c r="AE411" s="464">
        <f t="shared" si="76"/>
        <v>73.97682926829269</v>
      </c>
      <c r="AF411" s="457">
        <f t="shared" si="77"/>
        <v>6066.1</v>
      </c>
      <c r="AG411" s="458">
        <f t="shared" si="78"/>
        <v>-0.1140798226164037</v>
      </c>
      <c r="AH411" s="459">
        <f t="shared" si="79"/>
        <v>-1268.8999999999996</v>
      </c>
      <c r="AI411" s="460">
        <f t="shared" si="80"/>
        <v>-0.17299250170415809</v>
      </c>
      <c r="AJ411" s="1148">
        <f t="shared" si="81"/>
        <v>2.0369603602009075E-2</v>
      </c>
      <c r="AK411" s="459">
        <f t="shared" si="82"/>
        <v>129.36137614678898</v>
      </c>
      <c r="AL411" s="457">
        <f t="shared" si="83"/>
        <v>14100.39</v>
      </c>
      <c r="AM411" s="461">
        <f t="shared" si="84"/>
        <v>-0.1140798226164037</v>
      </c>
      <c r="AN411" s="459">
        <f t="shared" si="85"/>
        <v>-8034.2899999999991</v>
      </c>
      <c r="AO411" s="466">
        <f t="shared" si="86"/>
        <v>-0.56979204121304439</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114</v>
      </c>
      <c r="B412" s="3"/>
      <c r="C412" s="433" t="s">
        <v>598</v>
      </c>
      <c r="V412" s="312" t="s">
        <v>114</v>
      </c>
      <c r="W412" s="463" t="s">
        <v>610</v>
      </c>
      <c r="X412" s="456"/>
      <c r="Y412" s="464">
        <f t="shared" si="74"/>
        <v>24.343434343434343</v>
      </c>
      <c r="Z412" s="457">
        <f t="shared" si="75"/>
        <v>2410</v>
      </c>
      <c r="AA412" s="456"/>
      <c r="AB412" s="464"/>
      <c r="AC412" s="457"/>
      <c r="AD412" s="465"/>
      <c r="AE412" s="464">
        <f t="shared" si="76"/>
        <v>32.871585365853662</v>
      </c>
      <c r="AF412" s="457">
        <f t="shared" si="77"/>
        <v>2695.4700000000003</v>
      </c>
      <c r="AG412" s="458">
        <f t="shared" si="78"/>
        <v>8.5281510224193191</v>
      </c>
      <c r="AH412" s="459">
        <f t="shared" si="79"/>
        <v>285.47000000000025</v>
      </c>
      <c r="AI412" s="460">
        <f t="shared" si="80"/>
        <v>0.11845228215767645</v>
      </c>
      <c r="AJ412" s="1148">
        <f t="shared" si="81"/>
        <v>8.486088855647391E-4</v>
      </c>
      <c r="AK412" s="459">
        <f t="shared" si="82"/>
        <v>5.3892660550458711</v>
      </c>
      <c r="AL412" s="457">
        <f t="shared" si="83"/>
        <v>587.42999999999995</v>
      </c>
      <c r="AM412" s="461">
        <f t="shared" si="84"/>
        <v>8.5281510224193191</v>
      </c>
      <c r="AN412" s="459">
        <f t="shared" si="85"/>
        <v>2108.0400000000004</v>
      </c>
      <c r="AO412" s="466">
        <f t="shared" si="86"/>
        <v>3.5885807670701202</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115</v>
      </c>
      <c r="B413" s="3"/>
      <c r="C413" s="433" t="s">
        <v>598</v>
      </c>
      <c r="V413" s="313" t="s">
        <v>115</v>
      </c>
      <c r="W413" s="467"/>
      <c r="X413" s="440"/>
      <c r="Y413" s="468">
        <f t="shared" si="74"/>
        <v>139.04797979797979</v>
      </c>
      <c r="Z413" s="441">
        <f t="shared" si="75"/>
        <v>13765.75</v>
      </c>
      <c r="AA413" s="440"/>
      <c r="AB413" s="468"/>
      <c r="AC413" s="441"/>
      <c r="AD413" s="469"/>
      <c r="AE413" s="468">
        <f t="shared" si="76"/>
        <v>169.27707317073171</v>
      </c>
      <c r="AF413" s="441">
        <f t="shared" si="77"/>
        <v>13880.72</v>
      </c>
      <c r="AG413" s="442">
        <f t="shared" si="78"/>
        <v>30.229093372751919</v>
      </c>
      <c r="AH413" s="443">
        <f t="shared" si="79"/>
        <v>114.96999999999935</v>
      </c>
      <c r="AI413" s="470">
        <f t="shared" si="80"/>
        <v>8.3518878375678299E-3</v>
      </c>
      <c r="AJ413" s="1149">
        <f t="shared" si="81"/>
        <v>2.1446721337170585E-2</v>
      </c>
      <c r="AK413" s="443">
        <f t="shared" si="82"/>
        <v>136.20183486238531</v>
      </c>
      <c r="AL413" s="441">
        <f t="shared" si="83"/>
        <v>14846</v>
      </c>
      <c r="AM413" s="445">
        <f t="shared" si="84"/>
        <v>30.229093372751919</v>
      </c>
      <c r="AN413" s="443">
        <f t="shared" si="85"/>
        <v>-965.28000000000065</v>
      </c>
      <c r="AO413" s="446">
        <f t="shared" si="86"/>
        <v>-6.5019533881180161E-2</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116</v>
      </c>
      <c r="B414" s="3"/>
      <c r="C414" s="433" t="s">
        <v>598</v>
      </c>
      <c r="V414" s="312" t="s">
        <v>116</v>
      </c>
      <c r="W414" s="463" t="s">
        <v>611</v>
      </c>
      <c r="X414" s="460"/>
      <c r="Y414" s="464">
        <f t="shared" si="74"/>
        <v>168.12121212121212</v>
      </c>
      <c r="Z414" s="457">
        <f t="shared" si="75"/>
        <v>16644</v>
      </c>
      <c r="AA414" s="460"/>
      <c r="AB414" s="464"/>
      <c r="AC414" s="457"/>
      <c r="AD414" s="465"/>
      <c r="AE414" s="464">
        <f t="shared" si="76"/>
        <v>261.70609756097565</v>
      </c>
      <c r="AF414" s="457">
        <f t="shared" si="77"/>
        <v>21459.9</v>
      </c>
      <c r="AG414" s="458">
        <f t="shared" si="78"/>
        <v>93.584885439763525</v>
      </c>
      <c r="AH414" s="459">
        <f t="shared" si="79"/>
        <v>4815.9000000000015</v>
      </c>
      <c r="AI414" s="460">
        <f t="shared" si="80"/>
        <v>0.28934751261715941</v>
      </c>
      <c r="AJ414" s="1148">
        <f t="shared" si="81"/>
        <v>3.2269225780871734E-2</v>
      </c>
      <c r="AK414" s="459">
        <f t="shared" si="82"/>
        <v>204.9323853211009</v>
      </c>
      <c r="AL414" s="457">
        <f t="shared" si="83"/>
        <v>22337.629999999997</v>
      </c>
      <c r="AM414" s="461">
        <f t="shared" si="84"/>
        <v>93.584885439763525</v>
      </c>
      <c r="AN414" s="459">
        <f t="shared" si="85"/>
        <v>-877.72999999999593</v>
      </c>
      <c r="AO414" s="466">
        <f t="shared" si="86"/>
        <v>-3.929378362879124E-2</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customHeight="1">
      <c r="A415" s="5" t="s">
        <v>117</v>
      </c>
      <c r="B415" s="3"/>
      <c r="C415" s="433" t="s">
        <v>598</v>
      </c>
      <c r="V415" s="312" t="s">
        <v>117</v>
      </c>
      <c r="W415" s="463" t="s">
        <v>612</v>
      </c>
      <c r="X415" s="456"/>
      <c r="Y415" s="464">
        <f t="shared" si="74"/>
        <v>467.4317295632116</v>
      </c>
      <c r="Z415" s="457">
        <f t="shared" si="75"/>
        <v>46275.741226757949</v>
      </c>
      <c r="AA415" s="456"/>
      <c r="AB415" s="464"/>
      <c r="AC415" s="457"/>
      <c r="AD415" s="465"/>
      <c r="AE415" s="464">
        <f t="shared" ref="AE415:AE418" si="87">IF(AF415=0,0,AF415/(J$13+J$13))</f>
        <v>163.77288461538458</v>
      </c>
      <c r="AF415" s="958">
        <f t="shared" si="77"/>
        <v>17032.379999999997</v>
      </c>
      <c r="AG415" s="1016">
        <f t="shared" si="78"/>
        <v>-303.65884494782699</v>
      </c>
      <c r="AH415" s="962">
        <f t="shared" si="79"/>
        <v>-29243.361226757952</v>
      </c>
      <c r="AI415" s="460">
        <f t="shared" si="80"/>
        <v>-0.63193717597004384</v>
      </c>
      <c r="AJ415" s="1148">
        <f t="shared" si="81"/>
        <v>7.4883569266048056E-2</v>
      </c>
      <c r="AK415" s="459">
        <f t="shared" si="82"/>
        <v>475.56357798165141</v>
      </c>
      <c r="AL415" s="457">
        <f>IFERROR(SUMIF($C:$C,$V415,Q:Q),0)</f>
        <v>51836.43</v>
      </c>
      <c r="AM415" s="461">
        <f t="shared" si="84"/>
        <v>-303.65884494782699</v>
      </c>
      <c r="AN415" s="459">
        <f t="shared" si="85"/>
        <v>-34804.050000000003</v>
      </c>
      <c r="AO415" s="466">
        <f t="shared" si="86"/>
        <v>-0.67142065917733929</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
        <v>59</v>
      </c>
      <c r="B416" s="3"/>
      <c r="C416" s="433" t="s">
        <v>598</v>
      </c>
      <c r="V416" s="312" t="s">
        <v>59</v>
      </c>
      <c r="W416" s="463"/>
      <c r="X416" s="460"/>
      <c r="Y416" s="464">
        <f t="shared" si="74"/>
        <v>0</v>
      </c>
      <c r="Z416" s="457">
        <f>IFERROR(SUMIF($C:$C,$V416,F:F),0)</f>
        <v>0</v>
      </c>
      <c r="AA416" s="456"/>
      <c r="AB416" s="464"/>
      <c r="AC416" s="457"/>
      <c r="AD416" s="465"/>
      <c r="AE416" s="464">
        <f t="shared" si="87"/>
        <v>0</v>
      </c>
      <c r="AF416" s="457">
        <f>IFERROR(SUMIF($C:$C,$V416,L:L),0)</f>
        <v>0</v>
      </c>
      <c r="AG416" s="458">
        <f t="shared" si="78"/>
        <v>0</v>
      </c>
      <c r="AH416" s="459">
        <f t="shared" si="79"/>
        <v>0</v>
      </c>
      <c r="AI416" s="460">
        <f t="shared" si="80"/>
        <v>0</v>
      </c>
      <c r="AJ416" s="465"/>
      <c r="AK416" s="459">
        <f t="shared" si="82"/>
        <v>0</v>
      </c>
      <c r="AL416" s="457">
        <f>IFERROR(SUMIF($C:$C,$V416,Q:Q),0)</f>
        <v>0</v>
      </c>
      <c r="AM416" s="461">
        <f t="shared" si="84"/>
        <v>0</v>
      </c>
      <c r="AN416" s="459">
        <f t="shared" si="85"/>
        <v>0</v>
      </c>
      <c r="AO416" s="466">
        <f t="shared" si="86"/>
        <v>0</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59</v>
      </c>
      <c r="B417" s="3"/>
      <c r="C417" s="433" t="s">
        <v>598</v>
      </c>
      <c r="V417" s="312" t="s">
        <v>59</v>
      </c>
      <c r="W417" s="463"/>
      <c r="X417" s="460"/>
      <c r="Y417" s="464">
        <f t="shared" si="74"/>
        <v>0</v>
      </c>
      <c r="Z417" s="457">
        <f>IFERROR(SUMIF($C:$C,$V417,F:F),0)</f>
        <v>0</v>
      </c>
      <c r="AA417" s="456"/>
      <c r="AB417" s="464"/>
      <c r="AC417" s="457"/>
      <c r="AD417" s="465"/>
      <c r="AE417" s="464">
        <f t="shared" si="87"/>
        <v>0</v>
      </c>
      <c r="AF417" s="457">
        <f>IFERROR(SUMIF($C:$C,$V417,L:L),0)</f>
        <v>0</v>
      </c>
      <c r="AG417" s="458">
        <f t="shared" si="78"/>
        <v>0</v>
      </c>
      <c r="AH417" s="459">
        <f t="shared" si="79"/>
        <v>0</v>
      </c>
      <c r="AI417" s="460">
        <f t="shared" si="80"/>
        <v>0</v>
      </c>
      <c r="AJ417" s="465"/>
      <c r="AK417" s="459">
        <f t="shared" si="82"/>
        <v>0</v>
      </c>
      <c r="AL417" s="457">
        <f>IFERROR(SUMIF($C:$C,$V417,Q:Q),0)</f>
        <v>0</v>
      </c>
      <c r="AM417" s="461">
        <f t="shared" si="84"/>
        <v>0</v>
      </c>
      <c r="AN417" s="459">
        <f t="shared" si="85"/>
        <v>0</v>
      </c>
      <c r="AO417" s="466">
        <f t="shared" si="86"/>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
        <v>59</v>
      </c>
      <c r="B418" s="3"/>
      <c r="C418" s="433" t="s">
        <v>598</v>
      </c>
      <c r="V418" s="312" t="s">
        <v>59</v>
      </c>
      <c r="W418" s="463" t="s">
        <v>612</v>
      </c>
      <c r="X418" s="456"/>
      <c r="Y418" s="464">
        <f t="shared" si="74"/>
        <v>0</v>
      </c>
      <c r="Z418" s="457">
        <f>IFERROR(SUMIF($C:$C,$V418,F:F),0)</f>
        <v>0</v>
      </c>
      <c r="AA418" s="456"/>
      <c r="AB418" s="464"/>
      <c r="AC418" s="457"/>
      <c r="AD418" s="465"/>
      <c r="AE418" s="464">
        <f t="shared" si="87"/>
        <v>0</v>
      </c>
      <c r="AF418" s="457">
        <f>IFERROR(SUMIF($C:$C,$V418,L:L),0)</f>
        <v>0</v>
      </c>
      <c r="AG418" s="458">
        <f t="shared" si="78"/>
        <v>0</v>
      </c>
      <c r="AH418" s="459">
        <f t="shared" si="79"/>
        <v>0</v>
      </c>
      <c r="AI418" s="460">
        <f t="shared" si="80"/>
        <v>0</v>
      </c>
      <c r="AJ418" s="465"/>
      <c r="AK418" s="459">
        <f t="shared" si="82"/>
        <v>0</v>
      </c>
      <c r="AL418" s="457">
        <f>IFERROR(SUMIF($C:$C,$V418,Q:Q),0)</f>
        <v>0</v>
      </c>
      <c r="AM418" s="461">
        <f t="shared" si="84"/>
        <v>0</v>
      </c>
      <c r="AN418" s="459">
        <f t="shared" si="85"/>
        <v>0</v>
      </c>
      <c r="AO418" s="466">
        <f t="shared" si="86"/>
        <v>0</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customHeight="1">
      <c r="A419" s="5" t="s">
        <v>118</v>
      </c>
      <c r="B419" s="3"/>
      <c r="C419" s="433" t="s">
        <v>598</v>
      </c>
      <c r="V419" s="471" t="s">
        <v>118</v>
      </c>
      <c r="W419" s="472"/>
      <c r="X419" s="473">
        <f>Z419/Z407</f>
        <v>0.24569713559568626</v>
      </c>
      <c r="Y419" s="472"/>
      <c r="Z419" s="474">
        <f>SUM(Z409:Z418)</f>
        <v>193581.74934381485</v>
      </c>
      <c r="AA419" s="473"/>
      <c r="AB419" s="472"/>
      <c r="AC419" s="474"/>
      <c r="AD419" s="475">
        <f>AF419/AF407</f>
        <v>0.20419476742523845</v>
      </c>
      <c r="AE419" s="472"/>
      <c r="AF419" s="474">
        <f>SUM(AF409:AF418)</f>
        <v>149987.06</v>
      </c>
      <c r="AG419" s="476"/>
      <c r="AH419" s="477">
        <f t="shared" ref="AH419:AH451" si="88">AF419-Z419</f>
        <v>-43594.689343814855</v>
      </c>
      <c r="AI419" s="473">
        <f>AH419/Z419</f>
        <v>-0.22520041011917713</v>
      </c>
      <c r="AJ419" s="475">
        <f>IF($AL$407=0,0,AL419/$AL$407)</f>
        <v>0.29296985546735821</v>
      </c>
      <c r="AK419" s="472"/>
      <c r="AL419" s="474">
        <f>SUM(AL409:AL418)</f>
        <v>202801.64999999997</v>
      </c>
      <c r="AM419" s="478"/>
      <c r="AN419" s="477">
        <f t="shared" si="85"/>
        <v>-52814.589999999967</v>
      </c>
      <c r="AO419" s="454">
        <f t="shared" si="86"/>
        <v>-0.26042485354532358</v>
      </c>
      <c r="AP419" s="38"/>
      <c r="AQ419" s="38"/>
      <c r="AR419" s="41"/>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204</v>
      </c>
      <c r="B420" s="3"/>
      <c r="C420" s="433" t="s">
        <v>598</v>
      </c>
      <c r="V420" s="312" t="s">
        <v>204</v>
      </c>
      <c r="W420" s="463" t="s">
        <v>613</v>
      </c>
      <c r="X420" s="456"/>
      <c r="Y420" s="456"/>
      <c r="Z420" s="457">
        <f>+INDEX('Budget original'!$A$2:$AO$501,MATCH($A420,'Budget original'!$A$2:$A$501,0),MATCH(F$2,'Budget original'!$A$2:$AO$2,0))</f>
        <v>17433.836538461539</v>
      </c>
      <c r="AA420" s="456"/>
      <c r="AB420" s="456"/>
      <c r="AC420" s="457"/>
      <c r="AD420" s="465"/>
      <c r="AE420" s="464"/>
      <c r="AF420" s="457">
        <f>SUMIFS(BV_Data_An_Cour!$O:$O,BV_Data_An_Cour!$V:$V,$V420)</f>
        <v>18425.95</v>
      </c>
      <c r="AG420" s="458"/>
      <c r="AH420" s="459">
        <f t="shared" si="88"/>
        <v>992.11346153846171</v>
      </c>
      <c r="AI420" s="460">
        <f t="shared" ref="AI420:AI432" si="89">IF(Z420=0,0,AH420/Z420)</f>
        <v>5.6907351365244101E-2</v>
      </c>
      <c r="AJ420" s="465"/>
      <c r="AK420" s="456"/>
      <c r="AL420" s="457">
        <f>+INDEX('Réel 2024'!$A$2:$AO$501,MATCH($A420,'Réel 2024'!$A$2:$A$501,0),MATCH(F$2,'Réel 2024'!$A$2:$AO$2,0))</f>
        <v>18548.37</v>
      </c>
      <c r="AM420" s="461"/>
      <c r="AN420" s="459">
        <f t="shared" si="85"/>
        <v>-122.41999999999825</v>
      </c>
      <c r="AO420" s="466">
        <f t="shared" si="86"/>
        <v>-6.6000408661245303E-3</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120</v>
      </c>
      <c r="B421" s="3"/>
      <c r="C421" s="433" t="s">
        <v>598</v>
      </c>
      <c r="V421" s="312" t="s">
        <v>120</v>
      </c>
      <c r="W421" s="463" t="s">
        <v>614</v>
      </c>
      <c r="X421" s="456"/>
      <c r="Y421" s="456"/>
      <c r="Z421" s="457">
        <f t="shared" ref="Z421:Z431" si="90">+SUMIF($C:$C,$V421,F:F)</f>
        <v>66080.858974358984</v>
      </c>
      <c r="AA421" s="456"/>
      <c r="AB421" s="456"/>
      <c r="AC421" s="457"/>
      <c r="AD421" s="465"/>
      <c r="AE421" s="464"/>
      <c r="AF421" s="457">
        <f>+SUMIF($C:$C,$V421,L:L)</f>
        <v>41471.929999999993</v>
      </c>
      <c r="AG421" s="458"/>
      <c r="AH421" s="459">
        <f t="shared" si="88"/>
        <v>-24608.928974358991</v>
      </c>
      <c r="AI421" s="460">
        <f t="shared" si="89"/>
        <v>-0.3724063118475483</v>
      </c>
      <c r="AJ421" s="465"/>
      <c r="AK421" s="456"/>
      <c r="AL421" s="457">
        <f t="shared" ref="AL421:AL429" si="91">+SUMIF($C:$C,$V421,Q:Q)</f>
        <v>43996.639999999999</v>
      </c>
      <c r="AM421" s="461"/>
      <c r="AN421" s="459">
        <f t="shared" si="85"/>
        <v>-2524.7100000000064</v>
      </c>
      <c r="AO421" s="466">
        <f t="shared" si="86"/>
        <v>-5.7384154790002292E-2</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121</v>
      </c>
      <c r="B422" s="3"/>
      <c r="C422" s="433" t="s">
        <v>598</v>
      </c>
      <c r="V422" s="313" t="s">
        <v>121</v>
      </c>
      <c r="W422" s="467" t="s">
        <v>615</v>
      </c>
      <c r="X422" s="440"/>
      <c r="Y422" s="440"/>
      <c r="Z422" s="441">
        <f t="shared" si="90"/>
        <v>76615.390769230769</v>
      </c>
      <c r="AA422" s="440"/>
      <c r="AB422" s="440"/>
      <c r="AC422" s="441"/>
      <c r="AD422" s="469"/>
      <c r="AE422" s="468"/>
      <c r="AF422" s="441">
        <f>+SUMIF($C:$C,$V422,L:L)</f>
        <v>58264.26</v>
      </c>
      <c r="AG422" s="442"/>
      <c r="AH422" s="443">
        <f t="shared" si="88"/>
        <v>-18351.130769230767</v>
      </c>
      <c r="AI422" s="470">
        <f t="shared" si="89"/>
        <v>-0.23952277192588176</v>
      </c>
      <c r="AJ422" s="469"/>
      <c r="AK422" s="440"/>
      <c r="AL422" s="441">
        <f t="shared" si="91"/>
        <v>52421.899999999994</v>
      </c>
      <c r="AM422" s="445"/>
      <c r="AN422" s="443">
        <f t="shared" si="85"/>
        <v>5842.3600000000079</v>
      </c>
      <c r="AO422" s="446">
        <f t="shared" si="86"/>
        <v>0.11144884103781069</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122</v>
      </c>
      <c r="B423" s="3"/>
      <c r="C423" s="433" t="s">
        <v>598</v>
      </c>
      <c r="V423" s="312" t="s">
        <v>122</v>
      </c>
      <c r="W423" s="463" t="s">
        <v>616</v>
      </c>
      <c r="X423" s="456"/>
      <c r="Y423" s="456"/>
      <c r="Z423" s="457">
        <f t="shared" si="90"/>
        <v>24357.5</v>
      </c>
      <c r="AA423" s="456"/>
      <c r="AB423" s="456"/>
      <c r="AC423" s="457"/>
      <c r="AD423" s="465"/>
      <c r="AE423" s="464"/>
      <c r="AF423" s="457">
        <f>+SUMIF($C:$C,$V423,L:L)</f>
        <v>32775.370000000003</v>
      </c>
      <c r="AG423" s="458"/>
      <c r="AH423" s="459">
        <f t="shared" si="88"/>
        <v>8417.8700000000026</v>
      </c>
      <c r="AI423" s="460">
        <f t="shared" si="89"/>
        <v>0.34559663348044761</v>
      </c>
      <c r="AJ423" s="465"/>
      <c r="AK423" s="456"/>
      <c r="AL423" s="457">
        <f t="shared" si="91"/>
        <v>33599.850000000006</v>
      </c>
      <c r="AM423" s="461"/>
      <c r="AN423" s="459">
        <f t="shared" si="85"/>
        <v>-824.4800000000032</v>
      </c>
      <c r="AO423" s="466">
        <f t="shared" si="86"/>
        <v>-2.4538204783652397E-2</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5" t="s">
        <v>123</v>
      </c>
      <c r="B424" s="3"/>
      <c r="C424" s="433" t="s">
        <v>598</v>
      </c>
      <c r="V424" s="312" t="s">
        <v>123</v>
      </c>
      <c r="W424" s="463" t="s">
        <v>617</v>
      </c>
      <c r="X424" s="456"/>
      <c r="Y424" s="456"/>
      <c r="Z424" s="457">
        <f t="shared" si="90"/>
        <v>37148.063011692306</v>
      </c>
      <c r="AA424" s="456"/>
      <c r="AB424" s="456"/>
      <c r="AC424" s="457"/>
      <c r="AD424" s="465"/>
      <c r="AE424" s="464"/>
      <c r="AF424" s="457">
        <f>+SUMIF($C:$C,$V424,L:L)</f>
        <v>30524.63</v>
      </c>
      <c r="AG424" s="458"/>
      <c r="AH424" s="459">
        <f t="shared" si="88"/>
        <v>-6623.4330116923047</v>
      </c>
      <c r="AI424" s="460">
        <f t="shared" si="89"/>
        <v>-0.17829820654733969</v>
      </c>
      <c r="AJ424" s="465"/>
      <c r="AK424" s="456"/>
      <c r="AL424" s="457">
        <f t="shared" si="91"/>
        <v>37414.44</v>
      </c>
      <c r="AM424" s="461"/>
      <c r="AN424" s="459">
        <f t="shared" si="85"/>
        <v>-6889.8100000000013</v>
      </c>
      <c r="AO424" s="466">
        <f t="shared" si="86"/>
        <v>-0.18414841970105661</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
        <v>59</v>
      </c>
      <c r="B425" s="3"/>
      <c r="C425" s="433" t="s">
        <v>598</v>
      </c>
      <c r="V425" s="312" t="s">
        <v>59</v>
      </c>
      <c r="W425" s="463"/>
      <c r="X425" s="456"/>
      <c r="Y425" s="456"/>
      <c r="Z425" s="457">
        <f t="shared" si="90"/>
        <v>0</v>
      </c>
      <c r="AA425" s="456"/>
      <c r="AB425" s="456"/>
      <c r="AC425" s="457"/>
      <c r="AD425" s="465"/>
      <c r="AE425" s="464"/>
      <c r="AF425" s="457">
        <f>IFERROR(SUMIF($C:$C,$V425,L:L),0)</f>
        <v>0</v>
      </c>
      <c r="AG425" s="458"/>
      <c r="AH425" s="459">
        <f t="shared" si="88"/>
        <v>0</v>
      </c>
      <c r="AI425" s="460">
        <f t="shared" si="89"/>
        <v>0</v>
      </c>
      <c r="AJ425" s="465"/>
      <c r="AK425" s="456"/>
      <c r="AL425" s="457">
        <f t="shared" si="91"/>
        <v>0</v>
      </c>
      <c r="AM425" s="461"/>
      <c r="AN425" s="459">
        <f t="shared" si="85"/>
        <v>0</v>
      </c>
      <c r="AO425" s="466">
        <f t="shared" si="86"/>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59</v>
      </c>
      <c r="B426" s="3"/>
      <c r="C426" s="433" t="s">
        <v>598</v>
      </c>
      <c r="V426" s="312" t="s">
        <v>59</v>
      </c>
      <c r="W426" s="463"/>
      <c r="X426" s="456"/>
      <c r="Y426" s="456"/>
      <c r="Z426" s="457">
        <f t="shared" si="90"/>
        <v>0</v>
      </c>
      <c r="AA426" s="456"/>
      <c r="AB426" s="456"/>
      <c r="AC426" s="457"/>
      <c r="AD426" s="465"/>
      <c r="AE426" s="464"/>
      <c r="AF426" s="457">
        <f>IFERROR(SUMIF($C:$C,$V426,L:L),0)</f>
        <v>0</v>
      </c>
      <c r="AG426" s="458"/>
      <c r="AH426" s="459">
        <f t="shared" si="88"/>
        <v>0</v>
      </c>
      <c r="AI426" s="460">
        <f t="shared" si="89"/>
        <v>0</v>
      </c>
      <c r="AJ426" s="465"/>
      <c r="AK426" s="456"/>
      <c r="AL426" s="457">
        <f t="shared" si="91"/>
        <v>0</v>
      </c>
      <c r="AM426" s="461"/>
      <c r="AN426" s="459">
        <f t="shared" si="85"/>
        <v>0</v>
      </c>
      <c r="AO426" s="466">
        <f t="shared" si="86"/>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
        <v>59</v>
      </c>
      <c r="B427" s="3"/>
      <c r="C427" s="433" t="s">
        <v>598</v>
      </c>
      <c r="V427" s="312" t="s">
        <v>59</v>
      </c>
      <c r="W427" s="463"/>
      <c r="X427" s="456"/>
      <c r="Y427" s="456"/>
      <c r="Z427" s="457">
        <f t="shared" si="90"/>
        <v>0</v>
      </c>
      <c r="AA427" s="456"/>
      <c r="AB427" s="456"/>
      <c r="AC427" s="457"/>
      <c r="AD427" s="465"/>
      <c r="AE427" s="464"/>
      <c r="AF427" s="457">
        <f>IFERROR(SUMIF($C:$C,$V427,L:L),0)</f>
        <v>0</v>
      </c>
      <c r="AG427" s="458"/>
      <c r="AH427" s="459">
        <f t="shared" si="88"/>
        <v>0</v>
      </c>
      <c r="AI427" s="460">
        <f t="shared" si="89"/>
        <v>0</v>
      </c>
      <c r="AJ427" s="465"/>
      <c r="AK427" s="456"/>
      <c r="AL427" s="457">
        <f t="shared" si="91"/>
        <v>0</v>
      </c>
      <c r="AM427" s="461"/>
      <c r="AN427" s="459">
        <f t="shared" si="85"/>
        <v>0</v>
      </c>
      <c r="AO427" s="466">
        <f t="shared" si="86"/>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5" t="s">
        <v>124</v>
      </c>
      <c r="B428" s="3"/>
      <c r="C428" s="433" t="s">
        <v>598</v>
      </c>
      <c r="V428" s="313" t="s">
        <v>124</v>
      </c>
      <c r="W428" s="467" t="s">
        <v>618</v>
      </c>
      <c r="X428" s="440"/>
      <c r="Y428" s="1150">
        <f>Z428/(SUM(Z420:Z424)+E194-F194+Z409+Z410)</f>
        <v>0.1159399880390808</v>
      </c>
      <c r="Z428" s="441">
        <f t="shared" si="90"/>
        <v>50874.026198030195</v>
      </c>
      <c r="AA428" s="440"/>
      <c r="AB428" s="440"/>
      <c r="AC428" s="441"/>
      <c r="AD428" s="469"/>
      <c r="AE428" s="468"/>
      <c r="AF428" s="441">
        <f>+SUMIF($C:$C,$V428,L:L)</f>
        <v>49343.119999999995</v>
      </c>
      <c r="AG428" s="442"/>
      <c r="AH428" s="443">
        <f t="shared" si="88"/>
        <v>-1530.9061980301994</v>
      </c>
      <c r="AI428" s="470">
        <f t="shared" si="89"/>
        <v>-3.0092098314984061E-2</v>
      </c>
      <c r="AJ428" s="469"/>
      <c r="AK428" s="440"/>
      <c r="AL428" s="441">
        <f t="shared" si="91"/>
        <v>55516.55</v>
      </c>
      <c r="AM428" s="445"/>
      <c r="AN428" s="443">
        <f t="shared" si="85"/>
        <v>-6173.4300000000076</v>
      </c>
      <c r="AO428" s="446">
        <f t="shared" si="86"/>
        <v>-0.11119981338898054</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125</v>
      </c>
      <c r="B429" s="3"/>
      <c r="C429" s="433" t="s">
        <v>598</v>
      </c>
      <c r="V429" s="312" t="s">
        <v>125</v>
      </c>
      <c r="W429" s="463" t="s">
        <v>619</v>
      </c>
      <c r="X429" s="456"/>
      <c r="Y429" s="1151">
        <f>Z429/(SUM(Z420:Z424)+E194-F194+Z409+Z410)</f>
        <v>0.14096668149245067</v>
      </c>
      <c r="Z429" s="457">
        <f t="shared" si="90"/>
        <v>61855.644187913364</v>
      </c>
      <c r="AA429" s="456"/>
      <c r="AB429" s="456"/>
      <c r="AC429" s="457"/>
      <c r="AD429" s="465"/>
      <c r="AE429" s="464"/>
      <c r="AF429" s="457">
        <f>+SUMIF($C:$C,$V429,L:L)</f>
        <v>61080.929999999993</v>
      </c>
      <c r="AG429" s="458"/>
      <c r="AH429" s="459">
        <f t="shared" si="88"/>
        <v>-774.71418791337055</v>
      </c>
      <c r="AI429" s="460">
        <f t="shared" si="89"/>
        <v>-1.2524551285244722E-2</v>
      </c>
      <c r="AJ429" s="465"/>
      <c r="AK429" s="456"/>
      <c r="AL429" s="457">
        <f t="shared" si="91"/>
        <v>58711.41</v>
      </c>
      <c r="AM429" s="461"/>
      <c r="AN429" s="459">
        <f t="shared" si="85"/>
        <v>2369.5199999999895</v>
      </c>
      <c r="AO429" s="466">
        <f t="shared" si="86"/>
        <v>4.035876501688495E-2</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126</v>
      </c>
      <c r="B430" s="3"/>
      <c r="C430" s="433" t="s">
        <v>598</v>
      </c>
      <c r="V430" s="312" t="s">
        <v>126</v>
      </c>
      <c r="W430" s="463" t="s">
        <v>620</v>
      </c>
      <c r="X430" s="456"/>
      <c r="Y430" s="1151">
        <f>Z430/(SUM(Z420:Z424)+E194-F194+Z410+Z409)</f>
        <v>7.2628485899371306E-2</v>
      </c>
      <c r="Z430" s="457">
        <f t="shared" si="90"/>
        <v>31869.10363594666</v>
      </c>
      <c r="AA430" s="456"/>
      <c r="AB430" s="456"/>
      <c r="AC430" s="457"/>
      <c r="AD430" s="465"/>
      <c r="AE430" s="464"/>
      <c r="AF430" s="457">
        <f>+SUMIF($C:$C,$V430,L:L)</f>
        <v>28835.01</v>
      </c>
      <c r="AG430" s="458"/>
      <c r="AH430" s="459">
        <f t="shared" si="88"/>
        <v>-3034.0936359466614</v>
      </c>
      <c r="AI430" s="460">
        <f t="shared" si="89"/>
        <v>-9.520486269731053E-2</v>
      </c>
      <c r="AJ430" s="465"/>
      <c r="AK430" s="456"/>
      <c r="AL430" s="457">
        <f>IFERROR(SUMIF($C:$C,$V430,Q:Q),0)</f>
        <v>25693.35</v>
      </c>
      <c r="AM430" s="461"/>
      <c r="AN430" s="459">
        <f t="shared" si="85"/>
        <v>3141.66</v>
      </c>
      <c r="AO430" s="466">
        <f t="shared" si="86"/>
        <v>0.12227521907419624</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5" t="s">
        <v>127</v>
      </c>
      <c r="B431" s="3"/>
      <c r="C431" s="433" t="s">
        <v>598</v>
      </c>
      <c r="V431" s="312" t="s">
        <v>127</v>
      </c>
      <c r="W431" s="463"/>
      <c r="X431" s="456"/>
      <c r="Y431" s="456"/>
      <c r="Z431" s="457">
        <f t="shared" si="90"/>
        <v>13895.108476995028</v>
      </c>
      <c r="AA431" s="456"/>
      <c r="AB431" s="456"/>
      <c r="AC431" s="457"/>
      <c r="AD431" s="465"/>
      <c r="AE431" s="464"/>
      <c r="AF431" s="457">
        <f>+SUMIF($C:$C,$V431,L:L)</f>
        <v>10448.16</v>
      </c>
      <c r="AG431" s="458"/>
      <c r="AH431" s="459">
        <f t="shared" si="88"/>
        <v>-3446.9484769950286</v>
      </c>
      <c r="AI431" s="479">
        <f t="shared" si="89"/>
        <v>-0.24806920238887328</v>
      </c>
      <c r="AJ431" s="465"/>
      <c r="AK431" s="456"/>
      <c r="AL431" s="457">
        <f>IFERROR(SUMIF($C:$C,$V431,Q:Q),0)</f>
        <v>10441.59</v>
      </c>
      <c r="AM431" s="461"/>
      <c r="AN431" s="459">
        <f t="shared" si="85"/>
        <v>6.569999999999709</v>
      </c>
      <c r="AO431" s="466">
        <f t="shared" si="86"/>
        <v>6.292145161799792E-4</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hidden="1" customHeight="1">
      <c r="A432" s="5" t="s">
        <v>59</v>
      </c>
      <c r="B432" s="3"/>
      <c r="C432" s="433" t="s">
        <v>598</v>
      </c>
      <c r="V432" s="253" t="s">
        <v>59</v>
      </c>
      <c r="W432" s="463"/>
      <c r="X432" s="456"/>
      <c r="Y432" s="464"/>
      <c r="Z432" s="457">
        <f>IFERROR(SUMIF($C:$C,$V432,F:F),0)</f>
        <v>0</v>
      </c>
      <c r="AA432" s="456"/>
      <c r="AB432" s="456"/>
      <c r="AC432" s="457"/>
      <c r="AD432" s="465"/>
      <c r="AE432" s="464"/>
      <c r="AF432" s="457">
        <f>IFERROR(SUMIF($C:$C,$V432,L:L),0)</f>
        <v>0</v>
      </c>
      <c r="AG432" s="458"/>
      <c r="AH432" s="459">
        <f t="shared" si="88"/>
        <v>0</v>
      </c>
      <c r="AI432" s="460">
        <f t="shared" si="89"/>
        <v>0</v>
      </c>
      <c r="AJ432" s="465"/>
      <c r="AK432" s="456"/>
      <c r="AL432" s="457">
        <f>IFERROR(SUMIF($C:$C,$V432,Q:Q),0)</f>
        <v>0</v>
      </c>
      <c r="AM432" s="461"/>
      <c r="AN432" s="459"/>
      <c r="AO432" s="446"/>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customHeight="1">
      <c r="A433" s="5" t="s">
        <v>128</v>
      </c>
      <c r="B433" s="3"/>
      <c r="C433" s="433" t="s">
        <v>598</v>
      </c>
      <c r="V433" s="471" t="s">
        <v>128</v>
      </c>
      <c r="W433" s="472"/>
      <c r="X433" s="473">
        <f>Z433/Z407</f>
        <v>0.48246664488447749</v>
      </c>
      <c r="Y433" s="472"/>
      <c r="Z433" s="474">
        <f>SUM(Z420:Z432)</f>
        <v>380129.53179262881</v>
      </c>
      <c r="AA433" s="473"/>
      <c r="AB433" s="472"/>
      <c r="AC433" s="474"/>
      <c r="AD433" s="475">
        <f>AF433/AF407</f>
        <v>0.45085923041337733</v>
      </c>
      <c r="AE433" s="480"/>
      <c r="AF433" s="474">
        <f>SUM(AF420:AF432)</f>
        <v>331169.35999999993</v>
      </c>
      <c r="AG433" s="476"/>
      <c r="AH433" s="477">
        <f t="shared" si="88"/>
        <v>-48960.171792628884</v>
      </c>
      <c r="AI433" s="473">
        <f>AH433/Z433</f>
        <v>-0.12879865334782253</v>
      </c>
      <c r="AJ433" s="475">
        <f>IF($AL$407=0,0,AL433/$AL$407)</f>
        <v>0.48588698545745912</v>
      </c>
      <c r="AK433" s="472"/>
      <c r="AL433" s="474">
        <f>SUM(AL420:AL432)</f>
        <v>336344.10000000003</v>
      </c>
      <c r="AM433" s="482"/>
      <c r="AN433" s="477">
        <f t="shared" ref="AN433:AN451" si="92">AF433-AL433</f>
        <v>-5174.7400000001071</v>
      </c>
      <c r="AO433" s="454">
        <f t="shared" ref="AO433:AO461" si="93">IF(AL433=0,0,AN433/AL433)</f>
        <v>-1.5385255754449406E-2</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129</v>
      </c>
      <c r="B434" s="3"/>
      <c r="C434" s="433" t="s">
        <v>598</v>
      </c>
      <c r="V434" s="406" t="s">
        <v>129</v>
      </c>
      <c r="W434" s="483" t="s">
        <v>611</v>
      </c>
      <c r="X434" s="484"/>
      <c r="Y434" s="484"/>
      <c r="Z434" s="485">
        <f t="shared" ref="Z434:Z448" si="94">+SUMIF($C:$C,$V434,F:F)</f>
        <v>18269.622508647986</v>
      </c>
      <c r="AA434" s="484"/>
      <c r="AB434" s="484"/>
      <c r="AC434" s="485"/>
      <c r="AD434" s="486"/>
      <c r="AE434" s="487"/>
      <c r="AF434" s="485">
        <f t="shared" ref="AF434:AF448" si="95">+SUMIF($C:$C,$V434,L:L)</f>
        <v>22624.880000000001</v>
      </c>
      <c r="AG434" s="486"/>
      <c r="AH434" s="488">
        <f t="shared" si="88"/>
        <v>4355.2574913520148</v>
      </c>
      <c r="AI434" s="489">
        <f t="shared" ref="AI434:AI451" si="96">IF(Z434=0,0,AH434/Z434)</f>
        <v>0.23838792997996752</v>
      </c>
      <c r="AJ434" s="486"/>
      <c r="AK434" s="484"/>
      <c r="AL434" s="485">
        <f t="shared" ref="AL434:AL448" si="97">+SUMIF($C:$C,$V434,Q:Q)</f>
        <v>16013.77</v>
      </c>
      <c r="AM434" s="490"/>
      <c r="AN434" s="488">
        <f t="shared" si="92"/>
        <v>6611.1100000000006</v>
      </c>
      <c r="AO434" s="462">
        <f t="shared" si="93"/>
        <v>0.41283907537075909</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130</v>
      </c>
      <c r="B435" s="3"/>
      <c r="C435" s="433" t="s">
        <v>598</v>
      </c>
      <c r="V435" s="312" t="s">
        <v>130</v>
      </c>
      <c r="W435" s="463" t="s">
        <v>621</v>
      </c>
      <c r="X435" s="456"/>
      <c r="Y435" s="456"/>
      <c r="Z435" s="457">
        <f t="shared" si="94"/>
        <v>4545.3811628057083</v>
      </c>
      <c r="AA435" s="456"/>
      <c r="AB435" s="456"/>
      <c r="AC435" s="457"/>
      <c r="AD435" s="465"/>
      <c r="AE435" s="464"/>
      <c r="AF435" s="457">
        <f t="shared" si="95"/>
        <v>5109.3</v>
      </c>
      <c r="AG435" s="458"/>
      <c r="AH435" s="459">
        <f t="shared" si="88"/>
        <v>563.91883719429188</v>
      </c>
      <c r="AI435" s="460">
        <f t="shared" si="96"/>
        <v>0.12406414709700694</v>
      </c>
      <c r="AJ435" s="465"/>
      <c r="AK435" s="456"/>
      <c r="AL435" s="457">
        <f t="shared" si="97"/>
        <v>6870.4099999999908</v>
      </c>
      <c r="AM435" s="461"/>
      <c r="AN435" s="459">
        <f t="shared" si="92"/>
        <v>-1761.1099999999906</v>
      </c>
      <c r="AO435" s="466">
        <f t="shared" si="93"/>
        <v>-0.2563325915047272</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131</v>
      </c>
      <c r="B436" s="3"/>
      <c r="C436" s="433" t="s">
        <v>598</v>
      </c>
      <c r="U436" s="491"/>
      <c r="V436" s="313" t="s">
        <v>131</v>
      </c>
      <c r="W436" s="467" t="s">
        <v>622</v>
      </c>
      <c r="X436" s="440"/>
      <c r="Y436" s="440"/>
      <c r="Z436" s="441">
        <f t="shared" si="94"/>
        <v>27709.26466666667</v>
      </c>
      <c r="AA436" s="440"/>
      <c r="AB436" s="440"/>
      <c r="AC436" s="441"/>
      <c r="AD436" s="469"/>
      <c r="AE436" s="468"/>
      <c r="AF436" s="441">
        <f t="shared" si="95"/>
        <v>34840.94</v>
      </c>
      <c r="AG436" s="442"/>
      <c r="AH436" s="443">
        <f t="shared" si="88"/>
        <v>7131.6753333333327</v>
      </c>
      <c r="AI436" s="470">
        <f t="shared" si="96"/>
        <v>0.2573751205282796</v>
      </c>
      <c r="AJ436" s="469"/>
      <c r="AK436" s="440"/>
      <c r="AL436" s="441">
        <f t="shared" si="97"/>
        <v>22664.019999999997</v>
      </c>
      <c r="AM436" s="445"/>
      <c r="AN436" s="443">
        <f t="shared" si="92"/>
        <v>12176.920000000006</v>
      </c>
      <c r="AO436" s="446">
        <f t="shared" si="93"/>
        <v>0.53727979414066906</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132</v>
      </c>
      <c r="B437" s="3"/>
      <c r="C437" s="433" t="s">
        <v>598</v>
      </c>
      <c r="U437" s="491"/>
      <c r="V437" s="312" t="s">
        <v>132</v>
      </c>
      <c r="W437" s="463" t="s">
        <v>623</v>
      </c>
      <c r="X437" s="456"/>
      <c r="Y437" s="456"/>
      <c r="Z437" s="457">
        <f t="shared" si="94"/>
        <v>22402.080143777777</v>
      </c>
      <c r="AA437" s="456"/>
      <c r="AB437" s="456"/>
      <c r="AC437" s="457"/>
      <c r="AD437" s="465"/>
      <c r="AE437" s="464"/>
      <c r="AF437" s="457">
        <f t="shared" si="95"/>
        <v>29728.79</v>
      </c>
      <c r="AG437" s="458"/>
      <c r="AH437" s="1152">
        <f t="shared" si="88"/>
        <v>7326.7098562222236</v>
      </c>
      <c r="AI437" s="460">
        <f t="shared" si="96"/>
        <v>0.3270548899566022</v>
      </c>
      <c r="AJ437" s="465"/>
      <c r="AK437" s="456"/>
      <c r="AL437" s="457">
        <f t="shared" si="97"/>
        <v>22579.48</v>
      </c>
      <c r="AM437" s="461"/>
      <c r="AN437" s="459">
        <f t="shared" si="92"/>
        <v>7149.3100000000013</v>
      </c>
      <c r="AO437" s="466">
        <f t="shared" si="93"/>
        <v>0.31662863803772279</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133</v>
      </c>
      <c r="B438" s="3"/>
      <c r="C438" s="433" t="s">
        <v>598</v>
      </c>
      <c r="U438" s="491"/>
      <c r="V438" s="312" t="s">
        <v>133</v>
      </c>
      <c r="W438" s="463" t="s">
        <v>624</v>
      </c>
      <c r="X438" s="456"/>
      <c r="Y438" s="456"/>
      <c r="Z438" s="457">
        <f t="shared" si="94"/>
        <v>3905.5576324861113</v>
      </c>
      <c r="AA438" s="456"/>
      <c r="AB438" s="456"/>
      <c r="AC438" s="457"/>
      <c r="AD438" s="465"/>
      <c r="AE438" s="464"/>
      <c r="AF438" s="457">
        <f t="shared" si="95"/>
        <v>4762</v>
      </c>
      <c r="AG438" s="458"/>
      <c r="AH438" s="459">
        <f t="shared" si="88"/>
        <v>856.44236751388871</v>
      </c>
      <c r="AI438" s="460">
        <f t="shared" si="96"/>
        <v>0.21928811404293991</v>
      </c>
      <c r="AJ438" s="465"/>
      <c r="AK438" s="456"/>
      <c r="AL438" s="457">
        <f t="shared" si="97"/>
        <v>2910.03</v>
      </c>
      <c r="AM438" s="461"/>
      <c r="AN438" s="459">
        <f t="shared" si="92"/>
        <v>1851.9699999999998</v>
      </c>
      <c r="AO438" s="466">
        <f t="shared" si="93"/>
        <v>0.63640924664006893</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A439" s="5" t="s">
        <v>134</v>
      </c>
      <c r="B439" s="3"/>
      <c r="C439" s="433" t="s">
        <v>598</v>
      </c>
      <c r="V439" s="312" t="s">
        <v>134</v>
      </c>
      <c r="W439" s="463" t="s">
        <v>625</v>
      </c>
      <c r="X439" s="456"/>
      <c r="Y439" s="456"/>
      <c r="Z439" s="457">
        <f t="shared" si="94"/>
        <v>36918.054597609284</v>
      </c>
      <c r="AA439" s="456"/>
      <c r="AB439" s="456"/>
      <c r="AC439" s="457"/>
      <c r="AD439" s="465"/>
      <c r="AE439" s="464"/>
      <c r="AF439" s="457">
        <f t="shared" si="95"/>
        <v>42256.72</v>
      </c>
      <c r="AG439" s="458"/>
      <c r="AH439" s="459">
        <f t="shared" si="88"/>
        <v>5338.6654023907176</v>
      </c>
      <c r="AI439" s="460">
        <f t="shared" si="96"/>
        <v>0.14460852448970687</v>
      </c>
      <c r="AJ439" s="465"/>
      <c r="AK439" s="456"/>
      <c r="AL439" s="457">
        <f t="shared" si="97"/>
        <v>32122.880000000001</v>
      </c>
      <c r="AM439" s="461"/>
      <c r="AN439" s="459">
        <f t="shared" si="92"/>
        <v>10133.84</v>
      </c>
      <c r="AO439" s="466">
        <f t="shared" si="93"/>
        <v>0.31547109101051962</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B440" s="3"/>
      <c r="C440" s="433" t="s">
        <v>598</v>
      </c>
      <c r="V440" s="406" t="s">
        <v>490</v>
      </c>
      <c r="W440" s="483"/>
      <c r="X440" s="484"/>
      <c r="Y440" s="484"/>
      <c r="Z440" s="485">
        <f t="shared" si="94"/>
        <v>0</v>
      </c>
      <c r="AA440" s="484"/>
      <c r="AB440" s="484"/>
      <c r="AC440" s="485"/>
      <c r="AD440" s="486"/>
      <c r="AE440" s="487"/>
      <c r="AF440" s="485">
        <f t="shared" si="95"/>
        <v>0</v>
      </c>
      <c r="AG440" s="492"/>
      <c r="AH440" s="488">
        <f t="shared" si="88"/>
        <v>0</v>
      </c>
      <c r="AI440" s="489">
        <f t="shared" si="96"/>
        <v>0</v>
      </c>
      <c r="AJ440" s="486"/>
      <c r="AK440" s="484"/>
      <c r="AL440" s="485">
        <f t="shared" si="97"/>
        <v>0</v>
      </c>
      <c r="AM440" s="490"/>
      <c r="AN440" s="488">
        <f t="shared" si="92"/>
        <v>0</v>
      </c>
      <c r="AO440" s="462">
        <f t="shared" si="93"/>
        <v>0</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2" ht="15.75" customHeight="1">
      <c r="A441" s="5" t="s">
        <v>135</v>
      </c>
      <c r="B441" s="3"/>
      <c r="C441" s="433" t="s">
        <v>598</v>
      </c>
      <c r="V441" s="312" t="s">
        <v>135</v>
      </c>
      <c r="W441" s="463" t="s">
        <v>626</v>
      </c>
      <c r="X441" s="456"/>
      <c r="Y441" s="464"/>
      <c r="Z441" s="457">
        <f t="shared" si="94"/>
        <v>5252.6901555555569</v>
      </c>
      <c r="AA441" s="456"/>
      <c r="AB441" s="464"/>
      <c r="AC441" s="457"/>
      <c r="AD441" s="465"/>
      <c r="AE441" s="464"/>
      <c r="AF441" s="457">
        <f t="shared" si="95"/>
        <v>6967.67</v>
      </c>
      <c r="AG441" s="458"/>
      <c r="AH441" s="459">
        <f t="shared" si="88"/>
        <v>1714.9798444444432</v>
      </c>
      <c r="AI441" s="460">
        <f t="shared" si="96"/>
        <v>0.32649552774982904</v>
      </c>
      <c r="AJ441" s="465"/>
      <c r="AK441" s="456"/>
      <c r="AL441" s="457">
        <f t="shared" si="97"/>
        <v>1656.44</v>
      </c>
      <c r="AM441" s="461"/>
      <c r="AN441" s="459">
        <f t="shared" si="92"/>
        <v>5311.23</v>
      </c>
      <c r="AO441" s="466">
        <f t="shared" si="93"/>
        <v>3.2064125473907894</v>
      </c>
      <c r="AP441" s="38"/>
      <c r="AQ441" s="38"/>
      <c r="AR441" s="38"/>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
        <v>136</v>
      </c>
      <c r="B442" s="3"/>
      <c r="C442" s="433" t="s">
        <v>598</v>
      </c>
      <c r="U442" s="38"/>
      <c r="V442" s="312" t="s">
        <v>136</v>
      </c>
      <c r="W442" s="463" t="s">
        <v>627</v>
      </c>
      <c r="X442" s="456"/>
      <c r="Y442" s="456"/>
      <c r="Z442" s="457">
        <f t="shared" si="94"/>
        <v>1333.7987401197504</v>
      </c>
      <c r="AA442" s="456"/>
      <c r="AB442" s="456"/>
      <c r="AC442" s="457"/>
      <c r="AD442" s="465"/>
      <c r="AE442" s="464"/>
      <c r="AF442" s="457">
        <f t="shared" si="95"/>
        <v>785.83</v>
      </c>
      <c r="AG442" s="458"/>
      <c r="AH442" s="459">
        <f t="shared" si="88"/>
        <v>-547.96874011975035</v>
      </c>
      <c r="AI442" s="479">
        <f t="shared" si="96"/>
        <v>-0.41083315168715251</v>
      </c>
      <c r="AJ442" s="465"/>
      <c r="AK442" s="456"/>
      <c r="AL442" s="457">
        <f t="shared" si="97"/>
        <v>1556.43</v>
      </c>
      <c r="AM442" s="461"/>
      <c r="AN442" s="459">
        <f t="shared" si="92"/>
        <v>-770.6</v>
      </c>
      <c r="AO442" s="466">
        <f t="shared" si="93"/>
        <v>-0.49510739320110764</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137</v>
      </c>
      <c r="B443" s="3"/>
      <c r="C443" s="433" t="s">
        <v>598</v>
      </c>
      <c r="T443" s="38"/>
      <c r="U443" s="38"/>
      <c r="V443" s="312" t="s">
        <v>137</v>
      </c>
      <c r="W443" s="463" t="s">
        <v>628</v>
      </c>
      <c r="X443" s="456"/>
      <c r="Y443" s="456"/>
      <c r="Z443" s="457">
        <f t="shared" si="94"/>
        <v>2760.7503854659999</v>
      </c>
      <c r="AA443" s="456"/>
      <c r="AB443" s="456"/>
      <c r="AC443" s="457"/>
      <c r="AD443" s="465"/>
      <c r="AE443" s="464"/>
      <c r="AF443" s="457">
        <f t="shared" si="95"/>
        <v>3272.95</v>
      </c>
      <c r="AG443" s="458"/>
      <c r="AH443" s="459">
        <f t="shared" si="88"/>
        <v>512.19961453399992</v>
      </c>
      <c r="AI443" s="460">
        <f t="shared" si="96"/>
        <v>0.18552912904784161</v>
      </c>
      <c r="AJ443" s="465"/>
      <c r="AK443" s="456"/>
      <c r="AL443" s="457">
        <f t="shared" si="97"/>
        <v>3223.6699999999996</v>
      </c>
      <c r="AM443" s="461"/>
      <c r="AN443" s="459">
        <f t="shared" si="92"/>
        <v>49.2800000000002</v>
      </c>
      <c r="AO443" s="466">
        <f t="shared" si="93"/>
        <v>1.5286924530116359E-2</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138</v>
      </c>
      <c r="B444" s="3"/>
      <c r="C444" s="433" t="s">
        <v>598</v>
      </c>
      <c r="T444" s="38"/>
      <c r="U444" s="38"/>
      <c r="V444" s="312" t="s">
        <v>138</v>
      </c>
      <c r="W444" s="463" t="s">
        <v>629</v>
      </c>
      <c r="X444" s="456"/>
      <c r="Y444" s="456"/>
      <c r="Z444" s="457">
        <f t="shared" si="94"/>
        <v>734.68076036869445</v>
      </c>
      <c r="AA444" s="456"/>
      <c r="AB444" s="456"/>
      <c r="AC444" s="457"/>
      <c r="AD444" s="465"/>
      <c r="AE444" s="464"/>
      <c r="AF444" s="457">
        <f t="shared" si="95"/>
        <v>878.44</v>
      </c>
      <c r="AG444" s="458"/>
      <c r="AH444" s="459">
        <f t="shared" si="88"/>
        <v>143.7592396313056</v>
      </c>
      <c r="AI444" s="479">
        <f t="shared" si="96"/>
        <v>0.19567579197141494</v>
      </c>
      <c r="AJ444" s="465"/>
      <c r="AK444" s="456"/>
      <c r="AL444" s="457">
        <f t="shared" si="97"/>
        <v>621.94000000000005</v>
      </c>
      <c r="AM444" s="461"/>
      <c r="AN444" s="459">
        <f t="shared" si="92"/>
        <v>256.5</v>
      </c>
      <c r="AO444" s="466">
        <f t="shared" si="93"/>
        <v>0.41241920442486407</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139</v>
      </c>
      <c r="B445" s="3"/>
      <c r="C445" s="433" t="s">
        <v>598</v>
      </c>
      <c r="T445" s="38"/>
      <c r="U445" s="38"/>
      <c r="V445" s="312" t="s">
        <v>139</v>
      </c>
      <c r="W445" s="463" t="s">
        <v>630</v>
      </c>
      <c r="X445" s="456"/>
      <c r="Y445" s="456"/>
      <c r="Z445" s="457">
        <f t="shared" si="94"/>
        <v>235.21156215130546</v>
      </c>
      <c r="AA445" s="456"/>
      <c r="AB445" s="456"/>
      <c r="AC445" s="457"/>
      <c r="AD445" s="465"/>
      <c r="AE445" s="464"/>
      <c r="AF445" s="457">
        <f t="shared" si="95"/>
        <v>342.94000000000005</v>
      </c>
      <c r="AG445" s="458"/>
      <c r="AH445" s="459">
        <f t="shared" si="88"/>
        <v>107.7284378486946</v>
      </c>
      <c r="AI445" s="460">
        <f t="shared" si="96"/>
        <v>0.45800655743018154</v>
      </c>
      <c r="AJ445" s="465"/>
      <c r="AK445" s="456"/>
      <c r="AL445" s="457">
        <f t="shared" si="97"/>
        <v>-212.03999999999996</v>
      </c>
      <c r="AM445" s="461"/>
      <c r="AN445" s="459">
        <f t="shared" si="92"/>
        <v>554.98</v>
      </c>
      <c r="AO445" s="466">
        <f t="shared" si="93"/>
        <v>-2.617336351631768</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140</v>
      </c>
      <c r="B446" s="3"/>
      <c r="C446" s="433" t="s">
        <v>598</v>
      </c>
      <c r="T446" s="38"/>
      <c r="U446" s="38"/>
      <c r="V446" s="312" t="s">
        <v>140</v>
      </c>
      <c r="W446" s="463" t="s">
        <v>631</v>
      </c>
      <c r="X446" s="456"/>
      <c r="Y446" s="464"/>
      <c r="Z446" s="457">
        <f t="shared" si="94"/>
        <v>720.38919864980562</v>
      </c>
      <c r="AA446" s="456"/>
      <c r="AB446" s="464"/>
      <c r="AC446" s="457"/>
      <c r="AD446" s="465"/>
      <c r="AE446" s="464"/>
      <c r="AF446" s="457">
        <f t="shared" si="95"/>
        <v>349</v>
      </c>
      <c r="AG446" s="458"/>
      <c r="AH446" s="459">
        <f t="shared" si="88"/>
        <v>-371.38919864980562</v>
      </c>
      <c r="AI446" s="479">
        <f t="shared" si="96"/>
        <v>-0.51553965460043594</v>
      </c>
      <c r="AJ446" s="465"/>
      <c r="AK446" s="456"/>
      <c r="AL446" s="457">
        <f t="shared" si="97"/>
        <v>329.1</v>
      </c>
      <c r="AM446" s="461"/>
      <c r="AN446" s="459">
        <f t="shared" si="92"/>
        <v>19.899999999999977</v>
      </c>
      <c r="AO446" s="466">
        <f t="shared" si="93"/>
        <v>6.0467942874506159E-2</v>
      </c>
      <c r="AP446" s="38"/>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141</v>
      </c>
      <c r="B447" s="3"/>
      <c r="C447" s="433" t="s">
        <v>598</v>
      </c>
      <c r="T447" s="38"/>
      <c r="U447" s="38"/>
      <c r="V447" s="312" t="s">
        <v>141</v>
      </c>
      <c r="W447" s="463" t="s">
        <v>632</v>
      </c>
      <c r="X447" s="456"/>
      <c r="Y447" s="464"/>
      <c r="Z447" s="457">
        <f t="shared" si="94"/>
        <v>5774.1370435507661</v>
      </c>
      <c r="AA447" s="456"/>
      <c r="AB447" s="464"/>
      <c r="AC447" s="457"/>
      <c r="AD447" s="465"/>
      <c r="AE447" s="464"/>
      <c r="AF447" s="457">
        <f t="shared" si="95"/>
        <v>314.8</v>
      </c>
      <c r="AG447" s="458"/>
      <c r="AH447" s="459">
        <f t="shared" si="88"/>
        <v>-5459.3370435507659</v>
      </c>
      <c r="AI447" s="460">
        <f t="shared" si="96"/>
        <v>-0.94548103073660061</v>
      </c>
      <c r="AJ447" s="465"/>
      <c r="AK447" s="456"/>
      <c r="AL447" s="457">
        <f t="shared" si="97"/>
        <v>2278.56</v>
      </c>
      <c r="AM447" s="461"/>
      <c r="AN447" s="459">
        <f t="shared" si="92"/>
        <v>-1963.76</v>
      </c>
      <c r="AO447" s="466">
        <f t="shared" si="93"/>
        <v>-0.86184256723544694</v>
      </c>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
        <v>142</v>
      </c>
      <c r="B448" s="3"/>
      <c r="C448" s="433" t="s">
        <v>598</v>
      </c>
      <c r="T448" s="38"/>
      <c r="U448" s="38"/>
      <c r="V448" s="312" t="s">
        <v>142</v>
      </c>
      <c r="W448" s="463" t="s">
        <v>633</v>
      </c>
      <c r="X448" s="456"/>
      <c r="Y448" s="1151">
        <f>Z448/Z406</f>
        <v>1.4351403408778196E-3</v>
      </c>
      <c r="Z448" s="457">
        <f t="shared" si="94"/>
        <v>8924.4835609961956</v>
      </c>
      <c r="AA448" s="456"/>
      <c r="AB448" s="464"/>
      <c r="AC448" s="457"/>
      <c r="AD448" s="465"/>
      <c r="AE448" s="464"/>
      <c r="AF448" s="958">
        <f t="shared" si="95"/>
        <v>10132.540000000001</v>
      </c>
      <c r="AG448" s="458"/>
      <c r="AH448" s="962">
        <f t="shared" si="88"/>
        <v>1208.0564390038053</v>
      </c>
      <c r="AI448" s="460">
        <f t="shared" si="96"/>
        <v>0.13536429651610629</v>
      </c>
      <c r="AJ448" s="465"/>
      <c r="AK448" s="456"/>
      <c r="AL448" s="457">
        <f t="shared" si="97"/>
        <v>10571.46</v>
      </c>
      <c r="AM448" s="461"/>
      <c r="AN448" s="459">
        <f t="shared" si="92"/>
        <v>-438.91999999999825</v>
      </c>
      <c r="AO448" s="466">
        <f t="shared" si="93"/>
        <v>-4.1519336023595442E-2</v>
      </c>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
        <v>59</v>
      </c>
      <c r="B449" s="3"/>
      <c r="C449" s="433" t="s">
        <v>598</v>
      </c>
      <c r="T449" s="38"/>
      <c r="U449" s="38"/>
      <c r="V449" s="312" t="s">
        <v>59</v>
      </c>
      <c r="W449" s="463"/>
      <c r="X449" s="456"/>
      <c r="Y449" s="464"/>
      <c r="Z449" s="457">
        <f>IFERROR(SUMIF($C:$C,$V449,F:F),0)</f>
        <v>0</v>
      </c>
      <c r="AA449" s="456"/>
      <c r="AB449" s="456"/>
      <c r="AC449" s="457"/>
      <c r="AD449" s="465"/>
      <c r="AE449" s="464"/>
      <c r="AF449" s="457">
        <f>IFERROR(SUMIF($C:$C,$V449,L:L),0)</f>
        <v>0</v>
      </c>
      <c r="AG449" s="458"/>
      <c r="AH449" s="459">
        <f t="shared" si="88"/>
        <v>0</v>
      </c>
      <c r="AI449" s="460">
        <f t="shared" si="96"/>
        <v>0</v>
      </c>
      <c r="AJ449" s="465"/>
      <c r="AK449" s="456"/>
      <c r="AL449" s="457">
        <f>IFERROR(SUMIF($C:$C,$V449,Q:Q),0)</f>
        <v>0</v>
      </c>
      <c r="AM449" s="461"/>
      <c r="AN449" s="459">
        <f t="shared" si="92"/>
        <v>0</v>
      </c>
      <c r="AO449" s="466">
        <f t="shared" si="93"/>
        <v>0</v>
      </c>
      <c r="AP449" s="38"/>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59</v>
      </c>
      <c r="B450" s="3"/>
      <c r="C450" s="433" t="s">
        <v>598</v>
      </c>
      <c r="T450" s="38"/>
      <c r="U450" s="38"/>
      <c r="V450" s="312" t="s">
        <v>59</v>
      </c>
      <c r="W450" s="463"/>
      <c r="X450" s="456"/>
      <c r="Y450" s="464"/>
      <c r="Z450" s="457">
        <f>IFERROR(SUMIF($C:$C,$V450,F:F),0)</f>
        <v>0</v>
      </c>
      <c r="AA450" s="456"/>
      <c r="AB450" s="456"/>
      <c r="AC450" s="457"/>
      <c r="AD450" s="465"/>
      <c r="AE450" s="464"/>
      <c r="AF450" s="457">
        <f>IFERROR(SUMIF($C:$C,$V450,L:L),0)</f>
        <v>0</v>
      </c>
      <c r="AG450" s="458"/>
      <c r="AH450" s="459">
        <f t="shared" si="88"/>
        <v>0</v>
      </c>
      <c r="AI450" s="460">
        <f t="shared" si="96"/>
        <v>0</v>
      </c>
      <c r="AJ450" s="465"/>
      <c r="AK450" s="456"/>
      <c r="AL450" s="457">
        <f>IFERROR(SUMIF($C:$C,$V450,Q:Q),0)</f>
        <v>0</v>
      </c>
      <c r="AM450" s="461"/>
      <c r="AN450" s="459">
        <f t="shared" si="92"/>
        <v>0</v>
      </c>
      <c r="AO450" s="466">
        <f t="shared" si="93"/>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
        <v>59</v>
      </c>
      <c r="B451" s="3"/>
      <c r="C451" s="433" t="s">
        <v>598</v>
      </c>
      <c r="T451" s="38"/>
      <c r="U451" s="38"/>
      <c r="V451" s="312" t="s">
        <v>59</v>
      </c>
      <c r="W451" s="463"/>
      <c r="X451" s="456"/>
      <c r="Y451" s="464"/>
      <c r="Z451" s="457">
        <f>IFERROR(SUMIF($C:$C,$V451,F:F),0)</f>
        <v>0</v>
      </c>
      <c r="AA451" s="456"/>
      <c r="AB451" s="456"/>
      <c r="AC451" s="457"/>
      <c r="AD451" s="465"/>
      <c r="AE451" s="464"/>
      <c r="AF451" s="457">
        <f>IFERROR(SUMIF($C:$C,$V451,L:L),0)</f>
        <v>0</v>
      </c>
      <c r="AG451" s="458"/>
      <c r="AH451" s="459">
        <f t="shared" si="88"/>
        <v>0</v>
      </c>
      <c r="AI451" s="460">
        <f t="shared" si="96"/>
        <v>0</v>
      </c>
      <c r="AJ451" s="465"/>
      <c r="AK451" s="456"/>
      <c r="AL451" s="457">
        <f>IFERROR(SUMIF($C:$C,$V451,Q:Q),0)</f>
        <v>0</v>
      </c>
      <c r="AM451" s="461"/>
      <c r="AN451" s="459">
        <f t="shared" si="92"/>
        <v>0</v>
      </c>
      <c r="AO451" s="466">
        <f t="shared" si="93"/>
        <v>0</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
        <v>143</v>
      </c>
      <c r="B452" s="3"/>
      <c r="C452" s="433" t="s">
        <v>598</v>
      </c>
      <c r="T452" s="38"/>
      <c r="U452" s="38"/>
      <c r="V452" s="471" t="s">
        <v>143</v>
      </c>
      <c r="W452" s="493"/>
      <c r="X452" s="473">
        <f>Z452/+Z407</f>
        <v>0.17703805168709844</v>
      </c>
      <c r="Y452" s="472"/>
      <c r="Z452" s="474">
        <f>+SUM(Z434:Z451)</f>
        <v>139486.10211885162</v>
      </c>
      <c r="AA452" s="473"/>
      <c r="AB452" s="472"/>
      <c r="AC452" s="474"/>
      <c r="AD452" s="475">
        <f>AF452/AF407</f>
        <v>0.22104874222869766</v>
      </c>
      <c r="AE452" s="472"/>
      <c r="AF452" s="474">
        <f>+SUM(AF434:AF451)</f>
        <v>162366.80000000002</v>
      </c>
      <c r="AG452" s="481"/>
      <c r="AH452" s="494">
        <f>+SUM(AH434:AH451)</f>
        <v>22880.697881148393</v>
      </c>
      <c r="AI452" s="473">
        <f>AH452/Z452</f>
        <v>0.16403568193232962</v>
      </c>
      <c r="AJ452" s="475">
        <f>IF($AL$407=0,0,AL452/$AL$407)</f>
        <v>0.17795628665289615</v>
      </c>
      <c r="AK452" s="473"/>
      <c r="AL452" s="474">
        <f>+SUM(AL434:AL451)</f>
        <v>123186.15</v>
      </c>
      <c r="AM452" s="482"/>
      <c r="AN452" s="477">
        <f>+SUM(AN434:AN451)</f>
        <v>39180.650000000023</v>
      </c>
      <c r="AO452" s="495">
        <f t="shared" si="93"/>
        <v>0.31806051248456119</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205</v>
      </c>
      <c r="B453" s="3"/>
      <c r="C453" s="433" t="s">
        <v>598</v>
      </c>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f>+INDEX('Budget original'!$A$2:$AO$501,MATCH($A453,'Budget original'!$A$2:$A$501,0),MATCH(F$2,'Budget original'!$A$2:$AO$2,0))</f>
        <v>36000</v>
      </c>
      <c r="AA453" s="456"/>
      <c r="AB453" s="464"/>
      <c r="AC453" s="457"/>
      <c r="AD453" s="465"/>
      <c r="AE453" s="464"/>
      <c r="AF453" s="457">
        <f>SUMIFS(BV_Data_An_Cour!$O:$O,BV_Data_An_Cour!$V:$V,$V453)</f>
        <v>36000</v>
      </c>
      <c r="AG453" s="458"/>
      <c r="AH453" s="459">
        <f t="shared" ref="AH453:AH461" si="98">AF453-Z453</f>
        <v>0</v>
      </c>
      <c r="AI453" s="460">
        <f t="shared" ref="AI453:AI461" si="99">IF(Z453=0,0,AH453/Z453)</f>
        <v>0</v>
      </c>
      <c r="AJ453" s="465"/>
      <c r="AK453" s="456"/>
      <c r="AL453" s="457">
        <f>+INDEX('Réel 2024'!$A$2:$AO$501,MATCH($A453,'Réel 2024'!$A$2:$A$501,0),MATCH(F$2,'Réel 2024'!$A$2:$AO$2,0))</f>
        <v>36000</v>
      </c>
      <c r="AM453" s="461"/>
      <c r="AN453" s="459">
        <f t="shared" ref="AN453:AN461" si="100">AF453-AL453</f>
        <v>0</v>
      </c>
      <c r="AO453" s="466">
        <f t="shared" si="93"/>
        <v>0</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206</v>
      </c>
      <c r="B454" s="3"/>
      <c r="C454" s="433" t="s">
        <v>598</v>
      </c>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f>+INDEX('Budget original'!$A$2:$AO$501,MATCH($A454,'Budget original'!$A$2:$A$501,0),MATCH(F$2,'Budget original'!$A$2:$AO$2,0))</f>
        <v>5423.4400000000005</v>
      </c>
      <c r="AA454" s="456"/>
      <c r="AB454" s="464"/>
      <c r="AC454" s="457"/>
      <c r="AD454" s="465"/>
      <c r="AE454" s="464"/>
      <c r="AF454" s="457">
        <f>SUMIFS(BV_Data_An_Cour!$O:$O,BV_Data_An_Cour!$V:$V,$V454)</f>
        <v>5423</v>
      </c>
      <c r="AG454" s="458"/>
      <c r="AH454" s="459">
        <f t="shared" si="98"/>
        <v>-0.44000000000050932</v>
      </c>
      <c r="AI454" s="460">
        <f t="shared" si="99"/>
        <v>-8.1129320136391167E-5</v>
      </c>
      <c r="AJ454" s="465"/>
      <c r="AK454" s="456"/>
      <c r="AL454" s="457">
        <f>+INDEX('Réel 2024'!$A$2:$AO$501,MATCH($A454,'Réel 2024'!$A$2:$A$501,0),MATCH(F$2,'Réel 2024'!$A$2:$AO$2,0))</f>
        <v>5177</v>
      </c>
      <c r="AM454" s="461"/>
      <c r="AN454" s="459">
        <f t="shared" si="100"/>
        <v>246</v>
      </c>
      <c r="AO454" s="466">
        <f t="shared" si="93"/>
        <v>4.7517867490824803E-2</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207</v>
      </c>
      <c r="B455" s="3"/>
      <c r="C455" s="433" t="s">
        <v>598</v>
      </c>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f>+INDEX('Budget original'!$A$2:$AO$501,MATCH($A455,'Budget original'!$A$2:$A$501,0),MATCH(F$2,'Budget original'!$A$2:$AO$2,0))</f>
        <v>3608.8800000000006</v>
      </c>
      <c r="AA455" s="440"/>
      <c r="AB455" s="468"/>
      <c r="AC455" s="441"/>
      <c r="AD455" s="469"/>
      <c r="AE455" s="468"/>
      <c r="AF455" s="441">
        <f>SUMIFS(BV_Data_An_Cour!$O:$O,BV_Data_An_Cour!$V:$V,$V455)</f>
        <v>3609</v>
      </c>
      <c r="AG455" s="442"/>
      <c r="AH455" s="443">
        <f t="shared" si="98"/>
        <v>0.11999999999943611</v>
      </c>
      <c r="AI455" s="470">
        <f t="shared" si="99"/>
        <v>3.3251313426724106E-5</v>
      </c>
      <c r="AJ455" s="469"/>
      <c r="AK455" s="440"/>
      <c r="AL455" s="441">
        <f>+INDEX('Réel 2024'!$A$2:$AO$501,MATCH($A455,'Réel 2024'!$A$2:$A$501,0),MATCH(F$2,'Réel 2024'!$A$2:$AO$2,0))</f>
        <v>3445</v>
      </c>
      <c r="AM455" s="445"/>
      <c r="AN455" s="443">
        <f t="shared" si="100"/>
        <v>164</v>
      </c>
      <c r="AO455" s="446">
        <f t="shared" si="93"/>
        <v>4.7605224963715533E-2</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208</v>
      </c>
      <c r="B456" s="3"/>
      <c r="C456" s="433" t="s">
        <v>598</v>
      </c>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f>+INDEX('Budget original'!$A$2:$AO$501,MATCH($A456,'Budget original'!$A$2:$A$501,0),MATCH(F$2,'Budget original'!$A$2:$AO$2,0))</f>
        <v>0</v>
      </c>
      <c r="AA456" s="456"/>
      <c r="AB456" s="464"/>
      <c r="AC456" s="457"/>
      <c r="AD456" s="465"/>
      <c r="AE456" s="464"/>
      <c r="AF456" s="457">
        <f>SUMIFS(BV_Data_An_Cour!$O:$O,BV_Data_An_Cour!$V:$V,$V456)</f>
        <v>0</v>
      </c>
      <c r="AG456" s="458"/>
      <c r="AH456" s="459">
        <f t="shared" si="98"/>
        <v>0</v>
      </c>
      <c r="AI456" s="460">
        <f t="shared" si="99"/>
        <v>0</v>
      </c>
      <c r="AJ456" s="465"/>
      <c r="AK456" s="456"/>
      <c r="AL456" s="457">
        <f>+INDEX('Réel 2024'!$A$2:$AO$501,MATCH($A456,'Réel 2024'!$A$2:$A$501,0),MATCH(F$2,'Réel 2024'!$A$2:$AO$2,0))</f>
        <v>0</v>
      </c>
      <c r="AM456" s="461"/>
      <c r="AN456" s="459">
        <f t="shared" si="100"/>
        <v>0</v>
      </c>
      <c r="AO456" s="466">
        <f t="shared" si="93"/>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209</v>
      </c>
      <c r="B457" s="3"/>
      <c r="C457" s="433" t="s">
        <v>598</v>
      </c>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f>+INDEX('Budget original'!$A$2:$AO$501,MATCH($A457,'Budget original'!$A$2:$A$501,0),MATCH(F$2,'Budget original'!$A$2:$AO$2,0))</f>
        <v>4344.25</v>
      </c>
      <c r="AA457" s="440"/>
      <c r="AB457" s="468"/>
      <c r="AC457" s="441"/>
      <c r="AD457" s="469"/>
      <c r="AE457" s="468"/>
      <c r="AF457" s="441">
        <f>SUMIF(BV_Data_An_Cour!$V:$V,Print_Mois!$V457,BV_Data_An_Cour!$O:$O)</f>
        <v>4344.25</v>
      </c>
      <c r="AG457" s="442"/>
      <c r="AH457" s="443">
        <f t="shared" si="98"/>
        <v>0</v>
      </c>
      <c r="AI457" s="470">
        <f t="shared" si="99"/>
        <v>0</v>
      </c>
      <c r="AJ457" s="469"/>
      <c r="AK457" s="440"/>
      <c r="AL457" s="441">
        <f>+INDEX('Réel 2024'!$A$2:$AO$501,MATCH($A457,'Réel 2024'!$A$2:$A$501,0),MATCH(F$2,'Réel 2024'!$A$2:$AO$2,0))</f>
        <v>3893.08</v>
      </c>
      <c r="AM457" s="445"/>
      <c r="AN457" s="443">
        <f t="shared" si="100"/>
        <v>451.17000000000007</v>
      </c>
      <c r="AO457" s="446">
        <f t="shared" si="93"/>
        <v>0.11589024628314858</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210</v>
      </c>
      <c r="B458" s="3"/>
      <c r="C458" s="433" t="s">
        <v>598</v>
      </c>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f>+INDEX('Budget original'!$A$2:$AO$501,MATCH($A458,'Budget original'!$A$2:$A$501,0),MATCH(F$2,'Budget original'!$A$2:$AO$2,0))</f>
        <v>3700</v>
      </c>
      <c r="AA458" s="496"/>
      <c r="AB458" s="497"/>
      <c r="AC458" s="457"/>
      <c r="AD458" s="465"/>
      <c r="AE458" s="464"/>
      <c r="AF458" s="1207">
        <f>SUMIFS(BV_Data_An_Cour!$O:$O,BV_Data_An_Cour!$V:$V,$V458)</f>
        <v>5868.07</v>
      </c>
      <c r="AG458" s="458"/>
      <c r="AH458" s="459">
        <f t="shared" si="98"/>
        <v>2168.0699999999997</v>
      </c>
      <c r="AI458" s="460">
        <f t="shared" si="99"/>
        <v>0.58596486486486477</v>
      </c>
      <c r="AJ458" s="465"/>
      <c r="AK458" s="456"/>
      <c r="AL458" s="457">
        <f>+INDEX('Réel 2024'!$A$2:$AO$501,MATCH($A458,'Réel 2024'!$A$2:$A$501,0),MATCH(F$2,'Réel 2024'!$A$2:$AO$2,0))</f>
        <v>2432.3200000000002</v>
      </c>
      <c r="AM458" s="461"/>
      <c r="AN458" s="459">
        <f t="shared" si="100"/>
        <v>3435.7499999999995</v>
      </c>
      <c r="AO458" s="466">
        <f t="shared" si="93"/>
        <v>1.4125402907512166</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211</v>
      </c>
      <c r="B459" s="3"/>
      <c r="C459" s="433" t="s">
        <v>598</v>
      </c>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f>+INDEX('Budget original'!$A$2:$AO$501,MATCH($A459,'Budget original'!$A$2:$A$501,0),MATCH(F$2,'Budget original'!$A$2:$AO$2,0))</f>
        <v>6784.05</v>
      </c>
      <c r="AA459" s="456"/>
      <c r="AB459" s="464"/>
      <c r="AC459" s="457"/>
      <c r="AD459" s="465"/>
      <c r="AE459" s="464"/>
      <c r="AF459" s="457">
        <f>SUMIFS(BV_Data_An_Cour!$O:$O,BV_Data_An_Cour!$V:$V,$V459)</f>
        <v>7014.5700000000006</v>
      </c>
      <c r="AG459" s="458"/>
      <c r="AH459" s="459">
        <f t="shared" si="98"/>
        <v>230.52000000000044</v>
      </c>
      <c r="AI459" s="460">
        <f t="shared" si="99"/>
        <v>3.3979702390165227E-2</v>
      </c>
      <c r="AJ459" s="465"/>
      <c r="AK459" s="456"/>
      <c r="AL459" s="457">
        <f>+INDEX('Réel 2024'!$A$2:$AO$501,MATCH($A459,'Réel 2024'!$A$2:$A$501,0),MATCH(F$2,'Réel 2024'!$A$2:$AO$2,0))</f>
        <v>7623.3299999999899</v>
      </c>
      <c r="AM459" s="461"/>
      <c r="AN459" s="459">
        <f t="shared" si="100"/>
        <v>-608.7599999999893</v>
      </c>
      <c r="AO459" s="466">
        <f t="shared" si="93"/>
        <v>-7.9854866574054925E-2</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212</v>
      </c>
      <c r="B460" s="3"/>
      <c r="C460" s="433" t="s">
        <v>598</v>
      </c>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f>+INDEX('Budget original'!$A$2:$AO$501,MATCH($A460,'Budget original'!$A$2:$A$501,0),MATCH(F$2,'Budget original'!$A$2:$AO$2,0))</f>
        <v>1364.5623407645369</v>
      </c>
      <c r="AA460" s="440"/>
      <c r="AB460" s="468"/>
      <c r="AC460" s="441"/>
      <c r="AD460" s="469"/>
      <c r="AE460" s="468"/>
      <c r="AF460" s="441">
        <f>SUMIFS(BV_Data_An_Cour!$O:$O,BV_Data_An_Cour!$V:$V,$V460)</f>
        <v>1660.02</v>
      </c>
      <c r="AG460" s="442"/>
      <c r="AH460" s="443">
        <f t="shared" si="98"/>
        <v>295.4576592354631</v>
      </c>
      <c r="AI460" s="470">
        <f t="shared" si="99"/>
        <v>0.21652192091855921</v>
      </c>
      <c r="AJ460" s="469"/>
      <c r="AK460" s="440"/>
      <c r="AL460" s="441">
        <f>+INDEX('Réel 2024'!$A$2:$AO$501,MATCH($A460,'Réel 2024'!$A$2:$A$501,0),MATCH(F$2,'Réel 2024'!$A$2:$AO$2,0))</f>
        <v>311.39999999999998</v>
      </c>
      <c r="AM460" s="445"/>
      <c r="AN460" s="443">
        <f t="shared" si="100"/>
        <v>1348.62</v>
      </c>
      <c r="AO460" s="446">
        <f t="shared" si="93"/>
        <v>4.3308285163776494</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213</v>
      </c>
      <c r="B461" s="3"/>
      <c r="C461" s="433" t="s">
        <v>598</v>
      </c>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f>+INDEX('Budget original'!$A$2:$AO$501,MATCH($A461,'Budget original'!$A$2:$A$501,0),MATCH(F$2,'Budget original'!$A$2:$AO$2,0))</f>
        <v>1000</v>
      </c>
      <c r="AA461" s="456"/>
      <c r="AB461" s="464"/>
      <c r="AC461" s="457"/>
      <c r="AD461" s="465"/>
      <c r="AE461" s="464"/>
      <c r="AF461" s="457">
        <f>SUMIFS(BV_Data_An_Cour!$O:$O,BV_Data_An_Cour!$V:$V,$V461)</f>
        <v>843.96</v>
      </c>
      <c r="AG461" s="458"/>
      <c r="AH461" s="459">
        <f t="shared" si="98"/>
        <v>-156.03999999999996</v>
      </c>
      <c r="AI461" s="498">
        <f t="shared" si="99"/>
        <v>-0.15603999999999996</v>
      </c>
      <c r="AJ461" s="456"/>
      <c r="AK461" s="456"/>
      <c r="AL461" s="457">
        <f>+INDEX('Réel 2024'!$A$2:$AO$501,MATCH($A461,'Réel 2024'!$A$2:$A$501,0),MATCH(F$2,'Réel 2024'!$A$2:$AO$2,0))</f>
        <v>614.35</v>
      </c>
      <c r="AM461" s="461"/>
      <c r="AN461" s="459">
        <f t="shared" si="100"/>
        <v>229.61</v>
      </c>
      <c r="AO461" s="466">
        <f t="shared" si="93"/>
        <v>0.37374460812240579</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
        <v>214</v>
      </c>
      <c r="B462" s="3"/>
      <c r="C462" s="433" t="s">
        <v>598</v>
      </c>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v>0</v>
      </c>
      <c r="AA462" s="456"/>
      <c r="AB462" s="464"/>
      <c r="AC462" s="457"/>
      <c r="AD462" s="465"/>
      <c r="AE462" s="464"/>
      <c r="AF462" s="457">
        <f>SUMIFS(BV_Data_An_Cour!$O:$O,BV_Data_An_Cour!$V:$V,$V462)</f>
        <v>0</v>
      </c>
      <c r="AG462" s="458"/>
      <c r="AH462" s="459">
        <v>0</v>
      </c>
      <c r="AI462" s="479">
        <v>0</v>
      </c>
      <c r="AJ462" s="456"/>
      <c r="AK462" s="456"/>
      <c r="AL462" s="457">
        <f>+INDEX('Réel 2024'!$A$2:$AO$501,MATCH($A462,'Réel 2024'!$A$2:$A$501,0),MATCH(F$2,'Réel 2024'!$A$2:$AO$2,0))</f>
        <v>0</v>
      </c>
      <c r="AM462" s="461"/>
      <c r="AN462" s="459">
        <v>0</v>
      </c>
      <c r="AO462" s="466">
        <v>0</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
        <v>59</v>
      </c>
      <c r="B463" s="3"/>
      <c r="C463" s="433" t="s">
        <v>598</v>
      </c>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f>IFERROR(SUMIF($C:$C,$V463,F:F),0)</f>
        <v>0</v>
      </c>
      <c r="AA463" s="456"/>
      <c r="AB463" s="456"/>
      <c r="AC463" s="457"/>
      <c r="AD463" s="465"/>
      <c r="AE463" s="464"/>
      <c r="AF463" s="457">
        <f>IFERROR(SUMIF($C:$C,$V463,L:L),0)</f>
        <v>0</v>
      </c>
      <c r="AG463" s="458"/>
      <c r="AH463" s="459">
        <f>AF463-Z463</f>
        <v>0</v>
      </c>
      <c r="AI463" s="460">
        <f>IF(Z463=0,0,AH463/Z463)</f>
        <v>0</v>
      </c>
      <c r="AJ463" s="465"/>
      <c r="AK463" s="456"/>
      <c r="AL463" s="457">
        <f>IFERROR(SUMIF($C:$C,$V463,Q:Q),0)</f>
        <v>0</v>
      </c>
      <c r="AM463" s="461"/>
      <c r="AN463" s="459">
        <v>0</v>
      </c>
      <c r="AO463" s="466">
        <v>1</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59</v>
      </c>
      <c r="B464" s="3"/>
      <c r="C464" s="433" t="s">
        <v>598</v>
      </c>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f>IFERROR(SUMIF($C:$C,$V464,F:F),0)</f>
        <v>0</v>
      </c>
      <c r="AA464" s="456"/>
      <c r="AB464" s="456"/>
      <c r="AC464" s="457"/>
      <c r="AD464" s="465"/>
      <c r="AE464" s="464"/>
      <c r="AF464" s="457">
        <f>IFERROR(SUMIF($C:$C,$V464,L:L),0)</f>
        <v>0</v>
      </c>
      <c r="AG464" s="458"/>
      <c r="AH464" s="459">
        <f>AF464-Z464</f>
        <v>0</v>
      </c>
      <c r="AI464" s="460">
        <f>IF(Z464=0,0,AH464/Z464)</f>
        <v>0</v>
      </c>
      <c r="AJ464" s="465"/>
      <c r="AK464" s="456"/>
      <c r="AL464" s="457">
        <f>IFERROR(SUMIF($C:$C,$V464,Q:Q),0)</f>
        <v>0</v>
      </c>
      <c r="AM464" s="461"/>
      <c r="AN464" s="459">
        <v>0</v>
      </c>
      <c r="AO464" s="466">
        <v>2</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
        <v>59</v>
      </c>
      <c r="B465" s="3"/>
      <c r="C465" s="433" t="s">
        <v>598</v>
      </c>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f>IFERROR(SUMIF($C:$C,$V465,F:F),0)</f>
        <v>0</v>
      </c>
      <c r="AA465" s="456"/>
      <c r="AB465" s="456"/>
      <c r="AC465" s="457"/>
      <c r="AD465" s="465"/>
      <c r="AE465" s="464"/>
      <c r="AF465" s="457">
        <f>IFERROR(SUMIF($C:$C,$V465,L:L),0)</f>
        <v>0</v>
      </c>
      <c r="AG465" s="458"/>
      <c r="AH465" s="459">
        <f>AF465-Z465</f>
        <v>0</v>
      </c>
      <c r="AI465" s="460">
        <f>IF(Z465=0,0,AH465/Z465)</f>
        <v>0</v>
      </c>
      <c r="AJ465" s="465"/>
      <c r="AK465" s="456"/>
      <c r="AL465" s="457">
        <f>IFERROR(SUMIF($C:$C,$V465,Q:Q),0)</f>
        <v>0</v>
      </c>
      <c r="AM465" s="461"/>
      <c r="AN465" s="459">
        <v>0</v>
      </c>
      <c r="AO465" s="466">
        <v>3</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
        <v>215</v>
      </c>
      <c r="B466" s="3"/>
      <c r="C466" s="433" t="s">
        <v>598</v>
      </c>
      <c r="D466" s="38"/>
      <c r="E466" s="38"/>
      <c r="F466" s="38"/>
      <c r="G466" s="38"/>
      <c r="H466" s="38"/>
      <c r="I466" s="38"/>
      <c r="J466" s="38"/>
      <c r="K466" s="38"/>
      <c r="L466" s="38"/>
      <c r="M466" s="38"/>
      <c r="N466" s="38"/>
      <c r="O466" s="38"/>
      <c r="P466" s="38"/>
      <c r="Q466" s="38"/>
      <c r="R466" s="38"/>
      <c r="S466" s="38"/>
      <c r="T466" s="38"/>
      <c r="U466" s="38"/>
      <c r="V466" s="471" t="s">
        <v>215</v>
      </c>
      <c r="W466" s="472"/>
      <c r="X466" s="473">
        <f>Z466/+Z407</f>
        <v>7.8977223394606208E-2</v>
      </c>
      <c r="Y466" s="472"/>
      <c r="Z466" s="474">
        <f>SUM(Z453:Z465)</f>
        <v>62225.182340764542</v>
      </c>
      <c r="AA466" s="473"/>
      <c r="AB466" s="472"/>
      <c r="AC466" s="474"/>
      <c r="AD466" s="475">
        <f>AF466/AF407</f>
        <v>8.8169200579309659E-2</v>
      </c>
      <c r="AE466" s="472"/>
      <c r="AF466" s="474">
        <f>SUM(AF453:AF465)</f>
        <v>64762.869999999995</v>
      </c>
      <c r="AG466" s="481"/>
      <c r="AH466" s="494">
        <f>SUM(AH453:AH465)</f>
        <v>2537.687659235462</v>
      </c>
      <c r="AI466" s="473">
        <f>IF(Z466=0,0,AH466/Z466)</f>
        <v>4.0782325800803466E-2</v>
      </c>
      <c r="AJ466" s="475">
        <f>IF($AL$407=0,0,AL466/$AL$407)</f>
        <v>8.5949375394216807E-2</v>
      </c>
      <c r="AK466" s="473"/>
      <c r="AL466" s="474">
        <f>SUM(AL453:AL465)</f>
        <v>59496.479999999989</v>
      </c>
      <c r="AM466" s="482"/>
      <c r="AN466" s="477">
        <f>SUM(AN453:AN465)</f>
        <v>5266.3900000000103</v>
      </c>
      <c r="AO466" s="495">
        <f t="shared" ref="AO466:AO483" si="101">IF(AL466=0,0,AN466/AL466)</f>
        <v>8.8515992878906644E-2</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599</v>
      </c>
      <c r="B467" s="3"/>
      <c r="C467" s="433" t="s">
        <v>598</v>
      </c>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02">AF467-Z467</f>
        <v>0</v>
      </c>
      <c r="AI467" s="460"/>
      <c r="AJ467" s="465"/>
      <c r="AK467" s="456"/>
      <c r="AL467" s="499"/>
      <c r="AM467" s="500"/>
      <c r="AN467" s="459">
        <f t="shared" ref="AN467:AN483" si="103">AF467-AL467</f>
        <v>0</v>
      </c>
      <c r="AO467" s="501">
        <f t="shared" si="101"/>
        <v>0</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144</v>
      </c>
      <c r="B468" s="3"/>
      <c r="C468" s="433" t="s">
        <v>598</v>
      </c>
      <c r="D468" s="38"/>
      <c r="E468" s="38"/>
      <c r="F468" s="38"/>
      <c r="G468" s="38"/>
      <c r="H468" s="38"/>
      <c r="I468" s="38"/>
      <c r="J468" s="38"/>
      <c r="K468" s="38"/>
      <c r="L468" s="38"/>
      <c r="M468" s="38"/>
      <c r="N468" s="38"/>
      <c r="O468" s="38"/>
      <c r="P468" s="38"/>
      <c r="Q468" s="38"/>
      <c r="R468" s="38"/>
      <c r="S468" s="38"/>
      <c r="T468" s="38"/>
      <c r="U468" s="38"/>
      <c r="V468" s="471" t="s">
        <v>144</v>
      </c>
      <c r="W468" s="472"/>
      <c r="X468" s="473">
        <f>Z468/+Z407</f>
        <v>0.98417905556186835</v>
      </c>
      <c r="Y468" s="472"/>
      <c r="Z468" s="474">
        <f>Z419+Z433+Z452+Z466</f>
        <v>775422.56559605978</v>
      </c>
      <c r="AA468" s="473"/>
      <c r="AB468" s="472"/>
      <c r="AC468" s="474"/>
      <c r="AD468" s="475">
        <f>AF468/AF407</f>
        <v>0.96427194064662314</v>
      </c>
      <c r="AE468" s="472"/>
      <c r="AF468" s="474">
        <f>AF419+AF433+AF452+AF466</f>
        <v>708286.09</v>
      </c>
      <c r="AG468" s="481"/>
      <c r="AH468" s="494">
        <f t="shared" si="102"/>
        <v>-67136.475596059812</v>
      </c>
      <c r="AI468" s="473">
        <f>AH468/Z468</f>
        <v>-8.6580502779736182E-2</v>
      </c>
      <c r="AJ468" s="475">
        <f>IF($AL$407=0,0,AL468/$AL$407)</f>
        <v>1.0427625029719303</v>
      </c>
      <c r="AK468" s="473"/>
      <c r="AL468" s="474">
        <f>AL419+AL433+AL452+AL466</f>
        <v>721828.38</v>
      </c>
      <c r="AM468" s="482"/>
      <c r="AN468" s="477">
        <f t="shared" si="103"/>
        <v>-13542.290000000037</v>
      </c>
      <c r="AO468" s="454">
        <f t="shared" si="101"/>
        <v>-1.8761093876635937E-2</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216</v>
      </c>
      <c r="B469" s="3"/>
      <c r="C469" s="433" t="s">
        <v>598</v>
      </c>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f>+INDEX('Budget original'!$A$2:$AO$501,MATCH($A469,'Budget original'!$A$2:$A$501,0),MATCH(F$2,'Budget original'!$A$2:$AO$2,0))</f>
        <v>0</v>
      </c>
      <c r="AA469" s="502"/>
      <c r="AB469" s="503"/>
      <c r="AC469" s="485"/>
      <c r="AD469" s="504"/>
      <c r="AE469" s="503"/>
      <c r="AF469" s="457">
        <f>-SUMIFS(BV_Data_An_Cour!$O:$O,BV_Data_An_Cour!$V:$V,$V469)</f>
        <v>3399.74</v>
      </c>
      <c r="AG469" s="505"/>
      <c r="AH469" s="459">
        <f t="shared" si="102"/>
        <v>3399.74</v>
      </c>
      <c r="AI469" s="498" t="e">
        <f>IF(AH469=0,0,AH469/Z469)</f>
        <v>#DIV/0!</v>
      </c>
      <c r="AJ469" s="504"/>
      <c r="AK469" s="502"/>
      <c r="AL469" s="506">
        <f>+INDEX('Réel 2024'!$A$2:$AO$501,MATCH($A469,'Réel 2024'!$A$2:$A$501,0),MATCH(F$2,'Réel 2024'!$A$2:$AO$2,0))</f>
        <v>125.88</v>
      </c>
      <c r="AM469" s="507"/>
      <c r="AN469" s="459">
        <f t="shared" si="103"/>
        <v>3273.8599999999997</v>
      </c>
      <c r="AO469" s="466">
        <f t="shared" si="101"/>
        <v>26.007785192246583</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148</v>
      </c>
      <c r="B470" s="3"/>
      <c r="C470" s="433" t="s">
        <v>598</v>
      </c>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04">+SUMIF($C:$C,$V470,F:F)</f>
        <v>87450.281871825806</v>
      </c>
      <c r="AA470" s="496"/>
      <c r="AB470" s="459"/>
      <c r="AC470" s="457"/>
      <c r="AD470" s="508"/>
      <c r="AE470" s="509"/>
      <c r="AF470" s="457">
        <f t="shared" ref="AF470:AF476" si="105">+SUMIF($C:$C,$V470,L:L)</f>
        <v>69529</v>
      </c>
      <c r="AG470" s="510"/>
      <c r="AH470" s="459">
        <f t="shared" si="102"/>
        <v>-17921.281871825806</v>
      </c>
      <c r="AI470" s="479">
        <f>IF(Z470=0,0,AH470/Z470)</f>
        <v>-0.20493109328215411</v>
      </c>
      <c r="AJ470" s="511"/>
      <c r="AK470" s="496"/>
      <c r="AL470" s="512">
        <f t="shared" ref="AL470:AL479" si="106">+SUMIF($C:$C,$V470,Q:Q)</f>
        <v>99044.7</v>
      </c>
      <c r="AM470" s="508"/>
      <c r="AN470" s="459">
        <f t="shared" si="103"/>
        <v>-29515.699999999997</v>
      </c>
      <c r="AO470" s="466">
        <f t="shared" si="101"/>
        <v>-0.2980038305936612</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145</v>
      </c>
      <c r="B471" s="3"/>
      <c r="C471" s="433" t="s">
        <v>598</v>
      </c>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04"/>
        <v>0</v>
      </c>
      <c r="AA471" s="496"/>
      <c r="AB471" s="497"/>
      <c r="AC471" s="457"/>
      <c r="AD471" s="511"/>
      <c r="AF471" s="457">
        <f t="shared" si="105"/>
        <v>0</v>
      </c>
      <c r="AG471" s="510"/>
      <c r="AH471" s="459">
        <f t="shared" si="102"/>
        <v>0</v>
      </c>
      <c r="AI471" s="479">
        <f t="shared" ref="AI471:AI480" si="107">IF(AH471=0,0,AH471/Z471)</f>
        <v>0</v>
      </c>
      <c r="AJ471" s="511"/>
      <c r="AK471" s="496"/>
      <c r="AL471" s="512">
        <f t="shared" si="106"/>
        <v>0</v>
      </c>
      <c r="AM471" s="508"/>
      <c r="AN471" s="459">
        <f t="shared" si="103"/>
        <v>0</v>
      </c>
      <c r="AO471" s="466">
        <f t="shared" si="101"/>
        <v>0</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146</v>
      </c>
      <c r="B472" s="3"/>
      <c r="C472" s="433" t="s">
        <v>598</v>
      </c>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04"/>
        <v>0</v>
      </c>
      <c r="AA472" s="496"/>
      <c r="AB472" s="497"/>
      <c r="AC472" s="457"/>
      <c r="AD472" s="511"/>
      <c r="AE472" s="497"/>
      <c r="AF472" s="457">
        <f t="shared" si="105"/>
        <v>0</v>
      </c>
      <c r="AG472" s="510"/>
      <c r="AH472" s="459">
        <f t="shared" si="102"/>
        <v>0</v>
      </c>
      <c r="AI472" s="479">
        <f t="shared" si="107"/>
        <v>0</v>
      </c>
      <c r="AJ472" s="511"/>
      <c r="AK472" s="496"/>
      <c r="AL472" s="512">
        <f t="shared" si="106"/>
        <v>0</v>
      </c>
      <c r="AM472" s="508"/>
      <c r="AN472" s="459">
        <f t="shared" si="103"/>
        <v>0</v>
      </c>
      <c r="AO472" s="466">
        <f t="shared" si="101"/>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147</v>
      </c>
      <c r="B473" s="3"/>
      <c r="C473" s="433" t="s">
        <v>598</v>
      </c>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04"/>
        <v>0</v>
      </c>
      <c r="AA473" s="496"/>
      <c r="AB473" s="497"/>
      <c r="AC473" s="457"/>
      <c r="AD473" s="511"/>
      <c r="AE473" s="497"/>
      <c r="AF473" s="457">
        <f t="shared" si="105"/>
        <v>0</v>
      </c>
      <c r="AG473" s="510"/>
      <c r="AH473" s="459">
        <f t="shared" si="102"/>
        <v>0</v>
      </c>
      <c r="AI473" s="479">
        <f t="shared" si="107"/>
        <v>0</v>
      </c>
      <c r="AJ473" s="511"/>
      <c r="AK473" s="496"/>
      <c r="AL473" s="512">
        <f t="shared" si="106"/>
        <v>0</v>
      </c>
      <c r="AM473" s="508"/>
      <c r="AN473" s="459">
        <f t="shared" si="103"/>
        <v>0</v>
      </c>
      <c r="AO473" s="466">
        <f t="shared" si="101"/>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158</v>
      </c>
      <c r="B474" s="3"/>
      <c r="C474" s="433" t="s">
        <v>598</v>
      </c>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04"/>
        <v>0</v>
      </c>
      <c r="AA474" s="496"/>
      <c r="AB474" s="497"/>
      <c r="AC474" s="457"/>
      <c r="AD474" s="511"/>
      <c r="AE474" s="497"/>
      <c r="AF474" s="457">
        <f t="shared" si="105"/>
        <v>0</v>
      </c>
      <c r="AG474" s="510"/>
      <c r="AH474" s="459">
        <f t="shared" si="102"/>
        <v>0</v>
      </c>
      <c r="AI474" s="479">
        <f t="shared" si="107"/>
        <v>0</v>
      </c>
      <c r="AJ474" s="511"/>
      <c r="AK474" s="496"/>
      <c r="AL474" s="512">
        <f t="shared" si="106"/>
        <v>0</v>
      </c>
      <c r="AM474" s="508"/>
      <c r="AN474" s="459">
        <f t="shared" si="103"/>
        <v>0</v>
      </c>
      <c r="AO474" s="466">
        <f t="shared" si="101"/>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159</v>
      </c>
      <c r="B475" s="3"/>
      <c r="C475" s="433" t="s">
        <v>598</v>
      </c>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04"/>
        <v>0</v>
      </c>
      <c r="AA475" s="496"/>
      <c r="AB475" s="497"/>
      <c r="AC475" s="457"/>
      <c r="AD475" s="511"/>
      <c r="AE475" s="497"/>
      <c r="AF475" s="457">
        <f t="shared" si="105"/>
        <v>0</v>
      </c>
      <c r="AG475" s="510"/>
      <c r="AH475" s="459">
        <f t="shared" si="102"/>
        <v>0</v>
      </c>
      <c r="AI475" s="479">
        <f t="shared" si="107"/>
        <v>0</v>
      </c>
      <c r="AJ475" s="511"/>
      <c r="AK475" s="496"/>
      <c r="AL475" s="512">
        <f t="shared" si="106"/>
        <v>0</v>
      </c>
      <c r="AM475" s="508"/>
      <c r="AN475" s="459">
        <f t="shared" si="103"/>
        <v>0</v>
      </c>
      <c r="AO475" s="466">
        <f t="shared" si="101"/>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
        <v>160</v>
      </c>
      <c r="B476" s="3"/>
      <c r="C476" s="433" t="s">
        <v>598</v>
      </c>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04"/>
        <v>0</v>
      </c>
      <c r="AA476" s="496"/>
      <c r="AB476" s="497"/>
      <c r="AC476" s="457"/>
      <c r="AD476" s="511"/>
      <c r="AE476" s="497"/>
      <c r="AF476" s="457">
        <f t="shared" si="105"/>
        <v>0</v>
      </c>
      <c r="AG476" s="510"/>
      <c r="AH476" s="459">
        <f t="shared" si="102"/>
        <v>0</v>
      </c>
      <c r="AI476" s="479">
        <f t="shared" si="107"/>
        <v>0</v>
      </c>
      <c r="AJ476" s="511"/>
      <c r="AK476" s="496"/>
      <c r="AL476" s="512">
        <f t="shared" si="106"/>
        <v>0</v>
      </c>
      <c r="AM476" s="508"/>
      <c r="AN476" s="459">
        <f t="shared" si="103"/>
        <v>0</v>
      </c>
      <c r="AO476" s="466">
        <f t="shared" si="101"/>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
        <v>59</v>
      </c>
      <c r="B477" s="3"/>
      <c r="C477" s="433" t="s">
        <v>598</v>
      </c>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f>+INDEX('Budget original'!$A$2:$AO$501,MATCH($A477,'Budget original'!$A$2:$A$501,0),MATCH(F$2,'Budget original'!$A$2:$AO$2,0))</f>
        <v>0</v>
      </c>
      <c r="AA477" s="456"/>
      <c r="AB477" s="456"/>
      <c r="AC477" s="457"/>
      <c r="AD477" s="465"/>
      <c r="AE477" s="464"/>
      <c r="AF477" s="457">
        <f>IFERROR(SUMIF($C:$C,$V477,L:L),0)</f>
        <v>0</v>
      </c>
      <c r="AG477" s="458"/>
      <c r="AH477" s="459">
        <f t="shared" si="102"/>
        <v>0</v>
      </c>
      <c r="AI477" s="460">
        <f t="shared" si="107"/>
        <v>0</v>
      </c>
      <c r="AJ477" s="465"/>
      <c r="AK477" s="456"/>
      <c r="AL477" s="457">
        <f>+INDEX('Réel 2024'!$A$2:$AO$501,MATCH($A477,'Réel 2024'!$A$2:$A$501,0),MATCH(F$2,'Réel 2024'!$A$2:$AO$2,0))</f>
        <v>0</v>
      </c>
      <c r="AM477" s="508"/>
      <c r="AN477" s="459">
        <f t="shared" si="103"/>
        <v>0</v>
      </c>
      <c r="AO477" s="466">
        <f t="shared" si="101"/>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59</v>
      </c>
      <c r="B478" s="3"/>
      <c r="C478" s="433" t="s">
        <v>598</v>
      </c>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IFERROR(SUMIF($C:$C,$V478,F:F),0)</f>
        <v>0</v>
      </c>
      <c r="AA478" s="456"/>
      <c r="AB478" s="456"/>
      <c r="AC478" s="457"/>
      <c r="AD478" s="465"/>
      <c r="AE478" s="464"/>
      <c r="AF478" s="457">
        <f>IFERROR(SUMIF($C:$C,$V478,L:L),0)</f>
        <v>0</v>
      </c>
      <c r="AG478" s="458"/>
      <c r="AH478" s="459">
        <f t="shared" si="102"/>
        <v>0</v>
      </c>
      <c r="AI478" s="460">
        <f t="shared" si="107"/>
        <v>0</v>
      </c>
      <c r="AJ478" s="465"/>
      <c r="AK478" s="456"/>
      <c r="AL478" s="457">
        <f t="shared" si="106"/>
        <v>0</v>
      </c>
      <c r="AM478" s="508"/>
      <c r="AN478" s="459">
        <f t="shared" si="103"/>
        <v>0</v>
      </c>
      <c r="AO478" s="466">
        <f t="shared" si="101"/>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
        <v>59</v>
      </c>
      <c r="B479" s="3"/>
      <c r="C479" s="433" t="s">
        <v>598</v>
      </c>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IFERROR(SUMIF($C:$C,$V479,F:F),0)</f>
        <v>0</v>
      </c>
      <c r="AA479" s="456"/>
      <c r="AB479" s="456"/>
      <c r="AC479" s="457"/>
      <c r="AD479" s="465"/>
      <c r="AE479" s="464"/>
      <c r="AF479" s="457">
        <f>IFERROR(SUMIF($C:$C,$V479,L:L),0)</f>
        <v>0</v>
      </c>
      <c r="AG479" s="458"/>
      <c r="AH479" s="459">
        <f t="shared" si="102"/>
        <v>0</v>
      </c>
      <c r="AI479" s="460">
        <f t="shared" si="107"/>
        <v>0</v>
      </c>
      <c r="AJ479" s="465"/>
      <c r="AK479" s="456"/>
      <c r="AL479" s="457">
        <f t="shared" si="106"/>
        <v>0</v>
      </c>
      <c r="AM479" s="508"/>
      <c r="AN479" s="459">
        <f t="shared" si="103"/>
        <v>0</v>
      </c>
      <c r="AO479" s="466">
        <f t="shared" si="101"/>
        <v>0</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
        <v>149</v>
      </c>
      <c r="B480" s="3"/>
      <c r="C480" s="433" t="s">
        <v>598</v>
      </c>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44079.049999999996</v>
      </c>
      <c r="AA480" s="496"/>
      <c r="AB480" s="497"/>
      <c r="AC480" s="457"/>
      <c r="AD480" s="513">
        <f>AF480/499</f>
        <v>81.276553106212418</v>
      </c>
      <c r="AE480" s="496">
        <f>(AF480/399)/(J13+J15+J97)</f>
        <v>1.1683519142684298</v>
      </c>
      <c r="AF480" s="457">
        <f>+SUMIF($C:$C,$V480,L:L)</f>
        <v>40557</v>
      </c>
      <c r="AG480" s="510"/>
      <c r="AH480" s="459">
        <f t="shared" si="102"/>
        <v>-3522.0499999999956</v>
      </c>
      <c r="AI480" s="479">
        <f t="shared" si="107"/>
        <v>-7.9903037837702848E-2</v>
      </c>
      <c r="AJ480" s="511"/>
      <c r="AK480" s="496"/>
      <c r="AL480" s="512">
        <f>+INDEX('Réel 2024'!$A$2:$AO$501,MATCH($A480,'Réel 2024'!$A$2:$A$501,0),MATCH(F$2,'Réel 2024'!$A$2:$AO$2,0))</f>
        <v>43463</v>
      </c>
      <c r="AM480" s="508"/>
      <c r="AN480" s="459">
        <f t="shared" si="103"/>
        <v>-2906</v>
      </c>
      <c r="AO480" s="466">
        <f t="shared" si="101"/>
        <v>-6.686146837539976E-2</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
        <v>217</v>
      </c>
      <c r="B481" s="3"/>
      <c r="C481" s="433" t="s">
        <v>598</v>
      </c>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0.16693918820996823</v>
      </c>
      <c r="Y481" s="493"/>
      <c r="Z481" s="474">
        <f>SUM(Z469:Z480)</f>
        <v>131529.33187182579</v>
      </c>
      <c r="AA481" s="473"/>
      <c r="AB481" s="493"/>
      <c r="AC481" s="474"/>
      <c r="AD481" s="473">
        <f>AF481/+AF407</f>
        <v>0.15450129021384298</v>
      </c>
      <c r="AE481" s="493"/>
      <c r="AF481" s="474">
        <f>SUM(AF469:AF480)</f>
        <v>113485.74</v>
      </c>
      <c r="AG481" s="481"/>
      <c r="AH481" s="477">
        <f t="shared" si="102"/>
        <v>-18043.591871825789</v>
      </c>
      <c r="AI481" s="473">
        <f>AH481/Z481</f>
        <v>-0.13718302689630565</v>
      </c>
      <c r="AJ481" s="514"/>
      <c r="AK481" s="515"/>
      <c r="AL481" s="474">
        <f>SUM(AL469:AL480)</f>
        <v>142633.58000000002</v>
      </c>
      <c r="AM481" s="516"/>
      <c r="AN481" s="477">
        <f t="shared" si="103"/>
        <v>-29147.840000000011</v>
      </c>
      <c r="AO481" s="495">
        <f t="shared" si="101"/>
        <v>-0.20435468281732821</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6" customHeight="1">
      <c r="A482" s="5" t="s">
        <v>599</v>
      </c>
      <c r="B482" s="3"/>
      <c r="C482" s="433" t="s">
        <v>598</v>
      </c>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03"/>
        <v>0</v>
      </c>
      <c r="AO482" s="529">
        <f t="shared" si="101"/>
        <v>0</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
        <v>218</v>
      </c>
      <c r="B483" s="3"/>
      <c r="C483" s="433" t="s">
        <v>598</v>
      </c>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2.3155654438987455E-2</v>
      </c>
      <c r="Z483" s="534">
        <f>Z407-Z468+Z481</f>
        <v>143994.45928643533</v>
      </c>
      <c r="AA483" s="532"/>
      <c r="AB483" s="533"/>
      <c r="AC483" s="534"/>
      <c r="AD483" s="532" t="s">
        <v>219</v>
      </c>
      <c r="AE483" s="533">
        <f>AF483/AF406</f>
        <v>2.5723577935098246E-2</v>
      </c>
      <c r="AF483" s="535">
        <f>AF407-AF468+AF481</f>
        <v>139729.05000000028</v>
      </c>
      <c r="AG483" s="536"/>
      <c r="AH483" s="536">
        <f>AF483-Z483</f>
        <v>-4265.4092864350532</v>
      </c>
      <c r="AI483" s="537">
        <f>AH483/Z483</f>
        <v>-2.9622037594865057E-2</v>
      </c>
      <c r="AJ483" s="538" t="s">
        <v>219</v>
      </c>
      <c r="AK483" s="533">
        <f>IF($AL$406=0,0,AL483/$AL$406)</f>
        <v>1.7295577549075389E-2</v>
      </c>
      <c r="AL483" s="535">
        <f>AL407-AL468+AL481</f>
        <v>113032.21999999956</v>
      </c>
      <c r="AM483" s="539"/>
      <c r="AN483" s="535">
        <f t="shared" si="103"/>
        <v>26696.830000000715</v>
      </c>
      <c r="AO483" s="540">
        <f t="shared" si="101"/>
        <v>0.23618778787146547</v>
      </c>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8.25" customHeight="1" thickTop="1">
      <c r="A484" s="5" t="s">
        <v>599</v>
      </c>
      <c r="B484" s="3"/>
      <c r="C484" s="433" t="s">
        <v>598</v>
      </c>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18" customHeight="1">
      <c r="A485" s="5" t="s">
        <v>1</v>
      </c>
      <c r="B485" s="3"/>
      <c r="C485" s="433" t="s">
        <v>598</v>
      </c>
      <c r="D485" s="38"/>
      <c r="E485" s="38"/>
      <c r="F485" s="38"/>
      <c r="G485" s="38"/>
      <c r="H485" s="38"/>
      <c r="I485" s="38"/>
      <c r="J485" s="38"/>
      <c r="K485" s="38"/>
      <c r="L485" s="38"/>
      <c r="M485" s="38"/>
      <c r="N485" s="38"/>
      <c r="O485" s="38"/>
      <c r="P485" s="38"/>
      <c r="Q485" s="38"/>
      <c r="R485" s="38"/>
      <c r="S485" s="38"/>
      <c r="T485" s="38"/>
      <c r="U485" s="38"/>
      <c r="V485" s="981" t="str">
        <f>C1</f>
        <v>Volks</v>
      </c>
      <c r="W485" s="981"/>
      <c r="X485" s="981"/>
      <c r="Y485" s="981"/>
      <c r="Z485" s="981"/>
      <c r="AA485" s="981"/>
      <c r="AB485" s="981"/>
      <c r="AC485" s="981"/>
      <c r="AD485" s="981"/>
      <c r="AE485" s="982" t="s">
        <v>220</v>
      </c>
      <c r="AF485" s="981"/>
      <c r="AG485" s="981"/>
      <c r="AH485" s="981"/>
      <c r="AI485" s="981"/>
      <c r="AJ485" s="983"/>
      <c r="AK485" s="984"/>
      <c r="AL485" s="981"/>
      <c r="AM485" s="981"/>
      <c r="AN485" s="981"/>
      <c r="AO485" s="985" t="str">
        <f>$S$1</f>
        <v>Réalisé, Mai 2025</v>
      </c>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19.5" customHeight="1">
      <c r="A486" s="5" t="s">
        <v>599</v>
      </c>
      <c r="B486" s="3"/>
      <c r="C486" s="433" t="s">
        <v>598</v>
      </c>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19.5" customHeight="1" thickBot="1">
      <c r="A487" s="5" t="s">
        <v>599</v>
      </c>
      <c r="B487" s="3"/>
      <c r="C487" s="433" t="s">
        <v>598</v>
      </c>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9.5" customHeight="1" thickTop="1" thickBot="1">
      <c r="A488" s="5" t="s">
        <v>599</v>
      </c>
      <c r="B488" s="3"/>
      <c r="C488" s="433" t="s">
        <v>598</v>
      </c>
      <c r="D488" s="38"/>
      <c r="E488" s="38"/>
      <c r="F488" s="38"/>
      <c r="G488" s="38"/>
      <c r="H488" s="38"/>
      <c r="I488" s="38"/>
      <c r="J488" s="38"/>
      <c r="K488" s="38"/>
      <c r="L488" s="38"/>
      <c r="M488" s="38"/>
      <c r="N488" s="38"/>
      <c r="O488" s="38"/>
      <c r="P488" s="38"/>
      <c r="Q488" s="38"/>
      <c r="R488" s="38"/>
      <c r="S488" s="38"/>
      <c r="T488" s="38"/>
      <c r="U488" s="38"/>
      <c r="V488" s="1182" t="s">
        <v>3915</v>
      </c>
      <c r="W488" s="1183"/>
      <c r="X488" s="1184" t="s">
        <v>219</v>
      </c>
      <c r="Y488" s="1185">
        <f>Z488/Z406</f>
        <v>3.0597225997121391E-2</v>
      </c>
      <c r="Z488" s="1186">
        <f>Z489+Z415</f>
        <v>190270.20051319327</v>
      </c>
      <c r="AA488" s="1184"/>
      <c r="AB488" s="1185"/>
      <c r="AC488" s="534"/>
      <c r="AD488" s="1184" t="s">
        <v>219</v>
      </c>
      <c r="AE488" s="1185">
        <f>AF488/AF406</f>
        <v>2.8859173248672682E-2</v>
      </c>
      <c r="AF488" s="1186">
        <f>AF489+AF415</f>
        <v>156761.43000000028</v>
      </c>
      <c r="AG488" s="536"/>
      <c r="AH488" s="536">
        <f t="shared" ref="AH488" si="108">AF488-Z488</f>
        <v>-33508.770513192983</v>
      </c>
      <c r="AI488" s="537">
        <f>AH488/Z488</f>
        <v>-0.17611150050199004</v>
      </c>
      <c r="AJ488" s="1184" t="s">
        <v>219</v>
      </c>
      <c r="AK488" s="1185">
        <f>IF($AL$406=0,0,AL488/$AL$406)</f>
        <v>2.5227307058875527E-2</v>
      </c>
      <c r="AL488" s="1186">
        <f>AL489+AL415</f>
        <v>164868.64999999956</v>
      </c>
      <c r="AM488" s="539"/>
      <c r="AN488" s="1186">
        <f t="shared" ref="AN488" si="109">AF488-AL488</f>
        <v>-8107.2199999992736</v>
      </c>
      <c r="AO488" s="1187">
        <f t="shared" ref="AO488" si="110">IF(AL488=0,0,AN488/AL488)</f>
        <v>-4.9173812001246417E-2</v>
      </c>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9.5" thickTop="1" thickBot="1">
      <c r="A489" s="5" t="s">
        <v>218</v>
      </c>
      <c r="B489" s="3"/>
      <c r="C489" s="433" t="s">
        <v>598</v>
      </c>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2.3155654438987455E-2</v>
      </c>
      <c r="Z489" s="534">
        <f>Z483</f>
        <v>143994.45928643533</v>
      </c>
      <c r="AA489" s="532"/>
      <c r="AB489" s="533"/>
      <c r="AC489" s="534"/>
      <c r="AD489" s="532" t="s">
        <v>219</v>
      </c>
      <c r="AE489" s="533">
        <f>AF489/AF406</f>
        <v>2.5723577935098246E-2</v>
      </c>
      <c r="AF489" s="534">
        <f>AF483</f>
        <v>139729.05000000028</v>
      </c>
      <c r="AG489" s="535"/>
      <c r="AH489" s="536">
        <f>AF489-Z489</f>
        <v>-4265.4092864350532</v>
      </c>
      <c r="AI489" s="537">
        <f>AH489/Z489</f>
        <v>-2.9622037594865057E-2</v>
      </c>
      <c r="AJ489" s="532" t="s">
        <v>219</v>
      </c>
      <c r="AK489" s="533">
        <f>IF($AL$406=0,0,AL489/$AL$406)</f>
        <v>1.7295577549075389E-2</v>
      </c>
      <c r="AL489" s="543">
        <f>AL483</f>
        <v>113032.21999999956</v>
      </c>
      <c r="AM489" s="544"/>
      <c r="AN489" s="545">
        <f>AF489-AL489</f>
        <v>26696.830000000715</v>
      </c>
      <c r="AO489" s="546">
        <f>IF(AL489=0,0,AN489/AL489)</f>
        <v>0.23618778787146547</v>
      </c>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
        <v>599</v>
      </c>
      <c r="B490" s="3"/>
      <c r="C490" s="433" t="s">
        <v>598</v>
      </c>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
        <v>221</v>
      </c>
      <c r="B491" s="3"/>
      <c r="C491" s="433" t="s">
        <v>598</v>
      </c>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f>+INDEX('Budget original'!$A$2:$AO$501,MATCH($A491,'Budget original'!$A$2:$A$501,0),MATCH(F$2,'Budget original'!$A$2:$AO$2,0))</f>
        <v>42648</v>
      </c>
      <c r="AA491" s="456"/>
      <c r="AB491" s="464"/>
      <c r="AC491" s="457"/>
      <c r="AD491" s="456"/>
      <c r="AE491" s="464"/>
      <c r="AF491" s="457">
        <f>SUMIFS(BV_Data_An_Cour!$O:$O,BV_Data_An_Cour!$V:$V,$V491)</f>
        <v>42648</v>
      </c>
      <c r="AG491" s="456"/>
      <c r="AH491" s="459">
        <f t="shared" ref="AH491:AH498" si="111">AF491-Z491</f>
        <v>0</v>
      </c>
      <c r="AI491" s="479">
        <f t="shared" ref="AI491:AI497" si="112">IF(Z491=0,0,AH491/Z491)</f>
        <v>0</v>
      </c>
      <c r="AJ491" s="456"/>
      <c r="AK491" s="456"/>
      <c r="AL491" s="457">
        <f>+INDEX('Réel 2024'!$A$2:$AO$501,MATCH($A491,'Réel 2024'!$A$2:$A$501,0),MATCH(F$2,'Réel 2024'!$A$2:$AO$2,0))</f>
        <v>6315</v>
      </c>
      <c r="AM491" s="461"/>
      <c r="AN491" s="459">
        <f t="shared" ref="AN491:AN498" si="113">AF491-AL491</f>
        <v>36333</v>
      </c>
      <c r="AO491" s="466">
        <f t="shared" ref="AO491:AO498" si="114">IF(AL491=0,0,AN491/AL491)</f>
        <v>5.7534441805225649</v>
      </c>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222</v>
      </c>
      <c r="B492" s="3"/>
      <c r="C492" s="433" t="s">
        <v>598</v>
      </c>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f>+INDEX('Budget original'!$A$2:$AO$501,MATCH($A492,'Budget original'!$A$2:$A$501,0),MATCH(F$2,'Budget original'!$A$2:$AO$2,0))</f>
        <v>0</v>
      </c>
      <c r="AA492" s="38"/>
      <c r="AB492" s="38"/>
      <c r="AC492" s="457"/>
      <c r="AD492" s="38"/>
      <c r="AE492" s="41"/>
      <c r="AF492" s="457">
        <f>SUMIFS(BV_Data_An_Cour!$O:$O,BV_Data_An_Cour!$V:$V,$V492)</f>
        <v>0</v>
      </c>
      <c r="AG492" s="38"/>
      <c r="AH492" s="459">
        <f t="shared" si="111"/>
        <v>0</v>
      </c>
      <c r="AI492" s="479">
        <f t="shared" si="112"/>
        <v>0</v>
      </c>
      <c r="AJ492" s="38"/>
      <c r="AK492" s="38"/>
      <c r="AL492" s="457">
        <f>+INDEX('Réel 2024'!$A$2:$AO$501,MATCH($A492,'Réel 2024'!$A$2:$A$501,0),MATCH(F$2,'Réel 2024'!$A$2:$AO$2,0))</f>
        <v>0</v>
      </c>
      <c r="AM492" s="551"/>
      <c r="AN492" s="459">
        <f t="shared" si="113"/>
        <v>0</v>
      </c>
      <c r="AO492" s="466">
        <f t="shared" si="114"/>
        <v>0</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223</v>
      </c>
      <c r="B493" s="3"/>
      <c r="C493" s="433" t="s">
        <v>598</v>
      </c>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f>+INDEX('Budget original'!$A$2:$AO$501,MATCH($A493,'Budget original'!$A$2:$A$501,0),MATCH(F$2,'Budget original'!$A$2:$AO$2,0))</f>
        <v>0</v>
      </c>
      <c r="AA493" s="38"/>
      <c r="AB493" s="38"/>
      <c r="AC493" s="457"/>
      <c r="AD493" s="38"/>
      <c r="AE493" s="41"/>
      <c r="AF493" s="457">
        <f>SUMIFS(BV_Data_An_Cour!$O:$O,BV_Data_An_Cour!$V:$V,$V493)</f>
        <v>0</v>
      </c>
      <c r="AG493" s="38"/>
      <c r="AH493" s="459">
        <f t="shared" si="111"/>
        <v>0</v>
      </c>
      <c r="AI493" s="479">
        <f t="shared" si="112"/>
        <v>0</v>
      </c>
      <c r="AJ493" s="38"/>
      <c r="AK493" s="38"/>
      <c r="AL493" s="457">
        <f>+INDEX('Réel 2024'!$A$2:$AO$501,MATCH($A493,'Réel 2024'!$A$2:$A$501,0),MATCH(F$2,'Réel 2024'!$A$2:$AO$2,0))</f>
        <v>0</v>
      </c>
      <c r="AM493" s="551"/>
      <c r="AN493" s="459">
        <f t="shared" si="113"/>
        <v>0</v>
      </c>
      <c r="AO493" s="466">
        <f t="shared" si="114"/>
        <v>0</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
        <v>224</v>
      </c>
      <c r="B494" s="3"/>
      <c r="C494" s="433" t="s">
        <v>598</v>
      </c>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f>+INDEX('Budget original'!$A$2:$AO$501,MATCH($A494,'Budget original'!$A$2:$A$501,0),MATCH(F$2,'Budget original'!$A$2:$AO$2,0))</f>
        <v>0</v>
      </c>
      <c r="AA494" s="38"/>
      <c r="AB494" s="38"/>
      <c r="AC494" s="457"/>
      <c r="AD494" s="38"/>
      <c r="AE494" s="41"/>
      <c r="AF494" s="457">
        <f>SUMIFS(BV_Data_An_Cour!$O:$O,BV_Data_An_Cour!$V:$V,$V494)</f>
        <v>0</v>
      </c>
      <c r="AG494" s="38"/>
      <c r="AH494" s="459">
        <f t="shared" si="111"/>
        <v>0</v>
      </c>
      <c r="AI494" s="479">
        <f t="shared" si="112"/>
        <v>0</v>
      </c>
      <c r="AJ494" s="38"/>
      <c r="AK494" s="38"/>
      <c r="AL494" s="457">
        <f>+INDEX('Réel 2024'!$A$2:$AO$501,MATCH($A494,'Réel 2024'!$A$2:$A$501,0),MATCH(F$2,'Réel 2024'!$A$2:$AO$2,0))</f>
        <v>0</v>
      </c>
      <c r="AM494" s="551"/>
      <c r="AN494" s="459">
        <f t="shared" si="113"/>
        <v>0</v>
      </c>
      <c r="AO494" s="466">
        <f t="shared" si="114"/>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
        <v>59</v>
      </c>
      <c r="B495" s="3"/>
      <c r="C495" s="433" t="s">
        <v>598</v>
      </c>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f>IFERROR(SUMIF($C:$C,$V495,F:F),0)</f>
        <v>0</v>
      </c>
      <c r="AA495" s="456"/>
      <c r="AB495" s="456"/>
      <c r="AC495" s="457"/>
      <c r="AD495" s="465"/>
      <c r="AE495" s="464"/>
      <c r="AF495" s="457">
        <f>IFERROR(SUMIF($C:$C,$V495,L:L),0)</f>
        <v>0</v>
      </c>
      <c r="AG495" s="458"/>
      <c r="AH495" s="459">
        <f t="shared" si="111"/>
        <v>0</v>
      </c>
      <c r="AI495" s="460">
        <f t="shared" si="112"/>
        <v>0</v>
      </c>
      <c r="AJ495" s="465"/>
      <c r="AK495" s="456"/>
      <c r="AL495" s="1213">
        <f>+INDEX('Réel 2024'!$A$2:$AO$501,MATCH($A495,'Réel 2024'!$A$2:$A$501,0),MATCH(F$2,'Réel 2024'!$A$2:$AO$2,0))</f>
        <v>0</v>
      </c>
      <c r="AM495" s="551"/>
      <c r="AN495" s="459">
        <f t="shared" si="113"/>
        <v>0</v>
      </c>
      <c r="AO495" s="466">
        <f t="shared" si="114"/>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312" t="str">
        <f>V496</f>
        <v>Revenus d'intérêts Floor plan</v>
      </c>
      <c r="B496" s="3"/>
      <c r="C496" s="433" t="s">
        <v>598</v>
      </c>
      <c r="D496" s="38"/>
      <c r="E496" s="38"/>
      <c r="F496" s="94"/>
      <c r="G496" s="38"/>
      <c r="H496" s="38"/>
      <c r="I496" s="94"/>
      <c r="J496" s="38"/>
      <c r="K496" s="38"/>
      <c r="L496" s="38"/>
      <c r="M496" s="94"/>
      <c r="N496" s="38"/>
      <c r="O496" s="38"/>
      <c r="P496" s="38"/>
      <c r="Q496" s="94"/>
      <c r="R496" s="94"/>
      <c r="S496" s="94"/>
      <c r="T496" s="38"/>
      <c r="U496" s="38"/>
      <c r="V496" s="312" t="s">
        <v>3936</v>
      </c>
      <c r="W496" s="41"/>
      <c r="X496" s="41"/>
      <c r="Y496" s="41"/>
      <c r="Z496" s="457">
        <f>+INDEX('Budget original'!$A$2:$AO$501,MATCH($A496,'Budget original'!$A$2:$A$501,0),MATCH(F$2,'Budget original'!$A$2:$AO$2,0))</f>
        <v>-1079.1666666666667</v>
      </c>
      <c r="AA496" s="456"/>
      <c r="AB496" s="456"/>
      <c r="AC496" s="457"/>
      <c r="AD496" s="465"/>
      <c r="AE496" s="464"/>
      <c r="AF496" s="457">
        <f>SUMIFS(BV_Data_An_Cour!$O:$O,BV_Data_An_Cour!$V:$V,$V496)</f>
        <v>-1079</v>
      </c>
      <c r="AG496" s="458"/>
      <c r="AH496" s="459">
        <f t="shared" si="111"/>
        <v>0.16666666666674246</v>
      </c>
      <c r="AI496" s="460">
        <f t="shared" si="112"/>
        <v>-1.5444015444022465E-4</v>
      </c>
      <c r="AJ496" s="465"/>
      <c r="AK496" s="456"/>
      <c r="AL496" s="457">
        <f>+INDEX('Réel 2024'!$A$2:$AO$501,MATCH($A496,'Réel 2024'!$A$2:$A$501,0),MATCH(F$2,'Réel 2024'!$A$2:$AO$2,0))</f>
        <v>-4607.6499999999996</v>
      </c>
      <c r="AM496" s="551"/>
      <c r="AN496" s="459">
        <f t="shared" si="113"/>
        <v>3528.6499999999996</v>
      </c>
      <c r="AO496" s="466">
        <f t="shared" si="114"/>
        <v>-0.76582422710058273</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customHeight="1" thickBot="1">
      <c r="A497" s="5" t="s">
        <v>59</v>
      </c>
      <c r="B497" s="3"/>
      <c r="C497" s="433" t="s">
        <v>598</v>
      </c>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IFERROR(SUMIF($C:$C,$V497,F:F),0)</f>
        <v>0</v>
      </c>
      <c r="AA497" s="456"/>
      <c r="AB497" s="456"/>
      <c r="AC497" s="457"/>
      <c r="AD497" s="465"/>
      <c r="AE497" s="464"/>
      <c r="AF497" s="457">
        <f>IFERROR(SUMIF($C:$C,$V497,L:L),0)</f>
        <v>0</v>
      </c>
      <c r="AG497" s="458"/>
      <c r="AH497" s="459">
        <f t="shared" si="111"/>
        <v>0</v>
      </c>
      <c r="AI497" s="460">
        <f t="shared" si="112"/>
        <v>0</v>
      </c>
      <c r="AJ497" s="465"/>
      <c r="AK497" s="456"/>
      <c r="AL497" s="457">
        <f>+INDEX('Réel 2024'!$A$2:$AO$501,MATCH($A497,'Réel 2024'!$A$2:$A$501,0),MATCH(F$2,'Réel 2024'!$A$2:$AO$2,0))</f>
        <v>0</v>
      </c>
      <c r="AM497" s="551"/>
      <c r="AN497" s="459">
        <f t="shared" si="113"/>
        <v>0</v>
      </c>
      <c r="AO497" s="466">
        <f t="shared" si="114"/>
        <v>0</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
        <v>225</v>
      </c>
      <c r="B498" s="3"/>
      <c r="C498" s="433" t="s">
        <v>598</v>
      </c>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1.6470997648243807E-2</v>
      </c>
      <c r="Z498" s="534">
        <f>Z489-Z491-Z492-Z493-Z497-Z496</f>
        <v>102425.625953102</v>
      </c>
      <c r="AA498" s="532"/>
      <c r="AB498" s="533"/>
      <c r="AC498" s="534"/>
      <c r="AD498" s="532" t="s">
        <v>219</v>
      </c>
      <c r="AE498" s="533">
        <f>AF498/AF406</f>
        <v>1.8070885734127174E-2</v>
      </c>
      <c r="AF498" s="535">
        <f>AF489-AF491-AF492-AF493-AF497-AF496</f>
        <v>98160.050000000279</v>
      </c>
      <c r="AG498" s="536"/>
      <c r="AH498" s="536">
        <f t="shared" si="111"/>
        <v>-4265.5759531017247</v>
      </c>
      <c r="AI498" s="537">
        <f>AH498/Z498</f>
        <v>-4.1645593213702398E-2</v>
      </c>
      <c r="AJ498" s="538" t="s">
        <v>219</v>
      </c>
      <c r="AK498" s="533">
        <f>IF($AL$406=0,0,AL498/$AL$406)</f>
        <v>1.7034328107735443E-2</v>
      </c>
      <c r="AL498" s="535">
        <f>AL489-AL491-AL492-AL493-AL497-AL496</f>
        <v>111324.86999999956</v>
      </c>
      <c r="AM498" s="539"/>
      <c r="AN498" s="535">
        <f t="shared" si="113"/>
        <v>-13164.819999999279</v>
      </c>
      <c r="AO498" s="553">
        <f t="shared" si="114"/>
        <v>-0.11825587579845664</v>
      </c>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
        <v>599</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T500" s="38"/>
      <c r="U500" s="38"/>
      <c r="V500" s="38"/>
      <c r="W500" s="38"/>
      <c r="X500" s="38"/>
      <c r="Y500" s="38"/>
      <c r="Z500" s="94"/>
      <c r="AA500" s="38"/>
      <c r="AB500" s="38"/>
      <c r="AC500" s="94"/>
      <c r="AE500" s="555" t="s">
        <v>3317</v>
      </c>
      <c r="AF500" s="555">
        <v>106583</v>
      </c>
      <c r="AG500" s="38"/>
      <c r="AH500" s="38"/>
      <c r="AI500" s="38"/>
      <c r="AJ500" s="554"/>
      <c r="AK500" s="1008"/>
      <c r="AL500" s="960"/>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S501" s="94"/>
      <c r="W501" s="38"/>
      <c r="X501" s="38"/>
      <c r="Y501" s="38"/>
      <c r="Z501" s="94"/>
      <c r="AA501" s="38"/>
      <c r="AB501" s="38"/>
      <c r="AC501" s="94"/>
      <c r="AD501" s="38"/>
      <c r="AE501" s="38"/>
      <c r="AF501" s="555"/>
      <c r="AG501" s="38"/>
      <c r="AH501" s="38"/>
      <c r="AI501" s="38"/>
      <c r="AJ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456"/>
      <c r="W502" s="38"/>
      <c r="X502" s="38"/>
      <c r="Y502" s="38"/>
      <c r="AE502" s="38"/>
      <c r="AF502" s="1034"/>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6"/>
      <c r="W503" s="38"/>
      <c r="X503" s="38"/>
      <c r="Y503" s="38"/>
      <c r="Z503" s="38"/>
      <c r="AA503" s="38"/>
      <c r="AB503" s="38"/>
      <c r="AC503" s="38"/>
      <c r="AD503" s="38"/>
      <c r="AE503" s="612"/>
      <c r="AF503" s="612"/>
      <c r="AG503" s="1208"/>
      <c r="AH503" s="38"/>
      <c r="AI503" s="38"/>
      <c r="AJ503" s="1007"/>
      <c r="AK503" s="1008"/>
      <c r="AL503" s="960"/>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6"/>
      <c r="W504" s="38"/>
      <c r="X504" s="38"/>
      <c r="Y504" s="38"/>
      <c r="Z504" s="38"/>
      <c r="AA504" s="38"/>
      <c r="AB504" s="38"/>
      <c r="AC504" s="38"/>
      <c r="AD504" s="38"/>
      <c r="AE504" s="1208"/>
      <c r="AF504" s="120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6"/>
      <c r="W505" s="38"/>
      <c r="X505" s="38"/>
      <c r="Y505" s="38"/>
      <c r="Z505" s="38"/>
      <c r="AA505" s="38"/>
      <c r="AB505" s="38"/>
      <c r="AC505" s="38"/>
      <c r="AD505" s="38"/>
      <c r="AE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6"/>
      <c r="W506" s="38"/>
      <c r="X506" s="38"/>
      <c r="Y506" s="38"/>
      <c r="Z506" s="38"/>
      <c r="AA506" s="38"/>
      <c r="AB506" s="38"/>
      <c r="AC506" s="38"/>
      <c r="AD506" s="38"/>
      <c r="AE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6"/>
      <c r="W507" s="38"/>
      <c r="X507" s="38"/>
      <c r="Y507" s="38"/>
      <c r="Z507" s="38"/>
      <c r="AA507" s="38"/>
      <c r="AB507" s="38"/>
      <c r="AC507" s="38"/>
      <c r="AD507" s="38"/>
      <c r="AE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6"/>
      <c r="W508" s="38"/>
      <c r="X508" s="38"/>
      <c r="Y508" s="38"/>
      <c r="Z508" s="38"/>
      <c r="AA508" s="38"/>
      <c r="AB508" s="38"/>
      <c r="AC508" s="38"/>
      <c r="AD508" s="38"/>
      <c r="AE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6"/>
      <c r="W509" s="38"/>
      <c r="X509" s="38"/>
      <c r="Y509" s="38"/>
      <c r="Z509" s="38"/>
      <c r="AA509" s="38"/>
      <c r="AB509" s="38"/>
      <c r="AC509" s="38"/>
      <c r="AD509" s="38"/>
      <c r="AE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6"/>
      <c r="W510" s="38"/>
      <c r="X510" s="38"/>
      <c r="Y510" s="38"/>
      <c r="Z510" s="38"/>
      <c r="AA510" s="38"/>
      <c r="AB510" s="38"/>
      <c r="AC510" s="38"/>
      <c r="AD510" s="38"/>
      <c r="AE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6"/>
      <c r="W511" s="38"/>
      <c r="X511" s="38"/>
      <c r="Y511" s="38"/>
      <c r="Z511" s="38"/>
      <c r="AA511" s="38"/>
      <c r="AB511" s="38"/>
      <c r="AC511" s="38"/>
      <c r="AD511" s="38"/>
      <c r="AE511" s="38"/>
      <c r="AF511" s="555"/>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6"/>
      <c r="W512" s="38"/>
      <c r="X512" s="38"/>
      <c r="Y512" s="38"/>
      <c r="Z512" s="38"/>
      <c r="AA512" s="38"/>
      <c r="AB512" s="38"/>
      <c r="AC512" s="38"/>
      <c r="AD512" s="38"/>
      <c r="AE512" s="38"/>
      <c r="AF512" s="1073"/>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6"/>
      <c r="W513" s="38"/>
      <c r="X513" s="38"/>
      <c r="Y513" s="38"/>
      <c r="Z513" s="38"/>
      <c r="AA513" s="38"/>
      <c r="AB513" s="38"/>
      <c r="AC513" s="38"/>
      <c r="AD513" s="38"/>
      <c r="AE513" s="38"/>
      <c r="AF513" s="1073"/>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6"/>
      <c r="W514" s="38"/>
      <c r="X514" s="38"/>
      <c r="Y514" s="38"/>
      <c r="Z514" s="38"/>
      <c r="AA514" s="38"/>
      <c r="AB514" s="38"/>
      <c r="AC514" s="38"/>
      <c r="AD514" s="38"/>
      <c r="AE514" s="38"/>
      <c r="AF514" s="1073"/>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456"/>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456"/>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6"/>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6"/>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6"/>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6"/>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6"/>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6"/>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6"/>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6"/>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456"/>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sheetData>
  <mergeCells count="42">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 ref="O238:Q238"/>
    <mergeCell ref="R238:S238"/>
    <mergeCell ref="G358:I358"/>
    <mergeCell ref="J358:L358"/>
    <mergeCell ref="M358:N358"/>
    <mergeCell ref="O358:Q358"/>
    <mergeCell ref="D238:F238"/>
    <mergeCell ref="G238:I238"/>
    <mergeCell ref="J238:L238"/>
    <mergeCell ref="M238:N238"/>
    <mergeCell ref="G170:I170"/>
    <mergeCell ref="J170:L170"/>
    <mergeCell ref="M170:N170"/>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s>
  <conditionalFormatting sqref="D112">
    <cfRule type="expression" dxfId="113" priority="3" stopIfTrue="1">
      <formula>"esterreur(reference)"</formula>
    </cfRule>
  </conditionalFormatting>
  <conditionalFormatting sqref="D172:D181">
    <cfRule type="expression" dxfId="112" priority="361" stopIfTrue="1">
      <formula>"esterreur(reference)"</formula>
    </cfRule>
  </conditionalFormatting>
  <conditionalFormatting sqref="D400">
    <cfRule type="expression" dxfId="111" priority="10" stopIfTrue="1">
      <formula>"esterreur(reference)"</formula>
    </cfRule>
  </conditionalFormatting>
  <conditionalFormatting sqref="E186">
    <cfRule type="expression" dxfId="110" priority="362" stopIfTrue="1">
      <formula>"esterreur(reference)"</formula>
    </cfRule>
  </conditionalFormatting>
  <conditionalFormatting sqref="F5">
    <cfRule type="expression" dxfId="109" priority="359" stopIfTrue="1">
      <formula>"esterreur(reference)"</formula>
    </cfRule>
  </conditionalFormatting>
  <conditionalFormatting sqref="F83:F85">
    <cfRule type="expression" dxfId="108" priority="358" stopIfTrue="1">
      <formula>"esterreur(reference)"</formula>
    </cfRule>
  </conditionalFormatting>
  <conditionalFormatting sqref="F101">
    <cfRule type="expression" dxfId="107" priority="363" stopIfTrue="1">
      <formula>"esterreur(reference)"</formula>
    </cfRule>
  </conditionalFormatting>
  <conditionalFormatting sqref="F184">
    <cfRule type="expression" dxfId="106" priority="160" stopIfTrue="1">
      <formula>"esterreur(reference)"</formula>
    </cfRule>
  </conditionalFormatting>
  <conditionalFormatting sqref="G31:G32">
    <cfRule type="expression" dxfId="105" priority="356" stopIfTrue="1">
      <formula>"esterreur(reference)"</formula>
    </cfRule>
  </conditionalFormatting>
  <conditionalFormatting sqref="G112:G113">
    <cfRule type="expression" dxfId="104" priority="339" stopIfTrue="1">
      <formula>"esterreur(reference)"</formula>
    </cfRule>
  </conditionalFormatting>
  <conditionalFormatting sqref="G172:G181">
    <cfRule type="expression" dxfId="103" priority="360" stopIfTrue="1">
      <formula>"esterreur(reference)"</formula>
    </cfRule>
  </conditionalFormatting>
  <conditionalFormatting sqref="H25:H26 H28:H72">
    <cfRule type="expression" dxfId="102" priority="351" stopIfTrue="1">
      <formula>"esterreur(reference)"</formula>
    </cfRule>
  </conditionalFormatting>
  <conditionalFormatting sqref="H360 J360:L360">
    <cfRule type="expression" dxfId="101" priority="30" stopIfTrue="1">
      <formula>"esterreur(reference)"</formula>
    </cfRule>
  </conditionalFormatting>
  <conditionalFormatting sqref="H197:L197">
    <cfRule type="expression" dxfId="100" priority="33" stopIfTrue="1">
      <formula>"esterreur(reference)"</formula>
    </cfRule>
  </conditionalFormatting>
  <conditionalFormatting sqref="H313:L313 H314:J314 L314 H315:L317">
    <cfRule type="expression" dxfId="99" priority="1" stopIfTrue="1">
      <formula>"esterreur(reference)"</formula>
    </cfRule>
  </conditionalFormatting>
  <conditionalFormatting sqref="H396:L399">
    <cfRule type="expression" dxfId="98" priority="27" stopIfTrue="1">
      <formula>"esterreur(reference)"</formula>
    </cfRule>
  </conditionalFormatting>
  <conditionalFormatting sqref="I16:I18 I20 I24:I30">
    <cfRule type="expression" dxfId="97" priority="357" stopIfTrue="1">
      <formula>"esterreur(reference)"</formula>
    </cfRule>
  </conditionalFormatting>
  <conditionalFormatting sqref="I377:L377 J378:L394 H378:H395">
    <cfRule type="expression" dxfId="96" priority="28" stopIfTrue="1">
      <formula>"esterreur(reference)"</formula>
    </cfRule>
  </conditionalFormatting>
  <conditionalFormatting sqref="J3 L6:L14 I13:J14 J16 L16:L24 J18:J24 J25:L26 J27 L27 J28:L30 J31:K48 J49:L72 H83:L85 H86:K88 L86:L90 H90:I90 K90 J90:J91 K93:L96 H97:L98 K99:L100 I101:L101 H101:H104 O101:Q153 J102:L104 I105:L111 H106:H134 J112:L121 I122:L122 J123:L134 H135:L135 H136:H152 J136:L152 H153:L153 H156:H157 J156:K157 H164:L164 H165 J165:K165 H166:K167 L167:L169 H169:I169 K169 J169:J176 H171:I171 K171:L173 H173:I173 I174 L174 K175:L176 H176:I176 I177:J177 L177 J178:L179 H179:I179 I180:J180 L180 K181:L182 J181:J196 H182:I183 L183 K183:K184 H185:I187 K185:L196 H189:I190 H192:I196 J198:K200 H198:H229 J201 J202:K229 H232:L232 H233 J233:K233 H234:K235 L234:L237 H237:I237 K237 J237:J240 H239:I240 K239:L241 H243:L243 H252:L253 H254:H284 J254:K284 L267:L285 H285:J285 H288:L288 H289 J289:K289 H290:K290 L290:L292 H292:I292 K292 J292:J293 H294:L294 J295:K303 H304:L306 J307:K308 H309:L311 J312:M312 L318:L329 H318:H348 J318:K348 H349:L349 H352:L352 H353:H355 J353:K355 H361:L364 H365:H376 J365:L376 H400 J400:K400">
    <cfRule type="expression" dxfId="95" priority="12" stopIfTrue="1">
      <formula>"esterreur(reference)"</formula>
    </cfRule>
  </conditionalFormatting>
  <conditionalFormatting sqref="K395">
    <cfRule type="expression" dxfId="94" priority="31" stopIfTrue="1">
      <formula>"esterreur(reference)"</formula>
    </cfRule>
  </conditionalFormatting>
  <conditionalFormatting sqref="K5:L5">
    <cfRule type="expression" dxfId="93" priority="139" stopIfTrue="1">
      <formula>"esterreur(reference)"</formula>
    </cfRule>
  </conditionalFormatting>
  <conditionalFormatting sqref="K244:L244">
    <cfRule type="expression" dxfId="92" priority="118" stopIfTrue="1">
      <formula>"esterreur(reference)"</formula>
    </cfRule>
  </conditionalFormatting>
  <conditionalFormatting sqref="K247:L247">
    <cfRule type="expression" dxfId="91" priority="119" stopIfTrue="1">
      <formula>"esterreur(reference)"</formula>
    </cfRule>
  </conditionalFormatting>
  <conditionalFormatting sqref="L42:L48">
    <cfRule type="expression" dxfId="90" priority="47" stopIfTrue="1">
      <formula>"esterreur(reference)"</formula>
    </cfRule>
  </conditionalFormatting>
  <conditionalFormatting sqref="L75:L82">
    <cfRule type="expression" dxfId="89" priority="19" stopIfTrue="1">
      <formula>"esterreur(reference)"</formula>
    </cfRule>
  </conditionalFormatting>
  <conditionalFormatting sqref="L156:L162">
    <cfRule type="expression" dxfId="88" priority="97" stopIfTrue="1">
      <formula>"esterreur(reference)"</formula>
    </cfRule>
  </conditionalFormatting>
  <conditionalFormatting sqref="L198:L209">
    <cfRule type="expression" dxfId="87" priority="74" stopIfTrue="1">
      <formula>"esterreur(reference)"</formula>
    </cfRule>
  </conditionalFormatting>
  <conditionalFormatting sqref="L211:L228">
    <cfRule type="expression" dxfId="86" priority="76" stopIfTrue="1">
      <formula>"esterreur(reference)"</formula>
    </cfRule>
  </conditionalFormatting>
  <conditionalFormatting sqref="L254:L265">
    <cfRule type="expression" dxfId="85" priority="120" stopIfTrue="1">
      <formula>"esterreur(reference)"</formula>
    </cfRule>
  </conditionalFormatting>
  <conditionalFormatting sqref="L331:L348">
    <cfRule type="expression" dxfId="84" priority="40" stopIfTrue="1">
      <formula>"esterreur(reference)"</formula>
    </cfRule>
  </conditionalFormatting>
  <conditionalFormatting sqref="L356:L357 H357:I357 K357 J357:J358 H359:L359">
    <cfRule type="expression" dxfId="83" priority="26" stopIfTrue="1">
      <formula>"esterreur(reference)"</formula>
    </cfRule>
  </conditionalFormatting>
  <conditionalFormatting sqref="M95:M97">
    <cfRule type="expression" dxfId="82" priority="13" stopIfTrue="1">
      <formula>"esterreur(reference)"</formula>
    </cfRule>
  </conditionalFormatting>
  <conditionalFormatting sqref="N197:N209">
    <cfRule type="expression" dxfId="81" priority="2" stopIfTrue="1">
      <formula>"esterreur(reference)"</formula>
    </cfRule>
  </conditionalFormatting>
  <conditionalFormatting sqref="N318:N328">
    <cfRule type="expression" dxfId="80" priority="7" stopIfTrue="1">
      <formula>"esterreur(reference)"</formula>
    </cfRule>
  </conditionalFormatting>
  <conditionalFormatting sqref="O295:P303 O304:Q306 O307:P308 O309:Q317 Q318:Q329 O318:P348 O349:Q349 O352:Q352 O353:P353">
    <cfRule type="expression" dxfId="79" priority="305" stopIfTrue="1">
      <formula>"esterreur(reference)"</formula>
    </cfRule>
  </conditionalFormatting>
  <conditionalFormatting sqref="O197:Q197">
    <cfRule type="expression" dxfId="78" priority="249" stopIfTrue="1">
      <formula>"esterreur(reference)"</formula>
    </cfRule>
  </conditionalFormatting>
  <conditionalFormatting sqref="O243:Q243 O252:Q253 O254:P284 Q282:Q285 O285 O288:Q288 O289:P289">
    <cfRule type="expression" dxfId="77" priority="277" stopIfTrue="1">
      <formula>"esterreur(reference)"</formula>
    </cfRule>
  </conditionalFormatting>
  <conditionalFormatting sqref="O359:Q394">
    <cfRule type="expression" dxfId="76" priority="318" stopIfTrue="1">
      <formula>"esterreur(reference)"</formula>
    </cfRule>
  </conditionalFormatting>
  <conditionalFormatting sqref="O396:Q399">
    <cfRule type="expression" dxfId="75" priority="321" stopIfTrue="1">
      <formula>"esterreur(reference)"</formula>
    </cfRule>
  </conditionalFormatting>
  <conditionalFormatting sqref="P5">
    <cfRule type="expression" dxfId="74" priority="175" stopIfTrue="1">
      <formula>"esterreur(reference)"</formula>
    </cfRule>
  </conditionalFormatting>
  <conditionalFormatting sqref="P175">
    <cfRule type="expression" dxfId="73" priority="271" stopIfTrue="1">
      <formula>"esterreur(reference)"</formula>
    </cfRule>
  </conditionalFormatting>
  <conditionalFormatting sqref="P178">
    <cfRule type="expression" dxfId="72" priority="272" stopIfTrue="1">
      <formula>"esterreur(reference)"</formula>
    </cfRule>
  </conditionalFormatting>
  <conditionalFormatting sqref="P181">
    <cfRule type="expression" dxfId="71" priority="273" stopIfTrue="1">
      <formula>"esterreur(reference)"</formula>
    </cfRule>
  </conditionalFormatting>
  <conditionalFormatting sqref="P395">
    <cfRule type="expression" dxfId="70" priority="323" stopIfTrue="1">
      <formula>"esterreur(reference)"</formula>
    </cfRule>
  </conditionalFormatting>
  <conditionalFormatting sqref="P93:Q96 O97:Q98 O156:P157 O164:Q164 O165:P165">
    <cfRule type="expression" dxfId="69" priority="207" stopIfTrue="1">
      <formula>"esterreur(reference)"</formula>
    </cfRule>
  </conditionalFormatting>
  <conditionalFormatting sqref="P99:Q100">
    <cfRule type="expression" dxfId="68" priority="205" stopIfTrue="1">
      <formula>"esterreur(reference)"</formula>
    </cfRule>
  </conditionalFormatting>
  <conditionalFormatting sqref="P172:Q173 O172:O196 Q174:Q175 P176:Q176 Q177:Q178 P179:Q179 Q180:Q181 O198:P229 O232:Q232 O233:P233">
    <cfRule type="expression" dxfId="67" priority="247" stopIfTrue="1">
      <formula>"esterreur(reference)"</formula>
    </cfRule>
  </conditionalFormatting>
  <conditionalFormatting sqref="P182:Q196">
    <cfRule type="expression" dxfId="66" priority="5" stopIfTrue="1">
      <formula>"esterreur(reference)"</formula>
    </cfRule>
  </conditionalFormatting>
  <conditionalFormatting sqref="P241:Q241">
    <cfRule type="expression" dxfId="65" priority="300" stopIfTrue="1">
      <formula>"esterreur(reference)"</formula>
    </cfRule>
  </conditionalFormatting>
  <conditionalFormatting sqref="P244:Q244">
    <cfRule type="expression" dxfId="64" priority="282" stopIfTrue="1">
      <formula>"esterreur(reference)"</formula>
    </cfRule>
  </conditionalFormatting>
  <conditionalFormatting sqref="P247:Q247">
    <cfRule type="expression" dxfId="63" priority="283" stopIfTrue="1">
      <formula>"esterreur(reference)"</formula>
    </cfRule>
  </conditionalFormatting>
  <conditionalFormatting sqref="Q5:Q14 O13:O14 O16 Q16:Q24 O18:O24 O25:Q26 O27 Q27 O28:Q72 O83:Q85">
    <cfRule type="expression" dxfId="62" priority="174" stopIfTrue="1">
      <formula>"esterreur(reference)"</formula>
    </cfRule>
  </conditionalFormatting>
  <conditionalFormatting sqref="Q75:Q82">
    <cfRule type="expression" dxfId="61" priority="200" stopIfTrue="1">
      <formula>"esterreur(reference)"</formula>
    </cfRule>
  </conditionalFormatting>
  <conditionalFormatting sqref="Q156:Q162">
    <cfRule type="expression" dxfId="60" priority="241" stopIfTrue="1">
      <formula>"esterreur(reference)"</formula>
    </cfRule>
  </conditionalFormatting>
  <conditionalFormatting sqref="Q198:Q209">
    <cfRule type="expression" dxfId="59" priority="250" stopIfTrue="1">
      <formula>"esterreur(reference)"</formula>
    </cfRule>
  </conditionalFormatting>
  <conditionalFormatting sqref="Q211:Q228">
    <cfRule type="expression" dxfId="58" priority="251" stopIfTrue="1">
      <formula>"esterreur(reference)"</formula>
    </cfRule>
  </conditionalFormatting>
  <conditionalFormatting sqref="Q254:Q265">
    <cfRule type="expression" dxfId="57" priority="284" stopIfTrue="1">
      <formula>"esterreur(reference)"</formula>
    </cfRule>
  </conditionalFormatting>
  <conditionalFormatting sqref="Q331:Q348">
    <cfRule type="expression" dxfId="56" priority="307" stopIfTrue="1">
      <formula>"esterreur(reference)"</formula>
    </cfRule>
  </conditionalFormatting>
  <conditionalFormatting sqref="R312">
    <cfRule type="expression" dxfId="55" priority="21" stopIfTrue="1">
      <formula>"esterreur(reference)"</formula>
    </cfRule>
  </conditionalFormatting>
  <conditionalFormatting sqref="S186">
    <cfRule type="expression" dxfId="54" priority="163" stopIfTrue="1">
      <formula>"esterreur(reference)"</formula>
    </cfRule>
  </conditionalFormatting>
  <conditionalFormatting sqref="AG409:AI418 AH420:AI432 AH434:AI451 AH453:AI460 AH461:AH462 AH463:AI465 AH467:AI467 AH491:AI497">
    <cfRule type="cellIs" dxfId="53" priority="22" operator="greaterThan">
      <formula>0</formula>
    </cfRule>
  </conditionalFormatting>
  <conditionalFormatting sqref="AH469:AI476 AH480:AI480">
    <cfRule type="cellIs" dxfId="52" priority="23" operator="lessThan">
      <formula>0</formula>
    </cfRule>
  </conditionalFormatting>
  <conditionalFormatting sqref="AH477:AI479">
    <cfRule type="cellIs" dxfId="51" priority="347" operator="greaterThan">
      <formula>0</formula>
    </cfRule>
  </conditionalFormatting>
  <conditionalFormatting sqref="AO409:AO418">
    <cfRule type="cellIs" dxfId="50" priority="164" operator="greaterThan">
      <formula>0</formula>
    </cfRule>
  </conditionalFormatting>
  <printOptions horizontalCentered="1"/>
  <pageMargins left="0.15748031496062992" right="0.15748031496062992" top="0.15748031496062992" bottom="0.31496062992125984" header="0" footer="0.23622047244094491"/>
  <pageSetup scale="44" fitToHeight="0" orientation="landscape" r:id="rId1"/>
  <headerFooter>
    <oddFooter>&amp;L&amp;F&amp;C&amp;P de &amp;N&amp;RImprimé le &amp;D  @ &amp;T</oddFooter>
  </headerFooter>
  <rowBreaks count="15" manualBreakCount="15">
    <brk id="85" min="2" max="18" man="1"/>
    <brk id="165" min="2" max="18" man="1"/>
    <brk id="233" min="2" max="18" man="1"/>
    <brk id="289" min="2" max="18" man="1"/>
    <brk id="353" man="1"/>
    <brk id="289" man="1"/>
    <brk id="290" man="1"/>
    <brk id="483" man="1"/>
    <brk id="355" man="1"/>
    <brk id="484" man="1"/>
    <brk id="85" man="1"/>
    <brk id="167" man="1"/>
    <brk id="88" man="1"/>
    <brk id="235" man="1"/>
    <brk id="399" man="1"/>
  </rowBreaks>
  <ignoredErrors>
    <ignoredError sqref="AF495:AF496 Z496"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topLeftCell="A62" workbookViewId="0">
      <selection activeCell="B79" sqref="B79:D89"/>
    </sheetView>
  </sheetViews>
  <sheetFormatPr baseColWidth="10" defaultColWidth="12.625" defaultRowHeight="15" customHeight="1"/>
  <cols>
    <col min="1" max="1" width="1.75" customWidth="1"/>
    <col min="2" max="2" width="23.25" customWidth="1"/>
    <col min="3" max="3" width="13.5" customWidth="1"/>
    <col min="4" max="4" width="11.375" customWidth="1"/>
    <col min="5" max="9" width="11.75" customWidth="1"/>
    <col min="10" max="10" width="58.625" customWidth="1"/>
    <col min="11" max="23" width="11" customWidth="1"/>
  </cols>
  <sheetData>
    <row r="1" spans="1:23" ht="15.75">
      <c r="A1" s="3"/>
      <c r="B1" s="1232" t="str">
        <f>Parametres!$B$1&amp;" "&amp;"2 pager"&amp;" "&amp;Parametres!$B$3&amp;" "&amp;Parametres!$B$4</f>
        <v>Volks 2 pager Mai 2025</v>
      </c>
      <c r="C1" s="1233"/>
      <c r="D1" s="1233"/>
      <c r="E1" s="1233"/>
      <c r="F1" s="1233"/>
      <c r="G1" s="1233"/>
      <c r="H1" s="1233"/>
      <c r="I1" s="1233"/>
      <c r="J1" s="1233"/>
      <c r="K1" s="3"/>
      <c r="L1" s="3"/>
      <c r="M1" s="3"/>
      <c r="N1" s="3"/>
      <c r="O1" s="3"/>
      <c r="P1" s="3"/>
      <c r="Q1" s="3"/>
      <c r="R1" s="3"/>
      <c r="S1" s="3"/>
      <c r="T1" s="3"/>
      <c r="U1" s="3"/>
      <c r="V1" s="3"/>
      <c r="W1" s="3"/>
    </row>
    <row r="2" spans="1:23">
      <c r="A2" s="3"/>
      <c r="B2" s="33"/>
      <c r="C2" s="3"/>
      <c r="D2" s="3"/>
      <c r="E2" s="3"/>
      <c r="F2" s="3"/>
      <c r="G2" s="3"/>
      <c r="H2" s="3"/>
      <c r="I2" s="3"/>
      <c r="J2" s="3"/>
      <c r="K2" s="3"/>
      <c r="L2" s="3"/>
      <c r="M2" s="3"/>
      <c r="N2" s="3"/>
      <c r="O2" s="3"/>
      <c r="P2" s="3"/>
      <c r="Q2" s="3"/>
      <c r="R2" s="3"/>
      <c r="S2" s="3"/>
      <c r="T2" s="3"/>
      <c r="U2" s="3"/>
      <c r="V2" s="3"/>
      <c r="W2" s="3"/>
    </row>
    <row r="3" spans="1:23">
      <c r="A3" s="3"/>
      <c r="B3" s="154" t="s">
        <v>284</v>
      </c>
      <c r="C3" s="155" t="s">
        <v>285</v>
      </c>
      <c r="D3" s="156" t="s">
        <v>286</v>
      </c>
      <c r="E3" s="157">
        <v>2023</v>
      </c>
      <c r="F3" s="156" t="s">
        <v>287</v>
      </c>
      <c r="G3" s="158" t="s">
        <v>3862</v>
      </c>
      <c r="H3" s="156" t="s">
        <v>288</v>
      </c>
      <c r="I3" s="158" t="s">
        <v>3863</v>
      </c>
      <c r="J3" s="154" t="s">
        <v>289</v>
      </c>
      <c r="K3" s="3"/>
      <c r="L3" s="3"/>
      <c r="M3" s="3"/>
      <c r="N3" s="3"/>
      <c r="O3" s="3"/>
      <c r="P3" s="3"/>
      <c r="Q3" s="3"/>
      <c r="R3" s="3"/>
      <c r="S3" s="3"/>
      <c r="T3" s="3"/>
      <c r="U3" s="3"/>
      <c r="V3" s="3"/>
      <c r="W3" s="3"/>
    </row>
    <row r="4" spans="1:23" ht="14.45" customHeight="1">
      <c r="A4" s="3"/>
      <c r="B4" s="159" t="s">
        <v>290</v>
      </c>
      <c r="C4" s="160">
        <f>+Print_Mois!$J$13+Print_Mois!$J$15</f>
        <v>57</v>
      </c>
      <c r="D4" s="160">
        <f>+Print_Mois!$D$13+Print_Mois!$D$15</f>
        <v>61</v>
      </c>
      <c r="E4" s="160">
        <f>+Print_Mois!$O$13+Print_Mois!$O$15</f>
        <v>74</v>
      </c>
      <c r="F4" s="161">
        <f t="shared" ref="F4:F15" si="0">+IFERROR($C4-D4,"")</f>
        <v>-4</v>
      </c>
      <c r="G4" s="162">
        <f t="shared" ref="G4:G15" si="1">+IFERROR($C4-E4,"")</f>
        <v>-17</v>
      </c>
      <c r="H4" s="163">
        <f t="shared" ref="H4:H15" si="2">+IFERROR(F4/ABS($D4),"")</f>
        <v>-6.5573770491803282E-2</v>
      </c>
      <c r="I4" s="164">
        <f t="shared" ref="I4:I15" si="3">+IFERROR(G4/ABS($E4),"")</f>
        <v>-0.22972972972972974</v>
      </c>
      <c r="J4" s="1229" t="s">
        <v>3921</v>
      </c>
      <c r="K4" s="3"/>
      <c r="L4" s="3"/>
      <c r="M4" s="3"/>
      <c r="N4" s="3"/>
      <c r="O4" s="3"/>
      <c r="P4" s="3"/>
      <c r="Q4" s="3"/>
      <c r="R4" s="3"/>
      <c r="S4" s="3"/>
      <c r="T4" s="3"/>
      <c r="U4" s="3"/>
      <c r="V4" s="3"/>
      <c r="W4" s="3"/>
    </row>
    <row r="5" spans="1:23">
      <c r="A5" s="3"/>
      <c r="B5" s="165" t="s">
        <v>291</v>
      </c>
      <c r="C5" s="166">
        <f>+Print_Mois!$L$13+Print_Mois!$L$15</f>
        <v>127715.19000000022</v>
      </c>
      <c r="D5" s="166">
        <f>+Print_Mois!$F$13+Print_Mois!$F$15</f>
        <v>139071.79211741147</v>
      </c>
      <c r="E5" s="166">
        <f>+Print_Mois!$Q$13+Print_Mois!$Q$15</f>
        <v>166322.74999999991</v>
      </c>
      <c r="F5" s="167">
        <f t="shared" si="0"/>
        <v>-11356.602117411254</v>
      </c>
      <c r="G5" s="168">
        <f t="shared" si="1"/>
        <v>-38607.559999999692</v>
      </c>
      <c r="H5" s="170">
        <f t="shared" si="2"/>
        <v>-8.1659996930387099E-2</v>
      </c>
      <c r="I5" s="171">
        <f t="shared" si="3"/>
        <v>-0.2321243485933206</v>
      </c>
      <c r="J5" s="1230"/>
      <c r="K5" s="3"/>
      <c r="L5" s="3"/>
      <c r="M5" s="3"/>
      <c r="N5" s="3"/>
      <c r="O5" s="3"/>
      <c r="P5" s="3"/>
      <c r="Q5" s="3"/>
      <c r="R5" s="3"/>
      <c r="S5" s="3"/>
      <c r="T5" s="3"/>
      <c r="U5" s="3"/>
      <c r="V5" s="3"/>
      <c r="W5" s="3"/>
    </row>
    <row r="6" spans="1:23">
      <c r="A6" s="3"/>
      <c r="B6" s="165" t="s">
        <v>292</v>
      </c>
      <c r="C6" s="166">
        <f t="shared" ref="C6:E6" si="4">+C5/C4</f>
        <v>2240.6173684210567</v>
      </c>
      <c r="D6" s="166">
        <f t="shared" si="4"/>
        <v>2279.8654445477291</v>
      </c>
      <c r="E6" s="166">
        <f t="shared" si="4"/>
        <v>2247.6047297297287</v>
      </c>
      <c r="F6" s="167">
        <f t="shared" si="0"/>
        <v>-39.248076126672458</v>
      </c>
      <c r="G6" s="168">
        <f t="shared" si="1"/>
        <v>-6.987361308672007</v>
      </c>
      <c r="H6" s="170">
        <f t="shared" si="2"/>
        <v>-1.7215084434273858E-2</v>
      </c>
      <c r="I6" s="171">
        <f t="shared" si="3"/>
        <v>-3.1088034369425033E-3</v>
      </c>
      <c r="J6" s="1230"/>
      <c r="K6" s="3"/>
      <c r="L6" s="3"/>
      <c r="M6" s="3"/>
      <c r="N6" s="3"/>
      <c r="O6" s="3"/>
      <c r="P6" s="3"/>
      <c r="Q6" s="3"/>
      <c r="R6" s="3"/>
      <c r="S6" s="3"/>
      <c r="T6" s="3"/>
      <c r="U6" s="3"/>
      <c r="V6" s="3"/>
      <c r="W6" s="3"/>
    </row>
    <row r="7" spans="1:23">
      <c r="A7" s="3"/>
      <c r="B7" s="165" t="s">
        <v>293</v>
      </c>
      <c r="C7" s="166">
        <f>+Print_Mois!$L$31</f>
        <v>39055.040000000001</v>
      </c>
      <c r="D7" s="166">
        <f>+Print_Mois!$F$31</f>
        <v>47454.546526760438</v>
      </c>
      <c r="E7" s="166">
        <f>+Print_Mois!$Q$31</f>
        <v>35017.589999999997</v>
      </c>
      <c r="F7" s="167">
        <f t="shared" si="0"/>
        <v>-8399.5065267604368</v>
      </c>
      <c r="G7" s="168">
        <f t="shared" si="1"/>
        <v>4037.4500000000044</v>
      </c>
      <c r="H7" s="170">
        <f t="shared" si="2"/>
        <v>-0.17700109139224016</v>
      </c>
      <c r="I7" s="171">
        <f t="shared" si="3"/>
        <v>0.11529776892127656</v>
      </c>
      <c r="J7" s="1230"/>
      <c r="K7" s="3"/>
      <c r="L7" s="3"/>
      <c r="M7" s="3"/>
      <c r="N7" s="3"/>
      <c r="O7" s="3"/>
      <c r="P7" s="3"/>
      <c r="Q7" s="3"/>
      <c r="R7" s="3"/>
      <c r="S7" s="3"/>
      <c r="T7" s="3"/>
      <c r="U7" s="3"/>
      <c r="V7" s="3"/>
      <c r="W7" s="3"/>
    </row>
    <row r="8" spans="1:23">
      <c r="A8" s="3"/>
      <c r="B8" s="165" t="s">
        <v>294</v>
      </c>
      <c r="C8" s="169">
        <f t="shared" ref="C8:E8" si="5">+C7/C5</f>
        <v>0.30579792427196745</v>
      </c>
      <c r="D8" s="169">
        <f t="shared" si="5"/>
        <v>0.34122337682034687</v>
      </c>
      <c r="E8" s="169">
        <f t="shared" si="5"/>
        <v>0.21053998926785431</v>
      </c>
      <c r="F8" s="172">
        <f t="shared" si="0"/>
        <v>-3.5425452548379421E-2</v>
      </c>
      <c r="G8" s="173">
        <f t="shared" si="1"/>
        <v>9.5257935004113142E-2</v>
      </c>
      <c r="H8" s="170">
        <f t="shared" si="2"/>
        <v>-0.10381894956461561</v>
      </c>
      <c r="I8" s="171">
        <f t="shared" si="3"/>
        <v>0.45244580535683215</v>
      </c>
      <c r="J8" s="1230"/>
      <c r="K8" s="3"/>
      <c r="L8" s="3"/>
      <c r="M8" s="3"/>
      <c r="N8" s="3"/>
      <c r="O8" s="3"/>
      <c r="P8" s="3"/>
      <c r="Q8" s="3"/>
      <c r="R8" s="3"/>
      <c r="S8" s="3"/>
      <c r="T8" s="3"/>
      <c r="U8" s="3"/>
      <c r="V8" s="3"/>
      <c r="W8" s="3"/>
    </row>
    <row r="9" spans="1:23">
      <c r="A9" s="3"/>
      <c r="B9" s="165" t="s">
        <v>295</v>
      </c>
      <c r="C9" s="166">
        <f>+Print_Mois!$L$24</f>
        <v>63052</v>
      </c>
      <c r="D9" s="166">
        <f>+Print_Mois!$F$24</f>
        <v>61000</v>
      </c>
      <c r="E9" s="166">
        <f>+Print_Mois!$Q$24</f>
        <v>59371.93</v>
      </c>
      <c r="F9" s="167">
        <f t="shared" si="0"/>
        <v>2052</v>
      </c>
      <c r="G9" s="168">
        <f t="shared" si="1"/>
        <v>3680.0699999999997</v>
      </c>
      <c r="H9" s="170">
        <f t="shared" si="2"/>
        <v>3.3639344262295083E-2</v>
      </c>
      <c r="I9" s="171">
        <f t="shared" si="3"/>
        <v>6.1983331180239548E-2</v>
      </c>
      <c r="J9" s="1230"/>
      <c r="K9" s="3"/>
      <c r="L9" s="3"/>
      <c r="M9" s="3"/>
      <c r="N9" s="3"/>
      <c r="O9" s="3"/>
      <c r="P9" s="3"/>
      <c r="Q9" s="3"/>
      <c r="R9" s="3"/>
      <c r="S9" s="3"/>
      <c r="T9" s="3"/>
      <c r="U9" s="3"/>
      <c r="V9" s="3"/>
      <c r="W9" s="3"/>
    </row>
    <row r="10" spans="1:23">
      <c r="A10" s="3"/>
      <c r="B10" s="165" t="s">
        <v>296</v>
      </c>
      <c r="C10" s="166">
        <f t="shared" ref="C10:E10" si="6">+C9/C4</f>
        <v>1106.1754385964912</v>
      </c>
      <c r="D10" s="166">
        <f t="shared" si="6"/>
        <v>1000</v>
      </c>
      <c r="E10" s="166">
        <f t="shared" si="6"/>
        <v>802.32337837837838</v>
      </c>
      <c r="F10" s="167">
        <f t="shared" si="0"/>
        <v>106.17543859649118</v>
      </c>
      <c r="G10" s="168">
        <f t="shared" si="1"/>
        <v>303.8520602181128</v>
      </c>
      <c r="H10" s="170">
        <f t="shared" si="2"/>
        <v>0.10617543859649117</v>
      </c>
      <c r="I10" s="171">
        <f t="shared" si="3"/>
        <v>0.37871520188311797</v>
      </c>
      <c r="J10" s="1230"/>
      <c r="K10" s="3"/>
      <c r="L10" s="3"/>
      <c r="M10" s="3"/>
      <c r="N10" s="3"/>
      <c r="O10" s="3"/>
      <c r="P10" s="3"/>
      <c r="Q10" s="3"/>
      <c r="R10" s="3"/>
      <c r="S10" s="3"/>
      <c r="T10" s="3"/>
      <c r="U10" s="3"/>
      <c r="V10" s="3"/>
      <c r="W10" s="3"/>
    </row>
    <row r="11" spans="1:23">
      <c r="A11" s="3"/>
      <c r="B11" s="165" t="s">
        <v>297</v>
      </c>
      <c r="C11" s="166">
        <f>+Print_Mois!$L$32</f>
        <v>18915.45</v>
      </c>
      <c r="D11" s="166">
        <f>+Print_Mois!$F$32</f>
        <v>17080</v>
      </c>
      <c r="E11" s="166">
        <f>+Print_Mois!$Q$32</f>
        <v>17811.48</v>
      </c>
      <c r="F11" s="167">
        <f t="shared" si="0"/>
        <v>1835.4500000000007</v>
      </c>
      <c r="G11" s="168">
        <f t="shared" si="1"/>
        <v>1103.9700000000012</v>
      </c>
      <c r="H11" s="170">
        <f t="shared" si="2"/>
        <v>0.10746194379391105</v>
      </c>
      <c r="I11" s="171">
        <f t="shared" si="3"/>
        <v>6.1980812374940276E-2</v>
      </c>
      <c r="J11" s="1230"/>
      <c r="K11" s="3"/>
      <c r="L11" s="3"/>
      <c r="M11" s="3"/>
      <c r="N11" s="3"/>
      <c r="O11" s="3"/>
      <c r="P11" s="3"/>
      <c r="Q11" s="3"/>
      <c r="R11" s="3"/>
      <c r="S11" s="3"/>
      <c r="T11" s="3"/>
      <c r="U11" s="3"/>
      <c r="V11" s="3"/>
      <c r="W11" s="3"/>
    </row>
    <row r="12" spans="1:23">
      <c r="A12" s="3"/>
      <c r="B12" s="165" t="s">
        <v>298</v>
      </c>
      <c r="C12" s="169">
        <f t="shared" ref="C12:E12" si="7">+C11/C9</f>
        <v>0.29999762101122884</v>
      </c>
      <c r="D12" s="169">
        <f t="shared" si="7"/>
        <v>0.28000000000000003</v>
      </c>
      <c r="E12" s="169">
        <f t="shared" si="7"/>
        <v>0.29999833254536273</v>
      </c>
      <c r="F12" s="170">
        <f t="shared" si="0"/>
        <v>1.9997621011228817E-2</v>
      </c>
      <c r="G12" s="174">
        <f t="shared" si="1"/>
        <v>-7.1153413389035691E-7</v>
      </c>
      <c r="H12" s="170">
        <f t="shared" si="2"/>
        <v>7.1420075040102907E-2</v>
      </c>
      <c r="I12" s="171">
        <f t="shared" si="3"/>
        <v>-2.3717936291621416E-6</v>
      </c>
      <c r="J12" s="1230"/>
      <c r="K12" s="3"/>
      <c r="L12" s="3"/>
      <c r="M12" s="3"/>
      <c r="N12" s="3"/>
      <c r="O12" s="3"/>
      <c r="P12" s="3"/>
      <c r="Q12" s="3"/>
      <c r="R12" s="3"/>
      <c r="S12" s="3"/>
      <c r="T12" s="3"/>
      <c r="U12" s="3"/>
      <c r="V12" s="3"/>
      <c r="W12" s="3"/>
    </row>
    <row r="13" spans="1:23">
      <c r="A13" s="3"/>
      <c r="B13" s="165" t="s">
        <v>299</v>
      </c>
      <c r="C13" s="166">
        <f>+Print_Mois!$L$41-C7-C11</f>
        <v>40202.160000000003</v>
      </c>
      <c r="D13" s="166">
        <f>+Print_Mois!$F$41-D7-D11</f>
        <v>58556.39368340536</v>
      </c>
      <c r="E13" s="166">
        <f>+Print_Mois!$Q$41-E7-E11</f>
        <v>82051.55</v>
      </c>
      <c r="F13" s="167">
        <f t="shared" si="0"/>
        <v>-18354.233683405357</v>
      </c>
      <c r="G13" s="168">
        <f t="shared" si="1"/>
        <v>-41849.39</v>
      </c>
      <c r="H13" s="170">
        <f t="shared" si="2"/>
        <v>-0.31344542463869102</v>
      </c>
      <c r="I13" s="171">
        <f t="shared" si="3"/>
        <v>-0.51003777503289083</v>
      </c>
      <c r="J13" s="1230"/>
      <c r="K13" s="3"/>
      <c r="L13" s="3"/>
      <c r="M13" s="3"/>
      <c r="N13" s="3"/>
      <c r="O13" s="3"/>
      <c r="P13" s="3"/>
      <c r="Q13" s="3"/>
      <c r="R13" s="3"/>
      <c r="S13" s="3"/>
      <c r="T13" s="3"/>
      <c r="U13" s="3"/>
      <c r="V13" s="3"/>
      <c r="W13" s="3"/>
    </row>
    <row r="14" spans="1:23">
      <c r="A14" s="3"/>
      <c r="B14" s="165" t="s">
        <v>300</v>
      </c>
      <c r="C14" s="166">
        <f t="shared" ref="C14:E14" si="8">+C13/C4</f>
        <v>705.30105263157895</v>
      </c>
      <c r="D14" s="166">
        <f t="shared" si="8"/>
        <v>959.94088005582557</v>
      </c>
      <c r="E14" s="166">
        <f t="shared" si="8"/>
        <v>1108.8047297297298</v>
      </c>
      <c r="F14" s="167">
        <f t="shared" si="0"/>
        <v>-254.63982742424662</v>
      </c>
      <c r="G14" s="168">
        <f t="shared" si="1"/>
        <v>-403.50367709815089</v>
      </c>
      <c r="H14" s="170">
        <f t="shared" si="2"/>
        <v>-0.26526615619228339</v>
      </c>
      <c r="I14" s="171">
        <f t="shared" si="3"/>
        <v>-0.36390869039357771</v>
      </c>
      <c r="J14" s="1230"/>
      <c r="K14" s="3"/>
      <c r="L14" s="3"/>
      <c r="M14" s="3"/>
      <c r="N14" s="3"/>
      <c r="O14" s="3"/>
      <c r="P14" s="3"/>
      <c r="Q14" s="3"/>
      <c r="R14" s="3"/>
      <c r="S14" s="3"/>
      <c r="T14" s="3"/>
      <c r="U14" s="3"/>
      <c r="V14" s="3"/>
      <c r="W14" s="3"/>
    </row>
    <row r="15" spans="1:23">
      <c r="A15" s="3"/>
      <c r="B15" s="165" t="s">
        <v>301</v>
      </c>
      <c r="C15" s="166">
        <f>+Print_Mois!$L$83</f>
        <v>96025</v>
      </c>
      <c r="D15" s="166">
        <f>+Print_Mois!$F$83</f>
        <v>116367.33187182579</v>
      </c>
      <c r="E15" s="166">
        <f>+Print_Mois!$Q$83</f>
        <v>131630.70000000001</v>
      </c>
      <c r="F15" s="167">
        <f t="shared" si="0"/>
        <v>-20342.331871825794</v>
      </c>
      <c r="G15" s="168">
        <f t="shared" si="1"/>
        <v>-35605.700000000012</v>
      </c>
      <c r="H15" s="170">
        <f t="shared" si="2"/>
        <v>-0.17481136281643117</v>
      </c>
      <c r="I15" s="171">
        <f t="shared" si="3"/>
        <v>-0.27049692814822079</v>
      </c>
      <c r="J15" s="1230"/>
      <c r="K15" s="3"/>
      <c r="L15" s="3"/>
      <c r="M15" s="3"/>
      <c r="N15" s="3"/>
      <c r="O15" s="3"/>
      <c r="P15" s="3"/>
      <c r="Q15" s="3"/>
      <c r="R15" s="3"/>
      <c r="S15" s="3"/>
      <c r="T15" s="3"/>
      <c r="U15" s="3"/>
      <c r="V15" s="3"/>
      <c r="W15" s="3"/>
    </row>
    <row r="16" spans="1:23" ht="15" hidden="1" customHeight="1">
      <c r="A16" s="3"/>
      <c r="B16" s="175" t="s">
        <v>302</v>
      </c>
      <c r="C16" s="176"/>
      <c r="D16" s="176"/>
      <c r="E16" s="176"/>
      <c r="F16" s="177"/>
      <c r="G16" s="178"/>
      <c r="H16" s="179"/>
      <c r="I16" s="180"/>
      <c r="J16" s="1230"/>
      <c r="K16" s="3"/>
      <c r="L16" s="3"/>
      <c r="M16" s="3"/>
      <c r="N16" s="3"/>
      <c r="O16" s="3"/>
      <c r="P16" s="3"/>
      <c r="Q16" s="3"/>
      <c r="R16" s="3"/>
      <c r="S16" s="3"/>
      <c r="T16" s="3"/>
      <c r="U16" s="3"/>
      <c r="V16" s="3"/>
      <c r="W16" s="3"/>
    </row>
    <row r="17" spans="1:23" ht="15" hidden="1" customHeight="1">
      <c r="A17" s="3"/>
      <c r="B17" s="181" t="s">
        <v>290</v>
      </c>
      <c r="C17" s="182">
        <f>Inventaire_Neuf!L3</f>
        <v>71</v>
      </c>
      <c r="D17" s="182">
        <v>61</v>
      </c>
      <c r="E17" s="182">
        <v>164</v>
      </c>
      <c r="F17" s="167">
        <f>+IFERROR($C17-D17,"")</f>
        <v>10</v>
      </c>
      <c r="G17" s="168">
        <f>+IFERROR($C17-E17,"")</f>
        <v>-93</v>
      </c>
      <c r="H17" s="170">
        <f t="shared" ref="H17:H18" si="9">+IFERROR(F17/ABS($D17),"")</f>
        <v>0.16393442622950818</v>
      </c>
      <c r="I17" s="171">
        <f t="shared" ref="I17:I18" si="10">+IFERROR(G17/ABS($E17),"")</f>
        <v>-0.56707317073170727</v>
      </c>
      <c r="J17" s="1230"/>
      <c r="K17" s="3"/>
      <c r="L17" s="3"/>
      <c r="M17" s="3"/>
      <c r="N17" s="3"/>
      <c r="O17" s="3"/>
      <c r="P17" s="3"/>
      <c r="Q17" s="3"/>
      <c r="R17" s="3"/>
      <c r="S17" s="3"/>
      <c r="T17" s="3"/>
      <c r="U17" s="3"/>
      <c r="V17" s="3"/>
      <c r="W17" s="3"/>
    </row>
    <row r="18" spans="1:23">
      <c r="A18" s="3"/>
      <c r="B18" s="183" t="s">
        <v>303</v>
      </c>
      <c r="C18" s="184">
        <f>Inventaire_Neuf!L2</f>
        <v>3059537.15</v>
      </c>
      <c r="D18" s="184">
        <v>2233570</v>
      </c>
      <c r="E18" s="184">
        <v>5689693.1799999997</v>
      </c>
      <c r="F18" s="185">
        <f>+IFERROR($C18-D18,"")</f>
        <v>825967.14999999991</v>
      </c>
      <c r="G18" s="186">
        <f>+IFERROR($C18-E18,"")</f>
        <v>-2630156.0299999998</v>
      </c>
      <c r="H18" s="187">
        <f t="shared" si="9"/>
        <v>0.36979684988605682</v>
      </c>
      <c r="I18" s="188">
        <f t="shared" si="10"/>
        <v>-0.46226675969898257</v>
      </c>
      <c r="J18" s="1231"/>
      <c r="K18" s="3"/>
      <c r="L18" s="3"/>
      <c r="M18" s="3"/>
      <c r="N18" s="3"/>
      <c r="O18" s="3"/>
      <c r="P18" s="3"/>
      <c r="Q18" s="3"/>
      <c r="R18" s="3"/>
      <c r="S18" s="3"/>
      <c r="T18" s="3"/>
      <c r="U18" s="3"/>
      <c r="V18" s="3"/>
      <c r="W18" s="3"/>
    </row>
    <row r="19" spans="1:23">
      <c r="A19" s="3"/>
      <c r="B19" s="3"/>
      <c r="C19" s="189"/>
      <c r="D19" s="189"/>
      <c r="E19" s="189"/>
      <c r="F19" s="3"/>
      <c r="G19" s="3"/>
      <c r="H19" s="3"/>
      <c r="I19" s="3"/>
      <c r="J19" s="3"/>
      <c r="K19" s="3"/>
      <c r="L19" s="3"/>
      <c r="M19" s="3"/>
      <c r="N19" s="3"/>
      <c r="O19" s="3"/>
      <c r="P19" s="3"/>
      <c r="Q19" s="3"/>
      <c r="R19" s="3"/>
      <c r="S19" s="3"/>
      <c r="T19" s="3"/>
      <c r="U19" s="3"/>
      <c r="V19" s="3"/>
      <c r="W19" s="3"/>
    </row>
    <row r="20" spans="1:23">
      <c r="A20" s="3"/>
      <c r="B20" s="190" t="s">
        <v>304</v>
      </c>
      <c r="C20" s="191" t="s">
        <v>285</v>
      </c>
      <c r="D20" s="191" t="s">
        <v>286</v>
      </c>
      <c r="E20" s="191">
        <f>$E$3</f>
        <v>2023</v>
      </c>
      <c r="F20" s="192" t="s">
        <v>287</v>
      </c>
      <c r="G20" s="193" t="str">
        <f>$G$3</f>
        <v>▲2023</v>
      </c>
      <c r="H20" s="192" t="s">
        <v>288</v>
      </c>
      <c r="I20" s="193" t="str">
        <f>$I$3</f>
        <v>% ▲ 2023</v>
      </c>
      <c r="J20" s="194" t="s">
        <v>289</v>
      </c>
      <c r="K20" s="3"/>
      <c r="L20" s="3"/>
      <c r="M20" s="3"/>
      <c r="N20" s="3"/>
      <c r="O20" s="3"/>
      <c r="P20" s="3"/>
      <c r="Q20" s="3"/>
      <c r="R20" s="3"/>
      <c r="S20" s="3"/>
      <c r="T20" s="3"/>
      <c r="U20" s="3"/>
      <c r="V20" s="3"/>
      <c r="W20" s="3"/>
    </row>
    <row r="21" spans="1:23" ht="15.75" customHeight="1">
      <c r="A21" s="3"/>
      <c r="B21" s="159" t="s">
        <v>290</v>
      </c>
      <c r="C21" s="160">
        <f>+Print_Mois!$J$97</f>
        <v>30</v>
      </c>
      <c r="D21" s="160">
        <f>+Print_Mois!$D$97</f>
        <v>40</v>
      </c>
      <c r="E21" s="160">
        <f>+Print_Mois!$O$97</f>
        <v>40</v>
      </c>
      <c r="F21" s="161">
        <f t="shared" ref="F21:F32" si="11">+IFERROR($C21-D21,"")</f>
        <v>-10</v>
      </c>
      <c r="G21" s="162">
        <f t="shared" ref="G21:G32" si="12">+IFERROR($C21-E21,"")</f>
        <v>-10</v>
      </c>
      <c r="H21" s="163">
        <f t="shared" ref="H21:H32" si="13">+IFERROR(F21/ABS($D21),"")</f>
        <v>-0.25</v>
      </c>
      <c r="I21" s="164">
        <f t="shared" ref="I21:I32" si="14">+IFERROR(G21/ABS($E21),"")</f>
        <v>-0.25</v>
      </c>
      <c r="J21" s="1229" t="s">
        <v>3922</v>
      </c>
      <c r="K21" s="3"/>
      <c r="L21" s="3"/>
      <c r="M21" s="3"/>
      <c r="N21" s="3"/>
      <c r="O21" s="3"/>
      <c r="P21" s="3"/>
      <c r="Q21" s="3"/>
      <c r="R21" s="3"/>
      <c r="S21" s="3"/>
      <c r="T21" s="3"/>
      <c r="U21" s="3"/>
      <c r="V21" s="3"/>
      <c r="W21" s="3"/>
    </row>
    <row r="22" spans="1:23" ht="15.75" customHeight="1">
      <c r="A22" s="3"/>
      <c r="B22" s="165" t="s">
        <v>291</v>
      </c>
      <c r="C22" s="166">
        <f>+Print_Mois!$L$97</f>
        <v>42097.060000000049</v>
      </c>
      <c r="D22" s="166">
        <f>+Print_Mois!$F$97</f>
        <v>58100</v>
      </c>
      <c r="E22" s="166">
        <f>+Print_Mois!$Q$97</f>
        <v>-746.77999999995905</v>
      </c>
      <c r="F22" s="167">
        <f t="shared" si="11"/>
        <v>-16002.939999999951</v>
      </c>
      <c r="G22" s="168">
        <f t="shared" si="12"/>
        <v>42843.840000000011</v>
      </c>
      <c r="H22" s="170">
        <f t="shared" si="13"/>
        <v>-0.27543786574870827</v>
      </c>
      <c r="I22" s="171">
        <f t="shared" si="14"/>
        <v>57.371434692951553</v>
      </c>
      <c r="J22" s="1230"/>
      <c r="K22" s="3"/>
      <c r="L22" s="3"/>
      <c r="M22" s="3"/>
      <c r="N22" s="3"/>
      <c r="O22" s="3"/>
      <c r="P22" s="3"/>
      <c r="Q22" s="3"/>
      <c r="R22" s="3"/>
      <c r="S22" s="3"/>
      <c r="T22" s="3"/>
      <c r="U22" s="3"/>
      <c r="V22" s="3"/>
      <c r="W22" s="3"/>
    </row>
    <row r="23" spans="1:23" ht="15.75" customHeight="1">
      <c r="A23" s="3"/>
      <c r="B23" s="165" t="s">
        <v>292</v>
      </c>
      <c r="C23" s="166">
        <f t="shared" ref="C23:E23" si="15">+C22/C21</f>
        <v>1403.2353333333349</v>
      </c>
      <c r="D23" s="166">
        <f t="shared" si="15"/>
        <v>1452.5</v>
      </c>
      <c r="E23" s="166">
        <f t="shared" si="15"/>
        <v>-18.669499999998976</v>
      </c>
      <c r="F23" s="167">
        <f t="shared" si="11"/>
        <v>-49.264666666665107</v>
      </c>
      <c r="G23" s="168">
        <f t="shared" si="12"/>
        <v>1421.904833333334</v>
      </c>
      <c r="H23" s="170">
        <f t="shared" si="13"/>
        <v>-3.3917154331611091E-2</v>
      </c>
      <c r="I23" s="171">
        <f t="shared" si="14"/>
        <v>76.161912923935404</v>
      </c>
      <c r="J23" s="1230"/>
      <c r="K23" s="3"/>
      <c r="L23" s="3"/>
      <c r="M23" s="3"/>
      <c r="N23" s="3"/>
      <c r="O23" s="3"/>
      <c r="P23" s="3"/>
      <c r="Q23" s="3"/>
      <c r="R23" s="3"/>
      <c r="S23" s="3"/>
      <c r="T23" s="3"/>
      <c r="U23" s="3"/>
      <c r="V23" s="3"/>
      <c r="W23" s="3"/>
    </row>
    <row r="24" spans="1:23" ht="15.75" customHeight="1">
      <c r="A24" s="3"/>
      <c r="B24" s="165" t="s">
        <v>293</v>
      </c>
      <c r="C24" s="166">
        <f>+Print_Mois!$L$112</f>
        <v>12629.27</v>
      </c>
      <c r="D24" s="166">
        <f>+Print_Mois!$F$112</f>
        <v>19816.711590296494</v>
      </c>
      <c r="E24" s="166">
        <f>+Print_Mois!$Q$112</f>
        <v>21839.84</v>
      </c>
      <c r="F24" s="167">
        <f t="shared" si="11"/>
        <v>-7187.4415902964938</v>
      </c>
      <c r="G24" s="168">
        <f t="shared" si="12"/>
        <v>-9210.57</v>
      </c>
      <c r="H24" s="170">
        <f t="shared" si="13"/>
        <v>-0.36269597796517944</v>
      </c>
      <c r="I24" s="171">
        <f t="shared" si="14"/>
        <v>-0.42173248521967194</v>
      </c>
      <c r="J24" s="1230"/>
      <c r="K24" s="3"/>
      <c r="L24" s="3"/>
      <c r="M24" s="3"/>
      <c r="N24" s="3"/>
      <c r="O24" s="3"/>
      <c r="P24" s="3"/>
      <c r="Q24" s="3"/>
      <c r="R24" s="3"/>
      <c r="S24" s="3"/>
      <c r="T24" s="3"/>
      <c r="U24" s="3"/>
      <c r="V24" s="3"/>
      <c r="W24" s="3"/>
    </row>
    <row r="25" spans="1:23" ht="15.75" customHeight="1">
      <c r="A25" s="3"/>
      <c r="B25" s="165" t="s">
        <v>294</v>
      </c>
      <c r="C25" s="169">
        <f t="shared" ref="C25:E25" si="16">+C24/C22</f>
        <v>0.30000361070345494</v>
      </c>
      <c r="D25" s="169">
        <f t="shared" si="16"/>
        <v>0.34107937332696203</v>
      </c>
      <c r="E25" s="169">
        <f t="shared" si="16"/>
        <v>-29.245346688450677</v>
      </c>
      <c r="F25" s="172">
        <f t="shared" si="11"/>
        <v>-4.1075762623507095E-2</v>
      </c>
      <c r="G25" s="173">
        <f t="shared" si="12"/>
        <v>29.545350299154133</v>
      </c>
      <c r="H25" s="170">
        <f t="shared" si="13"/>
        <v>-0.12042875012594639</v>
      </c>
      <c r="I25" s="171">
        <f t="shared" si="14"/>
        <v>1.0102581656459533</v>
      </c>
      <c r="J25" s="1230"/>
      <c r="K25" s="3"/>
      <c r="L25" s="3"/>
      <c r="M25" s="3"/>
      <c r="N25" s="3"/>
      <c r="O25" s="3"/>
      <c r="P25" s="3"/>
      <c r="Q25" s="3"/>
      <c r="R25" s="3"/>
      <c r="S25" s="3"/>
      <c r="T25" s="3"/>
      <c r="U25" s="3"/>
      <c r="V25" s="3"/>
      <c r="W25" s="3"/>
    </row>
    <row r="26" spans="1:23" ht="15.75" customHeight="1">
      <c r="A26" s="3"/>
      <c r="B26" s="165" t="s">
        <v>295</v>
      </c>
      <c r="C26" s="166">
        <f>+Print_Mois!$L$105</f>
        <v>60844.090000000004</v>
      </c>
      <c r="D26" s="166">
        <f>+Print_Mois!$F$105</f>
        <v>76000</v>
      </c>
      <c r="E26" s="166">
        <f>+Print_Mois!$Q$105</f>
        <v>81415.3</v>
      </c>
      <c r="F26" s="167">
        <f t="shared" si="11"/>
        <v>-15155.909999999996</v>
      </c>
      <c r="G26" s="168">
        <f t="shared" si="12"/>
        <v>-20571.21</v>
      </c>
      <c r="H26" s="170">
        <f t="shared" si="13"/>
        <v>-0.19941986842105258</v>
      </c>
      <c r="I26" s="171">
        <f t="shared" si="14"/>
        <v>-0.25267007552634452</v>
      </c>
      <c r="J26" s="1230"/>
      <c r="K26" s="3"/>
      <c r="L26" s="3"/>
      <c r="M26" s="3"/>
      <c r="N26" s="3"/>
      <c r="O26" s="3"/>
      <c r="P26" s="3"/>
      <c r="Q26" s="3"/>
      <c r="R26" s="3"/>
      <c r="S26" s="3"/>
      <c r="T26" s="3"/>
      <c r="U26" s="3"/>
      <c r="V26" s="3"/>
      <c r="W26" s="3"/>
    </row>
    <row r="27" spans="1:23" ht="15.75" customHeight="1">
      <c r="A27" s="3"/>
      <c r="B27" s="165" t="s">
        <v>296</v>
      </c>
      <c r="C27" s="166">
        <f t="shared" ref="C27:E27" si="17">+C26/C21</f>
        <v>2028.1363333333334</v>
      </c>
      <c r="D27" s="166">
        <f t="shared" si="17"/>
        <v>1900</v>
      </c>
      <c r="E27" s="166">
        <f t="shared" si="17"/>
        <v>2035.3825000000002</v>
      </c>
      <c r="F27" s="167">
        <f t="shared" si="11"/>
        <v>128.13633333333337</v>
      </c>
      <c r="G27" s="168">
        <f t="shared" si="12"/>
        <v>-7.2461666666667952</v>
      </c>
      <c r="H27" s="170">
        <f t="shared" si="13"/>
        <v>6.7440175438596511E-2</v>
      </c>
      <c r="I27" s="171">
        <f t="shared" si="14"/>
        <v>-3.5601007017928054E-3</v>
      </c>
      <c r="J27" s="1230"/>
      <c r="K27" s="3"/>
      <c r="L27" s="3"/>
      <c r="M27" s="3"/>
      <c r="N27" s="3"/>
      <c r="O27" s="3"/>
      <c r="P27" s="3"/>
      <c r="Q27" s="3"/>
      <c r="R27" s="3"/>
      <c r="S27" s="3"/>
      <c r="T27" s="3"/>
      <c r="U27" s="3"/>
      <c r="V27" s="3"/>
      <c r="W27" s="3"/>
    </row>
    <row r="28" spans="1:23" ht="15.75" customHeight="1">
      <c r="A28" s="3"/>
      <c r="B28" s="165" t="s">
        <v>297</v>
      </c>
      <c r="C28" s="166">
        <f>+Print_Mois!$L$113</f>
        <v>18252.73</v>
      </c>
      <c r="D28" s="166">
        <f>+Print_Mois!$F$113</f>
        <v>22800</v>
      </c>
      <c r="E28" s="166">
        <f>+Print_Mois!$Q$113</f>
        <v>24424.86</v>
      </c>
      <c r="F28" s="167">
        <f t="shared" si="11"/>
        <v>-4547.2700000000004</v>
      </c>
      <c r="G28" s="168">
        <f t="shared" si="12"/>
        <v>-6172.130000000001</v>
      </c>
      <c r="H28" s="170">
        <f t="shared" si="13"/>
        <v>-0.19944166666666668</v>
      </c>
      <c r="I28" s="171">
        <f t="shared" si="14"/>
        <v>-0.25269868486451924</v>
      </c>
      <c r="J28" s="1230"/>
      <c r="K28" s="3"/>
      <c r="L28" s="3"/>
      <c r="M28" s="3"/>
      <c r="N28" s="3"/>
      <c r="O28" s="3"/>
      <c r="P28" s="3"/>
      <c r="Q28" s="3"/>
      <c r="R28" s="3"/>
      <c r="S28" s="3"/>
      <c r="T28" s="3"/>
      <c r="U28" s="3"/>
      <c r="V28" s="3"/>
      <c r="W28" s="3"/>
    </row>
    <row r="29" spans="1:23" ht="15.75" customHeight="1">
      <c r="A29" s="3"/>
      <c r="B29" s="165" t="s">
        <v>298</v>
      </c>
      <c r="C29" s="169">
        <f t="shared" ref="C29:E29" si="18">+C28/C26</f>
        <v>0.29999183158134174</v>
      </c>
      <c r="D29" s="169">
        <f t="shared" si="18"/>
        <v>0.3</v>
      </c>
      <c r="E29" s="169">
        <f t="shared" si="18"/>
        <v>0.30000331632997729</v>
      </c>
      <c r="F29" s="170">
        <f t="shared" si="11"/>
        <v>-8.1684186582497986E-6</v>
      </c>
      <c r="G29" s="174">
        <f t="shared" si="12"/>
        <v>-1.1484748635548492E-5</v>
      </c>
      <c r="H29" s="170">
        <f t="shared" si="13"/>
        <v>-2.7228062194165997E-5</v>
      </c>
      <c r="I29" s="171">
        <f t="shared" si="14"/>
        <v>-3.828207226521549E-5</v>
      </c>
      <c r="J29" s="1230"/>
      <c r="K29" s="3"/>
      <c r="L29" s="3"/>
      <c r="M29" s="3"/>
      <c r="N29" s="3"/>
      <c r="O29" s="3"/>
      <c r="P29" s="3"/>
      <c r="Q29" s="3"/>
      <c r="R29" s="3"/>
      <c r="S29" s="3"/>
      <c r="T29" s="3"/>
      <c r="U29" s="3"/>
      <c r="V29" s="3"/>
      <c r="W29" s="3"/>
    </row>
    <row r="30" spans="1:23" ht="15.75" customHeight="1">
      <c r="A30" s="3"/>
      <c r="B30" s="165" t="s">
        <v>299</v>
      </c>
      <c r="C30" s="166">
        <f>+Print_Mois!$L$122-C24-C28</f>
        <v>20932.409999999985</v>
      </c>
      <c r="D30" s="166">
        <f>+Print_Mois!$F$122-D24-D28</f>
        <v>27874.097543352596</v>
      </c>
      <c r="E30" s="166">
        <f>+Print_Mois!$Q$122-E24-E28</f>
        <v>21656.33</v>
      </c>
      <c r="F30" s="167">
        <f t="shared" si="11"/>
        <v>-6941.6875433526111</v>
      </c>
      <c r="G30" s="168">
        <f t="shared" si="12"/>
        <v>-723.92000000001644</v>
      </c>
      <c r="H30" s="170">
        <f t="shared" si="13"/>
        <v>-0.24903721214852612</v>
      </c>
      <c r="I30" s="171">
        <f t="shared" si="14"/>
        <v>-3.3427639863264753E-2</v>
      </c>
      <c r="J30" s="1230"/>
      <c r="K30" s="3"/>
      <c r="L30" s="3"/>
      <c r="M30" s="3"/>
      <c r="N30" s="3"/>
      <c r="O30" s="3"/>
      <c r="P30" s="3"/>
      <c r="Q30" s="3"/>
      <c r="R30" s="3"/>
      <c r="S30" s="3"/>
      <c r="T30" s="3"/>
      <c r="U30" s="3"/>
      <c r="V30" s="3"/>
      <c r="W30" s="3"/>
    </row>
    <row r="31" spans="1:23" ht="15.75" customHeight="1">
      <c r="A31" s="3"/>
      <c r="B31" s="165" t="s">
        <v>300</v>
      </c>
      <c r="C31" s="166">
        <f t="shared" ref="C31:E31" si="19">+C30/C21</f>
        <v>697.7469999999995</v>
      </c>
      <c r="D31" s="166">
        <f t="shared" si="19"/>
        <v>696.85243858381489</v>
      </c>
      <c r="E31" s="166">
        <f t="shared" si="19"/>
        <v>541.40825000000007</v>
      </c>
      <c r="F31" s="167">
        <f t="shared" si="11"/>
        <v>0.89456141618461515</v>
      </c>
      <c r="G31" s="168">
        <f t="shared" si="12"/>
        <v>156.33874999999944</v>
      </c>
      <c r="H31" s="170">
        <f t="shared" si="13"/>
        <v>1.283717135298538E-3</v>
      </c>
      <c r="I31" s="171">
        <f t="shared" si="14"/>
        <v>0.28876314684898025</v>
      </c>
      <c r="J31" s="1230"/>
      <c r="K31" s="3"/>
      <c r="L31" s="3"/>
      <c r="M31" s="3"/>
      <c r="N31" s="3"/>
      <c r="O31" s="3"/>
      <c r="P31" s="3"/>
      <c r="Q31" s="3"/>
      <c r="R31" s="3"/>
      <c r="S31" s="3"/>
      <c r="T31" s="3"/>
      <c r="U31" s="3"/>
      <c r="V31" s="3"/>
      <c r="W31" s="3"/>
    </row>
    <row r="32" spans="1:23" ht="15.75" customHeight="1">
      <c r="A32" s="3"/>
      <c r="B32" s="165" t="s">
        <v>301</v>
      </c>
      <c r="C32" s="166">
        <f>+Print_Mois!$L$163</f>
        <v>14061</v>
      </c>
      <c r="D32" s="166">
        <f>+Print_Mois!$F$163</f>
        <v>15162</v>
      </c>
      <c r="E32" s="166">
        <f>+Print_Mois!$Q$163</f>
        <v>10877</v>
      </c>
      <c r="F32" s="167">
        <f t="shared" si="11"/>
        <v>-1101</v>
      </c>
      <c r="G32" s="168">
        <f t="shared" si="12"/>
        <v>3184</v>
      </c>
      <c r="H32" s="170">
        <f t="shared" si="13"/>
        <v>-7.2615749901068463E-2</v>
      </c>
      <c r="I32" s="171">
        <f t="shared" si="14"/>
        <v>0.2927277742024455</v>
      </c>
      <c r="J32" s="1230"/>
      <c r="K32" s="3"/>
      <c r="L32" s="3"/>
      <c r="M32" s="3"/>
      <c r="N32" s="3"/>
      <c r="O32" s="3"/>
      <c r="P32" s="3"/>
      <c r="Q32" s="3"/>
      <c r="R32" s="3"/>
      <c r="S32" s="3"/>
      <c r="T32" s="3"/>
      <c r="U32" s="3"/>
      <c r="V32" s="3"/>
      <c r="W32" s="3"/>
    </row>
    <row r="33" spans="1:23" ht="15.75" hidden="1" customHeight="1">
      <c r="A33" s="3"/>
      <c r="B33" s="175" t="s">
        <v>302</v>
      </c>
      <c r="C33" s="176"/>
      <c r="D33" s="176"/>
      <c r="E33" s="176"/>
      <c r="F33" s="177"/>
      <c r="G33" s="178"/>
      <c r="H33" s="179"/>
      <c r="I33" s="180"/>
      <c r="J33" s="1230"/>
      <c r="K33" s="3"/>
      <c r="L33" s="3"/>
      <c r="M33" s="3"/>
      <c r="N33" s="3"/>
      <c r="O33" s="3"/>
      <c r="P33" s="3"/>
      <c r="Q33" s="3"/>
      <c r="R33" s="3"/>
      <c r="S33" s="3"/>
      <c r="T33" s="3"/>
      <c r="U33" s="3"/>
      <c r="V33" s="3"/>
      <c r="W33" s="3"/>
    </row>
    <row r="34" spans="1:23" ht="15.75" hidden="1" customHeight="1">
      <c r="A34" s="3"/>
      <c r="B34" s="181" t="s">
        <v>290</v>
      </c>
      <c r="C34" s="195">
        <f>Inventaire_Used!N3</f>
        <v>111</v>
      </c>
      <c r="D34" s="182">
        <v>68</v>
      </c>
      <c r="E34" s="182">
        <v>92</v>
      </c>
      <c r="F34" s="167">
        <f>+IFERROR($C34-D34,"")</f>
        <v>43</v>
      </c>
      <c r="G34" s="168">
        <f>+IFERROR($C34-E34,"")</f>
        <v>19</v>
      </c>
      <c r="H34" s="170">
        <f t="shared" ref="H34:H35" si="20">+IFERROR(F34/ABS($D34),"")</f>
        <v>0.63235294117647056</v>
      </c>
      <c r="I34" s="171">
        <f t="shared" ref="I34:I35" si="21">+IFERROR(G34/ABS($E34),"")</f>
        <v>0.20652173913043478</v>
      </c>
      <c r="J34" s="1230"/>
      <c r="K34" s="3"/>
      <c r="L34" s="3"/>
      <c r="M34" s="3"/>
      <c r="N34" s="3"/>
      <c r="O34" s="3"/>
      <c r="P34" s="3"/>
      <c r="Q34" s="3"/>
      <c r="R34" s="3"/>
      <c r="S34" s="3"/>
      <c r="T34" s="3"/>
      <c r="U34" s="3"/>
      <c r="V34" s="3"/>
      <c r="W34" s="3"/>
    </row>
    <row r="35" spans="1:23" ht="15.75" customHeight="1">
      <c r="A35" s="3"/>
      <c r="B35" s="183" t="s">
        <v>303</v>
      </c>
      <c r="C35" s="184">
        <f>Inventaire_Used!N2</f>
        <v>2779322.1000000006</v>
      </c>
      <c r="D35" s="184">
        <v>1072231</v>
      </c>
      <c r="E35" s="184">
        <v>1510979</v>
      </c>
      <c r="F35" s="185">
        <f>+IFERROR($C35-D35,"")</f>
        <v>1707091.1000000006</v>
      </c>
      <c r="G35" s="186">
        <f>+IFERROR($C35-E35,"")</f>
        <v>1268343.1000000006</v>
      </c>
      <c r="H35" s="187">
        <f t="shared" si="20"/>
        <v>1.5920926554072774</v>
      </c>
      <c r="I35" s="188">
        <f t="shared" si="21"/>
        <v>0.83941808589000944</v>
      </c>
      <c r="J35" s="1231"/>
      <c r="K35" s="3"/>
      <c r="L35" s="3"/>
      <c r="M35" s="3"/>
      <c r="N35" s="3"/>
      <c r="O35" s="3"/>
      <c r="P35" s="3"/>
      <c r="Q35" s="3"/>
      <c r="R35" s="3"/>
      <c r="S35" s="3"/>
      <c r="T35" s="3"/>
      <c r="U35" s="3"/>
      <c r="V35" s="3"/>
      <c r="W35" s="3"/>
    </row>
    <row r="36" spans="1:23" ht="15.75" customHeight="1">
      <c r="A36" s="3"/>
      <c r="B36" s="3"/>
      <c r="C36" s="189"/>
      <c r="D36" s="189"/>
      <c r="E36" s="189"/>
      <c r="F36" s="3"/>
      <c r="G36" s="3"/>
      <c r="H36" s="3"/>
      <c r="I36" s="3"/>
      <c r="J36" s="3"/>
      <c r="K36" s="3"/>
      <c r="L36" s="3"/>
      <c r="M36" s="3"/>
      <c r="N36" s="3"/>
      <c r="O36" s="3"/>
      <c r="P36" s="3"/>
      <c r="Q36" s="3"/>
      <c r="R36" s="3"/>
      <c r="S36" s="3"/>
      <c r="T36" s="3"/>
      <c r="U36" s="3"/>
      <c r="V36" s="3"/>
      <c r="W36" s="3"/>
    </row>
    <row r="37" spans="1:23" ht="15.75" customHeight="1">
      <c r="A37" s="3"/>
      <c r="B37" s="196" t="s">
        <v>161</v>
      </c>
      <c r="C37" s="197" t="s">
        <v>285</v>
      </c>
      <c r="D37" s="197" t="s">
        <v>286</v>
      </c>
      <c r="E37" s="197">
        <f>$E$3</f>
        <v>2023</v>
      </c>
      <c r="F37" s="198" t="s">
        <v>287</v>
      </c>
      <c r="G37" s="199" t="str">
        <f>$G$3</f>
        <v>▲2023</v>
      </c>
      <c r="H37" s="198" t="s">
        <v>288</v>
      </c>
      <c r="I37" s="199" t="str">
        <f>$I$3</f>
        <v>% ▲ 2023</v>
      </c>
      <c r="J37" s="196" t="s">
        <v>289</v>
      </c>
      <c r="K37" s="3"/>
      <c r="L37" s="3"/>
      <c r="M37" s="3"/>
      <c r="N37" s="3"/>
      <c r="O37" s="3"/>
      <c r="P37" s="3"/>
      <c r="Q37" s="3"/>
      <c r="R37" s="3"/>
      <c r="S37" s="3"/>
      <c r="T37" s="3"/>
      <c r="U37" s="3"/>
      <c r="V37" s="3"/>
      <c r="W37" s="3"/>
    </row>
    <row r="38" spans="1:23" ht="15.75" customHeight="1">
      <c r="A38" s="3"/>
      <c r="B38" s="159" t="s">
        <v>305</v>
      </c>
      <c r="C38" s="200">
        <f>+Print_Mois!$K$194</f>
        <v>399826.57999999996</v>
      </c>
      <c r="D38" s="200">
        <f>+Print_Mois!$E$194</f>
        <v>390450.98842000001</v>
      </c>
      <c r="E38" s="200">
        <f>+Print_Mois!$P$194</f>
        <v>395967.09</v>
      </c>
      <c r="F38" s="201">
        <f t="shared" ref="F38:F47" si="22">+IFERROR($C38-D38,"")</f>
        <v>9375.5915799999493</v>
      </c>
      <c r="G38" s="202">
        <f t="shared" ref="G38:G47" si="23">+IFERROR($C38-E38,"")</f>
        <v>3859.4899999999325</v>
      </c>
      <c r="H38" s="163">
        <f t="shared" ref="H38:H47" si="24">+IFERROR(F38/ABS($D38),"")</f>
        <v>2.4012211155974385E-2</v>
      </c>
      <c r="I38" s="164">
        <f t="shared" ref="I38:I47" si="25">+IFERROR(G38/ABS($E38),"")</f>
        <v>9.7469969032020626E-3</v>
      </c>
      <c r="J38" s="1229" t="s">
        <v>3923</v>
      </c>
      <c r="K38" s="3"/>
      <c r="L38" s="3"/>
      <c r="M38" s="3"/>
      <c r="N38" s="3"/>
      <c r="O38" s="3"/>
      <c r="P38" s="3"/>
      <c r="Q38" s="3"/>
      <c r="R38" s="3"/>
      <c r="S38" s="3"/>
      <c r="T38" s="3"/>
      <c r="U38" s="3"/>
      <c r="V38" s="3"/>
      <c r="W38" s="3"/>
    </row>
    <row r="39" spans="1:23" ht="15.75" customHeight="1">
      <c r="A39" s="3"/>
      <c r="B39" s="159" t="s">
        <v>306</v>
      </c>
      <c r="C39" s="200">
        <f>+Print_Mois!$L$194</f>
        <v>284041.78000000003</v>
      </c>
      <c r="D39" s="200">
        <f>+Print_Mois!$F$194</f>
        <v>280441.6956717865</v>
      </c>
      <c r="E39" s="200">
        <f>+Print_Mois!$Q$194</f>
        <v>281957.00999999978</v>
      </c>
      <c r="F39" s="201">
        <f t="shared" si="22"/>
        <v>3600.084328213532</v>
      </c>
      <c r="G39" s="202">
        <f t="shared" si="23"/>
        <v>2084.7700000002515</v>
      </c>
      <c r="H39" s="203">
        <f t="shared" si="24"/>
        <v>1.2837193554937253E-2</v>
      </c>
      <c r="I39" s="204">
        <f t="shared" si="25"/>
        <v>7.3939285992579264E-3</v>
      </c>
      <c r="J39" s="1230"/>
      <c r="K39" s="3"/>
      <c r="L39" s="3"/>
      <c r="M39" s="3"/>
      <c r="N39" s="3"/>
      <c r="O39" s="3"/>
      <c r="P39" s="3"/>
      <c r="Q39" s="3"/>
      <c r="R39" s="3"/>
      <c r="S39" s="3"/>
      <c r="T39" s="3"/>
      <c r="U39" s="3"/>
      <c r="V39" s="3"/>
      <c r="W39" s="3"/>
    </row>
    <row r="40" spans="1:23" ht="15.75" customHeight="1">
      <c r="A40" s="3"/>
      <c r="B40" s="165" t="s">
        <v>307</v>
      </c>
      <c r="C40" s="166">
        <f>+Print_Mois!$K$172/Print_Mois!$J$172</f>
        <v>306.67983582089551</v>
      </c>
      <c r="D40" s="166">
        <f>+IFERROR(Print_Mois!$E$172/Print_Mois!$D$172,"")</f>
        <v>339.99999999999994</v>
      </c>
      <c r="E40" s="166">
        <f>+Print_Mois!$P$172/Print_Mois!$O$172</f>
        <v>305.01943452380954</v>
      </c>
      <c r="F40" s="167">
        <f t="shared" si="22"/>
        <v>-33.320164179104438</v>
      </c>
      <c r="G40" s="168">
        <f t="shared" si="23"/>
        <v>1.6604012970859685</v>
      </c>
      <c r="H40" s="170">
        <f t="shared" si="24"/>
        <v>-9.800048287971895E-2</v>
      </c>
      <c r="I40" s="171">
        <f t="shared" si="25"/>
        <v>5.4435918146597938E-3</v>
      </c>
      <c r="J40" s="1230"/>
      <c r="K40" s="3"/>
      <c r="L40" s="3"/>
      <c r="M40" s="3"/>
      <c r="N40" s="3"/>
      <c r="O40" s="3"/>
      <c r="P40" s="3"/>
      <c r="Q40" s="3"/>
      <c r="R40" s="3"/>
      <c r="S40" s="3"/>
      <c r="T40" s="3"/>
      <c r="U40" s="3"/>
      <c r="V40" s="3"/>
      <c r="W40" s="3"/>
    </row>
    <row r="41" spans="1:23" ht="15.75" customHeight="1">
      <c r="A41" s="3"/>
      <c r="B41" s="165" t="s">
        <v>308</v>
      </c>
      <c r="C41" s="166">
        <f>+Print_Mois!$K$175/Print_Mois!$J$175</f>
        <v>240.9084831460674</v>
      </c>
      <c r="D41" s="166">
        <f>+IFERROR(Print_Mois!$E$175/Print_Mois!$D$175,"")</f>
        <v>270</v>
      </c>
      <c r="E41" s="166">
        <f>+Print_Mois!$P$175/Print_Mois!$O$175</f>
        <v>292.48396694214875</v>
      </c>
      <c r="F41" s="167">
        <f t="shared" si="22"/>
        <v>-29.091516853932603</v>
      </c>
      <c r="G41" s="168">
        <f t="shared" si="23"/>
        <v>-51.575483796081357</v>
      </c>
      <c r="H41" s="170">
        <f t="shared" si="24"/>
        <v>-0.1077463587182689</v>
      </c>
      <c r="I41" s="171">
        <f t="shared" si="25"/>
        <v>-0.17633610599340174</v>
      </c>
      <c r="J41" s="1230"/>
      <c r="K41" s="3"/>
      <c r="L41" s="3"/>
      <c r="M41" s="3"/>
      <c r="N41" s="3"/>
      <c r="O41" s="3"/>
      <c r="P41" s="3"/>
      <c r="Q41" s="3"/>
      <c r="R41" s="3"/>
      <c r="S41" s="3"/>
      <c r="T41" s="3"/>
      <c r="U41" s="3"/>
      <c r="V41" s="3"/>
      <c r="W41" s="3"/>
    </row>
    <row r="42" spans="1:23" ht="15.75" customHeight="1">
      <c r="A42" s="3"/>
      <c r="B42" s="165" t="s">
        <v>309</v>
      </c>
      <c r="C42" s="166">
        <f>+Print_Mois!$L$184</f>
        <v>-1048.6300000000001</v>
      </c>
      <c r="D42" s="166">
        <f>+Print_Mois!$F$184</f>
        <v>-4075.8992150135141</v>
      </c>
      <c r="E42" s="166">
        <f>+Print_Mois!$Q$184</f>
        <v>-2141.9499999999998</v>
      </c>
      <c r="F42" s="167">
        <f t="shared" si="22"/>
        <v>3027.269215013514</v>
      </c>
      <c r="G42" s="168">
        <f t="shared" si="23"/>
        <v>1093.3199999999997</v>
      </c>
      <c r="H42" s="170">
        <f t="shared" si="24"/>
        <v>0.7427242567388842</v>
      </c>
      <c r="I42" s="171">
        <f t="shared" si="25"/>
        <v>0.51043208291510067</v>
      </c>
      <c r="J42" s="1230"/>
      <c r="K42" s="3"/>
      <c r="L42" s="3"/>
      <c r="M42" s="3"/>
      <c r="N42" s="3"/>
      <c r="O42" s="3"/>
      <c r="P42" s="3"/>
      <c r="Q42" s="3"/>
      <c r="R42" s="3"/>
      <c r="S42" s="3"/>
      <c r="T42" s="3"/>
      <c r="U42" s="3"/>
      <c r="V42" s="3"/>
      <c r="W42" s="3"/>
    </row>
    <row r="43" spans="1:23" ht="15.75" customHeight="1">
      <c r="A43" s="3"/>
      <c r="B43" s="165" t="s">
        <v>310</v>
      </c>
      <c r="C43" s="166">
        <f>+Print_Mois!$L$210</f>
        <v>135980.88</v>
      </c>
      <c r="D43" s="166">
        <f>+Print_Mois!$F$210</f>
        <v>149295.35716336215</v>
      </c>
      <c r="E43" s="166">
        <f>+Print_Mois!$Q$210</f>
        <v>152838.09999999998</v>
      </c>
      <c r="F43" s="167">
        <f t="shared" si="22"/>
        <v>-13314.477163362142</v>
      </c>
      <c r="G43" s="168">
        <f t="shared" si="23"/>
        <v>-16857.219999999972</v>
      </c>
      <c r="H43" s="170">
        <f t="shared" si="24"/>
        <v>-8.918212472470366E-2</v>
      </c>
      <c r="I43" s="171">
        <f t="shared" si="25"/>
        <v>-0.11029461894645363</v>
      </c>
      <c r="J43" s="1230"/>
      <c r="K43" s="3"/>
      <c r="L43" s="3"/>
      <c r="M43" s="3"/>
      <c r="N43" s="3"/>
      <c r="O43" s="3"/>
      <c r="P43" s="3"/>
      <c r="Q43" s="3"/>
      <c r="R43" s="3"/>
      <c r="S43" s="3"/>
      <c r="T43" s="3"/>
      <c r="U43" s="3"/>
      <c r="V43" s="3"/>
      <c r="W43" s="3"/>
    </row>
    <row r="44" spans="1:23" ht="15.75" customHeight="1">
      <c r="A44" s="3"/>
      <c r="B44" s="181" t="s">
        <v>311</v>
      </c>
      <c r="C44" s="166">
        <f>+SUM(Print_Mois!$L$198:$L$204)</f>
        <v>74418.92</v>
      </c>
      <c r="D44" s="166">
        <f>+SUM(Print_Mois!$F$198:$F$204)</f>
        <v>85787.26180015385</v>
      </c>
      <c r="E44" s="166">
        <f>+SUM(Print_Mois!$Q$198:$Q$204)</f>
        <v>82044.37</v>
      </c>
      <c r="F44" s="167">
        <f t="shared" si="22"/>
        <v>-11368.341800153852</v>
      </c>
      <c r="G44" s="168">
        <f t="shared" si="23"/>
        <v>-7625.4499999999971</v>
      </c>
      <c r="H44" s="170">
        <f t="shared" si="24"/>
        <v>-0.13251783028856931</v>
      </c>
      <c r="I44" s="171">
        <f t="shared" si="25"/>
        <v>-9.2943001451531629E-2</v>
      </c>
      <c r="J44" s="1230"/>
      <c r="K44" s="3"/>
      <c r="L44" s="3"/>
      <c r="M44" s="3"/>
      <c r="N44" s="3"/>
      <c r="O44" s="3"/>
      <c r="P44" s="3"/>
      <c r="Q44" s="3"/>
      <c r="R44" s="3"/>
      <c r="S44" s="3"/>
      <c r="T44" s="3"/>
      <c r="U44" s="3"/>
      <c r="V44" s="3"/>
      <c r="W44" s="3"/>
    </row>
    <row r="45" spans="1:23">
      <c r="A45" s="3"/>
      <c r="B45" s="181" t="s">
        <v>312</v>
      </c>
      <c r="C45" s="166">
        <f>+SUM(Print_Mois!$L$205:$L$209)</f>
        <v>61561.96</v>
      </c>
      <c r="D45" s="166">
        <f>+SUM(Print_Mois!$F$205:$F$209)</f>
        <v>63508.095363208304</v>
      </c>
      <c r="E45" s="166">
        <f>+SUM(Print_Mois!$Q$205:$Q$209)</f>
        <v>70793.73000000001</v>
      </c>
      <c r="F45" s="167">
        <f t="shared" si="22"/>
        <v>-1946.1353632083046</v>
      </c>
      <c r="G45" s="168">
        <f t="shared" si="23"/>
        <v>-9231.7700000000114</v>
      </c>
      <c r="H45" s="170">
        <f t="shared" si="24"/>
        <v>-3.0643894326828538E-2</v>
      </c>
      <c r="I45" s="171">
        <f t="shared" si="25"/>
        <v>-0.13040378010877532</v>
      </c>
      <c r="J45" s="1230"/>
      <c r="K45" s="3"/>
      <c r="L45" s="3"/>
      <c r="M45" s="3"/>
      <c r="N45" s="3"/>
      <c r="O45" s="3"/>
      <c r="P45" s="3"/>
      <c r="Q45" s="3"/>
      <c r="R45" s="3"/>
      <c r="S45" s="3"/>
      <c r="T45" s="3"/>
      <c r="U45" s="3"/>
      <c r="V45" s="3"/>
      <c r="W45" s="3"/>
    </row>
    <row r="46" spans="1:23">
      <c r="A46" s="3"/>
      <c r="B46" s="165" t="s">
        <v>313</v>
      </c>
      <c r="C46" s="169">
        <f t="shared" ref="C46:E46" si="26">+C43/C38</f>
        <v>0.3400996502033457</v>
      </c>
      <c r="D46" s="169">
        <f t="shared" si="26"/>
        <v>0.38236644698352829</v>
      </c>
      <c r="E46" s="169">
        <f t="shared" si="26"/>
        <v>0.38598687582849367</v>
      </c>
      <c r="F46" s="172">
        <f t="shared" si="22"/>
        <v>-4.2266796780182581E-2</v>
      </c>
      <c r="G46" s="173">
        <f t="shared" si="23"/>
        <v>-4.5887225625147965E-2</v>
      </c>
      <c r="H46" s="170">
        <f t="shared" si="24"/>
        <v>-0.11054002544842373</v>
      </c>
      <c r="I46" s="171">
        <f t="shared" si="25"/>
        <v>-0.11888286493330703</v>
      </c>
      <c r="J46" s="1230"/>
      <c r="K46" s="3"/>
      <c r="L46" s="3"/>
      <c r="M46" s="3"/>
      <c r="N46" s="3"/>
      <c r="O46" s="3"/>
      <c r="P46" s="3"/>
      <c r="Q46" s="3"/>
      <c r="R46" s="3"/>
      <c r="S46" s="3"/>
      <c r="T46" s="3"/>
      <c r="U46" s="3"/>
      <c r="V46" s="3"/>
      <c r="W46" s="3"/>
    </row>
    <row r="47" spans="1:23">
      <c r="A47" s="3"/>
      <c r="B47" s="205" t="s">
        <v>131</v>
      </c>
      <c r="C47" s="184">
        <f>+Print_Mois!$L$213</f>
        <v>12345.56</v>
      </c>
      <c r="D47" s="184">
        <f>+Print_Mois!$F$213</f>
        <v>16083.739355555555</v>
      </c>
      <c r="E47" s="184">
        <f>+Print_Mois!$Q$213</f>
        <v>12840.8</v>
      </c>
      <c r="F47" s="185">
        <f t="shared" si="22"/>
        <v>-3738.179355555556</v>
      </c>
      <c r="G47" s="186">
        <f t="shared" si="23"/>
        <v>-495.23999999999978</v>
      </c>
      <c r="H47" s="187">
        <f t="shared" si="24"/>
        <v>-0.23241979199720958</v>
      </c>
      <c r="I47" s="188">
        <f t="shared" si="25"/>
        <v>-3.8567690486574033E-2</v>
      </c>
      <c r="J47" s="1231"/>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6" t="s">
        <v>314</v>
      </c>
      <c r="C49" s="207" t="s">
        <v>285</v>
      </c>
      <c r="D49" s="207" t="s">
        <v>286</v>
      </c>
      <c r="E49" s="207">
        <f>$E$3</f>
        <v>2023</v>
      </c>
      <c r="F49" s="208" t="s">
        <v>287</v>
      </c>
      <c r="G49" s="209" t="str">
        <f>$G$3</f>
        <v>▲2023</v>
      </c>
      <c r="H49" s="208" t="s">
        <v>288</v>
      </c>
      <c r="I49" s="209" t="str">
        <f>$I$3</f>
        <v>% ▲ 2023</v>
      </c>
      <c r="J49" s="210" t="s">
        <v>289</v>
      </c>
      <c r="K49" s="3"/>
      <c r="L49" s="3"/>
      <c r="M49" s="3"/>
      <c r="N49" s="3"/>
      <c r="O49" s="3"/>
      <c r="P49" s="3"/>
      <c r="Q49" s="3"/>
      <c r="R49" s="3"/>
      <c r="S49" s="3"/>
      <c r="T49" s="3"/>
      <c r="U49" s="3"/>
      <c r="V49" s="3"/>
      <c r="W49" s="3"/>
    </row>
    <row r="50" spans="1:23" ht="15" customHeight="1">
      <c r="A50" s="3"/>
      <c r="B50" s="211" t="s">
        <v>305</v>
      </c>
      <c r="C50" s="200">
        <f>+Print_Mois!$J$314</f>
        <v>551904.47</v>
      </c>
      <c r="D50" s="200">
        <f>+Print_Mois!$D$314</f>
        <v>496025.92076357489</v>
      </c>
      <c r="E50" s="200">
        <f>+Print_Mois!$O$314</f>
        <v>445078.16</v>
      </c>
      <c r="F50" s="201">
        <f t="shared" ref="F50:F59" si="27">+IFERROR($C50-D50,"")</f>
        <v>55878.549236425082</v>
      </c>
      <c r="G50" s="202">
        <f t="shared" ref="G50:G59" si="28">+IFERROR($C50-E50,"")</f>
        <v>106826.31</v>
      </c>
      <c r="H50" s="163">
        <f t="shared" ref="H50:H59" si="29">+IFERROR(F50/ABS($D50),"")</f>
        <v>0.11265247822211888</v>
      </c>
      <c r="I50" s="164">
        <f t="shared" ref="I50:I59" si="30">+IFERROR(G50/ABS($E50),"")</f>
        <v>0.24001696690756519</v>
      </c>
      <c r="J50" s="1229" t="s">
        <v>3924</v>
      </c>
      <c r="K50" s="3"/>
      <c r="L50" s="3"/>
      <c r="M50" s="3"/>
      <c r="N50" s="3"/>
      <c r="O50" s="3"/>
      <c r="P50" s="3"/>
      <c r="Q50" s="3"/>
      <c r="R50" s="3"/>
      <c r="S50" s="3"/>
      <c r="T50" s="3"/>
      <c r="U50" s="3"/>
      <c r="V50" s="3"/>
      <c r="W50" s="3"/>
    </row>
    <row r="51" spans="1:23" ht="15.75" customHeight="1">
      <c r="A51" s="3"/>
      <c r="B51" s="181" t="s">
        <v>315</v>
      </c>
      <c r="C51" s="166">
        <f>+Print_Mois!$J$295</f>
        <v>118021.43</v>
      </c>
      <c r="D51" s="166">
        <f>+Print_Mois!$D$295</f>
        <v>123965.82498399999</v>
      </c>
      <c r="E51" s="166">
        <f>+Print_Mois!$O$295</f>
        <v>109437.56</v>
      </c>
      <c r="F51" s="167">
        <f t="shared" si="27"/>
        <v>-5944.3949839999987</v>
      </c>
      <c r="G51" s="168">
        <f t="shared" si="28"/>
        <v>8583.8699999999953</v>
      </c>
      <c r="H51" s="170">
        <f t="shared" si="29"/>
        <v>-4.7951885003526006E-2</v>
      </c>
      <c r="I51" s="171">
        <f t="shared" si="30"/>
        <v>7.843623341017468E-2</v>
      </c>
      <c r="J51" s="1230"/>
      <c r="K51" s="3"/>
      <c r="L51" s="3"/>
      <c r="M51" s="3"/>
      <c r="N51" s="3"/>
      <c r="O51" s="3"/>
      <c r="P51" s="3"/>
      <c r="Q51" s="3"/>
      <c r="R51" s="3"/>
      <c r="S51" s="3"/>
      <c r="T51" s="3"/>
      <c r="U51" s="3"/>
      <c r="V51" s="3"/>
      <c r="W51" s="3"/>
    </row>
    <row r="52" spans="1:23" ht="15.75" customHeight="1">
      <c r="A52" s="3"/>
      <c r="B52" s="181" t="s">
        <v>316</v>
      </c>
      <c r="C52" s="166">
        <f>+Print_Mois!$J$297</f>
        <v>85718.31</v>
      </c>
      <c r="D52" s="166">
        <f>+Print_Mois!$D$297</f>
        <v>50240.924999999996</v>
      </c>
      <c r="E52" s="166">
        <f>+Print_Mois!$O$297</f>
        <v>42120.959999999999</v>
      </c>
      <c r="F52" s="167">
        <f t="shared" si="27"/>
        <v>35477.385000000002</v>
      </c>
      <c r="G52" s="168">
        <f t="shared" si="28"/>
        <v>43597.35</v>
      </c>
      <c r="H52" s="170">
        <f t="shared" si="29"/>
        <v>0.70614513964462244</v>
      </c>
      <c r="I52" s="171">
        <f t="shared" si="30"/>
        <v>1.0350511954143495</v>
      </c>
      <c r="J52" s="1230"/>
      <c r="K52" s="3"/>
      <c r="L52" s="3"/>
      <c r="M52" s="3"/>
      <c r="N52" s="3"/>
      <c r="O52" s="3"/>
      <c r="P52" s="3"/>
      <c r="Q52" s="3"/>
      <c r="R52" s="3"/>
      <c r="S52" s="3"/>
      <c r="T52" s="3"/>
      <c r="U52" s="3"/>
      <c r="V52" s="3"/>
      <c r="W52" s="3"/>
    </row>
    <row r="53" spans="1:23" ht="15.75" customHeight="1">
      <c r="A53" s="3"/>
      <c r="B53" s="181" t="s">
        <v>317</v>
      </c>
      <c r="C53" s="166">
        <f>+Print_Mois!$J$300</f>
        <v>196342.46</v>
      </c>
      <c r="D53" s="166">
        <f>+Print_Mois!$D$300</f>
        <v>153843.459</v>
      </c>
      <c r="E53" s="166">
        <f>+Print_Mois!$O$300</f>
        <v>144594.10999999999</v>
      </c>
      <c r="F53" s="167">
        <f t="shared" si="27"/>
        <v>42499.000999999989</v>
      </c>
      <c r="G53" s="168">
        <f t="shared" si="28"/>
        <v>51748.350000000006</v>
      </c>
      <c r="H53" s="170">
        <f t="shared" si="29"/>
        <v>0.27624834540414217</v>
      </c>
      <c r="I53" s="171">
        <f t="shared" si="30"/>
        <v>0.35788698446983774</v>
      </c>
      <c r="J53" s="1230"/>
      <c r="K53" s="3"/>
      <c r="L53" s="3"/>
      <c r="M53" s="3"/>
      <c r="N53" s="3"/>
      <c r="O53" s="3"/>
      <c r="P53" s="3"/>
      <c r="Q53" s="3"/>
      <c r="R53" s="3"/>
      <c r="S53" s="3"/>
      <c r="T53" s="3"/>
      <c r="U53" s="3"/>
      <c r="V53" s="3"/>
      <c r="W53" s="3"/>
    </row>
    <row r="54" spans="1:23" ht="15.75" customHeight="1">
      <c r="A54" s="3"/>
      <c r="B54" s="181" t="s">
        <v>318</v>
      </c>
      <c r="C54" s="166">
        <f>+Print_Mois!$J$307</f>
        <v>41058.479999999996</v>
      </c>
      <c r="D54" s="166">
        <f>+Print_Mois!$D$307</f>
        <v>28768.550000000003</v>
      </c>
      <c r="E54" s="166">
        <f>+Print_Mois!$O$307</f>
        <v>39158.370000000003</v>
      </c>
      <c r="F54" s="167">
        <f t="shared" si="27"/>
        <v>12289.929999999993</v>
      </c>
      <c r="G54" s="168">
        <f t="shared" si="28"/>
        <v>1900.1099999999933</v>
      </c>
      <c r="H54" s="170">
        <f t="shared" si="29"/>
        <v>0.42720018909538338</v>
      </c>
      <c r="I54" s="171">
        <f t="shared" si="30"/>
        <v>4.8523725578975663E-2</v>
      </c>
      <c r="J54" s="1230"/>
      <c r="K54" s="3"/>
      <c r="L54" s="3"/>
      <c r="M54" s="3"/>
      <c r="N54" s="3"/>
      <c r="O54" s="3"/>
      <c r="P54" s="3"/>
      <c r="Q54" s="3"/>
      <c r="R54" s="3"/>
      <c r="S54" s="3"/>
      <c r="T54" s="3"/>
      <c r="U54" s="3"/>
      <c r="V54" s="3"/>
      <c r="W54" s="3"/>
    </row>
    <row r="55" spans="1:23" ht="15.75" customHeight="1">
      <c r="A55" s="3"/>
      <c r="B55" s="181" t="s">
        <v>319</v>
      </c>
      <c r="C55" s="166">
        <f t="shared" ref="C55:E55" si="31">+C50-SUM(C51:C54)</f>
        <v>110763.79000000004</v>
      </c>
      <c r="D55" s="166">
        <f t="shared" si="31"/>
        <v>139207.16177957488</v>
      </c>
      <c r="E55" s="166">
        <f t="shared" si="31"/>
        <v>109767.15999999997</v>
      </c>
      <c r="F55" s="167">
        <f t="shared" si="27"/>
        <v>-28443.371779574838</v>
      </c>
      <c r="G55" s="168">
        <f t="shared" si="28"/>
        <v>996.63000000006286</v>
      </c>
      <c r="H55" s="170">
        <f t="shared" si="29"/>
        <v>-0.20432405499806822</v>
      </c>
      <c r="I55" s="171">
        <f t="shared" si="30"/>
        <v>9.0794915346271432E-3</v>
      </c>
      <c r="J55" s="1230"/>
      <c r="K55" s="3"/>
      <c r="L55" s="3"/>
      <c r="M55" s="3"/>
      <c r="N55" s="3"/>
      <c r="O55" s="3"/>
      <c r="P55" s="3"/>
      <c r="Q55" s="3"/>
      <c r="R55" s="3"/>
      <c r="S55" s="3"/>
      <c r="T55" s="3"/>
      <c r="U55" s="3"/>
      <c r="V55" s="3"/>
      <c r="W55" s="3"/>
    </row>
    <row r="56" spans="1:23" ht="15.75" customHeight="1">
      <c r="A56" s="3"/>
      <c r="B56" s="159" t="s">
        <v>306</v>
      </c>
      <c r="C56" s="200">
        <f>+Print_Mois!$L$314</f>
        <v>124899.34999999998</v>
      </c>
      <c r="D56" s="200">
        <f>+Print_Mois!$F$314</f>
        <v>131141.5009830418</v>
      </c>
      <c r="E56" s="200">
        <f>+Print_Mois!$Q$314</f>
        <v>123679.60999999978</v>
      </c>
      <c r="F56" s="201">
        <f t="shared" si="27"/>
        <v>-6242.1509830418217</v>
      </c>
      <c r="G56" s="202">
        <f t="shared" si="28"/>
        <v>1219.7400000001944</v>
      </c>
      <c r="H56" s="203">
        <f t="shared" si="29"/>
        <v>-4.7598593399117858E-2</v>
      </c>
      <c r="I56" s="204">
        <f t="shared" si="30"/>
        <v>9.8620944875246336E-3</v>
      </c>
      <c r="J56" s="1230"/>
      <c r="K56" s="3"/>
      <c r="L56" s="3"/>
      <c r="M56" s="3"/>
      <c r="N56" s="3"/>
      <c r="O56" s="3"/>
      <c r="P56" s="3"/>
      <c r="Q56" s="3"/>
      <c r="R56" s="3"/>
      <c r="S56" s="3"/>
      <c r="T56" s="3"/>
      <c r="U56" s="3"/>
      <c r="V56" s="3"/>
      <c r="W56" s="3"/>
    </row>
    <row r="57" spans="1:23" ht="15.75" customHeight="1">
      <c r="A57" s="3"/>
      <c r="B57" s="165" t="s">
        <v>307</v>
      </c>
      <c r="C57" s="166">
        <f>+Print_Mois!$J$295/Print_Mois!$J$172</f>
        <v>176.15138805970147</v>
      </c>
      <c r="D57" s="166">
        <f>+IFERROR(Print_Mois!$D$295/Print_Mois!$D$172,"")</f>
        <v>193.22199999999998</v>
      </c>
      <c r="E57" s="166">
        <f>+Print_Mois!$O$295/Print_Mois!$O$172</f>
        <v>162.85351190476189</v>
      </c>
      <c r="F57" s="167">
        <f t="shared" si="27"/>
        <v>-17.070611940298505</v>
      </c>
      <c r="G57" s="168">
        <f t="shared" si="28"/>
        <v>13.297876154939587</v>
      </c>
      <c r="H57" s="170">
        <f t="shared" si="29"/>
        <v>-8.8347144426092816E-2</v>
      </c>
      <c r="I57" s="171">
        <f t="shared" si="30"/>
        <v>8.1655446047220012E-2</v>
      </c>
      <c r="J57" s="1230"/>
      <c r="K57" s="3"/>
      <c r="L57" s="3"/>
      <c r="M57" s="3"/>
      <c r="N57" s="3"/>
      <c r="O57" s="3"/>
      <c r="P57" s="3"/>
      <c r="Q57" s="3"/>
      <c r="R57" s="3"/>
      <c r="S57" s="3"/>
      <c r="T57" s="3"/>
      <c r="U57" s="3"/>
      <c r="V57" s="3"/>
      <c r="W57" s="3"/>
    </row>
    <row r="58" spans="1:23" ht="15.75" customHeight="1">
      <c r="A58" s="3"/>
      <c r="B58" s="165" t="s">
        <v>308</v>
      </c>
      <c r="C58" s="166">
        <f>+Print_Mois!$J$297/Print_Mois!$J$175</f>
        <v>481.56353932584267</v>
      </c>
      <c r="D58" s="166">
        <f>+IFERROR(Print_Mois!$D$297/Print_Mois!$D$175,"")</f>
        <v>407.46897810218974</v>
      </c>
      <c r="E58" s="166">
        <f>+Print_Mois!$O$297/Print_Mois!$O$175</f>
        <v>348.1071074380165</v>
      </c>
      <c r="F58" s="167">
        <f t="shared" si="27"/>
        <v>74.094561223652931</v>
      </c>
      <c r="G58" s="168">
        <f t="shared" si="28"/>
        <v>133.45643188782617</v>
      </c>
      <c r="H58" s="170">
        <f t="shared" si="29"/>
        <v>0.18184098718079747</v>
      </c>
      <c r="I58" s="171">
        <f t="shared" si="30"/>
        <v>0.38337749800638371</v>
      </c>
      <c r="J58" s="1230"/>
      <c r="K58" s="3"/>
      <c r="L58" s="3"/>
      <c r="M58" s="3"/>
      <c r="N58" s="3"/>
      <c r="O58" s="3"/>
      <c r="P58" s="3"/>
      <c r="Q58" s="3"/>
      <c r="R58" s="3"/>
      <c r="S58" s="3"/>
      <c r="T58" s="3"/>
      <c r="U58" s="3"/>
      <c r="V58" s="3"/>
      <c r="W58" s="3"/>
    </row>
    <row r="59" spans="1:23" ht="15.75" customHeight="1">
      <c r="A59" s="3"/>
      <c r="B59" s="205" t="s">
        <v>122</v>
      </c>
      <c r="C59" s="184">
        <f>+Print_Mois!$L$320</f>
        <v>113.92</v>
      </c>
      <c r="D59" s="184">
        <f>+Print_Mois!$F$320</f>
        <v>175.30769230769232</v>
      </c>
      <c r="E59" s="184">
        <f>+Print_Mois!$Q$320</f>
        <v>704.82</v>
      </c>
      <c r="F59" s="185">
        <f t="shared" si="27"/>
        <v>-61.387692307692319</v>
      </c>
      <c r="G59" s="186">
        <f t="shared" si="28"/>
        <v>-590.90000000000009</v>
      </c>
      <c r="H59" s="187">
        <f t="shared" si="29"/>
        <v>-0.3501711276875823</v>
      </c>
      <c r="I59" s="188">
        <f t="shared" si="30"/>
        <v>-0.83837008030419125</v>
      </c>
      <c r="J59" s="1231"/>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2" t="s">
        <v>320</v>
      </c>
      <c r="C61" s="213" t="s">
        <v>285</v>
      </c>
      <c r="D61" s="213" t="s">
        <v>286</v>
      </c>
      <c r="E61" s="213">
        <f>$E$3</f>
        <v>2023</v>
      </c>
      <c r="F61" s="214" t="s">
        <v>287</v>
      </c>
      <c r="G61" s="215" t="str">
        <f>$G$3</f>
        <v>▲2023</v>
      </c>
      <c r="H61" s="214" t="s">
        <v>288</v>
      </c>
      <c r="I61" s="215" t="str">
        <f>$I$3</f>
        <v>% ▲ 2023</v>
      </c>
      <c r="J61" s="216" t="s">
        <v>289</v>
      </c>
      <c r="K61" s="3"/>
      <c r="L61" s="3"/>
      <c r="M61" s="3"/>
      <c r="N61" s="3"/>
      <c r="O61" s="3"/>
      <c r="P61" s="3"/>
      <c r="Q61" s="3"/>
      <c r="R61" s="3"/>
      <c r="S61" s="3"/>
      <c r="T61" s="3"/>
      <c r="U61" s="3"/>
      <c r="V61" s="3"/>
      <c r="W61" s="3"/>
    </row>
    <row r="62" spans="1:23" ht="15" customHeight="1">
      <c r="A62" s="3"/>
      <c r="B62" s="181" t="s">
        <v>321</v>
      </c>
      <c r="C62" s="169">
        <f>+Print_Mois!$AF$433/Print_Mois!$AF$407</f>
        <v>0.45085923041337733</v>
      </c>
      <c r="D62" s="169">
        <f>+Print_Mois!$Z$433/Print_Mois!$Z$407</f>
        <v>0.48246664488447749</v>
      </c>
      <c r="E62" s="169">
        <f>+Print_Mois!$AL$433/Print_Mois!$AL$407</f>
        <v>0.48588698545745912</v>
      </c>
      <c r="F62" s="172">
        <f t="shared" ref="F62:G67" si="32">+IFERROR($C62-D62,"")</f>
        <v>-3.1607414471100159E-2</v>
      </c>
      <c r="G62" s="173">
        <f t="shared" si="32"/>
        <v>-3.5027755044081788E-2</v>
      </c>
      <c r="H62" s="170">
        <f t="shared" ref="H62:H67" si="33">+IFERROR(F62/ABS($D62),"")</f>
        <v>-6.551212359699661E-2</v>
      </c>
      <c r="I62" s="171">
        <f t="shared" ref="I62:I67" si="34">+IFERROR(G62/ABS($E62),"")</f>
        <v>-7.2090333951018271E-2</v>
      </c>
      <c r="J62" s="1229"/>
      <c r="K62" s="3"/>
      <c r="L62" s="3"/>
      <c r="M62" s="3"/>
      <c r="N62" s="3"/>
      <c r="O62" s="3"/>
      <c r="P62" s="3"/>
      <c r="Q62" s="3"/>
      <c r="R62" s="3"/>
      <c r="S62" s="3"/>
      <c r="T62" s="3"/>
      <c r="U62" s="3"/>
      <c r="V62" s="3"/>
      <c r="W62" s="3"/>
    </row>
    <row r="63" spans="1:23" ht="15.75" hidden="1" customHeight="1">
      <c r="A63" s="3"/>
      <c r="B63" s="181" t="s">
        <v>322</v>
      </c>
      <c r="C63" s="217">
        <v>57</v>
      </c>
      <c r="D63" s="217">
        <v>59</v>
      </c>
      <c r="E63" s="217">
        <v>56</v>
      </c>
      <c r="F63" s="218">
        <f t="shared" si="32"/>
        <v>-2</v>
      </c>
      <c r="G63" s="219">
        <f t="shared" si="32"/>
        <v>1</v>
      </c>
      <c r="H63" s="170">
        <f t="shared" si="33"/>
        <v>-3.3898305084745763E-2</v>
      </c>
      <c r="I63" s="171">
        <f t="shared" si="34"/>
        <v>1.7857142857142856E-2</v>
      </c>
      <c r="J63" s="1230"/>
      <c r="K63" s="3"/>
      <c r="L63" s="3"/>
      <c r="M63" s="3"/>
      <c r="N63" s="3"/>
      <c r="O63" s="3"/>
      <c r="P63" s="3"/>
      <c r="Q63" s="3"/>
      <c r="R63" s="3"/>
      <c r="S63" s="3"/>
      <c r="T63" s="3"/>
      <c r="U63" s="3"/>
      <c r="V63" s="3"/>
      <c r="W63" s="3"/>
    </row>
    <row r="64" spans="1:23" ht="15.75" customHeight="1">
      <c r="A64" s="3"/>
      <c r="B64" s="181" t="s">
        <v>323</v>
      </c>
      <c r="C64" s="166">
        <f>N17+Print_Mois!$AF$414+Print_Mois!$AF$434</f>
        <v>44084.78</v>
      </c>
      <c r="D64" s="166">
        <f>+Print_Mois!$Z$414+Print_Mois!$Z$434</f>
        <v>34913.622508647983</v>
      </c>
      <c r="E64" s="166">
        <f>+Print_Mois!$AL$414+Print_Mois!$AL$434</f>
        <v>38351.399999999994</v>
      </c>
      <c r="F64" s="167">
        <f t="shared" si="32"/>
        <v>9171.1574913520162</v>
      </c>
      <c r="G64" s="168">
        <f t="shared" si="32"/>
        <v>5733.3800000000047</v>
      </c>
      <c r="H64" s="170">
        <f t="shared" si="33"/>
        <v>0.26268134992524345</v>
      </c>
      <c r="I64" s="171">
        <f t="shared" si="34"/>
        <v>0.14949597667881762</v>
      </c>
      <c r="J64" s="1230"/>
      <c r="K64" s="3"/>
      <c r="L64" s="3"/>
      <c r="M64" s="3"/>
      <c r="N64" s="3"/>
      <c r="O64" s="3"/>
      <c r="P64" s="3"/>
      <c r="Q64" s="3"/>
      <c r="R64" s="3"/>
      <c r="S64" s="3"/>
      <c r="T64" s="3"/>
      <c r="U64" s="3"/>
      <c r="V64" s="3"/>
      <c r="W64" s="3"/>
    </row>
    <row r="65" spans="1:23" ht="15.75" customHeight="1">
      <c r="A65" s="3"/>
      <c r="B65" s="181" t="s">
        <v>324</v>
      </c>
      <c r="C65" s="166">
        <f>+Print_Mois!$AF$452-Print_Mois!$AF$434</f>
        <v>139741.92000000001</v>
      </c>
      <c r="D65" s="166">
        <f>+Print_Mois!$Z$452-Print_Mois!$Z$434</f>
        <v>121216.47961020363</v>
      </c>
      <c r="E65" s="166">
        <f>+Print_Mois!$AL$452-Print_Mois!$AL$434</f>
        <v>107172.37999999999</v>
      </c>
      <c r="F65" s="167">
        <f t="shared" si="32"/>
        <v>18525.440389796378</v>
      </c>
      <c r="G65" s="168">
        <f t="shared" si="32"/>
        <v>32569.540000000023</v>
      </c>
      <c r="H65" s="170">
        <f t="shared" si="33"/>
        <v>0.15282938796250078</v>
      </c>
      <c r="I65" s="171">
        <f t="shared" si="34"/>
        <v>0.30389863507743342</v>
      </c>
      <c r="J65" s="1230"/>
      <c r="K65" s="3"/>
      <c r="L65" s="3"/>
      <c r="M65" s="3"/>
      <c r="N65" s="3"/>
      <c r="O65" s="3"/>
      <c r="P65" s="3"/>
      <c r="Q65" s="3"/>
      <c r="R65" s="3"/>
      <c r="S65" s="3"/>
      <c r="T65" s="3"/>
      <c r="U65" s="3"/>
      <c r="V65" s="3"/>
      <c r="W65" s="3"/>
    </row>
    <row r="66" spans="1:23" ht="15.75" customHeight="1">
      <c r="A66" s="3"/>
      <c r="B66" s="181" t="s">
        <v>325</v>
      </c>
      <c r="C66" s="166">
        <f>+Print_Mois!$AF$415</f>
        <v>17032.379999999997</v>
      </c>
      <c r="D66" s="166">
        <f>+Print_Mois!$Z$415</f>
        <v>46275.741226757949</v>
      </c>
      <c r="E66" s="166">
        <f>+Print_Mois!$AL$415</f>
        <v>51836.43</v>
      </c>
      <c r="F66" s="167">
        <f t="shared" si="32"/>
        <v>-29243.361226757952</v>
      </c>
      <c r="G66" s="168">
        <f t="shared" si="32"/>
        <v>-34804.050000000003</v>
      </c>
      <c r="H66" s="170">
        <f t="shared" si="33"/>
        <v>-0.63193717597004384</v>
      </c>
      <c r="I66" s="171">
        <f t="shared" si="34"/>
        <v>-0.67142065917733929</v>
      </c>
      <c r="J66" s="1230"/>
      <c r="K66" s="3"/>
      <c r="L66" s="3"/>
      <c r="M66" s="3"/>
      <c r="N66" s="3"/>
      <c r="O66" s="3"/>
      <c r="P66" s="3"/>
      <c r="Q66" s="3"/>
      <c r="R66" s="3"/>
      <c r="S66" s="3"/>
      <c r="T66" s="3"/>
      <c r="U66" s="3"/>
      <c r="V66" s="3"/>
      <c r="W66" s="3"/>
    </row>
    <row r="67" spans="1:23">
      <c r="A67" s="3"/>
      <c r="B67" s="183" t="s">
        <v>326</v>
      </c>
      <c r="C67" s="184">
        <f>+Print_Mois!$AF$481-C32-C15</f>
        <v>3399.7400000000052</v>
      </c>
      <c r="D67" s="184">
        <f>+Print_Mois!$Z$481-D32-D15</f>
        <v>0</v>
      </c>
      <c r="E67" s="184">
        <f>+Print_Mois!$AL$481-E32-E15</f>
        <v>125.88000000000466</v>
      </c>
      <c r="F67" s="185">
        <f t="shared" si="32"/>
        <v>3399.7400000000052</v>
      </c>
      <c r="G67" s="186">
        <f t="shared" si="32"/>
        <v>3273.8600000000006</v>
      </c>
      <c r="H67" s="187" t="str">
        <f t="shared" si="33"/>
        <v/>
      </c>
      <c r="I67" s="188">
        <f t="shared" si="34"/>
        <v>26.007785192245628</v>
      </c>
      <c r="J67" s="1231"/>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0" t="s">
        <v>327</v>
      </c>
      <c r="C69" s="221" t="s">
        <v>285</v>
      </c>
      <c r="D69" s="221" t="s">
        <v>286</v>
      </c>
      <c r="E69" s="221">
        <f>$E$3</f>
        <v>2023</v>
      </c>
      <c r="F69" s="222" t="s">
        <v>287</v>
      </c>
      <c r="G69" s="223" t="str">
        <f>$G$3</f>
        <v>▲2023</v>
      </c>
      <c r="H69" s="222" t="s">
        <v>288</v>
      </c>
      <c r="I69" s="223" t="str">
        <f>$I$3</f>
        <v>% ▲ 2023</v>
      </c>
      <c r="J69" s="224" t="s">
        <v>289</v>
      </c>
      <c r="K69" s="3"/>
      <c r="L69" s="3"/>
      <c r="M69" s="3"/>
      <c r="N69" s="3"/>
      <c r="O69" s="3"/>
      <c r="P69" s="3"/>
      <c r="Q69" s="3"/>
      <c r="R69" s="3"/>
      <c r="S69" s="3"/>
      <c r="T69" s="3"/>
      <c r="U69" s="3"/>
      <c r="V69" s="3"/>
      <c r="W69" s="3"/>
    </row>
    <row r="70" spans="1:23" ht="15" customHeight="1">
      <c r="A70" s="3"/>
      <c r="B70" s="181" t="s">
        <v>328</v>
      </c>
      <c r="C70" s="166">
        <f>+Print_Mois!$AF$419-Print_Mois!$AF$415+Print_Mois!$AF$434+Print_Mois!$AF$435+Print_Mois!$AF$436</f>
        <v>195529.8</v>
      </c>
      <c r="D70" s="166">
        <f>+Print_Mois!$Z$419-Print_Mois!$Z$415+Print_Mois!$Z$434+Print_Mois!$Z$435+Print_Mois!$Z$436</f>
        <v>197830.27645517729</v>
      </c>
      <c r="E70" s="166">
        <f>+Print_Mois!$AL$419-Print_Mois!$AL$415+Print_Mois!$AL$434+Print_Mois!$AL$435+Print_Mois!$AL$436</f>
        <v>196513.41999999995</v>
      </c>
      <c r="F70" s="225">
        <f t="shared" ref="F70:G77" si="35">+IFERROR($C70-D70,"")</f>
        <v>-2300.4764551772969</v>
      </c>
      <c r="G70" s="226">
        <f t="shared" si="35"/>
        <v>-983.61999999996624</v>
      </c>
      <c r="H70" s="170">
        <f t="shared" ref="H70:H77" si="36">+IFERROR(F70/ABS($D70),"")</f>
        <v>-1.1628535815641543E-2</v>
      </c>
      <c r="I70" s="171">
        <f t="shared" ref="I70:I77" si="37">+IFERROR(G70/ABS($E70),"")</f>
        <v>-5.0053579038010047E-3</v>
      </c>
      <c r="J70" s="1229" t="s">
        <v>3925</v>
      </c>
      <c r="K70" s="3"/>
      <c r="L70" s="3"/>
      <c r="M70" s="3"/>
      <c r="N70" s="3"/>
      <c r="O70" s="3"/>
      <c r="P70" s="3"/>
      <c r="Q70" s="3"/>
      <c r="R70" s="3"/>
      <c r="S70" s="3"/>
      <c r="T70" s="3"/>
      <c r="U70" s="3"/>
      <c r="V70" s="3"/>
      <c r="W70" s="3"/>
    </row>
    <row r="71" spans="1:23" ht="15.75" customHeight="1">
      <c r="A71" s="3"/>
      <c r="B71" s="181" t="s">
        <v>329</v>
      </c>
      <c r="C71" s="169">
        <f>+C70/Print_Mois!$AF$407</f>
        <v>0.26619737753179101</v>
      </c>
      <c r="D71" s="169">
        <f>+D70/Print_Mois!$Z$407</f>
        <v>0.25108943598196087</v>
      </c>
      <c r="E71" s="169">
        <f>+E70/Print_Mois!$AL$407</f>
        <v>0.28388579804353792</v>
      </c>
      <c r="F71" s="172">
        <f t="shared" si="35"/>
        <v>1.5107941549830139E-2</v>
      </c>
      <c r="G71" s="173">
        <f t="shared" si="35"/>
        <v>-1.7688420511746905E-2</v>
      </c>
      <c r="H71" s="170">
        <f t="shared" si="36"/>
        <v>6.0169562653028322E-2</v>
      </c>
      <c r="I71" s="171">
        <f t="shared" si="37"/>
        <v>-6.2308226172815222E-2</v>
      </c>
      <c r="J71" s="1230"/>
      <c r="K71" s="3"/>
      <c r="L71" s="3"/>
      <c r="M71" s="3"/>
      <c r="N71" s="3"/>
      <c r="O71" s="3"/>
      <c r="P71" s="3"/>
      <c r="Q71" s="3"/>
      <c r="R71" s="3"/>
      <c r="S71" s="3"/>
      <c r="T71" s="3"/>
      <c r="U71" s="3"/>
      <c r="V71" s="3"/>
      <c r="W71" s="3"/>
    </row>
    <row r="72" spans="1:23" ht="15.75" customHeight="1">
      <c r="A72" s="3"/>
      <c r="B72" s="181" t="s">
        <v>330</v>
      </c>
      <c r="C72" s="166">
        <f>+Print_Mois!$AF$466+Print_Mois!$AF$433+Print_Mois!$AF$437+Print_Mois!$AF$439+SUM(Print_Mois!$AF$440:$AF$448)+Print_Mois!$AF$438</f>
        <v>495723.90999999986</v>
      </c>
      <c r="D72" s="166">
        <f>+Print_Mois!$Z$466+Print_Mois!$Z$433+Print_Mois!$Z$437+Print_Mois!$Z$439+SUM(Print_Mois!$Z$440:$Z$448)+Print_Mois!$Z$438</f>
        <v>531316.54791412456</v>
      </c>
      <c r="E72" s="166">
        <f>+Print_Mois!$AL$466+Print_Mois!$AL$433+Print_Mois!$AL$437+Print_Mois!$AL$439+SUM(Print_Mois!$AL$440:$AL$448)+Print_Mois!$AL$438</f>
        <v>473478.53</v>
      </c>
      <c r="F72" s="167">
        <f t="shared" si="35"/>
        <v>-35592.637914124702</v>
      </c>
      <c r="G72" s="168">
        <f t="shared" si="35"/>
        <v>22245.37999999983</v>
      </c>
      <c r="H72" s="170">
        <f t="shared" si="36"/>
        <v>-6.6989515108943035E-2</v>
      </c>
      <c r="I72" s="171">
        <f t="shared" si="37"/>
        <v>4.6982869529479679E-2</v>
      </c>
      <c r="J72" s="1230"/>
      <c r="K72" s="3"/>
      <c r="L72" s="3"/>
      <c r="M72" s="3"/>
      <c r="N72" s="3"/>
      <c r="O72" s="3"/>
      <c r="P72" s="3"/>
      <c r="Q72" s="3"/>
      <c r="R72" s="3"/>
      <c r="S72" s="3"/>
      <c r="T72" s="3"/>
      <c r="U72" s="3"/>
      <c r="V72" s="3"/>
      <c r="W72" s="3"/>
    </row>
    <row r="73" spans="1:23" ht="15.75" customHeight="1">
      <c r="A73" s="3"/>
      <c r="B73" s="181" t="s">
        <v>331</v>
      </c>
      <c r="C73" s="169">
        <f>+C72/Print_Mois!$AF$407</f>
        <v>0.67488641026485763</v>
      </c>
      <c r="D73" s="169">
        <f>+D72/Print_Mois!$Z$407</f>
        <v>0.67435568879602947</v>
      </c>
      <c r="E73" s="169">
        <f>+E72/Print_Mois!$AL$407</f>
        <v>0.68399313566234432</v>
      </c>
      <c r="F73" s="172">
        <f t="shared" si="35"/>
        <v>5.3072146882815474E-4</v>
      </c>
      <c r="G73" s="173">
        <f t="shared" si="35"/>
        <v>-9.1067253974866924E-3</v>
      </c>
      <c r="H73" s="170">
        <f t="shared" si="36"/>
        <v>7.8700525204389673E-4</v>
      </c>
      <c r="I73" s="171">
        <f t="shared" si="37"/>
        <v>-1.3314059634046181E-2</v>
      </c>
      <c r="J73" s="1230"/>
      <c r="K73" s="3"/>
      <c r="L73" s="3"/>
      <c r="M73" s="3"/>
      <c r="N73" s="3"/>
      <c r="O73" s="3"/>
      <c r="P73" s="3"/>
      <c r="Q73" s="3"/>
      <c r="R73" s="3"/>
      <c r="S73" s="3"/>
      <c r="T73" s="3"/>
      <c r="U73" s="3"/>
      <c r="V73" s="3"/>
      <c r="W73" s="3"/>
    </row>
    <row r="74" spans="1:23" ht="15.75" customHeight="1">
      <c r="A74" s="1"/>
      <c r="B74" s="211" t="s">
        <v>332</v>
      </c>
      <c r="C74" s="200">
        <f>+Print_Mois!$AF$483+Print_Mois!$AF$415</f>
        <v>156761.43000000028</v>
      </c>
      <c r="D74" s="200">
        <f>+Print_Mois!$Z$483+Print_Mois!$Z$415</f>
        <v>190270.20051319327</v>
      </c>
      <c r="E74" s="200">
        <f>+Print_Mois!$AL$483+Print_Mois!$AL$415</f>
        <v>164868.64999999956</v>
      </c>
      <c r="F74" s="201">
        <f t="shared" si="35"/>
        <v>-33508.770513192983</v>
      </c>
      <c r="G74" s="202">
        <f t="shared" si="35"/>
        <v>-8107.2199999992736</v>
      </c>
      <c r="H74" s="203">
        <f t="shared" si="36"/>
        <v>-0.17611150050199004</v>
      </c>
      <c r="I74" s="204">
        <f t="shared" si="37"/>
        <v>-4.9173812001246417E-2</v>
      </c>
      <c r="J74" s="1230"/>
      <c r="K74" s="1"/>
      <c r="L74" s="1"/>
      <c r="M74" s="1"/>
      <c r="N74" s="1"/>
      <c r="O74" s="1"/>
      <c r="P74" s="1"/>
      <c r="Q74" s="1"/>
      <c r="R74" s="1"/>
      <c r="S74" s="1"/>
      <c r="T74" s="1"/>
      <c r="U74" s="1"/>
      <c r="V74" s="1"/>
      <c r="W74" s="1"/>
    </row>
    <row r="75" spans="1:23" ht="15.75" customHeight="1">
      <c r="A75" s="3"/>
      <c r="B75" s="165" t="s">
        <v>333</v>
      </c>
      <c r="C75" s="227">
        <f>+C74/Print_Mois!$AF$406</f>
        <v>2.8859173248672682E-2</v>
      </c>
      <c r="D75" s="227">
        <f>+D74/Print_Mois!$Z$406</f>
        <v>3.0597225997121391E-2</v>
      </c>
      <c r="E75" s="227">
        <f>+E74/Print_Mois!$AL$406</f>
        <v>2.5227307058875527E-2</v>
      </c>
      <c r="F75" s="172">
        <f t="shared" si="35"/>
        <v>-1.7380527484487096E-3</v>
      </c>
      <c r="G75" s="173">
        <f t="shared" si="35"/>
        <v>3.6318661897971546E-3</v>
      </c>
      <c r="H75" s="170">
        <f t="shared" si="36"/>
        <v>-5.680425894204353E-2</v>
      </c>
      <c r="I75" s="171">
        <f t="shared" si="37"/>
        <v>0.14396567106116795</v>
      </c>
      <c r="J75" s="1230"/>
      <c r="K75" s="3"/>
      <c r="L75" s="3"/>
      <c r="M75" s="3"/>
      <c r="N75" s="3"/>
      <c r="O75" s="3"/>
      <c r="P75" s="3"/>
      <c r="Q75" s="3"/>
      <c r="R75" s="3"/>
      <c r="S75" s="3"/>
      <c r="T75" s="3"/>
      <c r="U75" s="3"/>
      <c r="V75" s="3"/>
      <c r="W75" s="3"/>
    </row>
    <row r="76" spans="1:23" ht="15.75" customHeight="1">
      <c r="A76" s="1"/>
      <c r="B76" s="211" t="s">
        <v>334</v>
      </c>
      <c r="C76" s="200">
        <f>N9+Print_Mois!$AF$498</f>
        <v>98160.050000000279</v>
      </c>
      <c r="D76" s="200">
        <f>+Print_Mois!$Z$498</f>
        <v>102425.625953102</v>
      </c>
      <c r="E76" s="200">
        <f>+Print_Mois!$AL$498</f>
        <v>111324.86999999956</v>
      </c>
      <c r="F76" s="201">
        <f t="shared" si="35"/>
        <v>-4265.5759531017247</v>
      </c>
      <c r="G76" s="202">
        <f t="shared" si="35"/>
        <v>-13164.819999999279</v>
      </c>
      <c r="H76" s="203">
        <f t="shared" si="36"/>
        <v>-4.1645593213702398E-2</v>
      </c>
      <c r="I76" s="204">
        <f t="shared" si="37"/>
        <v>-0.11825587579845664</v>
      </c>
      <c r="J76" s="1230"/>
      <c r="K76" s="1"/>
      <c r="L76" s="1"/>
      <c r="M76" s="1"/>
      <c r="N76" s="1"/>
      <c r="O76" s="1"/>
      <c r="P76" s="1"/>
      <c r="Q76" s="1"/>
      <c r="R76" s="1"/>
      <c r="S76" s="1"/>
      <c r="T76" s="1"/>
      <c r="U76" s="1"/>
      <c r="V76" s="1"/>
      <c r="W76" s="1"/>
    </row>
    <row r="77" spans="1:23" ht="15.75" customHeight="1">
      <c r="A77" s="3"/>
      <c r="B77" s="183" t="s">
        <v>335</v>
      </c>
      <c r="C77" s="228">
        <f>+C76/Print_Mois!$AF$406</f>
        <v>1.8070885734127174E-2</v>
      </c>
      <c r="D77" s="228">
        <f>+D76/Print_Mois!$Z$406</f>
        <v>1.6470997648243807E-2</v>
      </c>
      <c r="E77" s="228">
        <f>+E76/Print_Mois!$AL$406</f>
        <v>1.7034328107735443E-2</v>
      </c>
      <c r="F77" s="229">
        <f t="shared" si="35"/>
        <v>1.5998880858833671E-3</v>
      </c>
      <c r="G77" s="230">
        <f t="shared" si="35"/>
        <v>1.0365576263917306E-3</v>
      </c>
      <c r="H77" s="187">
        <f t="shared" si="36"/>
        <v>9.7133647885254387E-2</v>
      </c>
      <c r="I77" s="188">
        <f t="shared" si="37"/>
        <v>6.085110136636504E-2</v>
      </c>
      <c r="J77" s="1231"/>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989" t="s">
        <v>3423</v>
      </c>
      <c r="C79" s="990"/>
      <c r="D79" s="991"/>
      <c r="E79" s="3"/>
      <c r="F79" s="3"/>
      <c r="G79" s="3"/>
      <c r="H79" s="3"/>
      <c r="I79" s="3"/>
      <c r="J79" s="3"/>
      <c r="K79" s="3"/>
      <c r="L79" s="3"/>
      <c r="M79" s="3"/>
      <c r="N79" s="3"/>
      <c r="O79" s="3"/>
      <c r="P79" s="3"/>
      <c r="Q79" s="3"/>
      <c r="R79" s="3"/>
      <c r="S79" s="3"/>
      <c r="T79" s="3"/>
      <c r="U79" s="3"/>
      <c r="V79" s="3"/>
      <c r="W79" s="3"/>
    </row>
    <row r="80" spans="1:23" ht="15.75" customHeight="1">
      <c r="A80" s="3"/>
      <c r="B80" s="992" t="s">
        <v>332</v>
      </c>
      <c r="C80" s="993">
        <v>192797</v>
      </c>
      <c r="D80" s="1009">
        <v>3.4000000000000002E-2</v>
      </c>
      <c r="E80" s="3"/>
      <c r="F80" s="3"/>
      <c r="G80" s="3"/>
      <c r="H80" s="3"/>
      <c r="I80" s="3"/>
      <c r="J80" s="3"/>
      <c r="K80" s="3"/>
      <c r="L80" s="3"/>
      <c r="M80" s="3"/>
      <c r="N80" s="3"/>
      <c r="O80" s="3"/>
      <c r="P80" s="3"/>
      <c r="Q80" s="3"/>
      <c r="R80" s="3"/>
      <c r="S80" s="3"/>
      <c r="T80" s="3"/>
      <c r="U80" s="3"/>
      <c r="V80" s="3"/>
      <c r="W80" s="3"/>
    </row>
    <row r="81" spans="1:23" ht="15.75" customHeight="1">
      <c r="A81" s="3"/>
      <c r="B81" s="992" t="s">
        <v>336</v>
      </c>
      <c r="C81" s="995">
        <f>+C74-C80</f>
        <v>-36035.569999999716</v>
      </c>
      <c r="D81" s="994"/>
      <c r="E81" s="3"/>
      <c r="F81" s="3"/>
      <c r="G81" s="3"/>
      <c r="H81" s="3"/>
      <c r="I81" s="3"/>
      <c r="J81" s="3"/>
      <c r="K81" s="3"/>
      <c r="L81" s="3"/>
      <c r="M81" s="3"/>
      <c r="N81" s="3"/>
      <c r="O81" s="3"/>
      <c r="P81" s="3"/>
      <c r="Q81" s="3"/>
      <c r="R81" s="3"/>
      <c r="S81" s="3"/>
      <c r="T81" s="3"/>
      <c r="U81" s="3"/>
      <c r="V81" s="3"/>
      <c r="W81" s="3"/>
    </row>
    <row r="82" spans="1:23" ht="15.75" customHeight="1">
      <c r="A82" s="3"/>
      <c r="B82" s="996"/>
      <c r="C82" s="997"/>
      <c r="D82" s="994"/>
      <c r="E82" s="3"/>
      <c r="F82" s="3"/>
      <c r="G82" s="3"/>
      <c r="H82" s="3"/>
      <c r="I82" s="3"/>
      <c r="J82" s="3"/>
      <c r="K82" s="3"/>
      <c r="L82" s="3"/>
      <c r="M82" s="3"/>
      <c r="N82" s="3"/>
      <c r="O82" s="3"/>
      <c r="P82" s="3"/>
      <c r="Q82" s="3"/>
      <c r="R82" s="3"/>
      <c r="S82" s="3"/>
      <c r="T82" s="3"/>
      <c r="U82" s="3"/>
      <c r="V82" s="3"/>
      <c r="W82" s="3"/>
    </row>
    <row r="83" spans="1:23" ht="15.75" customHeight="1">
      <c r="A83" s="3"/>
      <c r="B83" s="992" t="s">
        <v>334</v>
      </c>
      <c r="C83" s="993">
        <v>106583</v>
      </c>
      <c r="D83" s="1009">
        <v>1.9E-2</v>
      </c>
      <c r="E83" s="3"/>
      <c r="F83" s="3"/>
      <c r="G83" s="3"/>
      <c r="H83" s="3"/>
      <c r="I83" s="3"/>
      <c r="J83" s="3"/>
      <c r="K83" s="3"/>
      <c r="L83" s="3"/>
      <c r="M83" s="3"/>
      <c r="N83" s="3"/>
      <c r="O83" s="3"/>
      <c r="P83" s="3"/>
      <c r="Q83" s="3"/>
      <c r="R83" s="3"/>
      <c r="S83" s="3"/>
      <c r="T83" s="3"/>
      <c r="U83" s="3"/>
      <c r="V83" s="3"/>
      <c r="W83" s="3"/>
    </row>
    <row r="84" spans="1:23" ht="15.75" customHeight="1" thickBot="1">
      <c r="A84" s="3"/>
      <c r="B84" s="998" t="s">
        <v>336</v>
      </c>
      <c r="C84" s="999">
        <f>+C76-C83</f>
        <v>-8422.9499999997206</v>
      </c>
      <c r="D84" s="1155"/>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963" t="str">
        <f>+Parametres!B1</f>
        <v>Volks</v>
      </c>
      <c r="C86" s="976" t="str">
        <f>Parametres!$B$3&amp;" "&amp;Parametres!$B$4</f>
        <v>Mai 2025</v>
      </c>
      <c r="D86" s="977" t="s">
        <v>3939</v>
      </c>
      <c r="E86" s="3"/>
      <c r="F86" s="3"/>
      <c r="G86" s="3"/>
      <c r="H86" s="3"/>
      <c r="I86" s="3"/>
      <c r="J86" s="3"/>
      <c r="K86" s="3"/>
      <c r="L86" s="3"/>
      <c r="M86" s="3"/>
      <c r="N86" s="3"/>
      <c r="O86" s="3"/>
      <c r="P86" s="3"/>
      <c r="Q86" s="3"/>
      <c r="R86" s="3"/>
      <c r="S86" s="3"/>
      <c r="T86" s="3"/>
      <c r="U86" s="3"/>
      <c r="V86" s="3"/>
      <c r="W86" s="3"/>
    </row>
    <row r="87" spans="1:23" ht="24" customHeight="1">
      <c r="A87" s="3"/>
      <c r="B87" s="964" t="str">
        <f>CONCATENATE("Réalisé ",Parametres!$B$3," ",Parametres!$B$4)</f>
        <v>Réalisé Mai 2025</v>
      </c>
      <c r="C87" s="974">
        <f>+C76</f>
        <v>98160.050000000279</v>
      </c>
      <c r="D87" s="965">
        <f>+Print_AAD!AF498</f>
        <v>287536.97999999975</v>
      </c>
      <c r="E87" s="3"/>
      <c r="F87" s="189"/>
      <c r="G87" s="3"/>
      <c r="H87" s="3"/>
      <c r="I87" s="3"/>
      <c r="J87" s="3"/>
      <c r="K87" s="3"/>
      <c r="L87" s="3"/>
      <c r="M87" s="3"/>
      <c r="N87" s="3"/>
      <c r="O87" s="3"/>
      <c r="P87" s="3"/>
      <c r="Q87" s="3"/>
      <c r="R87" s="3"/>
      <c r="S87" s="3"/>
      <c r="T87" s="3"/>
      <c r="U87" s="3"/>
      <c r="V87" s="3"/>
      <c r="W87" s="3"/>
    </row>
    <row r="88" spans="1:23" ht="24" customHeight="1">
      <c r="A88" s="3"/>
      <c r="B88" s="964" t="str">
        <f>CONCATENATE("Budget ",Parametres!$B$3," ",Parametres!$B$4)</f>
        <v>Budget Mai 2025</v>
      </c>
      <c r="C88" s="975">
        <f>+D76</f>
        <v>102425.625953102</v>
      </c>
      <c r="D88" s="966">
        <f>+Print_AAD!Z498</f>
        <v>151721.0059793072</v>
      </c>
      <c r="E88" s="3"/>
      <c r="F88" s="3"/>
      <c r="G88" s="3"/>
      <c r="H88" s="3"/>
      <c r="I88" s="3"/>
      <c r="J88" s="3"/>
      <c r="K88" s="3"/>
      <c r="L88" s="3"/>
      <c r="M88" s="3"/>
      <c r="N88" s="3"/>
      <c r="O88" s="3"/>
      <c r="P88" s="3"/>
      <c r="Q88" s="3"/>
      <c r="R88" s="3"/>
      <c r="S88" s="3"/>
      <c r="T88" s="3"/>
      <c r="U88" s="3"/>
      <c r="V88" s="3"/>
      <c r="W88" s="3"/>
    </row>
    <row r="89" spans="1:23" ht="24" customHeight="1" thickBot="1">
      <c r="A89" s="3"/>
      <c r="B89" s="967" t="str">
        <f>CONCATENATE("Réalisé ",Parametres!$B$3," ",Parametres!$B$4-1)</f>
        <v>Réalisé Mai 2024</v>
      </c>
      <c r="C89" s="978">
        <f>+E76</f>
        <v>111324.86999999956</v>
      </c>
      <c r="D89" s="968">
        <f>+Print_AAD!AL498</f>
        <v>443742.14999999607</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F1146-6974-44F2-B31B-7B88311D8EE2}">
  <dimension ref="B1:J7"/>
  <sheetViews>
    <sheetView workbookViewId="0">
      <selection activeCell="G24" sqref="G24"/>
    </sheetView>
  </sheetViews>
  <sheetFormatPr baseColWidth="10" defaultColWidth="11" defaultRowHeight="14.25"/>
  <cols>
    <col min="1" max="1" width="2.5" style="1163" customWidth="1"/>
    <col min="2" max="2" width="11" style="1168"/>
    <col min="3" max="3" width="23" style="1169" customWidth="1"/>
    <col min="4" max="4" width="11.625" style="1169" customWidth="1"/>
    <col min="5" max="5" width="16" style="1169" customWidth="1"/>
    <col min="6" max="6" width="18.125" style="1169" bestFit="1" customWidth="1"/>
    <col min="7" max="7" width="10.875" style="1170" bestFit="1" customWidth="1"/>
    <col min="8" max="8" width="12.125" style="1169" customWidth="1"/>
    <col min="9" max="9" width="16.875" style="1169" customWidth="1"/>
    <col min="10" max="10" width="25.5" style="1171" customWidth="1"/>
    <col min="11" max="16384" width="11" style="1163"/>
  </cols>
  <sheetData>
    <row r="1" spans="2:10" ht="20.25">
      <c r="B1" s="1234" t="s">
        <v>3899</v>
      </c>
      <c r="C1" s="1235"/>
      <c r="D1" s="1235"/>
      <c r="E1" s="1235"/>
      <c r="F1" s="1235"/>
      <c r="G1" s="1235"/>
      <c r="H1" s="1235"/>
      <c r="I1" s="1235"/>
      <c r="J1" s="1236"/>
    </row>
    <row r="2" spans="2:10" ht="15">
      <c r="B2" s="1164" t="s">
        <v>3900</v>
      </c>
      <c r="C2" s="1165" t="s">
        <v>257</v>
      </c>
      <c r="D2" s="1165" t="s">
        <v>9</v>
      </c>
      <c r="E2" s="1165" t="s">
        <v>253</v>
      </c>
      <c r="F2" s="1165" t="s">
        <v>254</v>
      </c>
      <c r="G2" s="1166" t="s">
        <v>3901</v>
      </c>
      <c r="H2" s="1165" t="s">
        <v>3902</v>
      </c>
      <c r="I2" s="1165" t="s">
        <v>3903</v>
      </c>
      <c r="J2" s="1167" t="s">
        <v>3904</v>
      </c>
    </row>
    <row r="3" spans="2:10">
      <c r="C3" s="1197"/>
      <c r="E3" s="1197"/>
      <c r="F3" s="1197"/>
      <c r="H3" s="1176" t="s">
        <v>3909</v>
      </c>
      <c r="I3" s="1176" t="s">
        <v>3908</v>
      </c>
      <c r="J3" s="1177" t="s">
        <v>3911</v>
      </c>
    </row>
    <row r="4" spans="2:10">
      <c r="C4" s="1197"/>
      <c r="E4" s="1197"/>
      <c r="F4" s="1197"/>
      <c r="H4" s="1191" t="s">
        <v>3916</v>
      </c>
      <c r="I4" s="1191" t="s">
        <v>3917</v>
      </c>
      <c r="J4" s="1192" t="s">
        <v>3918</v>
      </c>
    </row>
    <row r="5" spans="2:10">
      <c r="C5" s="1197"/>
      <c r="E5" s="1197"/>
      <c r="F5" s="1197"/>
      <c r="H5" s="1176" t="s">
        <v>3913</v>
      </c>
      <c r="I5" s="1176" t="s">
        <v>3912</v>
      </c>
      <c r="J5" s="1177" t="s">
        <v>3910</v>
      </c>
    </row>
    <row r="6" spans="2:10">
      <c r="C6" s="1199"/>
      <c r="E6" s="1197"/>
      <c r="F6" s="1197"/>
      <c r="H6" s="1199"/>
      <c r="I6" s="1199"/>
      <c r="J6" s="1177"/>
    </row>
    <row r="7" spans="2:10">
      <c r="C7" s="1199"/>
      <c r="E7" s="1197"/>
      <c r="F7" s="1199"/>
    </row>
  </sheetData>
  <mergeCells count="1">
    <mergeCell ref="B1:J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5963A-1F93-497D-9738-BEFC3B48A46E}">
  <dimension ref="A1:AO52"/>
  <sheetViews>
    <sheetView topLeftCell="A28" workbookViewId="0">
      <selection activeCell="E40" sqref="E40"/>
    </sheetView>
  </sheetViews>
  <sheetFormatPr baseColWidth="10" defaultColWidth="11" defaultRowHeight="14.25"/>
  <cols>
    <col min="1" max="1" width="4.75" style="1079" customWidth="1"/>
    <col min="2" max="2" width="5.5" style="1079" customWidth="1"/>
    <col min="3" max="3" width="20" style="1079" customWidth="1"/>
    <col min="4" max="4" width="1.75" style="1079" customWidth="1"/>
    <col min="5" max="7" width="11.125" style="1082" customWidth="1"/>
    <col min="8" max="8" width="8" style="1082" customWidth="1"/>
    <col min="9" max="9" width="1.75" style="1082" customWidth="1"/>
    <col min="10" max="12" width="11.125" style="1082" customWidth="1"/>
    <col min="13" max="13" width="8" style="1082" customWidth="1"/>
    <col min="14" max="14" width="11" style="1079"/>
    <col min="15" max="15" width="10" style="1079" customWidth="1"/>
    <col min="16" max="16" width="11" style="1079"/>
    <col min="17" max="17" width="6.375" style="1079" customWidth="1"/>
    <col min="18" max="16384" width="11" style="1079"/>
  </cols>
  <sheetData>
    <row r="1" spans="1:17" ht="30.75" customHeight="1">
      <c r="C1" s="1239" t="str">
        <f>"Analyse Wholesale "&amp;Parametres!B1</f>
        <v>Analyse Wholesale Volks</v>
      </c>
      <c r="D1" s="1239"/>
      <c r="E1" s="1239"/>
      <c r="F1" s="1239"/>
      <c r="G1" s="1239"/>
      <c r="H1" s="1239"/>
      <c r="I1" s="1239"/>
      <c r="J1" s="1239"/>
      <c r="K1" s="1239"/>
      <c r="L1" s="1080"/>
      <c r="M1" s="1080"/>
      <c r="N1" s="1081"/>
      <c r="O1" s="1081"/>
      <c r="P1" s="1081"/>
      <c r="Q1" s="1081"/>
    </row>
    <row r="2" spans="1:17" ht="14.25" hidden="1" customHeight="1">
      <c r="D2" s="1079" t="s">
        <v>303</v>
      </c>
      <c r="F2" s="1082" t="s">
        <v>338</v>
      </c>
      <c r="G2" s="1082" t="s">
        <v>340</v>
      </c>
      <c r="L2" s="1082" t="s">
        <v>303</v>
      </c>
      <c r="N2" s="1079" t="s">
        <v>338</v>
      </c>
      <c r="O2" s="1079" t="s">
        <v>340</v>
      </c>
    </row>
    <row r="4" spans="1:17" ht="15" customHeight="1">
      <c r="A4" s="1083"/>
      <c r="B4" s="1083"/>
      <c r="E4" s="1240" t="str">
        <f>CONCATENATE("Pièces Wholesale ",Parametres!B3," ",Parametres!B4)</f>
        <v>Pièces Wholesale Mai 2025</v>
      </c>
      <c r="F4" s="1241"/>
      <c r="G4" s="1241"/>
      <c r="H4" s="1242"/>
      <c r="J4" s="1243" t="str">
        <f>CONCATENATE("Pièces Wholesale AAD ",Parametres!B4)</f>
        <v>Pièces Wholesale AAD 2025</v>
      </c>
      <c r="K4" s="1244"/>
      <c r="L4" s="1244"/>
      <c r="M4" s="1245"/>
    </row>
    <row r="5" spans="1:17" ht="15">
      <c r="A5" s="1083"/>
      <c r="B5" s="1083"/>
      <c r="C5" s="1086"/>
      <c r="D5" s="1087"/>
      <c r="E5" s="1084" t="s">
        <v>656</v>
      </c>
      <c r="F5" s="1085" t="s">
        <v>3864</v>
      </c>
      <c r="G5" s="1084" t="s">
        <v>3865</v>
      </c>
      <c r="H5" s="1085" t="s">
        <v>3866</v>
      </c>
      <c r="J5" s="1084" t="s">
        <v>656</v>
      </c>
      <c r="K5" s="1085" t="s">
        <v>3864</v>
      </c>
      <c r="L5" s="1084" t="s">
        <v>3865</v>
      </c>
      <c r="M5" s="1085" t="s">
        <v>3866</v>
      </c>
    </row>
    <row r="6" spans="1:17" ht="15">
      <c r="A6" s="1083"/>
      <c r="B6" s="1083"/>
      <c r="C6" s="1088" t="s">
        <v>3867</v>
      </c>
      <c r="D6" s="1089"/>
      <c r="E6" s="1090">
        <f>SUMIF(A37:A48,"X",E37:E48)</f>
        <v>0</v>
      </c>
      <c r="F6" s="1091">
        <f>SUMIF(A37:A48,"X",F37:F48)</f>
        <v>0</v>
      </c>
      <c r="G6" s="1090">
        <f>E6-F6</f>
        <v>0</v>
      </c>
      <c r="H6" s="1092" t="e">
        <f>G6/F6</f>
        <v>#DIV/0!</v>
      </c>
      <c r="J6" s="1090">
        <f>SUMIF($B$37:$B$48,"X",$E$37:$E$48)</f>
        <v>2122</v>
      </c>
      <c r="K6" s="1091">
        <f>SUMIF($B$37:$B$48,"X",$F$37:$F$48)</f>
        <v>0</v>
      </c>
      <c r="L6" s="1090">
        <f>J6-K6</f>
        <v>2122</v>
      </c>
      <c r="M6" s="1092" t="e">
        <f>L6/K6</f>
        <v>#DIV/0!</v>
      </c>
    </row>
    <row r="7" spans="1:17">
      <c r="A7" s="1093" t="str">
        <f>B7&amp;C7</f>
        <v>piècesVentes de Gros</v>
      </c>
      <c r="B7" s="1093" t="s">
        <v>3868</v>
      </c>
      <c r="C7" s="1094" t="s">
        <v>187</v>
      </c>
      <c r="D7" s="1095"/>
      <c r="E7" s="1096">
        <f>-SUMIFS(BV_Data_An_Cour!$O:$O,BV_Data_An_Cour!$X:$X,"Oui",BV_Data_An_Cour!$U:$U,$B7,BV_Data_An_Cour!$V:$V,$C7)</f>
        <v>196342.46</v>
      </c>
      <c r="F7" s="1097">
        <f>+INDEX('Budget original'!$A$2:$AO$501,MATCH($A7,'Budget original'!$A$2:$A$501,0),MATCH(F$2,'Budget original'!$A$2:$AO$2,0))</f>
        <v>153843.459</v>
      </c>
      <c r="G7" s="1098">
        <f>E7-F7</f>
        <v>42499.000999999989</v>
      </c>
      <c r="H7" s="1099">
        <f>G7/F7</f>
        <v>0.27624834540414217</v>
      </c>
      <c r="J7" s="1096">
        <f>-SUMIFS(BV_Data_An_Cour!$P:$P,BV_Data_An_Cour!$X:$X,"Oui",BV_Data_An_Cour!$U:$U,$B7,BV_Data_An_Cour!$V:$V,$C7)</f>
        <v>997948.9</v>
      </c>
      <c r="K7" s="1097" cm="1">
        <f t="array" ref="K7">+SUMPRODUCT(('Budget original'!$A$8:$A$501=$A7)*('Budget original'!$C$3:$AO$3=N$2),'Budget original'!$C$8:$AO$501)</f>
        <v>801184.76699999999</v>
      </c>
      <c r="L7" s="1098">
        <f t="shared" ref="L7:L10" si="0">J7-K7</f>
        <v>196764.13300000003</v>
      </c>
      <c r="M7" s="1099">
        <f>L7/K7</f>
        <v>0.24559145543514813</v>
      </c>
    </row>
    <row r="8" spans="1:17">
      <c r="A8" s="1093"/>
      <c r="B8" s="1093"/>
      <c r="C8" s="1100" t="s">
        <v>3869</v>
      </c>
      <c r="D8" s="1095"/>
      <c r="E8" s="1101">
        <f>E7-E9</f>
        <v>162521.93</v>
      </c>
      <c r="F8" s="1102">
        <f>F7-F9</f>
        <v>128807.53535050135</v>
      </c>
      <c r="G8" s="1096">
        <f t="shared" ref="G8:G15" si="1">E8-F8</f>
        <v>33714.394649498645</v>
      </c>
      <c r="H8" s="1103">
        <f t="shared" ref="H8:H9" si="2">G8/F8</f>
        <v>0.26174240938433901</v>
      </c>
      <c r="J8" s="1101">
        <f>J7-J9</f>
        <v>829481.06</v>
      </c>
      <c r="K8" s="1102">
        <f>K7-K9</f>
        <v>673743.33567091858</v>
      </c>
      <c r="L8" s="1096">
        <f t="shared" si="0"/>
        <v>155737.72432908148</v>
      </c>
      <c r="M8" s="1103">
        <f t="shared" ref="M8:M9" si="3">L8/K8</f>
        <v>0.23115289767430011</v>
      </c>
    </row>
    <row r="9" spans="1:17" ht="15">
      <c r="C9" s="1104" t="s">
        <v>202</v>
      </c>
      <c r="D9" s="1095"/>
      <c r="E9" s="1105">
        <f>E12+E11</f>
        <v>33820.53</v>
      </c>
      <c r="F9" s="1106">
        <f>F12+F11</f>
        <v>25035.923649498654</v>
      </c>
      <c r="G9" s="1105">
        <f t="shared" si="1"/>
        <v>8784.6063505013444</v>
      </c>
      <c r="H9" s="1103">
        <f t="shared" si="2"/>
        <v>0.35088005833079206</v>
      </c>
      <c r="J9" s="1105">
        <f>J12+J11</f>
        <v>168467.83999999997</v>
      </c>
      <c r="K9" s="1106">
        <f>K12+K11</f>
        <v>127441.43132908142</v>
      </c>
      <c r="L9" s="1105">
        <f t="shared" si="0"/>
        <v>41026.40867091855</v>
      </c>
      <c r="M9" s="1103">
        <f t="shared" si="3"/>
        <v>0.32192363380617928</v>
      </c>
    </row>
    <row r="10" spans="1:17">
      <c r="A10" s="1093"/>
      <c r="B10" s="1093"/>
      <c r="C10" s="1100" t="s">
        <v>3870</v>
      </c>
      <c r="D10" s="1095"/>
      <c r="E10" s="1107">
        <f>E9/E7</f>
        <v>0.17225275673942356</v>
      </c>
      <c r="F10" s="1108">
        <f>F9/F7</f>
        <v>0.16273635429309122</v>
      </c>
      <c r="G10" s="1107">
        <f t="shared" si="1"/>
        <v>9.5164024463323393E-3</v>
      </c>
      <c r="H10" s="1103"/>
      <c r="J10" s="1107">
        <f>J9/J7</f>
        <v>0.16881409458941229</v>
      </c>
      <c r="K10" s="1108">
        <f>K9/K7</f>
        <v>0.15906621865300818</v>
      </c>
      <c r="L10" s="1107">
        <f t="shared" si="0"/>
        <v>9.7478759364041101E-3</v>
      </c>
      <c r="M10" s="1103"/>
    </row>
    <row r="11" spans="1:17">
      <c r="A11" s="1093"/>
      <c r="B11" s="1093"/>
      <c r="C11" s="1109" t="s">
        <v>3871</v>
      </c>
      <c r="D11" s="1095"/>
      <c r="E11" s="1098">
        <f>SUMIFS(BV_Data_An_Cour!$O:$O,BV_Data_An_Cour!$W:$W,$D$2,BV_Data_An_Cour!L:L,C31)</f>
        <v>7649.26</v>
      </c>
      <c r="F11" s="1110">
        <f>SUMIF($A$37:$A$48,"X",$G$37:$G$48)</f>
        <v>4267.0566844986533</v>
      </c>
      <c r="G11" s="1098">
        <f t="shared" si="1"/>
        <v>3382.2033155013469</v>
      </c>
      <c r="H11" s="1099">
        <f t="shared" ref="H11:H12" si="4">G11/F11</f>
        <v>0.79263144728969781</v>
      </c>
      <c r="J11" s="1098">
        <f>SUMIFS(BV_Data_An_Cour!$P:$P,BV_Data_An_Cour!$W:$W,$L$2,BV_Data_An_Cour!T:T,C31)</f>
        <v>32231.99</v>
      </c>
      <c r="K11" s="1110">
        <f>SUMIF($B$37:$B$48,"X",$G$37:$G$48)</f>
        <v>19281.487784081408</v>
      </c>
      <c r="L11" s="1098">
        <f>J11-K11</f>
        <v>12950.502215918594</v>
      </c>
      <c r="M11" s="1099">
        <f t="shared" ref="M11:M12" si="5">L11/K11</f>
        <v>0.67165471673873589</v>
      </c>
    </row>
    <row r="12" spans="1:17" ht="15">
      <c r="A12" s="1111" t="s">
        <v>187</v>
      </c>
      <c r="B12" s="1093" t="s">
        <v>3868</v>
      </c>
      <c r="C12" s="1104" t="s">
        <v>3872</v>
      </c>
      <c r="D12" s="1095"/>
      <c r="E12" s="1105">
        <f>-SUMIFS(BV_Data_An_Cour!$O:$O,BV_Data_An_Cour!$U:$U,$B12,BV_Data_An_Cour!$V:$V,$A12,BV_Data_An_Cour!$W:$W,$D$2)</f>
        <v>26171.269999999997</v>
      </c>
      <c r="F12" s="1106">
        <f>+INDEX('Budget original'!$A$2:$AO$501,MATCH(B12&amp;$A12,'Budget original'!$A$2:$A$501,0),MATCH(G$2,'Budget original'!$A$2:$AO$2,0))</f>
        <v>20768.866965000001</v>
      </c>
      <c r="G12" s="1105">
        <f t="shared" si="1"/>
        <v>5402.4030349999957</v>
      </c>
      <c r="H12" s="1103">
        <f t="shared" si="4"/>
        <v>0.26012025808168565</v>
      </c>
      <c r="J12" s="1105">
        <f>-SUMIFS(BV_Data_An_Cour!$P:$P,BV_Data_An_Cour!$U:$U,$B12,BV_Data_An_Cour!$V:$V,$A12,BV_Data_An_Cour!$W:$W,$D$2)</f>
        <v>136235.84999999998</v>
      </c>
      <c r="K12" s="1106" cm="1">
        <f t="array" ref="K12">+SUMPRODUCT(('Budget original'!$A$8:$A$501=B12&amp;$A12)*('Budget original'!$C$3:$AO$3=O$2),'Budget original'!$C$8:$AO$501)</f>
        <v>108159.94354500002</v>
      </c>
      <c r="L12" s="1105">
        <f t="shared" ref="L12:L16" si="6">J12-K12</f>
        <v>28075.90645499996</v>
      </c>
      <c r="M12" s="1103">
        <f t="shared" si="5"/>
        <v>0.25957767297945161</v>
      </c>
    </row>
    <row r="13" spans="1:17">
      <c r="A13" s="1083"/>
      <c r="B13" s="1083"/>
      <c r="C13" s="1100" t="s">
        <v>119</v>
      </c>
      <c r="D13" s="1095"/>
      <c r="E13" s="1107">
        <f>(E12)/E7</f>
        <v>0.13329399051025437</v>
      </c>
      <c r="F13" s="1108">
        <f>(F12)/F7</f>
        <v>0.13500000000000001</v>
      </c>
      <c r="G13" s="1112">
        <f t="shared" si="1"/>
        <v>-1.7060094897456413E-3</v>
      </c>
      <c r="H13" s="1113"/>
      <c r="J13" s="1107">
        <f>(J12)/J7</f>
        <v>0.13651585767567856</v>
      </c>
      <c r="K13" s="1108">
        <f>(K12)/K7</f>
        <v>0.13500000000000001</v>
      </c>
      <c r="L13" s="1112">
        <f t="shared" si="6"/>
        <v>1.5158576756785502E-3</v>
      </c>
      <c r="M13" s="1113"/>
    </row>
    <row r="14" spans="1:17">
      <c r="A14" s="1083"/>
      <c r="B14" s="1083"/>
      <c r="C14" s="1109" t="s">
        <v>3873</v>
      </c>
      <c r="D14" s="1095"/>
      <c r="E14" s="1098">
        <f>SUMIFS(BV_Data_An_Cour!$O:$O,BV_Data_An_Cour!$W:$W,$D$2,BV_Data_An_Cour!L:L,C33)</f>
        <v>11240</v>
      </c>
      <c r="F14" s="1114">
        <f>SUMIF(A37:A48,"X",F37:F48)*$G$33</f>
        <v>0</v>
      </c>
      <c r="G14" s="1096">
        <f>E14-F14</f>
        <v>11240</v>
      </c>
      <c r="H14" s="1103" t="e">
        <f t="shared" ref="H14:H15" si="7">G14/F14</f>
        <v>#DIV/0!</v>
      </c>
      <c r="J14" s="1098">
        <f>SUMIFS(BV_Data_An_Cour!$P:$P,BV_Data_An_Cour!$W:$W,$L$2,BV_Data_An_Cour!T:T,C33)</f>
        <v>53680</v>
      </c>
      <c r="K14" s="1114">
        <f>SUMIF(B37:B48,"X",F37:F48)*$G$33</f>
        <v>0</v>
      </c>
      <c r="L14" s="1096">
        <f t="shared" si="6"/>
        <v>53680</v>
      </c>
      <c r="M14" s="1103" t="e">
        <f t="shared" ref="M14:M15" si="8">L14/K14</f>
        <v>#DIV/0!</v>
      </c>
    </row>
    <row r="15" spans="1:17" ht="15">
      <c r="C15" s="1104" t="s">
        <v>3874</v>
      </c>
      <c r="D15" s="1095"/>
      <c r="E15" s="1105">
        <f>E12-E14</f>
        <v>14931.269999999997</v>
      </c>
      <c r="F15" s="1106">
        <f t="shared" ref="F15" si="9">F12-F14</f>
        <v>20768.866965000001</v>
      </c>
      <c r="G15" s="1105">
        <f t="shared" si="1"/>
        <v>-5837.5969650000043</v>
      </c>
      <c r="H15" s="1103">
        <f t="shared" si="7"/>
        <v>-0.28107440693984936</v>
      </c>
      <c r="J15" s="1105">
        <f t="shared" ref="J15:K15" si="10">J12-J14</f>
        <v>82555.849999999977</v>
      </c>
      <c r="K15" s="1106">
        <f t="shared" si="10"/>
        <v>108159.94354500002</v>
      </c>
      <c r="L15" s="1105">
        <f t="shared" si="6"/>
        <v>-25604.09354500004</v>
      </c>
      <c r="M15" s="1103">
        <f t="shared" si="8"/>
        <v>-0.23672436121739876</v>
      </c>
    </row>
    <row r="16" spans="1:17">
      <c r="C16" s="1115" t="s">
        <v>3875</v>
      </c>
      <c r="D16" s="1116"/>
      <c r="E16" s="1112">
        <f>E15/E7</f>
        <v>7.6047076113847187E-2</v>
      </c>
      <c r="F16" s="1117">
        <f>F15/F7</f>
        <v>0.13500000000000001</v>
      </c>
      <c r="G16" s="1112">
        <f>E16-F16</f>
        <v>-5.8952923886152822E-2</v>
      </c>
      <c r="H16" s="1117"/>
      <c r="J16" s="1112">
        <f>J15/J7</f>
        <v>8.2725528331160023E-2</v>
      </c>
      <c r="K16" s="1117">
        <f>K15/K7</f>
        <v>0.13500000000000001</v>
      </c>
      <c r="L16" s="1112">
        <f t="shared" si="6"/>
        <v>-5.2274471668839986E-2</v>
      </c>
      <c r="M16" s="1118"/>
    </row>
    <row r="17" spans="3:13">
      <c r="C17" s="1119"/>
      <c r="G17" s="1120"/>
      <c r="K17" s="1120"/>
    </row>
    <row r="18" spans="3:13" ht="15">
      <c r="E18" s="1240" t="str">
        <f>CONCATENATE("Pièces Wholesale $ / livraison ",Parametres!B3," ",Parametres!B4)</f>
        <v>Pièces Wholesale $ / livraison Mai 2025</v>
      </c>
      <c r="F18" s="1241"/>
      <c r="G18" s="1241"/>
      <c r="H18" s="1242"/>
      <c r="J18" s="1243" t="str">
        <f>CONCATENATE("Pièces Wholesale AAD $ / livraison ",Parametres!B4)</f>
        <v>Pièces Wholesale AAD $ / livraison 2025</v>
      </c>
      <c r="K18" s="1244"/>
      <c r="L18" s="1244"/>
      <c r="M18" s="1245"/>
    </row>
    <row r="19" spans="3:13" ht="15">
      <c r="C19" s="1086"/>
      <c r="D19" s="1087"/>
      <c r="E19" s="1084" t="s">
        <v>656</v>
      </c>
      <c r="F19" s="1085" t="s">
        <v>3864</v>
      </c>
      <c r="G19" s="1084" t="s">
        <v>3865</v>
      </c>
      <c r="H19" s="1085" t="s">
        <v>3866</v>
      </c>
      <c r="J19" s="1084" t="s">
        <v>656</v>
      </c>
      <c r="K19" s="1085" t="s">
        <v>3864</v>
      </c>
      <c r="L19" s="1084" t="s">
        <v>3865</v>
      </c>
      <c r="M19" s="1085" t="s">
        <v>3866</v>
      </c>
    </row>
    <row r="20" spans="3:13">
      <c r="C20" s="1094" t="s">
        <v>187</v>
      </c>
      <c r="D20" s="1095"/>
      <c r="E20" s="1096" t="e">
        <f>E7/E$6</f>
        <v>#DIV/0!</v>
      </c>
      <c r="F20" s="1097" t="e">
        <f>F7/F$6</f>
        <v>#DIV/0!</v>
      </c>
      <c r="G20" s="1098" t="e">
        <f t="shared" ref="G20:G25" si="11">E20-F20</f>
        <v>#DIV/0!</v>
      </c>
      <c r="H20" s="1099" t="e">
        <f t="shared" ref="H20:H26" si="12">G20/F20</f>
        <v>#DIV/0!</v>
      </c>
      <c r="J20" s="1096">
        <f>J7/J$6</f>
        <v>470.28694627709712</v>
      </c>
      <c r="K20" s="1097" t="e">
        <f>K7/K$6</f>
        <v>#DIV/0!</v>
      </c>
      <c r="L20" s="1098" t="e">
        <f t="shared" ref="L20:L25" si="13">J20-K20</f>
        <v>#DIV/0!</v>
      </c>
      <c r="M20" s="1099" t="e">
        <f t="shared" ref="M20:M26" si="14">L20/K20</f>
        <v>#DIV/0!</v>
      </c>
    </row>
    <row r="21" spans="3:13">
      <c r="C21" s="1100" t="s">
        <v>3869</v>
      </c>
      <c r="D21" s="1095"/>
      <c r="E21" s="1101" t="e">
        <f t="shared" ref="E21:F22" si="15">E8/E$6</f>
        <v>#DIV/0!</v>
      </c>
      <c r="F21" s="1102" t="e">
        <f>F8/F$6</f>
        <v>#DIV/0!</v>
      </c>
      <c r="G21" s="1096" t="e">
        <f t="shared" si="11"/>
        <v>#DIV/0!</v>
      </c>
      <c r="H21" s="1103" t="e">
        <f t="shared" si="12"/>
        <v>#DIV/0!</v>
      </c>
      <c r="J21" s="1101">
        <f t="shared" ref="J21:K22" si="16">J8/J$6</f>
        <v>390.89588124410938</v>
      </c>
      <c r="K21" s="1102" t="e">
        <f t="shared" si="16"/>
        <v>#DIV/0!</v>
      </c>
      <c r="L21" s="1096" t="e">
        <f t="shared" si="13"/>
        <v>#DIV/0!</v>
      </c>
      <c r="M21" s="1103" t="e">
        <f t="shared" si="14"/>
        <v>#DIV/0!</v>
      </c>
    </row>
    <row r="22" spans="3:13" ht="15">
      <c r="C22" s="1104" t="s">
        <v>202</v>
      </c>
      <c r="D22" s="1095"/>
      <c r="E22" s="1105" t="e">
        <f>E9/E$6</f>
        <v>#DIV/0!</v>
      </c>
      <c r="F22" s="1106" t="e">
        <f t="shared" si="15"/>
        <v>#DIV/0!</v>
      </c>
      <c r="G22" s="1105" t="e">
        <f t="shared" si="11"/>
        <v>#DIV/0!</v>
      </c>
      <c r="H22" s="1103" t="e">
        <f t="shared" si="12"/>
        <v>#DIV/0!</v>
      </c>
      <c r="J22" s="1105">
        <f t="shared" si="16"/>
        <v>79.391065032987726</v>
      </c>
      <c r="K22" s="1106" t="e">
        <f t="shared" si="16"/>
        <v>#DIV/0!</v>
      </c>
      <c r="L22" s="1105" t="e">
        <f t="shared" si="13"/>
        <v>#DIV/0!</v>
      </c>
      <c r="M22" s="1103" t="e">
        <f t="shared" si="14"/>
        <v>#DIV/0!</v>
      </c>
    </row>
    <row r="23" spans="3:13">
      <c r="C23" s="1109" t="s">
        <v>3871</v>
      </c>
      <c r="D23" s="1095"/>
      <c r="E23" s="1098" t="e">
        <f>E11/E$6</f>
        <v>#DIV/0!</v>
      </c>
      <c r="F23" s="1110" t="e">
        <f>F11/F$6</f>
        <v>#DIV/0!</v>
      </c>
      <c r="G23" s="1098" t="e">
        <f t="shared" si="11"/>
        <v>#DIV/0!</v>
      </c>
      <c r="H23" s="1099" t="e">
        <f t="shared" si="12"/>
        <v>#DIV/0!</v>
      </c>
      <c r="J23" s="1098">
        <f t="shared" ref="J23:K23" si="17">J11/J$6</f>
        <v>15.189439208294063</v>
      </c>
      <c r="K23" s="1110" t="e">
        <f t="shared" si="17"/>
        <v>#DIV/0!</v>
      </c>
      <c r="L23" s="1098" t="e">
        <f t="shared" si="13"/>
        <v>#DIV/0!</v>
      </c>
      <c r="M23" s="1099" t="e">
        <f t="shared" si="14"/>
        <v>#DIV/0!</v>
      </c>
    </row>
    <row r="24" spans="3:13" ht="15">
      <c r="C24" s="1104" t="s">
        <v>3872</v>
      </c>
      <c r="D24" s="1095"/>
      <c r="E24" s="1105" t="e">
        <f>E12/E$6</f>
        <v>#DIV/0!</v>
      </c>
      <c r="F24" s="1106" t="e">
        <f>F12/F$6</f>
        <v>#DIV/0!</v>
      </c>
      <c r="G24" s="1121" t="e">
        <f t="shared" si="11"/>
        <v>#DIV/0!</v>
      </c>
      <c r="H24" s="1113" t="e">
        <f t="shared" si="12"/>
        <v>#DIV/0!</v>
      </c>
      <c r="J24" s="1105">
        <f>J12/J$6</f>
        <v>64.201625824693679</v>
      </c>
      <c r="K24" s="1106" t="e">
        <f>K12/K$6</f>
        <v>#DIV/0!</v>
      </c>
      <c r="L24" s="1121" t="e">
        <f t="shared" si="13"/>
        <v>#DIV/0!</v>
      </c>
      <c r="M24" s="1113" t="e">
        <f t="shared" si="14"/>
        <v>#DIV/0!</v>
      </c>
    </row>
    <row r="25" spans="3:13" ht="15">
      <c r="C25" s="1109" t="s">
        <v>3873</v>
      </c>
      <c r="D25" s="1095"/>
      <c r="E25" s="1122" t="e">
        <f>E14/E$6</f>
        <v>#DIV/0!</v>
      </c>
      <c r="F25" s="1114" t="e">
        <f>F14/F$6</f>
        <v>#DIV/0!</v>
      </c>
      <c r="G25" s="1096" t="e">
        <f t="shared" si="11"/>
        <v>#DIV/0!</v>
      </c>
      <c r="H25" s="1103" t="e">
        <f t="shared" si="12"/>
        <v>#DIV/0!</v>
      </c>
      <c r="J25" s="1098">
        <f t="shared" ref="J25:K25" si="18">J14/J$6</f>
        <v>25.296889726672951</v>
      </c>
      <c r="K25" s="1114" t="e">
        <f t="shared" si="18"/>
        <v>#DIV/0!</v>
      </c>
      <c r="L25" s="1096" t="e">
        <f t="shared" si="13"/>
        <v>#DIV/0!</v>
      </c>
      <c r="M25" s="1103" t="e">
        <f t="shared" si="14"/>
        <v>#DIV/0!</v>
      </c>
    </row>
    <row r="26" spans="3:13" ht="15">
      <c r="C26" s="1123" t="s">
        <v>3874</v>
      </c>
      <c r="D26" s="1095"/>
      <c r="E26" s="1121" t="e">
        <f>E15/E$6</f>
        <v>#DIV/0!</v>
      </c>
      <c r="F26" s="1124" t="e">
        <f>F15/F$6</f>
        <v>#DIV/0!</v>
      </c>
      <c r="G26" s="1121" t="e">
        <f>E26-F26</f>
        <v>#DIV/0!</v>
      </c>
      <c r="H26" s="1113" t="e">
        <f t="shared" si="12"/>
        <v>#DIV/0!</v>
      </c>
      <c r="J26" s="1121">
        <f>J15/J$6</f>
        <v>38.904736098020727</v>
      </c>
      <c r="K26" s="1124" t="e">
        <f>K15/K$6</f>
        <v>#DIV/0!</v>
      </c>
      <c r="L26" s="1121" t="e">
        <f>J26-K26</f>
        <v>#DIV/0!</v>
      </c>
      <c r="M26" s="1113" t="e">
        <f t="shared" si="14"/>
        <v>#DIV/0!</v>
      </c>
    </row>
    <row r="27" spans="3:13">
      <c r="C27" s="1119"/>
      <c r="G27" s="1120"/>
      <c r="K27" s="1120"/>
    </row>
    <row r="29" spans="3:13">
      <c r="C29" s="1125" t="s">
        <v>3876</v>
      </c>
    </row>
    <row r="30" spans="3:13" ht="15">
      <c r="C30" s="1126" t="s">
        <v>3877</v>
      </c>
      <c r="E30" s="1127" t="s">
        <v>3878</v>
      </c>
      <c r="F30" s="1128"/>
      <c r="G30" s="1129">
        <f>SUMIF(A37:A48,"X",E37:E48)*$G$33-E14</f>
        <v>-11240</v>
      </c>
      <c r="H30" s="1130" t="s">
        <v>3879</v>
      </c>
    </row>
    <row r="31" spans="3:13" ht="15">
      <c r="C31" s="1131">
        <v>5773</v>
      </c>
      <c r="E31" s="1127" t="s">
        <v>3880</v>
      </c>
      <c r="F31" s="1128"/>
      <c r="G31" s="1129">
        <f>SUMIF(B37:B48,"X",E37:E48)*$G$33-J14</f>
        <v>-11240</v>
      </c>
      <c r="H31" s="1130" t="s">
        <v>3879</v>
      </c>
    </row>
    <row r="32" spans="3:13">
      <c r="C32" s="1126" t="s">
        <v>3881</v>
      </c>
    </row>
    <row r="33" spans="1:41" ht="15">
      <c r="C33" s="1131">
        <v>6758</v>
      </c>
      <c r="E33" s="1246" t="s">
        <v>3882</v>
      </c>
      <c r="F33" s="1246"/>
      <c r="G33" s="1132">
        <v>20</v>
      </c>
    </row>
    <row r="35" spans="1:41" ht="15">
      <c r="E35" s="1237" t="s">
        <v>3883</v>
      </c>
      <c r="F35" s="1238"/>
    </row>
    <row r="36" spans="1:41" ht="46.5" customHeight="1">
      <c r="A36" s="1133" t="s">
        <v>3</v>
      </c>
      <c r="B36" s="1133" t="s">
        <v>4</v>
      </c>
      <c r="C36" s="1134" t="s">
        <v>3</v>
      </c>
      <c r="D36" s="1128"/>
      <c r="E36" s="1135" t="s">
        <v>656</v>
      </c>
      <c r="F36" s="1135" t="s">
        <v>3884</v>
      </c>
      <c r="G36" s="1136" t="s">
        <v>3885</v>
      </c>
      <c r="H36" s="1079" t="str">
        <f>+IF(Parametres!$B$3=H$38,"X","")</f>
        <v/>
      </c>
      <c r="I36" s="1082" t="str">
        <f>+IF(Parametres!$B$3=I$38,"X","")</f>
        <v/>
      </c>
      <c r="J36" s="1082" t="str">
        <f>+IF(Parametres!$B$3=J$38,"X","")</f>
        <v/>
      </c>
      <c r="K36" s="1082" t="str">
        <f>+IF(Parametres!$B$3=K$38,"X","")</f>
        <v/>
      </c>
      <c r="L36" s="1082" t="str">
        <f>+IF(Parametres!$B$3=L$38,"X","")</f>
        <v/>
      </c>
      <c r="M36" s="1082" t="str">
        <f>+IF(Parametres!$B$3=M$38,"X","")</f>
        <v/>
      </c>
      <c r="N36" s="1082" t="str">
        <f>+IF(Parametres!$B$3=N$38,"X","")</f>
        <v/>
      </c>
      <c r="O36" s="1082" t="str">
        <f>+IF(Parametres!$B$3=O$38,"X","")</f>
        <v/>
      </c>
      <c r="P36" s="1082" t="str">
        <f>+IF(Parametres!$B$3=P$38,"X","")</f>
        <v/>
      </c>
      <c r="Q36" s="1082" t="str">
        <f>+IF(Parametres!$B$3=Q$38,"X","")</f>
        <v/>
      </c>
      <c r="R36" s="1079" t="str">
        <f>+IF(Parametres!$B$3=R$38,"X","")</f>
        <v/>
      </c>
      <c r="S36" s="1079" t="str">
        <f>+IF(Parametres!$B$3=S$38,"X","")</f>
        <v/>
      </c>
      <c r="U36" s="1079" t="str">
        <f>+IF(Parametres!$B$3=N$7,"X","")</f>
        <v/>
      </c>
      <c r="V36" s="1079" t="str">
        <f>+IF(Parametres!$B$3=N$7,"O","")</f>
        <v/>
      </c>
      <c r="W36" s="1079" t="str">
        <f>+IF(Parametres!$B$3=N$7,"U","")</f>
        <v/>
      </c>
      <c r="X36" s="1079" t="str">
        <f>+IF(Parametres!$B$3=Q$7,"X","")</f>
        <v/>
      </c>
      <c r="Y36" s="1079" t="str">
        <f>+IF(Parametres!$B$3=Q$7,"O","")</f>
        <v/>
      </c>
      <c r="Z36" s="1079" t="str">
        <f>+IF(Parametres!$B$3=Q$7,"U","")</f>
        <v/>
      </c>
      <c r="AA36" s="1079" t="str">
        <f>+IF(Parametres!$B$3=T$7,"X","")</f>
        <v/>
      </c>
      <c r="AB36" s="1079" t="str">
        <f>+IF(Parametres!$B$3=T$7,"O","")</f>
        <v/>
      </c>
      <c r="AC36" s="1079" t="str">
        <f>+IF(Parametres!$B$3=T$7,"U","")</f>
        <v/>
      </c>
      <c r="AD36" s="1079" t="str">
        <f>+IF(Parametres!$B$3=W$7,"X","")</f>
        <v/>
      </c>
      <c r="AE36" s="1079" t="str">
        <f>+IF(Parametres!$B$3=W$7,"O","")</f>
        <v/>
      </c>
      <c r="AF36" s="1079" t="str">
        <f>+IF(Parametres!$B$3=W$7,"U","")</f>
        <v/>
      </c>
      <c r="AG36" s="1079" t="str">
        <f>+IF(Parametres!$B$3=Z$7,"X","")</f>
        <v/>
      </c>
      <c r="AH36" s="1079" t="str">
        <f>+IF(Parametres!$B$3=Z$7,"O","")</f>
        <v/>
      </c>
      <c r="AI36" s="1079" t="str">
        <f>+IF(Parametres!$B$3=Z$7,"U","")</f>
        <v/>
      </c>
      <c r="AJ36" s="1079" t="str">
        <f>+IF(Parametres!$B$3=AC$7,"X","")</f>
        <v/>
      </c>
      <c r="AK36" s="1079" t="str">
        <f>+IF(Parametres!$B$3=AC$7,"O","")</f>
        <v/>
      </c>
      <c r="AL36" s="1079" t="str">
        <f>+IF(Parametres!$B$3=AC$7,"U","")</f>
        <v/>
      </c>
      <c r="AM36" s="1079" t="str">
        <f>+IF(Parametres!$B$3=AF$7,"X","")</f>
        <v/>
      </c>
      <c r="AN36" s="1079" t="str">
        <f>+IF(Parametres!$B$3=AF$7,"O","")</f>
        <v/>
      </c>
      <c r="AO36" s="1079" t="str">
        <f>+IF(Parametres!$B$3=AF$7,"U","")</f>
        <v/>
      </c>
    </row>
    <row r="37" spans="1:41" ht="15">
      <c r="A37" s="1137" t="str">
        <f>+IF(Parametres!$B$3=$C37,"X","")</f>
        <v/>
      </c>
      <c r="B37" s="1137" t="str">
        <f>+IF(VLOOKUP($C37,Parametres!$K$3:$N$14,4,0)="X","X","")</f>
        <v>X</v>
      </c>
      <c r="C37" s="1138" t="s">
        <v>8</v>
      </c>
      <c r="E37" s="1139">
        <v>557</v>
      </c>
      <c r="F37" s="1139"/>
      <c r="G37" s="1139">
        <v>4014.4</v>
      </c>
      <c r="H37" s="1079" t="e">
        <f>ARRONDI</f>
        <v>#NAME?</v>
      </c>
      <c r="I37" s="1079"/>
      <c r="J37" s="1179"/>
      <c r="K37" s="1153"/>
      <c r="L37" s="1079"/>
      <c r="M37" s="1079"/>
    </row>
    <row r="38" spans="1:41" ht="15">
      <c r="A38" s="1137" t="str">
        <f>+IF(Parametres!$B$3=$C38,"X","")</f>
        <v/>
      </c>
      <c r="B38" s="1137" t="str">
        <f>+IF(VLOOKUP($C38,Parametres!$K$3:$N$14,4,0)="X","X","")</f>
        <v>X</v>
      </c>
      <c r="C38" s="1140" t="s">
        <v>10</v>
      </c>
      <c r="E38" s="1139">
        <v>503</v>
      </c>
      <c r="F38" s="1139"/>
      <c r="G38" s="1139">
        <v>3551.28</v>
      </c>
      <c r="H38" s="1079"/>
      <c r="I38" s="1079"/>
      <c r="J38" s="1179"/>
      <c r="K38" s="1079"/>
      <c r="L38" s="1079"/>
      <c r="M38" s="1079"/>
    </row>
    <row r="39" spans="1:41" ht="15">
      <c r="A39" s="1079" t="str">
        <f>+IF(Parametres!$B$3=$C39,"X","")</f>
        <v/>
      </c>
      <c r="B39" s="1079" t="str">
        <f>+IF(VLOOKUP($C39,Parametres!$K$3:$N$14,4,0)="X","X","")</f>
        <v>X</v>
      </c>
      <c r="C39" s="1140" t="s">
        <v>11</v>
      </c>
      <c r="E39" s="1139">
        <v>525</v>
      </c>
      <c r="F39" s="1139"/>
      <c r="G39" s="1139">
        <v>4269.5213600121897</v>
      </c>
      <c r="H39" s="1079"/>
      <c r="I39" s="1079"/>
      <c r="J39" s="1179"/>
      <c r="K39" s="1079"/>
      <c r="L39" s="1079"/>
      <c r="M39" s="1079"/>
    </row>
    <row r="40" spans="1:41" ht="15">
      <c r="A40" s="1079" t="str">
        <f>+IF(Parametres!$B$3=$C40,"X","")</f>
        <v/>
      </c>
      <c r="B40" s="1079" t="str">
        <f>+IF(VLOOKUP($C40,Parametres!$K$3:$N$14,4,0)="X","X","")</f>
        <v>X</v>
      </c>
      <c r="C40" s="1140" t="s">
        <v>12</v>
      </c>
      <c r="E40" s="1139">
        <v>537</v>
      </c>
      <c r="F40" s="1139"/>
      <c r="G40" s="1139">
        <v>3179.2297395705646</v>
      </c>
      <c r="H40" s="1079"/>
      <c r="I40" s="1079"/>
      <c r="J40" s="1179"/>
      <c r="K40" s="1079"/>
      <c r="L40" s="1079"/>
      <c r="M40" s="1079"/>
    </row>
    <row r="41" spans="1:41" ht="15">
      <c r="A41" s="1079" t="str">
        <f>+IF(Parametres!$B$3=$C41,"X","")</f>
        <v>X</v>
      </c>
      <c r="B41" s="1079" t="str">
        <f>+IF(VLOOKUP($C41,Parametres!$K$3:$N$14,4,0)="X","X","")</f>
        <v>X</v>
      </c>
      <c r="C41" s="1140" t="s">
        <v>13</v>
      </c>
      <c r="E41" s="1139"/>
      <c r="F41" s="1139"/>
      <c r="G41" s="1139">
        <v>4267.0566844986533</v>
      </c>
      <c r="H41" s="1079"/>
      <c r="I41" s="1079"/>
      <c r="J41" s="1179"/>
      <c r="K41" s="1181"/>
      <c r="L41" s="1079"/>
      <c r="M41" s="1079"/>
    </row>
    <row r="42" spans="1:41" ht="15">
      <c r="A42" s="1079" t="str">
        <f>+IF(Parametres!$B$3=$C42,"X","")</f>
        <v/>
      </c>
      <c r="B42" s="1079" t="str">
        <f>+IF(VLOOKUP($C42,Parametres!$K$3:$N$14,4,0)="X","X","")</f>
        <v/>
      </c>
      <c r="C42" s="1140" t="s">
        <v>14</v>
      </c>
      <c r="E42" s="1139"/>
      <c r="F42" s="1139"/>
      <c r="G42" s="1139">
        <v>3723.6816888350295</v>
      </c>
      <c r="J42" s="1180"/>
      <c r="N42" s="1082"/>
      <c r="O42" s="1082"/>
      <c r="P42" s="1082"/>
      <c r="Q42" s="1082"/>
      <c r="R42" s="1128"/>
      <c r="S42" s="1128"/>
    </row>
    <row r="43" spans="1:41" ht="15">
      <c r="A43" s="1079" t="str">
        <f>+IF(Parametres!$B$3=$C43,"X","")</f>
        <v/>
      </c>
      <c r="B43" s="1079" t="str">
        <f>+IF(VLOOKUP($C43,Parametres!$K$3:$N$14,4,0)="X","X","")</f>
        <v/>
      </c>
      <c r="C43" s="1140" t="s">
        <v>16</v>
      </c>
      <c r="E43" s="1139"/>
      <c r="F43" s="1139"/>
      <c r="G43" s="1139">
        <v>3830.8432589235963</v>
      </c>
      <c r="N43" s="1082"/>
      <c r="O43" s="1082"/>
      <c r="P43" s="1082"/>
      <c r="Q43" s="1082"/>
      <c r="R43" s="1128"/>
      <c r="S43" s="1128"/>
    </row>
    <row r="44" spans="1:41" ht="15">
      <c r="A44" s="1079" t="str">
        <f>+IF(Parametres!$B$3=$C44,"X","")</f>
        <v/>
      </c>
      <c r="B44" s="1079" t="str">
        <f>+IF(VLOOKUP($C44,Parametres!$K$3:$N$14,4,0)="X","X","")</f>
        <v/>
      </c>
      <c r="C44" s="1140" t="s">
        <v>18</v>
      </c>
      <c r="E44" s="1139"/>
      <c r="F44" s="1139"/>
      <c r="G44" s="1139">
        <v>4360.9631518134156</v>
      </c>
      <c r="H44" s="1128"/>
      <c r="I44" s="1129"/>
      <c r="N44" s="1082"/>
      <c r="O44" s="1082"/>
      <c r="P44" s="1082"/>
      <c r="Q44" s="1082"/>
      <c r="R44" s="1128"/>
      <c r="S44" s="1128"/>
    </row>
    <row r="45" spans="1:41" ht="15">
      <c r="A45" s="1079" t="str">
        <f>+IF(Parametres!$B$3=$C45,"X","")</f>
        <v/>
      </c>
      <c r="B45" s="1079" t="str">
        <f>+IF(VLOOKUP($C45,Parametres!$K$3:$N$14,4,0)="X","X","")</f>
        <v/>
      </c>
      <c r="C45" s="1140" t="s">
        <v>20</v>
      </c>
      <c r="E45" s="1139"/>
      <c r="F45" s="1139"/>
      <c r="G45" s="1139">
        <v>4652.1062293742398</v>
      </c>
      <c r="H45" s="1128"/>
      <c r="I45" s="1129"/>
      <c r="N45" s="1082"/>
      <c r="O45" s="1082"/>
      <c r="P45" s="1082"/>
      <c r="Q45" s="1082"/>
      <c r="R45" s="1128"/>
      <c r="S45" s="1128"/>
    </row>
    <row r="46" spans="1:41" ht="18" customHeight="1">
      <c r="A46" s="1079" t="str">
        <f>+IF(Parametres!$B$3=$C46,"X","")</f>
        <v/>
      </c>
      <c r="B46" s="1079" t="str">
        <f>+IF(VLOOKUP($C46,Parametres!$K$3:$N$14,4,0)="X","X","")</f>
        <v/>
      </c>
      <c r="C46" s="1140" t="s">
        <v>22</v>
      </c>
      <c r="E46" s="1139"/>
      <c r="F46" s="1139"/>
      <c r="G46" s="1139">
        <v>4057.5556394164596</v>
      </c>
      <c r="H46" s="1128"/>
      <c r="I46" s="1129"/>
      <c r="N46" s="1082"/>
      <c r="O46" s="1082"/>
      <c r="P46" s="1082"/>
      <c r="Q46" s="1082"/>
      <c r="R46" s="1128"/>
      <c r="S46" s="1128"/>
    </row>
    <row r="47" spans="1:41" ht="15">
      <c r="A47" s="1079" t="str">
        <f>+IF(Parametres!$B$3=$C47,"X","")</f>
        <v/>
      </c>
      <c r="B47" s="1079" t="str">
        <f>+IF(VLOOKUP($C47,Parametres!$K$3:$N$14,4,0)="X","X","")</f>
        <v/>
      </c>
      <c r="C47" s="1141" t="s">
        <v>23</v>
      </c>
      <c r="E47" s="1139"/>
      <c r="F47" s="1139"/>
      <c r="G47" s="1139">
        <v>4856.9570339905476</v>
      </c>
    </row>
    <row r="48" spans="1:41" ht="15">
      <c r="A48" s="1079" t="str">
        <f>+IF(Parametres!$B$3=$C48,"X","")</f>
        <v/>
      </c>
      <c r="B48" s="1079" t="str">
        <f>+IF(VLOOKUP($C48,Parametres!$K$3:$N$14,4,0)="X","X","")</f>
        <v/>
      </c>
      <c r="C48" s="1142" t="s">
        <v>6</v>
      </c>
      <c r="E48" s="1143"/>
      <c r="F48" s="1143"/>
      <c r="G48" s="1143">
        <v>4885.0882836613782</v>
      </c>
    </row>
    <row r="52" ht="28.5" customHeight="1"/>
  </sheetData>
  <mergeCells count="7">
    <mergeCell ref="E35:F35"/>
    <mergeCell ref="C1:K1"/>
    <mergeCell ref="E4:H4"/>
    <mergeCell ref="J4:M4"/>
    <mergeCell ref="E18:H18"/>
    <mergeCell ref="J18:M18"/>
    <mergeCell ref="E33:F33"/>
  </mergeCells>
  <dataValidations disablePrompts="1" count="1">
    <dataValidation allowBlank="1" showErrorMessage="1" sqref="C37:C48" xr:uid="{1AA54371-A28B-40D2-A31E-DF76CB68849D}"/>
  </dataValidations>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1000"/>
  <sheetViews>
    <sheetView workbookViewId="0"/>
  </sheetViews>
  <sheetFormatPr baseColWidth="10" defaultColWidth="12.625" defaultRowHeight="15" customHeight="1"/>
  <cols>
    <col min="1" max="1" width="3.25" customWidth="1"/>
    <col min="2" max="2" width="16.375" customWidth="1"/>
    <col min="3" max="5" width="11.125" customWidth="1"/>
    <col min="6" max="6" width="3.25" customWidth="1"/>
    <col min="7" max="7" width="16.375" customWidth="1"/>
    <col min="8" max="10" width="11.125" customWidth="1"/>
    <col min="11" max="11" width="3.25" customWidth="1"/>
    <col min="12" max="12" width="16.375" customWidth="1"/>
    <col min="13" max="15" width="11.125" customWidth="1"/>
    <col min="16" max="16" width="3.25" customWidth="1"/>
    <col min="17" max="17" width="16.375" customWidth="1"/>
    <col min="18" max="20" width="11.125" customWidth="1"/>
    <col min="21" max="26" width="11" customWidth="1"/>
  </cols>
  <sheetData>
    <row r="1" spans="1:26">
      <c r="A1" s="3"/>
      <c r="B1" s="1247" t="s">
        <v>644</v>
      </c>
      <c r="C1" s="1248"/>
      <c r="D1" s="1248"/>
      <c r="E1" s="1248"/>
      <c r="F1" s="1248"/>
      <c r="G1" s="1248"/>
      <c r="H1" s="1248"/>
      <c r="I1" s="1248"/>
      <c r="J1" s="1248"/>
      <c r="K1" s="1248"/>
      <c r="L1" s="1248"/>
      <c r="M1" s="1248"/>
      <c r="N1" s="1248"/>
      <c r="O1" s="1248"/>
      <c r="P1" s="1248"/>
      <c r="Q1" s="1248"/>
      <c r="R1" s="1248"/>
      <c r="S1" s="1248"/>
      <c r="T1" s="1249"/>
      <c r="U1" s="3"/>
      <c r="V1" s="3"/>
      <c r="W1" s="3"/>
      <c r="X1" s="3"/>
      <c r="Y1" s="3"/>
      <c r="Z1" s="3"/>
    </row>
    <row r="2" spans="1:26">
      <c r="A2" s="3"/>
      <c r="B2" s="3"/>
      <c r="C2" s="3"/>
      <c r="D2" s="3"/>
      <c r="E2" s="3"/>
      <c r="F2" s="3"/>
      <c r="G2" s="3"/>
      <c r="H2" s="3"/>
      <c r="I2" s="3"/>
      <c r="J2" s="3"/>
      <c r="K2" s="3"/>
      <c r="L2" s="3"/>
      <c r="M2" s="3"/>
      <c r="N2" s="3"/>
      <c r="O2" s="3"/>
      <c r="P2" s="3"/>
      <c r="Q2" s="3"/>
      <c r="R2" s="3"/>
      <c r="S2" s="3"/>
      <c r="T2" s="3"/>
      <c r="U2" s="3"/>
      <c r="V2" s="3"/>
      <c r="W2" s="3"/>
      <c r="X2" s="3"/>
      <c r="Y2" s="3"/>
      <c r="Z2" s="3"/>
    </row>
    <row r="3" spans="1:26">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c r="A5" s="3"/>
      <c r="B5" s="231" t="s">
        <v>656</v>
      </c>
      <c r="C5" s="559">
        <f>Print_Mois!J27</f>
        <v>57</v>
      </c>
      <c r="D5" s="560">
        <f>Print_Mois!L27/Print_Mois!J27</f>
        <v>3579.5528070175483</v>
      </c>
      <c r="E5" s="561">
        <f t="shared" ref="E5:E6" si="0">+C5*D5</f>
        <v>204034.51000000024</v>
      </c>
      <c r="F5" s="3"/>
      <c r="G5" s="231" t="s">
        <v>656</v>
      </c>
      <c r="H5" s="559">
        <f>Print_Mois!J108</f>
        <v>56</v>
      </c>
      <c r="I5" s="560">
        <f>Print_Mois!L108/Print_Mois!J108</f>
        <v>2134.3708928571436</v>
      </c>
      <c r="J5" s="561">
        <f t="shared" ref="J5:J6" si="1">+H5*I5</f>
        <v>119524.77000000005</v>
      </c>
      <c r="K5" s="3"/>
      <c r="L5" s="231" t="s">
        <v>656</v>
      </c>
      <c r="M5" s="560">
        <f>Print_Mois!K194</f>
        <v>399826.57999999996</v>
      </c>
      <c r="N5" s="562">
        <f t="shared" ref="N5:N6" si="2">O5/M5</f>
        <v>0.71041244931740166</v>
      </c>
      <c r="O5" s="560">
        <f>Print_Mois!L194</f>
        <v>284041.78000000003</v>
      </c>
      <c r="P5" s="3"/>
      <c r="Q5" s="231" t="s">
        <v>656</v>
      </c>
      <c r="R5" s="563">
        <f>Print_Mois!J185</f>
        <v>1095</v>
      </c>
      <c r="S5" s="560">
        <f>Print_Mois!K185/Print_Mois!J185</f>
        <v>328.55057534246578</v>
      </c>
      <c r="T5" s="561">
        <f t="shared" ref="T5:T6" si="3">+R5*S5</f>
        <v>359762.88</v>
      </c>
      <c r="U5" s="3"/>
      <c r="V5" s="3"/>
      <c r="W5" s="3"/>
      <c r="X5" s="3"/>
      <c r="Y5" s="3"/>
      <c r="Z5" s="3"/>
    </row>
    <row r="6" spans="1:26">
      <c r="A6" s="3"/>
      <c r="B6" s="133" t="s">
        <v>286</v>
      </c>
      <c r="C6" s="564">
        <f>Print_Mois!G27</f>
        <v>0</v>
      </c>
      <c r="D6" s="565" t="e">
        <f>Print_Mois!I27/Print_Mois!G27</f>
        <v>#DIV/0!</v>
      </c>
      <c r="E6" s="566" t="e">
        <f t="shared" si="0"/>
        <v>#DIV/0!</v>
      </c>
      <c r="F6" s="3"/>
      <c r="G6" s="133" t="s">
        <v>286</v>
      </c>
      <c r="H6" s="564">
        <f>Print_Mois!G108</f>
        <v>0</v>
      </c>
      <c r="I6" s="565" t="e">
        <f>Print_Mois!I108/Print_Mois!G108</f>
        <v>#DIV/0!</v>
      </c>
      <c r="J6" s="566" t="e">
        <f t="shared" si="1"/>
        <v>#DIV/0!</v>
      </c>
      <c r="K6" s="3"/>
      <c r="L6" s="133" t="s">
        <v>286</v>
      </c>
      <c r="M6" s="565">
        <f>Print_Mois!H194</f>
        <v>0</v>
      </c>
      <c r="N6" s="567" t="e">
        <f t="shared" si="2"/>
        <v>#DIV/0!</v>
      </c>
      <c r="O6" s="565">
        <f>Print_Mois!I194</f>
        <v>0</v>
      </c>
      <c r="P6" s="3"/>
      <c r="Q6" s="133" t="s">
        <v>286</v>
      </c>
      <c r="R6" s="568">
        <f>Print_Mois!G185</f>
        <v>0</v>
      </c>
      <c r="S6" s="565" t="e">
        <f>Print_Mois!H185/Print_Mois!G185</f>
        <v>#DIV/0!</v>
      </c>
      <c r="T6" s="566" t="e">
        <f t="shared" si="3"/>
        <v>#DIV/0!</v>
      </c>
      <c r="U6" s="3"/>
      <c r="V6" s="3"/>
      <c r="W6" s="3"/>
      <c r="X6" s="3"/>
      <c r="Y6" s="3"/>
      <c r="Z6" s="3"/>
    </row>
    <row r="7" spans="1:26">
      <c r="A7" s="3"/>
      <c r="B7" s="133" t="s">
        <v>655</v>
      </c>
      <c r="C7" s="569">
        <f t="shared" ref="C7:E7" si="4">+C5-C6</f>
        <v>57</v>
      </c>
      <c r="D7" s="570" t="e">
        <f t="shared" si="4"/>
        <v>#DIV/0!</v>
      </c>
      <c r="E7" s="571" t="e">
        <f t="shared" si="4"/>
        <v>#DIV/0!</v>
      </c>
      <c r="F7" s="3"/>
      <c r="G7" s="133" t="s">
        <v>655</v>
      </c>
      <c r="H7" s="569">
        <f t="shared" ref="H7:J7" si="5">+H5-H6</f>
        <v>56</v>
      </c>
      <c r="I7" s="570" t="e">
        <f t="shared" si="5"/>
        <v>#DIV/0!</v>
      </c>
      <c r="J7" s="571" t="e">
        <f t="shared" si="5"/>
        <v>#DIV/0!</v>
      </c>
      <c r="K7" s="3"/>
      <c r="L7" s="133" t="s">
        <v>655</v>
      </c>
      <c r="M7" s="570">
        <f t="shared" ref="M7:O7" si="6">+M5-M6</f>
        <v>399826.57999999996</v>
      </c>
      <c r="N7" s="572" t="e">
        <f t="shared" si="6"/>
        <v>#DIV/0!</v>
      </c>
      <c r="O7" s="571">
        <f t="shared" si="6"/>
        <v>284041.78000000003</v>
      </c>
      <c r="P7" s="3"/>
      <c r="Q7" s="133" t="s">
        <v>655</v>
      </c>
      <c r="R7" s="573">
        <f t="shared" ref="R7:T7" si="7">+R5-R6</f>
        <v>1095</v>
      </c>
      <c r="S7" s="570" t="e">
        <f t="shared" si="7"/>
        <v>#DIV/0!</v>
      </c>
      <c r="T7" s="574" t="e">
        <f t="shared" si="7"/>
        <v>#DIV/0!</v>
      </c>
      <c r="U7" s="3"/>
      <c r="V7" s="3"/>
      <c r="W7" s="3"/>
      <c r="X7" s="3"/>
      <c r="Y7" s="3"/>
      <c r="Z7" s="3"/>
    </row>
    <row r="8" spans="1:26">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c r="A10" s="3"/>
      <c r="B10" s="133" t="s">
        <v>659</v>
      </c>
      <c r="C10" s="577">
        <f t="shared" ref="C10:D10" si="12">+C5</f>
        <v>57</v>
      </c>
      <c r="D10" s="561">
        <f t="shared" si="12"/>
        <v>3579.5528070175483</v>
      </c>
      <c r="E10" s="566">
        <f>+C10*D10</f>
        <v>204034.51000000024</v>
      </c>
      <c r="F10" s="3"/>
      <c r="G10" s="133" t="s">
        <v>660</v>
      </c>
      <c r="H10" s="577">
        <f t="shared" ref="H10:I10" si="13">+H5</f>
        <v>56</v>
      </c>
      <c r="I10" s="561">
        <f t="shared" si="13"/>
        <v>2134.3708928571436</v>
      </c>
      <c r="J10" s="566">
        <f>+H10*I10</f>
        <v>119524.77000000005</v>
      </c>
      <c r="K10" s="3"/>
      <c r="L10" s="133" t="s">
        <v>661</v>
      </c>
      <c r="M10" s="561">
        <f t="shared" ref="M10:N10" si="14">+M5</f>
        <v>399826.57999999996</v>
      </c>
      <c r="N10" s="562">
        <f t="shared" si="14"/>
        <v>0.71041244931740166</v>
      </c>
      <c r="O10" s="566">
        <f>+M10*N10</f>
        <v>284041.78000000003</v>
      </c>
      <c r="P10" s="3"/>
      <c r="Q10" s="133" t="s">
        <v>662</v>
      </c>
      <c r="R10" s="578">
        <f t="shared" ref="R10:S10" si="15">+R5</f>
        <v>1095</v>
      </c>
      <c r="S10" s="561">
        <f t="shared" si="15"/>
        <v>328.55057534246578</v>
      </c>
      <c r="T10" s="566">
        <f>+R10*S10</f>
        <v>359762.88</v>
      </c>
      <c r="U10" s="3"/>
      <c r="V10" s="3"/>
      <c r="W10" s="3"/>
      <c r="X10" s="3"/>
      <c r="Y10" s="3"/>
      <c r="Z10" s="3"/>
    </row>
    <row r="11" spans="1:26">
      <c r="A11" s="3"/>
      <c r="B11" s="133" t="s">
        <v>663</v>
      </c>
      <c r="C11" s="577">
        <f>+C5</f>
        <v>57</v>
      </c>
      <c r="D11" s="566" t="e">
        <f>+D6</f>
        <v>#DIV/0!</v>
      </c>
      <c r="E11" s="566" t="e">
        <f>C11*D11</f>
        <v>#DIV/0!</v>
      </c>
      <c r="F11" s="3"/>
      <c r="G11" s="133" t="s">
        <v>663</v>
      </c>
      <c r="H11" s="577">
        <f>+H5</f>
        <v>56</v>
      </c>
      <c r="I11" s="566" t="e">
        <f>+I6</f>
        <v>#DIV/0!</v>
      </c>
      <c r="J11" s="566" t="e">
        <f>H11*I11</f>
        <v>#DIV/0!</v>
      </c>
      <c r="K11" s="3"/>
      <c r="L11" s="133" t="s">
        <v>663</v>
      </c>
      <c r="M11" s="561">
        <f>+M5</f>
        <v>399826.57999999996</v>
      </c>
      <c r="N11" s="567" t="e">
        <f>+N6</f>
        <v>#DIV/0!</v>
      </c>
      <c r="O11" s="566" t="e">
        <f>M11*N11</f>
        <v>#DIV/0!</v>
      </c>
      <c r="P11" s="3"/>
      <c r="Q11" s="133" t="s">
        <v>664</v>
      </c>
      <c r="R11" s="578">
        <f>+R5</f>
        <v>1095</v>
      </c>
      <c r="S11" s="566" t="e">
        <f>+S6</f>
        <v>#DIV/0!</v>
      </c>
      <c r="T11" s="566" t="e">
        <f>R11*S11</f>
        <v>#DIV/0!</v>
      </c>
      <c r="U11" s="3"/>
      <c r="V11" s="3"/>
      <c r="W11" s="3"/>
      <c r="X11" s="3"/>
      <c r="Y11" s="3"/>
      <c r="Z11" s="3"/>
    </row>
    <row r="12" spans="1:26">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c r="A15" s="3"/>
      <c r="B15" s="133" t="s">
        <v>666</v>
      </c>
      <c r="C15" s="577">
        <f t="shared" ref="C15:C16" si="20">+C5</f>
        <v>57</v>
      </c>
      <c r="D15" s="566" t="e">
        <f>+D6</f>
        <v>#DIV/0!</v>
      </c>
      <c r="E15" s="566" t="e">
        <f>+C15*D15</f>
        <v>#DIV/0!</v>
      </c>
      <c r="F15" s="3"/>
      <c r="G15" s="133" t="s">
        <v>667</v>
      </c>
      <c r="H15" s="577">
        <f t="shared" ref="H15:H16" si="21">+H5</f>
        <v>56</v>
      </c>
      <c r="I15" s="566" t="e">
        <f>+I6</f>
        <v>#DIV/0!</v>
      </c>
      <c r="J15" s="566" t="e">
        <f>+H15*I15</f>
        <v>#DIV/0!</v>
      </c>
      <c r="K15" s="3"/>
      <c r="L15" s="133" t="s">
        <v>668</v>
      </c>
      <c r="M15" s="561">
        <f t="shared" ref="M15:M16" si="22">+M5</f>
        <v>399826.57999999996</v>
      </c>
      <c r="N15" s="567" t="e">
        <f>+N6</f>
        <v>#DIV/0!</v>
      </c>
      <c r="O15" s="566" t="e">
        <f>+M15*N15</f>
        <v>#DIV/0!</v>
      </c>
      <c r="P15" s="3"/>
      <c r="Q15" s="133" t="s">
        <v>669</v>
      </c>
      <c r="R15" s="578">
        <f t="shared" ref="R15:R16" si="23">+R5</f>
        <v>1095</v>
      </c>
      <c r="S15" s="566" t="e">
        <f>+S6</f>
        <v>#DIV/0!</v>
      </c>
      <c r="T15" s="566" t="e">
        <f>+R15*S15</f>
        <v>#DIV/0!</v>
      </c>
      <c r="U15" s="3"/>
      <c r="V15" s="3"/>
      <c r="W15" s="3"/>
      <c r="X15" s="3"/>
      <c r="Y15" s="3"/>
      <c r="Z15" s="3"/>
    </row>
    <row r="16" spans="1:26">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c r="A17" s="3"/>
      <c r="B17" s="133" t="s">
        <v>665</v>
      </c>
      <c r="C17" s="569">
        <f t="shared" ref="C17:E17" si="24">+C15-C16</f>
        <v>57</v>
      </c>
      <c r="D17" s="570" t="e">
        <f t="shared" si="24"/>
        <v>#DIV/0!</v>
      </c>
      <c r="E17" s="571" t="e">
        <f t="shared" si="24"/>
        <v>#DIV/0!</v>
      </c>
      <c r="F17" s="3"/>
      <c r="G17" s="133" t="s">
        <v>665</v>
      </c>
      <c r="H17" s="569">
        <f t="shared" ref="H17:J17" si="25">+H15-H16</f>
        <v>56</v>
      </c>
      <c r="I17" s="570" t="e">
        <f t="shared" si="25"/>
        <v>#DIV/0!</v>
      </c>
      <c r="J17" s="571" t="e">
        <f t="shared" si="25"/>
        <v>#DIV/0!</v>
      </c>
      <c r="K17" s="3"/>
      <c r="L17" s="133" t="s">
        <v>665</v>
      </c>
      <c r="M17" s="570">
        <f t="shared" ref="M17:O17" si="26">+M15-M16</f>
        <v>399826.57999999996</v>
      </c>
      <c r="N17" s="572" t="e">
        <f t="shared" si="26"/>
        <v>#DIV/0!</v>
      </c>
      <c r="O17" s="571" t="e">
        <f t="shared" si="26"/>
        <v>#DIV/0!</v>
      </c>
      <c r="P17" s="3"/>
      <c r="Q17" s="133" t="s">
        <v>665</v>
      </c>
      <c r="R17" s="573">
        <f t="shared" ref="R17:T17" si="27">+R15-R16</f>
        <v>1095</v>
      </c>
      <c r="S17" s="570" t="e">
        <f t="shared" si="27"/>
        <v>#DIV/0!</v>
      </c>
      <c r="T17" s="574" t="e">
        <f t="shared" si="27"/>
        <v>#DIV/0!</v>
      </c>
      <c r="U17" s="3"/>
      <c r="V17" s="3"/>
      <c r="W17" s="3"/>
      <c r="X17" s="3"/>
      <c r="Y17" s="3"/>
      <c r="Z17" s="3"/>
    </row>
    <row r="18" spans="1:26">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c r="A20" s="3"/>
      <c r="B20" s="133" t="s">
        <v>672</v>
      </c>
      <c r="C20" s="579">
        <f t="shared" ref="C20:D20" si="28">MAX(C5:C6)</f>
        <v>57</v>
      </c>
      <c r="D20" s="566" t="e">
        <f t="shared" si="28"/>
        <v>#DIV/0!</v>
      </c>
      <c r="E20" s="566" t="e">
        <f>+C20*D20</f>
        <v>#DIV/0!</v>
      </c>
      <c r="F20" s="3"/>
      <c r="G20" s="133" t="s">
        <v>672</v>
      </c>
      <c r="H20" s="579">
        <f t="shared" ref="H20:I20" si="29">MAX(H5:H6)</f>
        <v>56</v>
      </c>
      <c r="I20" s="566" t="e">
        <f t="shared" si="29"/>
        <v>#DIV/0!</v>
      </c>
      <c r="J20" s="566" t="e">
        <f>+H20*I20</f>
        <v>#DIV/0!</v>
      </c>
      <c r="K20" s="3"/>
      <c r="L20" s="133" t="s">
        <v>672</v>
      </c>
      <c r="M20" s="566">
        <f t="shared" ref="M20:N20" si="30">MAX(M5:M6)</f>
        <v>399826.57999999996</v>
      </c>
      <c r="N20" s="567" t="e">
        <f t="shared" si="30"/>
        <v>#DIV/0!</v>
      </c>
      <c r="O20" s="566" t="e">
        <f>+M20*N20</f>
        <v>#DIV/0!</v>
      </c>
      <c r="P20" s="3"/>
      <c r="Q20" s="133" t="s">
        <v>672</v>
      </c>
      <c r="R20" s="580">
        <f t="shared" ref="R20:S20" si="31">MAX(R5:R6)</f>
        <v>1095</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57</v>
      </c>
      <c r="D23" s="570" t="e">
        <f t="shared" si="36"/>
        <v>#DIV/0!</v>
      </c>
      <c r="E23" s="570" t="e">
        <f t="shared" si="36"/>
        <v>#DIV/0!</v>
      </c>
      <c r="F23" s="3"/>
      <c r="G23" s="133" t="s">
        <v>674</v>
      </c>
      <c r="H23" s="569">
        <f t="shared" ref="H23:J23" si="37">+H20-H22</f>
        <v>56</v>
      </c>
      <c r="I23" s="570" t="e">
        <f t="shared" si="37"/>
        <v>#DIV/0!</v>
      </c>
      <c r="J23" s="570" t="e">
        <f t="shared" si="37"/>
        <v>#DIV/0!</v>
      </c>
      <c r="K23" s="3"/>
      <c r="L23" s="133" t="s">
        <v>674</v>
      </c>
      <c r="M23" s="570">
        <f t="shared" ref="M23:O23" si="38">+M20-M22</f>
        <v>399826.57999999996</v>
      </c>
      <c r="N23" s="572" t="e">
        <f t="shared" si="38"/>
        <v>#DIV/0!</v>
      </c>
      <c r="O23" s="570" t="e">
        <f t="shared" si="38"/>
        <v>#DIV/0!</v>
      </c>
      <c r="P23" s="3"/>
      <c r="Q23" s="133" t="s">
        <v>674</v>
      </c>
      <c r="R23" s="573">
        <f t="shared" ref="R23:T23" si="39">+R20-R22</f>
        <v>1095</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57</v>
      </c>
      <c r="D32" s="566">
        <f t="shared" ref="D32:D33" si="40">+E32/C32</f>
        <v>-314.40845389168078</v>
      </c>
      <c r="E32" s="566">
        <f>+Print_Mois!N78</f>
        <v>-17921.281871825806</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57</v>
      </c>
      <c r="D33" s="566">
        <f t="shared" si="40"/>
        <v>-42.474561403508694</v>
      </c>
      <c r="E33" s="566">
        <f>+Print_Mois!N82</f>
        <v>-2421.0499999999956</v>
      </c>
      <c r="F33" s="3"/>
      <c r="G33" s="133" t="s">
        <v>681</v>
      </c>
      <c r="H33" s="588">
        <f>+H17</f>
        <v>56</v>
      </c>
      <c r="I33" s="566">
        <f>+J33/H33</f>
        <v>-19.660714285714285</v>
      </c>
      <c r="J33" s="566">
        <f>+Print_Mois!N159</f>
        <v>-1101</v>
      </c>
      <c r="K33" s="3"/>
      <c r="L33" s="3"/>
      <c r="M33" s="3"/>
      <c r="N33" s="3"/>
      <c r="O33" s="3"/>
      <c r="P33" s="3"/>
      <c r="Q33" s="3"/>
      <c r="R33" s="3"/>
      <c r="S33" s="3"/>
      <c r="T33" s="3"/>
      <c r="U33" s="3"/>
      <c r="V33" s="3"/>
      <c r="W33" s="3"/>
      <c r="X33" s="3"/>
      <c r="Y33" s="3"/>
      <c r="Z33" s="3"/>
    </row>
    <row r="34" spans="1:26" ht="15.75" customHeight="1">
      <c r="A34" s="3"/>
      <c r="B34" s="3"/>
      <c r="C34" s="3"/>
      <c r="D34" s="3"/>
      <c r="E34" s="570">
        <f>SUM(E32:E33)</f>
        <v>-20342.331871825801</v>
      </c>
      <c r="F34" s="3"/>
      <c r="G34" s="3"/>
      <c r="H34" s="3"/>
      <c r="I34" s="3"/>
      <c r="J34" s="570">
        <f>SUM(J32:J33)</f>
        <v>-1101</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576"/>
      <c r="I35" s="566"/>
      <c r="J35" s="566"/>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39370078740157483" bottom="0.47244094488188981" header="0" footer="0"/>
  <pageSetup scale="58" fitToHeight="0" orientation="landscape" r:id="rId1"/>
  <headerFooter>
    <oddFooter>&amp;L&amp;F // &amp;A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699"/>
  <sheetViews>
    <sheetView topLeftCell="Q473" zoomScale="80" zoomScaleNormal="80" workbookViewId="0">
      <selection activeCell="AL493" sqref="AL493"/>
    </sheetView>
  </sheetViews>
  <sheetFormatPr baseColWidth="10" defaultColWidth="12.625" defaultRowHeight="15" customHeight="1"/>
  <cols>
    <col min="1" max="1" width="24.125" hidden="1" customWidth="1"/>
    <col min="2" max="2" width="36" hidden="1" customWidth="1"/>
    <col min="3" max="3" width="34.625" customWidth="1"/>
    <col min="4" max="4" width="16.375" customWidth="1"/>
    <col min="5" max="5" width="15.625" customWidth="1"/>
    <col min="6" max="6" width="16.875" customWidth="1"/>
    <col min="7" max="7" width="17.75" hidden="1" customWidth="1"/>
    <col min="8" max="8" width="15.625" hidden="1" customWidth="1"/>
    <col min="9" max="9" width="15.875" hidden="1" customWidth="1"/>
    <col min="10" max="10" width="16.75" customWidth="1"/>
    <col min="11" max="11" width="16.375" customWidth="1"/>
    <col min="12" max="12" width="15.875" customWidth="1"/>
    <col min="13" max="13" width="12" customWidth="1"/>
    <col min="14" max="14" width="18.625" customWidth="1"/>
    <col min="15" max="15" width="16.375" customWidth="1"/>
    <col min="16" max="16" width="15.625" customWidth="1"/>
    <col min="17" max="17" width="16.375" customWidth="1"/>
    <col min="18" max="18" width="14.5" customWidth="1"/>
    <col min="19" max="19" width="21.375" customWidth="1"/>
    <col min="20" max="20" width="3" customWidth="1"/>
    <col min="21" max="21" width="30.875" bestFit="1" customWidth="1"/>
    <col min="22" max="22" width="28.75" customWidth="1"/>
    <col min="23" max="24" width="12.25" customWidth="1"/>
    <col min="25" max="25" width="12.5" customWidth="1"/>
    <col min="26" max="26" width="17.375" customWidth="1"/>
    <col min="27" max="27" width="10.875" hidden="1" customWidth="1"/>
    <col min="28" max="28" width="10" hidden="1" customWidth="1"/>
    <col min="29" max="29" width="17.5" hidden="1" customWidth="1"/>
    <col min="30" max="30" width="13.875" customWidth="1"/>
    <col min="31" max="31" width="15.375" customWidth="1"/>
    <col min="32" max="32" width="18.875" customWidth="1"/>
    <col min="33" max="33" width="13.875" bestFit="1" customWidth="1"/>
    <col min="34" max="34" width="16.25" customWidth="1"/>
    <col min="35" max="35" width="15" customWidth="1"/>
    <col min="36" max="37" width="13.125" customWidth="1"/>
    <col min="38" max="38" width="17.5" customWidth="1"/>
    <col min="39" max="39" width="10.875" customWidth="1"/>
    <col min="40" max="40" width="16" customWidth="1"/>
    <col min="41" max="41" width="12.375" customWidth="1"/>
    <col min="42" max="42" width="11" customWidth="1"/>
    <col min="43" max="43" width="15.75" customWidth="1"/>
    <col min="44" max="44" width="19.875" customWidth="1"/>
    <col min="45" max="62" width="11" customWidth="1"/>
  </cols>
  <sheetData>
    <row r="1" spans="1:40" ht="35.25">
      <c r="B1" s="36"/>
      <c r="C1" s="947" t="str">
        <f>Parametres!B1</f>
        <v>Volks</v>
      </c>
      <c r="D1" s="232"/>
      <c r="E1" s="232"/>
      <c r="F1" s="232"/>
      <c r="G1" s="232"/>
      <c r="H1" s="36"/>
      <c r="I1" s="232"/>
      <c r="J1" s="36"/>
      <c r="K1" s="9" t="s">
        <v>92</v>
      </c>
      <c r="L1" s="232"/>
      <c r="M1" s="232"/>
      <c r="N1" s="234"/>
      <c r="O1" s="957"/>
      <c r="P1" s="956"/>
      <c r="Q1" s="957"/>
      <c r="R1" s="956"/>
      <c r="S1" s="959" t="str">
        <f>CONCATENATE("Réalisé AAJ,"," ",Parametres!B3," ",Parametres!B4)</f>
        <v>Réalisé AAJ, Mai 2025</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X2" s="235" t="s">
        <v>338</v>
      </c>
      <c r="Y2" s="235" t="s">
        <v>339</v>
      </c>
      <c r="Z2" s="235" t="s">
        <v>340</v>
      </c>
      <c r="AC2" s="5"/>
      <c r="AJ2" s="235" t="s">
        <v>338</v>
      </c>
      <c r="AK2" s="235" t="s">
        <v>339</v>
      </c>
      <c r="AL2" s="235" t="s">
        <v>340</v>
      </c>
    </row>
    <row r="3" spans="1:40" ht="20.25">
      <c r="B3" s="41"/>
      <c r="C3" s="238"/>
      <c r="D3" s="1218" t="s">
        <v>343</v>
      </c>
      <c r="E3" s="1219"/>
      <c r="F3" s="1220"/>
      <c r="G3" s="1223"/>
      <c r="H3" s="1219"/>
      <c r="I3" s="1220"/>
      <c r="J3" s="1223" t="s">
        <v>344</v>
      </c>
      <c r="K3" s="1219"/>
      <c r="L3" s="1220"/>
      <c r="M3" s="1223" t="s">
        <v>3310</v>
      </c>
      <c r="N3" s="1220"/>
      <c r="O3" s="1218" t="s">
        <v>345</v>
      </c>
      <c r="P3" s="1219"/>
      <c r="Q3" s="1220"/>
      <c r="R3" s="1221" t="s">
        <v>3312</v>
      </c>
      <c r="S3" s="1222"/>
      <c r="T3" s="41"/>
      <c r="U3" s="41"/>
      <c r="V3" s="5" t="s">
        <v>347</v>
      </c>
      <c r="W3" s="599">
        <v>0.45</v>
      </c>
      <c r="X3" s="41"/>
      <c r="Y3" s="41"/>
      <c r="Z3" s="41"/>
      <c r="AA3" s="41"/>
      <c r="AB3" s="41"/>
      <c r="AC3" s="41"/>
      <c r="AD3" s="41"/>
      <c r="AE3" s="41"/>
      <c r="AF3" s="41"/>
      <c r="AG3" s="41"/>
      <c r="AH3" s="41"/>
      <c r="AI3" s="41"/>
      <c r="AJ3" s="41"/>
      <c r="AK3" s="41"/>
      <c r="AL3" s="41"/>
      <c r="AM3" s="41"/>
      <c r="AN3" s="41"/>
    </row>
    <row r="4" spans="1:40" ht="20.25">
      <c r="B4" s="41"/>
      <c r="C4" s="241"/>
      <c r="D4" s="242" t="s">
        <v>93</v>
      </c>
      <c r="E4" s="243" t="s">
        <v>348</v>
      </c>
      <c r="F4" s="244" t="s">
        <v>95</v>
      </c>
      <c r="G4" s="245"/>
      <c r="H4" s="243"/>
      <c r="I4" s="244"/>
      <c r="J4" s="245" t="s">
        <v>3318</v>
      </c>
      <c r="K4" s="243" t="s">
        <v>94</v>
      </c>
      <c r="L4" s="244" t="s">
        <v>95</v>
      </c>
      <c r="M4" s="245" t="s">
        <v>3318</v>
      </c>
      <c r="N4" s="244" t="s">
        <v>95</v>
      </c>
      <c r="O4" s="243" t="s">
        <v>93</v>
      </c>
      <c r="P4" s="243" t="s">
        <v>348</v>
      </c>
      <c r="Q4" s="244" t="s">
        <v>95</v>
      </c>
      <c r="R4" s="245" t="s">
        <v>3318</v>
      </c>
      <c r="S4" s="244" t="s">
        <v>95</v>
      </c>
      <c r="T4" s="41"/>
      <c r="U4" s="41"/>
      <c r="V4" s="5" t="s">
        <v>349</v>
      </c>
      <c r="W4" s="599">
        <v>0.1</v>
      </c>
      <c r="X4" s="41"/>
      <c r="Y4" s="41"/>
      <c r="Z4" s="41"/>
      <c r="AA4" s="41"/>
      <c r="AB4" s="41"/>
      <c r="AC4" s="41"/>
      <c r="AD4" s="41"/>
      <c r="AE4" s="41"/>
      <c r="AF4" s="41"/>
      <c r="AG4" s="41"/>
      <c r="AH4" s="41"/>
      <c r="AI4" s="41"/>
      <c r="AJ4" s="41"/>
      <c r="AK4" s="41"/>
      <c r="AL4" s="41"/>
      <c r="AM4" s="41"/>
      <c r="AN4" s="41"/>
    </row>
    <row r="5" spans="1:40" ht="20.25">
      <c r="A5" s="5" t="str">
        <f t="shared" ref="A5:A85" si="0">+B5&amp;C5</f>
        <v>Véhicules neufsVentes nettes</v>
      </c>
      <c r="B5" s="41" t="str">
        <f t="shared" ref="B5:B85" si="1">+$K$1</f>
        <v>Véhicules neufs</v>
      </c>
      <c r="C5" s="246" t="s">
        <v>96</v>
      </c>
      <c r="D5" s="247"/>
      <c r="E5" s="247"/>
      <c r="F5" s="248" cm="1">
        <f t="array" ref="F5">+SUMPRODUCT(('Budget original'!$A$8:$A$501=$A5)*('Budget original'!$C$3:$AO$3=F$2),'Budget original'!$C$8:$AO$501)</f>
        <v>15124392.648599412</v>
      </c>
      <c r="G5" s="246"/>
      <c r="H5" s="247"/>
      <c r="I5" s="249"/>
      <c r="J5" s="246"/>
      <c r="K5" s="250"/>
      <c r="L5" s="248">
        <f>-SUMIFS(BV_Data_An_Cour!$P:$P,BV_Data_An_Cour!$X:$X,"Oui",BV_Data_An_Cour!$U:$U,$B5)</f>
        <v>13892435.33</v>
      </c>
      <c r="M5" s="251"/>
      <c r="N5" s="252"/>
      <c r="O5" s="246"/>
      <c r="P5" s="250"/>
      <c r="Q5" s="248" cm="1">
        <f t="array" ref="Q5">+SUMPRODUCT(('Réel 2024'!$A$8:$A$501=$A5)*('Réel 2024'!$C$3:$AO$3=Q$2),'Réel 2024'!$C$8:$AO$501)</f>
        <v>17774260.889999997</v>
      </c>
      <c r="R5" s="251"/>
      <c r="S5" s="252"/>
      <c r="T5" s="41"/>
      <c r="U5" s="41"/>
      <c r="V5" s="600" t="s">
        <v>351</v>
      </c>
      <c r="W5" s="601">
        <v>0.22500000000000001</v>
      </c>
      <c r="X5" s="41"/>
      <c r="Y5" s="41"/>
      <c r="Z5" s="41"/>
      <c r="AA5" s="41"/>
      <c r="AB5" s="41"/>
      <c r="AC5" s="41"/>
      <c r="AD5" s="41"/>
      <c r="AE5" s="41"/>
      <c r="AF5" s="41"/>
      <c r="AG5" s="41"/>
      <c r="AH5" s="41"/>
      <c r="AI5" s="41"/>
      <c r="AJ5" s="41"/>
      <c r="AK5" s="41"/>
      <c r="AL5" s="41"/>
      <c r="AM5" s="41"/>
      <c r="AN5" s="41"/>
    </row>
    <row r="6" spans="1:40" ht="20.25">
      <c r="A6" s="5" t="str">
        <f t="shared" si="0"/>
        <v>Véhicules neufsAutos détail</v>
      </c>
      <c r="B6" s="41" t="str">
        <f t="shared" si="1"/>
        <v>Véhicules neufs</v>
      </c>
      <c r="C6" s="253" t="s">
        <v>97</v>
      </c>
      <c r="D6" s="254" cm="1">
        <f t="array" ref="D6">+SUMPRODUCT(('Budget original'!$A$8:$A$501=$A6)*('Budget original'!$C$3:$AO$3=D$2),'Budget original'!$C$8:$AO$501)</f>
        <v>73</v>
      </c>
      <c r="E6" s="254">
        <f t="shared" ref="E6:E12" si="2">IF(D6=0,0,F6/D6)</f>
        <v>1953.6491683802799</v>
      </c>
      <c r="F6" s="254" cm="1">
        <f t="array" ref="F6">+SUMPRODUCT(('Budget original'!$A$8:$A$501=$A6)*('Budget original'!$C$3:$AO$3=F$2),'Budget original'!$C$8:$AO$501)</f>
        <v>142616.38929176042</v>
      </c>
      <c r="G6" s="255"/>
      <c r="H6" s="254"/>
      <c r="I6" s="254"/>
      <c r="J6" s="255">
        <f>-SUMIFS(BV_Data_An_Cour!$P:$P,BV_Data_An_Cour!$U:$U,$B6,BV_Data_An_Cour!$V:$V,$C6,BV_Data_An_Cour!$W:$W,J$2)</f>
        <v>57</v>
      </c>
      <c r="K6" s="254">
        <f t="shared" ref="K6:K12" si="3">IF(J6=0,0,L6/J6)</f>
        <v>1976.6787719298236</v>
      </c>
      <c r="L6" s="256">
        <f>-SUMIFS(BV_Data_An_Cour!$P:$P,BV_Data_An_Cour!$U:$U,$B6,BV_Data_An_Cour!$V:$V,$C6,BV_Data_An_Cour!$W:$W,L$2)</f>
        <v>112670.68999999994</v>
      </c>
      <c r="M6" s="255">
        <f t="shared" ref="M6:M12" si="4">J6-D6</f>
        <v>-16</v>
      </c>
      <c r="N6" s="256">
        <f t="shared" ref="N6:N12" si="5">L6-F6</f>
        <v>-29945.69929176048</v>
      </c>
      <c r="O6" s="255" cm="1">
        <f t="array" ref="O6">+SUMPRODUCT(('Réel 2024'!$A$8:$A$501=$A6)*('Réel 2024'!$C$3:$AO$3=O$2),'Réel 2024'!$C$8:$AO$501)</f>
        <v>84</v>
      </c>
      <c r="P6" s="254">
        <f t="shared" ref="P6:P12" si="6">IF(O6=0,0,Q6/O6)</f>
        <v>2155.3789285714238</v>
      </c>
      <c r="Q6" s="256" cm="1">
        <f t="array" ref="Q6">+SUMPRODUCT(('Réel 2024'!$A$8:$A$501=$A6)*('Réel 2024'!$C$3:$AO$3=Q$2),'Réel 2024'!$C$8:$AO$501)</f>
        <v>181051.82999999961</v>
      </c>
      <c r="R6" s="255">
        <f t="shared" ref="R6:R12" si="7">J6-O6</f>
        <v>-27</v>
      </c>
      <c r="S6" s="256">
        <f t="shared" ref="S6:S12" si="8">L6-Q6</f>
        <v>-68381.139999999665</v>
      </c>
      <c r="T6" s="41"/>
      <c r="U6" s="41"/>
      <c r="V6" s="600" t="s">
        <v>353</v>
      </c>
      <c r="W6" s="601">
        <v>2.5000000000000001E-2</v>
      </c>
      <c r="X6" s="41"/>
      <c r="Y6" s="41"/>
      <c r="Z6" s="41"/>
      <c r="AA6" s="41"/>
      <c r="AB6" s="41"/>
      <c r="AC6" s="41"/>
      <c r="AD6" s="41"/>
      <c r="AE6" s="41"/>
      <c r="AF6" s="41"/>
      <c r="AG6" s="41"/>
      <c r="AH6" s="41"/>
      <c r="AI6" s="41"/>
      <c r="AJ6" s="41"/>
      <c r="AK6" s="41"/>
      <c r="AL6" s="41"/>
      <c r="AM6" s="41"/>
      <c r="AN6" s="41"/>
    </row>
    <row r="7" spans="1:40" ht="20.25">
      <c r="A7" s="5" t="str">
        <f t="shared" si="0"/>
        <v>Véhicules neufsCamions détail</v>
      </c>
      <c r="B7" s="41" t="str">
        <f t="shared" si="1"/>
        <v>Véhicules neufs</v>
      </c>
      <c r="C7" s="253" t="s">
        <v>98</v>
      </c>
      <c r="D7" s="254" cm="1">
        <f t="array" ref="D7">+SUMPRODUCT(('Budget original'!$A$8:$A$501=$A7)*('Budget original'!$C$3:$AO$3=D$2),'Budget original'!$C$8:$AO$501)</f>
        <v>201</v>
      </c>
      <c r="E7" s="254">
        <f t="shared" si="2"/>
        <v>2435.9046775963698</v>
      </c>
      <c r="F7" s="254" cm="1">
        <f t="array" ref="F7">+SUMPRODUCT(('Budget original'!$A$8:$A$501=$A7)*('Budget original'!$C$3:$AO$3=F$2),'Budget original'!$C$8:$AO$501)</f>
        <v>489616.84019687033</v>
      </c>
      <c r="G7" s="255"/>
      <c r="H7" s="254"/>
      <c r="I7" s="254"/>
      <c r="J7" s="255">
        <f>-SUMIFS(BV_Data_An_Cour!$P:$P,BV_Data_An_Cour!$U:$U,$B7,BV_Data_An_Cour!$V:$V,$C7,BV_Data_An_Cour!$W:$W,J$2)</f>
        <v>180</v>
      </c>
      <c r="K7" s="254">
        <f t="shared" si="3"/>
        <v>2395.0587222222239</v>
      </c>
      <c r="L7" s="256">
        <f>-SUMIFS(BV_Data_An_Cour!$P:$P,BV_Data_An_Cour!$U:$U,$B7,BV_Data_An_Cour!$V:$V,$C7,BV_Data_An_Cour!$W:$W,L$2)</f>
        <v>431110.5700000003</v>
      </c>
      <c r="M7" s="255">
        <f t="shared" si="4"/>
        <v>-21</v>
      </c>
      <c r="N7" s="256">
        <f t="shared" si="5"/>
        <v>-58506.270196870028</v>
      </c>
      <c r="O7" s="255" cm="1">
        <f t="array" ref="O7">+SUMPRODUCT(('Réel 2024'!$A$8:$A$501=$A7)*('Réel 2024'!$C$3:$AO$3=O$2),'Réel 2024'!$C$8:$AO$501)</f>
        <v>239</v>
      </c>
      <c r="P7" s="254">
        <f t="shared" si="6"/>
        <v>2630.8263598326316</v>
      </c>
      <c r="Q7" s="256" cm="1">
        <f t="array" ref="Q7">+SUMPRODUCT(('Réel 2024'!$A$8:$A$501=$A7)*('Réel 2024'!$C$3:$AO$3=Q$2),'Réel 2024'!$C$8:$AO$501)</f>
        <v>628767.49999999895</v>
      </c>
      <c r="R7" s="255">
        <f t="shared" si="7"/>
        <v>-59</v>
      </c>
      <c r="S7" s="256">
        <f t="shared" si="8"/>
        <v>-197656.92999999865</v>
      </c>
      <c r="T7" s="41"/>
      <c r="U7" s="41"/>
      <c r="V7" s="5" t="s">
        <v>355</v>
      </c>
      <c r="W7" s="599">
        <v>0.2</v>
      </c>
      <c r="X7" s="41"/>
      <c r="Y7" s="41"/>
      <c r="Z7" s="41"/>
      <c r="AA7" s="41"/>
      <c r="AB7" s="41"/>
      <c r="AC7" s="41"/>
      <c r="AD7" s="41"/>
      <c r="AE7" s="41"/>
      <c r="AF7" s="41"/>
      <c r="AG7" s="41"/>
      <c r="AH7" s="41"/>
      <c r="AI7" s="41"/>
      <c r="AJ7" s="41"/>
      <c r="AK7" s="41"/>
      <c r="AL7" s="41"/>
      <c r="AM7" s="41"/>
      <c r="AN7" s="41"/>
    </row>
    <row r="8" spans="1:40" ht="20.25">
      <c r="A8" s="5" t="str">
        <f t="shared" si="0"/>
        <v>Véhicules neufsSprinter</v>
      </c>
      <c r="B8" s="41" t="str">
        <f t="shared" si="1"/>
        <v>Véhicules neufs</v>
      </c>
      <c r="C8" s="253" t="s">
        <v>99</v>
      </c>
      <c r="D8" s="254" cm="1">
        <f t="array" ref="D8">+SUMPRODUCT(('Budget original'!$A$8:$A$501=$A8)*('Budget original'!$C$3:$AO$3=D$2),'Budget original'!$C$8:$AO$501)</f>
        <v>0</v>
      </c>
      <c r="E8" s="254">
        <f t="shared" si="2"/>
        <v>0</v>
      </c>
      <c r="F8" s="254" cm="1">
        <f t="array" ref="F8">+SUMPRODUCT(('Budget original'!$A$8:$A$501=$A8)*('Budget original'!$C$3:$AO$3=F$2),'Budget original'!$C$8:$AO$501)</f>
        <v>0</v>
      </c>
      <c r="G8" s="255"/>
      <c r="H8" s="254"/>
      <c r="I8" s="254"/>
      <c r="J8" s="255">
        <f>-SUMIFS(BV_Data_An_Cour!$P:$P,BV_Data_An_Cour!$U:$U,$B8,BV_Data_An_Cour!$V:$V,$C8,BV_Data_An_Cour!$W:$W,J$2)</f>
        <v>0</v>
      </c>
      <c r="K8" s="254">
        <f t="shared" si="3"/>
        <v>0</v>
      </c>
      <c r="L8" s="256">
        <f>-SUMIFS(BV_Data_An_Cour!$P:$P,BV_Data_An_Cour!$U:$U,$B8,BV_Data_An_Cour!$V:$V,$C8,BV_Data_An_Cour!$W:$W,L$2)</f>
        <v>0</v>
      </c>
      <c r="M8" s="255">
        <f t="shared" si="4"/>
        <v>0</v>
      </c>
      <c r="N8" s="256">
        <f t="shared" si="5"/>
        <v>0</v>
      </c>
      <c r="O8" s="255" cm="1">
        <f t="array" ref="O8">+SUMPRODUCT(('Réel 2024'!$A$8:$A$501=$A8)*('Réel 2024'!$C$3:$AO$3=O$2),'Réel 2024'!$C$8:$AO$501)</f>
        <v>0</v>
      </c>
      <c r="P8" s="254">
        <f t="shared" si="6"/>
        <v>0</v>
      </c>
      <c r="Q8" s="256" cm="1">
        <f t="array" ref="Q8">+SUMPRODUCT(('Réel 2024'!$A$8:$A$501=$A8)*('Réel 2024'!$C$3:$AO$3=Q$2),'Réel 2024'!$C$8:$AO$501)</f>
        <v>0</v>
      </c>
      <c r="R8" s="255">
        <f t="shared" si="7"/>
        <v>0</v>
      </c>
      <c r="S8" s="256">
        <f t="shared" si="8"/>
        <v>0</v>
      </c>
      <c r="T8" s="41"/>
      <c r="U8" s="41"/>
      <c r="W8" s="599">
        <f>SUM(W3:W7)</f>
        <v>1</v>
      </c>
      <c r="X8" s="41"/>
      <c r="Y8" s="41"/>
      <c r="Z8" s="41"/>
      <c r="AA8" s="41"/>
      <c r="AB8" s="41"/>
      <c r="AC8" s="41"/>
      <c r="AD8" s="41"/>
      <c r="AE8" s="41"/>
      <c r="AF8" s="41"/>
      <c r="AG8" s="41"/>
      <c r="AH8" s="41"/>
      <c r="AI8" s="41"/>
      <c r="AJ8" s="41"/>
      <c r="AK8" s="41"/>
      <c r="AL8" s="41"/>
      <c r="AM8" s="41"/>
      <c r="AN8" s="41"/>
    </row>
    <row r="9" spans="1:40" ht="20.25">
      <c r="A9" s="5" t="str">
        <f t="shared" si="0"/>
        <v>Véhicules neufsMoto détail</v>
      </c>
      <c r="B9" s="41" t="str">
        <f t="shared" si="1"/>
        <v>Véhicules neufs</v>
      </c>
      <c r="C9" s="253" t="s">
        <v>100</v>
      </c>
      <c r="D9" s="254" cm="1">
        <f t="array" ref="D9">+SUMPRODUCT(('Budget original'!$A$8:$A$501=$A9)*('Budget original'!$C$3:$AO$3=D$2),'Budget original'!$C$8:$AO$501)</f>
        <v>0</v>
      </c>
      <c r="E9" s="254">
        <f t="shared" si="2"/>
        <v>0</v>
      </c>
      <c r="F9" s="254" cm="1">
        <f t="array" ref="F9">+SUMPRODUCT(('Budget original'!$A$8:$A$501=$A9)*('Budget original'!$C$3:$AO$3=F$2),'Budget original'!$C$8:$AO$501)</f>
        <v>0</v>
      </c>
      <c r="G9" s="255"/>
      <c r="H9" s="254"/>
      <c r="I9" s="254"/>
      <c r="J9" s="255">
        <f>-SUMIFS(BV_Data_An_Cour!$P:$P,BV_Data_An_Cour!$U:$U,$B9,BV_Data_An_Cour!$V:$V,$C9,BV_Data_An_Cour!$W:$W,J$2)</f>
        <v>0</v>
      </c>
      <c r="K9" s="254">
        <f t="shared" si="3"/>
        <v>0</v>
      </c>
      <c r="L9" s="256">
        <f>-SUMIFS(BV_Data_An_Cour!$P:$P,BV_Data_An_Cour!$U:$U,$B9,BV_Data_An_Cour!$V:$V,$C9,BV_Data_An_Cour!$W:$W,L$2)</f>
        <v>0</v>
      </c>
      <c r="M9" s="255">
        <f t="shared" si="4"/>
        <v>0</v>
      </c>
      <c r="N9" s="256">
        <f t="shared" si="5"/>
        <v>0</v>
      </c>
      <c r="O9" s="255" cm="1">
        <f t="array" ref="O9">+SUMPRODUCT(('Réel 2024'!$A$8:$A$501=$A9)*('Réel 2024'!$C$3:$AO$3=O$2),'Réel 2024'!$C$8:$AO$501)</f>
        <v>0</v>
      </c>
      <c r="P9" s="254">
        <f t="shared" si="6"/>
        <v>0</v>
      </c>
      <c r="Q9" s="256" cm="1">
        <f t="array" ref="Q9">+SUMPRODUCT(('Réel 2024'!$A$8:$A$501=$A9)*('Réel 2024'!$C$3:$AO$3=Q$2),'Réel 2024'!$C$8:$AO$501)</f>
        <v>0</v>
      </c>
      <c r="R9" s="255">
        <f t="shared" si="7"/>
        <v>0</v>
      </c>
      <c r="S9" s="256">
        <f t="shared" si="8"/>
        <v>0</v>
      </c>
      <c r="T9" s="41"/>
      <c r="U9" s="41"/>
      <c r="V9" s="41"/>
      <c r="W9" s="41"/>
      <c r="X9" s="41"/>
      <c r="Y9" s="41"/>
      <c r="Z9" s="41"/>
      <c r="AA9" s="41"/>
      <c r="AB9" s="41"/>
      <c r="AC9" s="41"/>
      <c r="AD9" s="41"/>
      <c r="AE9" s="41"/>
      <c r="AF9" s="41"/>
      <c r="AG9" s="41"/>
      <c r="AH9" s="41"/>
      <c r="AI9" s="41"/>
      <c r="AJ9" s="41"/>
      <c r="AK9" s="41"/>
      <c r="AL9" s="41"/>
      <c r="AM9" s="41"/>
      <c r="AN9" s="41"/>
    </row>
    <row r="10" spans="1:40" ht="20.25" hidden="1">
      <c r="A10" s="5" t="str">
        <f t="shared" si="0"/>
        <v>Véhicules neufs[...]</v>
      </c>
      <c r="B10" s="41" t="str">
        <f t="shared" si="1"/>
        <v>Véhicules neufs</v>
      </c>
      <c r="C10" s="253" t="s">
        <v>59</v>
      </c>
      <c r="D10" s="254" cm="1">
        <f t="array" ref="D10">+SUMPRODUCT(('Budget original'!$A$8:$A$501=$A10)*('Budget original'!$C$3:$AO$3=D$2),'Budget original'!$C$8:$AO$501)</f>
        <v>0</v>
      </c>
      <c r="E10" s="254">
        <f t="shared" si="2"/>
        <v>0</v>
      </c>
      <c r="F10" s="254" cm="1">
        <f t="array" ref="F10">+SUMPRODUCT(('Budget original'!$A$8:$A$501=$A10)*('Budget original'!$C$3:$AO$3=F$2),'Budget original'!$C$8:$AO$501)</f>
        <v>0</v>
      </c>
      <c r="G10" s="255"/>
      <c r="H10" s="254"/>
      <c r="I10" s="254"/>
      <c r="J10" s="255">
        <f>-SUMIFS(BV_Data_An_Cour!$P:$P,BV_Data_An_Cour!$U:$U,$B10,BV_Data_An_Cour!$V:$V,$C10,BV_Data_An_Cour!$W:$W,J$2)</f>
        <v>0</v>
      </c>
      <c r="K10" s="254">
        <f t="shared" si="3"/>
        <v>0</v>
      </c>
      <c r="L10" s="256">
        <f>-SUMIFS(BV_Data_An_Cour!$P:$P,BV_Data_An_Cour!$U:$U,$B10,BV_Data_An_Cour!$V:$V,$C10,BV_Data_An_Cour!$W:$W,L$2)</f>
        <v>0</v>
      </c>
      <c r="M10" s="255">
        <f t="shared" si="4"/>
        <v>0</v>
      </c>
      <c r="N10" s="256">
        <f t="shared" si="5"/>
        <v>0</v>
      </c>
      <c r="O10" s="255" cm="1">
        <f t="array" ref="O10">+SUMPRODUCT(('Réel 2024'!$A$8:$A$501=$A10)*('Réel 2024'!$C$3:$AO$3=O$2),'Réel 2024'!$C$8:$AO$501)</f>
        <v>0</v>
      </c>
      <c r="P10" s="254">
        <f t="shared" si="6"/>
        <v>0</v>
      </c>
      <c r="Q10" s="256" cm="1">
        <f t="array" ref="Q10">+SUMPRODUCT(('Réel 2024'!$A$8:$A$501=$A10)*('Réel 2024'!$C$3:$AO$3=Q$2),'Réel 2024'!$C$8:$AO$501)</f>
        <v>0</v>
      </c>
      <c r="R10" s="255">
        <f t="shared" si="7"/>
        <v>0</v>
      </c>
      <c r="S10" s="256">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 r="A11" s="5" t="str">
        <f t="shared" si="0"/>
        <v>Véhicules neufs[...]</v>
      </c>
      <c r="B11" s="41" t="str">
        <f t="shared" si="1"/>
        <v>Véhicules neufs</v>
      </c>
      <c r="C11" s="253" t="s">
        <v>59</v>
      </c>
      <c r="D11" s="254" cm="1">
        <f t="array" ref="D11">+SUMPRODUCT(('Budget original'!$A$8:$A$501=$A11)*('Budget original'!$C$3:$AO$3=D$2),'Budget original'!$C$8:$AO$501)</f>
        <v>0</v>
      </c>
      <c r="E11" s="254">
        <f t="shared" si="2"/>
        <v>0</v>
      </c>
      <c r="F11" s="254" cm="1">
        <f t="array" ref="F11">+SUMPRODUCT(('Budget original'!$A$8:$A$501=$A11)*('Budget original'!$C$3:$AO$3=F$2),'Budget original'!$C$8:$AO$501)</f>
        <v>0</v>
      </c>
      <c r="G11" s="255"/>
      <c r="H11" s="254"/>
      <c r="I11" s="254"/>
      <c r="J11" s="255">
        <f>-SUMIFS(BV_Data_An_Cour!$P:$P,BV_Data_An_Cour!$U:$U,$B11,BV_Data_An_Cour!$V:$V,$C11,BV_Data_An_Cour!$W:$W,J$2)</f>
        <v>0</v>
      </c>
      <c r="K11" s="254">
        <f t="shared" si="3"/>
        <v>0</v>
      </c>
      <c r="L11" s="256">
        <f>-SUMIFS(BV_Data_An_Cour!$P:$P,BV_Data_An_Cour!$U:$U,$B11,BV_Data_An_Cour!$V:$V,$C11,BV_Data_An_Cour!$W:$W,L$2)</f>
        <v>0</v>
      </c>
      <c r="M11" s="255">
        <f t="shared" si="4"/>
        <v>0</v>
      </c>
      <c r="N11" s="256">
        <f t="shared" si="5"/>
        <v>0</v>
      </c>
      <c r="O11" s="255" cm="1">
        <f t="array" ref="O11">+SUMPRODUCT(('Réel 2024'!$A$8:$A$501=$A11)*('Réel 2024'!$C$3:$AO$3=O$2),'Réel 2024'!$C$8:$AO$501)</f>
        <v>0</v>
      </c>
      <c r="P11" s="254">
        <f t="shared" si="6"/>
        <v>0</v>
      </c>
      <c r="Q11" s="256" cm="1">
        <f t="array" ref="Q11">+SUMPRODUCT(('Réel 2024'!$A$8:$A$501=$A11)*('Réel 2024'!$C$3:$AO$3=Q$2),'Réel 2024'!$C$8:$AO$501)</f>
        <v>0</v>
      </c>
      <c r="R11" s="255">
        <f t="shared" si="7"/>
        <v>0</v>
      </c>
      <c r="S11" s="256">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 r="A12" s="5" t="str">
        <f t="shared" si="0"/>
        <v>Véhicules neufs[...]</v>
      </c>
      <c r="B12" s="41" t="str">
        <f t="shared" si="1"/>
        <v>Véhicules neufs</v>
      </c>
      <c r="C12" s="253" t="s">
        <v>59</v>
      </c>
      <c r="D12" s="254" cm="1">
        <f t="array" ref="D12">+SUMPRODUCT(('Budget original'!$A$8:$A$501=$A12)*('Budget original'!$C$3:$AO$3=D$2),'Budget original'!$C$8:$AO$501)</f>
        <v>0</v>
      </c>
      <c r="E12" s="254">
        <f t="shared" si="2"/>
        <v>0</v>
      </c>
      <c r="F12" s="254" cm="1">
        <f t="array" ref="F12">+SUMPRODUCT(('Budget original'!$A$8:$A$501=$A12)*('Budget original'!$C$3:$AO$3=F$2),'Budget original'!$C$8:$AO$501)</f>
        <v>0</v>
      </c>
      <c r="G12" s="255"/>
      <c r="H12" s="254"/>
      <c r="I12" s="254"/>
      <c r="J12" s="255">
        <f>-SUMIFS(BV_Data_An_Cour!$P:$P,BV_Data_An_Cour!$U:$U,$B12,BV_Data_An_Cour!$V:$V,$C12,BV_Data_An_Cour!$W:$W,J$2)</f>
        <v>0</v>
      </c>
      <c r="K12" s="254">
        <f t="shared" si="3"/>
        <v>0</v>
      </c>
      <c r="L12" s="256">
        <f>-SUMIFS(BV_Data_An_Cour!$P:$P,BV_Data_An_Cour!$U:$U,$B12,BV_Data_An_Cour!$V:$V,$C12,BV_Data_An_Cour!$W:$W,L$2)</f>
        <v>0</v>
      </c>
      <c r="M12" s="255">
        <f t="shared" si="4"/>
        <v>0</v>
      </c>
      <c r="N12" s="256">
        <f t="shared" si="5"/>
        <v>0</v>
      </c>
      <c r="O12" s="255" cm="1">
        <f t="array" ref="O12">+SUMPRODUCT(('Réel 2024'!$A$8:$A$501=$A12)*('Réel 2024'!$C$3:$AO$3=O$2),'Réel 2024'!$C$8:$AO$501)</f>
        <v>0</v>
      </c>
      <c r="P12" s="254">
        <f t="shared" si="6"/>
        <v>0</v>
      </c>
      <c r="Q12" s="256" cm="1">
        <f t="array" ref="Q12">+SUMPRODUCT(('Réel 2024'!$A$8:$A$501=$A12)*('Réel 2024'!$C$3:$AO$3=Q$2),'Réel 2024'!$C$8:$AO$501)</f>
        <v>0</v>
      </c>
      <c r="R12" s="255">
        <f t="shared" si="7"/>
        <v>0</v>
      </c>
      <c r="S12" s="256">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tr">
        <f t="shared" si="0"/>
        <v>Véhicules neufsTotal Neufs</v>
      </c>
      <c r="B13" s="41" t="str">
        <f t="shared" si="1"/>
        <v>Véhicules neufs</v>
      </c>
      <c r="C13" s="259" t="s">
        <v>101</v>
      </c>
      <c r="D13" s="260">
        <f>+SUM(D6:D12)</f>
        <v>274</v>
      </c>
      <c r="E13" s="260">
        <f>IF(D13&lt;=0,0,F13/D13)</f>
        <v>2307.4205455789443</v>
      </c>
      <c r="F13" s="261">
        <f t="shared" ref="F13" si="9">+SUM(F6:F12)</f>
        <v>632233.22948863078</v>
      </c>
      <c r="G13" s="262"/>
      <c r="H13" s="260"/>
      <c r="I13" s="261"/>
      <c r="J13" s="262">
        <f t="shared" ref="J13" si="10">+SUM(J6:J12)</f>
        <v>237</v>
      </c>
      <c r="K13" s="260">
        <f>IF(J13&lt;=0,0,L13/J13)</f>
        <v>2294.4356962025327</v>
      </c>
      <c r="L13" s="261">
        <f t="shared" ref="L13" si="11">+SUM(L6:L12)</f>
        <v>543781.26000000024</v>
      </c>
      <c r="M13" s="262">
        <f>+SUM(M6:M12)</f>
        <v>-37</v>
      </c>
      <c r="N13" s="261">
        <f t="shared" ref="N13" si="12">+SUM(N6:N12)</f>
        <v>-88451.969488630508</v>
      </c>
      <c r="O13" s="262">
        <f>+SUM(O6:O12)</f>
        <v>323</v>
      </c>
      <c r="P13" s="260">
        <f>IF(O13&lt;=0,0,Q13/O13)</f>
        <v>2507.1805882352896</v>
      </c>
      <c r="Q13" s="261">
        <f t="shared" ref="Q13" si="13">+SUM(Q6:Q12)</f>
        <v>809819.32999999856</v>
      </c>
      <c r="R13" s="262">
        <f t="shared" ref="R13:S13" si="14">+SUM(R6:R12)</f>
        <v>-86</v>
      </c>
      <c r="S13" s="261">
        <f t="shared" si="14"/>
        <v>-266038.06999999832</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tr">
        <f t="shared" si="0"/>
        <v>Véhicules neufs</v>
      </c>
      <c r="B14" s="41" t="str">
        <f t="shared" si="1"/>
        <v>Véhicules neufs</v>
      </c>
      <c r="C14" s="253"/>
      <c r="D14" s="41"/>
      <c r="E14" s="254"/>
      <c r="F14" s="263"/>
      <c r="G14" s="253"/>
      <c r="H14" s="254"/>
      <c r="I14" s="263"/>
      <c r="J14" s="253"/>
      <c r="K14" s="254"/>
      <c r="L14" s="263"/>
      <c r="M14" s="264">
        <f>IF(D13=0,0,M13/D13)</f>
        <v>-0.13503649635036497</v>
      </c>
      <c r="N14" s="265">
        <f>IF(F13=0,0,N13/F13)</f>
        <v>-0.13990401858531404</v>
      </c>
      <c r="O14" s="253"/>
      <c r="P14" s="254"/>
      <c r="Q14" s="263"/>
      <c r="R14" s="264">
        <f>R13/O13</f>
        <v>-0.26625386996904027</v>
      </c>
      <c r="S14" s="265">
        <f>IF(Q13=0,0,(S13/Q13))</f>
        <v>-0.32851533687149553</v>
      </c>
      <c r="T14" s="41"/>
      <c r="U14" s="41"/>
      <c r="V14" s="41"/>
      <c r="W14" s="41"/>
      <c r="X14" s="41"/>
      <c r="Y14" s="41"/>
      <c r="Z14" s="41"/>
      <c r="AA14" s="41"/>
      <c r="AB14" s="41"/>
      <c r="AC14" s="41"/>
      <c r="AD14" s="41"/>
      <c r="AE14" s="41"/>
      <c r="AF14" s="41"/>
      <c r="AG14" s="41"/>
      <c r="AH14" s="41"/>
      <c r="AI14" s="41"/>
      <c r="AJ14" s="41"/>
      <c r="AK14" s="41"/>
      <c r="AL14" s="41"/>
      <c r="AM14" s="41"/>
      <c r="AN14" s="41"/>
    </row>
    <row r="15" spans="1:40" ht="20.25">
      <c r="A15" s="5" t="str">
        <f t="shared" si="0"/>
        <v>Véhicules neufsEx-Démos et courtoisies</v>
      </c>
      <c r="B15" s="41" t="str">
        <f t="shared" si="1"/>
        <v>Véhicules neufs</v>
      </c>
      <c r="C15" s="266" t="s">
        <v>102</v>
      </c>
      <c r="D15" s="250" cm="1">
        <f t="array" ref="D15">+SUMPRODUCT(('Budget original'!$A$8:$A$501=$A15)*('Budget original'!$C$3:$AO$3=D$2),'Budget original'!$C$8:$AO$501)</f>
        <v>14</v>
      </c>
      <c r="E15" s="250">
        <f>IF(D15=0,0,F15/D15)</f>
        <v>1534.7521433415677</v>
      </c>
      <c r="F15" s="248" cm="1">
        <f t="array" ref="F15">+SUMPRODUCT(('Budget original'!$A$8:$A$501=$A15)*('Budget original'!$C$3:$AO$3=F$2),'Budget original'!$C$8:$AO$501)</f>
        <v>21486.530006781948</v>
      </c>
      <c r="G15" s="267"/>
      <c r="H15" s="250"/>
      <c r="I15" s="248"/>
      <c r="J15" s="268">
        <f>-SUMIFS(BV_Data_An_Cour!$P:$P,BV_Data_An_Cour!$U:$U,$B15,BV_Data_An_Cour!$V:$V,$C15,BV_Data_An_Cour!$W:$W,J$2)</f>
        <v>15</v>
      </c>
      <c r="K15" s="269">
        <f>IF(J15=0,0,L15/J15)</f>
        <v>1266.2959999999962</v>
      </c>
      <c r="L15" s="269">
        <f>-SUMIFS(BV_Data_An_Cour!$P:$P,BV_Data_An_Cour!$U:$U,$B15,BV_Data_An_Cour!$V:$V,$C15,BV_Data_An_Cour!$W:$W,L$2)</f>
        <v>18994.439999999944</v>
      </c>
      <c r="M15" s="267">
        <f>J15-D15</f>
        <v>1</v>
      </c>
      <c r="N15" s="248">
        <f>L15-F15</f>
        <v>-2492.0900067820039</v>
      </c>
      <c r="O15" s="268" cm="1">
        <f t="array" ref="O15">+SUMPRODUCT(('Réel 2024'!$A$8:$A$501=$A15)*('Réel 2024'!$C$3:$AO$3=O$2),'Réel 2024'!$C$8:$AO$501)</f>
        <v>17</v>
      </c>
      <c r="P15" s="269">
        <f>IF(O15=0,0,Q15/O15)</f>
        <v>1557.7641176470584</v>
      </c>
      <c r="Q15" s="269" cm="1">
        <f t="array" ref="Q15">+SUMPRODUCT(('Réel 2024'!$A$8:$A$501=$A15)*('Réel 2024'!$C$3:$AO$3=Q$2),'Réel 2024'!$C$8:$AO$501)</f>
        <v>26481.989999999991</v>
      </c>
      <c r="R15" s="267">
        <f>J15-O15</f>
        <v>-2</v>
      </c>
      <c r="S15" s="248">
        <f>L15-Q15</f>
        <v>-7487.5500000000466</v>
      </c>
      <c r="T15" s="41"/>
      <c r="U15" s="41"/>
      <c r="V15" s="41"/>
      <c r="W15" s="41"/>
      <c r="X15" s="41"/>
      <c r="Y15" s="41"/>
      <c r="Z15" s="41"/>
      <c r="AA15" s="41"/>
      <c r="AB15" s="41"/>
      <c r="AC15" s="41"/>
      <c r="AD15" s="41"/>
      <c r="AE15" s="41"/>
      <c r="AF15" s="41"/>
      <c r="AG15" s="41"/>
      <c r="AH15" s="41"/>
      <c r="AI15" s="41"/>
      <c r="AJ15" s="41"/>
      <c r="AK15" s="41"/>
      <c r="AL15" s="41"/>
      <c r="AM15" s="41"/>
      <c r="AN15" s="41"/>
    </row>
    <row r="16" spans="1:40" ht="20.25">
      <c r="A16" s="5" t="str">
        <f t="shared" si="0"/>
        <v>Véhicules neufs</v>
      </c>
      <c r="B16" s="41" t="str">
        <f t="shared" si="1"/>
        <v>Véhicules neufs</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tr">
        <f t="shared" si="0"/>
        <v>Véhicules neufsFlottes</v>
      </c>
      <c r="B17" s="41" t="str">
        <f t="shared" si="1"/>
        <v>Véhicules neufs</v>
      </c>
      <c r="C17" s="270" t="s">
        <v>103</v>
      </c>
      <c r="D17" s="254" cm="1">
        <f t="array" ref="D17">+SUMPRODUCT(('Budget original'!$A$8:$A$501=$A17)*('Budget original'!$C$3:$AO$3=D$2),'Budget original'!$C$8:$AO$501)</f>
        <v>7</v>
      </c>
      <c r="E17" s="254">
        <f>IF(D17=0,0,F17/D17)</f>
        <v>2393.8521192147828</v>
      </c>
      <c r="F17" s="254" cm="1">
        <f t="array" ref="F17">+SUMPRODUCT(('Budget original'!$A$8:$A$501=$A17)*('Budget original'!$C$3:$AO$3=F$2),'Budget original'!$C$8:$AO$501)</f>
        <v>16756.96483450348</v>
      </c>
      <c r="G17" s="255"/>
      <c r="H17" s="254"/>
      <c r="I17" s="254"/>
      <c r="J17" s="267">
        <f>-SUMIFS(BV_Data_An_Cour!$P:$P,BV_Data_An_Cour!$U:$U,$B17,BV_Data_An_Cour!$V:$V,$C17,BV_Data_An_Cour!$W:$W,J$2)</f>
        <v>12</v>
      </c>
      <c r="K17" s="254">
        <f>IF(J17=0,0,L17/J17)</f>
        <v>2588.2191666666672</v>
      </c>
      <c r="L17" s="256">
        <f>-SUMIFS(BV_Data_An_Cour!$P:$P,BV_Data_An_Cour!$U:$U,$B17,BV_Data_An_Cour!$V:$V,$C17,BV_Data_An_Cour!$W:$W,L$2)</f>
        <v>31058.630000000005</v>
      </c>
      <c r="M17" s="267">
        <f>J17-D17</f>
        <v>5</v>
      </c>
      <c r="N17" s="256">
        <f>L17-F17</f>
        <v>14301.665165496524</v>
      </c>
      <c r="O17" s="267" cm="1">
        <f t="array" ref="O17">+SUMPRODUCT(('Réel 2024'!$A$8:$A$501=$A17)*('Réel 2024'!$C$3:$AO$3=O$2),'Réel 2024'!$C$8:$AO$501)</f>
        <v>2</v>
      </c>
      <c r="P17" s="254">
        <f>IF(O17=0,0,Q17/O17)</f>
        <v>1747.279999999995</v>
      </c>
      <c r="Q17" s="256" cm="1">
        <f t="array" ref="Q17">+SUMPRODUCT(('Réel 2024'!$A$8:$A$501=$A17)*('Réel 2024'!$C$3:$AO$3=Q$2),'Réel 2024'!$C$8:$AO$501)</f>
        <v>3494.5599999999899</v>
      </c>
      <c r="R17" s="255">
        <f>J17-O17</f>
        <v>10</v>
      </c>
      <c r="S17" s="256">
        <f>L17-Q17</f>
        <v>27564.070000000014</v>
      </c>
      <c r="T17" s="41"/>
      <c r="U17" s="41"/>
      <c r="V17" s="41" t="s">
        <v>690</v>
      </c>
      <c r="W17" s="41" t="s">
        <v>286</v>
      </c>
      <c r="X17" s="41" t="s">
        <v>691</v>
      </c>
      <c r="Y17" s="41" t="s">
        <v>643</v>
      </c>
      <c r="Z17" s="41"/>
      <c r="AA17" s="41"/>
      <c r="AB17" s="41"/>
      <c r="AC17" s="41"/>
      <c r="AD17" s="41"/>
      <c r="AE17" s="41"/>
      <c r="AF17" s="41"/>
      <c r="AG17" s="41"/>
      <c r="AH17" s="41"/>
      <c r="AI17" s="41"/>
      <c r="AJ17" s="41"/>
      <c r="AK17" s="41"/>
      <c r="AL17" s="41"/>
      <c r="AM17" s="41"/>
      <c r="AN17" s="41"/>
    </row>
    <row r="18" spans="1:40" ht="20.25">
      <c r="A18" s="5" t="str">
        <f t="shared" si="0"/>
        <v>Véhicules neufs</v>
      </c>
      <c r="B18" s="41" t="str">
        <f t="shared" si="1"/>
        <v>Véhicules neufs</v>
      </c>
      <c r="C18" s="259"/>
      <c r="D18" s="271"/>
      <c r="E18" s="271"/>
      <c r="F18" s="272"/>
      <c r="G18" s="273"/>
      <c r="H18" s="271"/>
      <c r="I18" s="272"/>
      <c r="J18" s="255"/>
      <c r="K18" s="271"/>
      <c r="L18" s="272"/>
      <c r="M18" s="255"/>
      <c r="N18" s="272"/>
      <c r="O18" s="255"/>
      <c r="P18" s="271"/>
      <c r="Q18" s="272"/>
      <c r="R18" s="273"/>
      <c r="S18" s="272"/>
      <c r="T18" s="41"/>
      <c r="U18" s="41"/>
      <c r="V18" s="41" t="s">
        <v>692</v>
      </c>
      <c r="W18" s="459">
        <f>+I27+I108</f>
        <v>0</v>
      </c>
      <c r="X18" s="459">
        <f>+L27+L108</f>
        <v>1367147.5100000002</v>
      </c>
      <c r="Y18" s="459">
        <f t="shared" ref="Y18:Y19" si="15">+X18-W18</f>
        <v>1367147.5100000002</v>
      </c>
      <c r="Z18" s="41"/>
      <c r="AA18" s="41"/>
      <c r="AB18" s="41"/>
      <c r="AC18" s="41"/>
      <c r="AD18" s="41"/>
      <c r="AE18" s="41"/>
      <c r="AF18" s="41"/>
      <c r="AG18" s="41"/>
      <c r="AH18" s="41"/>
      <c r="AI18" s="41"/>
      <c r="AJ18" s="41"/>
      <c r="AK18" s="41"/>
      <c r="AL18" s="41"/>
      <c r="AM18" s="41"/>
      <c r="AN18" s="41"/>
    </row>
    <row r="19" spans="1:40" ht="20.25">
      <c r="A19" s="5" t="str">
        <f t="shared" si="0"/>
        <v>Véhicules neufsRachat bail</v>
      </c>
      <c r="B19" s="41" t="str">
        <f t="shared" si="1"/>
        <v>Véhicules neufs</v>
      </c>
      <c r="C19" s="266" t="s">
        <v>104</v>
      </c>
      <c r="D19" s="254" cm="1">
        <f t="array" ref="D19">+SUMPRODUCT(('Budget original'!$A$8:$A$501=$A19)*('Budget original'!$C$3:$AO$3=D$2),'Budget original'!$C$8:$AO$501)</f>
        <v>0</v>
      </c>
      <c r="E19" s="254">
        <f>IF(D19=0,0,F19/D19)</f>
        <v>0</v>
      </c>
      <c r="F19" s="254" cm="1">
        <f t="array" ref="F19">+SUMPRODUCT(('Budget original'!$A$8:$A$501=$A19)*('Budget original'!$C$3:$AO$3=F$2),'Budget original'!$C$8:$AO$501)</f>
        <v>30600</v>
      </c>
      <c r="G19" s="255"/>
      <c r="H19" s="254"/>
      <c r="I19" s="254"/>
      <c r="J19" s="267"/>
      <c r="K19" s="254"/>
      <c r="L19" s="256">
        <f>-SUMIFS(BV_Data_An_Cour!$P:$P,BV_Data_An_Cour!$U:$U,$B19,BV_Data_An_Cour!$V:$V,$C19,BV_Data_An_Cour!$W:$W,L$2)</f>
        <v>42377.459999999963</v>
      </c>
      <c r="M19" s="255"/>
      <c r="N19" s="256">
        <f>L19-F19</f>
        <v>11777.459999999963</v>
      </c>
      <c r="O19" s="267" cm="1">
        <f t="array" ref="O19">+SUMPRODUCT(('Réel 2024'!$A$8:$A$501=$A19)*('Réel 2024'!$C$3:$AO$3=O$2),'Réel 2024'!$C$8:$AO$501)</f>
        <v>0</v>
      </c>
      <c r="P19" s="254">
        <f>IF(O19=0,0,Q19/O19)</f>
        <v>0</v>
      </c>
      <c r="Q19" s="256" cm="1">
        <f t="array" ref="Q19">+SUMPRODUCT(('Réel 2024'!$A$8:$A$501=$A19)*('Réel 2024'!$C$3:$AO$3=Q$2),'Réel 2024'!$C$8:$AO$501)</f>
        <v>32460.369999999988</v>
      </c>
      <c r="R19" s="255">
        <f>O19-K19</f>
        <v>0</v>
      </c>
      <c r="S19" s="256">
        <f>L19-Q19</f>
        <v>9917.0899999999747</v>
      </c>
      <c r="T19" s="41"/>
      <c r="U19" s="41"/>
      <c r="V19" s="41" t="s">
        <v>693</v>
      </c>
      <c r="W19" s="459">
        <f>+I194+I250+I314</f>
        <v>0</v>
      </c>
      <c r="X19" s="459">
        <f>+L194+L250+L314</f>
        <v>1728377.56</v>
      </c>
      <c r="Y19" s="459">
        <f t="shared" si="15"/>
        <v>1728377.56</v>
      </c>
      <c r="Z19" s="41"/>
      <c r="AA19" s="41"/>
      <c r="AB19" s="41"/>
      <c r="AC19" s="41"/>
      <c r="AD19" s="41"/>
      <c r="AE19" s="41"/>
      <c r="AF19" s="41"/>
      <c r="AG19" s="41"/>
      <c r="AH19" s="41"/>
      <c r="AI19" s="41"/>
      <c r="AJ19" s="41"/>
      <c r="AK19" s="41"/>
      <c r="AL19" s="41"/>
      <c r="AM19" s="41"/>
      <c r="AN19" s="41"/>
    </row>
    <row r="20" spans="1:40" ht="20.25">
      <c r="A20" s="5" t="str">
        <f t="shared" si="0"/>
        <v>Véhicules neufs</v>
      </c>
      <c r="B20" s="41" t="str">
        <f t="shared" si="1"/>
        <v>Véhicules neufs</v>
      </c>
      <c r="C20" s="259"/>
      <c r="D20" s="271"/>
      <c r="E20" s="271"/>
      <c r="F20" s="272"/>
      <c r="G20" s="273"/>
      <c r="H20" s="271"/>
      <c r="I20" s="272"/>
      <c r="J20" s="255"/>
      <c r="K20" s="271"/>
      <c r="L20" s="272"/>
      <c r="M20" s="273"/>
      <c r="N20" s="272"/>
      <c r="O20" s="255"/>
      <c r="P20" s="271"/>
      <c r="Q20" s="272"/>
      <c r="R20" s="273"/>
      <c r="S20" s="272"/>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3" t="s">
        <v>105</v>
      </c>
      <c r="D21" s="254"/>
      <c r="E21" s="254"/>
      <c r="F21" s="254" cm="1">
        <f t="array" ref="F21">+SUMPRODUCT(('Budget original'!$A$8:$A$501=$A21)*('Budget original'!$C$3:$AO$3=F$2),'Budget original'!$C$8:$AO$501)</f>
        <v>14400</v>
      </c>
      <c r="G21" s="253"/>
      <c r="H21" s="254"/>
      <c r="I21" s="254"/>
      <c r="J21" s="255"/>
      <c r="K21" s="254">
        <f>IF(J13=0,0,L21/(J13+J15))</f>
        <v>4.9711904761904764</v>
      </c>
      <c r="L21" s="256">
        <f>-SUMIFS(BV_Data_An_Cour!$P:$P,BV_Data_An_Cour!$U:$U,$B21,BV_Data_An_Cour!$V:$V,$C21,BV_Data_An_Cour!$W:$W,L$2)</f>
        <v>1252.74</v>
      </c>
      <c r="M21" s="255"/>
      <c r="N21" s="256">
        <f>L21-F21</f>
        <v>-13147.26</v>
      </c>
      <c r="O21" s="255"/>
      <c r="P21" s="254"/>
      <c r="Q21" s="256" cm="1">
        <f t="array" ref="Q21">+SUMPRODUCT(('Réel 2024'!$A$8:$A$501=$A21)*('Réel 2024'!$C$3:$AO$3=Q$2),'Réel 2024'!$C$8:$AO$501)</f>
        <v>9528.1200000000008</v>
      </c>
      <c r="R21" s="255">
        <f t="shared" ref="R21:R23" si="16">O21-K21</f>
        <v>-4.9711904761904764</v>
      </c>
      <c r="S21" s="256">
        <f t="shared" ref="S21:S24" si="17">L21-Q21</f>
        <v>-8275.380000000001</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3" t="s">
        <v>106</v>
      </c>
      <c r="D22" s="254"/>
      <c r="E22" s="254"/>
      <c r="F22" s="254" cm="1">
        <f t="array" ref="F22">+SUMPRODUCT(('Budget original'!$A$8:$A$501=$A22)*('Budget original'!$C$3:$AO$3=F$2),'Budget original'!$C$8:$AO$501)</f>
        <v>267840</v>
      </c>
      <c r="G22" s="253"/>
      <c r="H22" s="254"/>
      <c r="I22" s="254"/>
      <c r="J22" s="255"/>
      <c r="K22" s="254">
        <f>IF(J13=0,0,L22/(J13+J15))</f>
        <v>952.35269841269849</v>
      </c>
      <c r="L22" s="256">
        <f>-SUMIFS(BV_Data_An_Cour!$P:$P,BV_Data_An_Cour!$U:$U,$B22,BV_Data_An_Cour!$V:$V,$C22,BV_Data_An_Cour!$W:$W,L$2)</f>
        <v>239992.88</v>
      </c>
      <c r="M22" s="255"/>
      <c r="N22" s="256">
        <f>L22-F22</f>
        <v>-27847.119999999995</v>
      </c>
      <c r="O22" s="255"/>
      <c r="P22" s="254"/>
      <c r="Q22" s="256" cm="1">
        <f t="array" ref="Q22">+SUMPRODUCT(('Réel 2024'!$A$8:$A$501=$A22)*('Réel 2024'!$C$3:$AO$3=Q$2),'Réel 2024'!$C$8:$AO$501)</f>
        <v>289315.82</v>
      </c>
      <c r="R22" s="255">
        <f t="shared" si="16"/>
        <v>-952.35269841269849</v>
      </c>
      <c r="S22" s="256">
        <f t="shared" si="17"/>
        <v>-49322.94</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3" t="s">
        <v>107</v>
      </c>
      <c r="D23" s="254"/>
      <c r="E23" s="254"/>
      <c r="F23" s="254" cm="1">
        <f t="array" ref="F23">+SUMPRODUCT(('Budget original'!$A$8:$A$501=$A23)*('Budget original'!$C$3:$AO$3=F$2),'Budget original'!$C$8:$AO$501)</f>
        <v>5760</v>
      </c>
      <c r="G23" s="253"/>
      <c r="H23" s="254"/>
      <c r="I23" s="254"/>
      <c r="J23" s="255"/>
      <c r="K23" s="254">
        <f>IF(J13=0,0,L23/(J13+J15))</f>
        <v>4.0739682539682542</v>
      </c>
      <c r="L23" s="256">
        <f>-SUMIFS(BV_Data_An_Cour!$P:$P,BV_Data_An_Cour!$U:$U,$B23,BV_Data_An_Cour!$V:$V,$C23,BV_Data_An_Cour!$W:$W,L$2)</f>
        <v>1026.6400000000001</v>
      </c>
      <c r="M23" s="267"/>
      <c r="N23" s="256">
        <f>L23-F23</f>
        <v>-4733.3599999999997</v>
      </c>
      <c r="O23" s="255"/>
      <c r="P23" s="254"/>
      <c r="Q23" s="256" cm="1">
        <f t="array" ref="Q23">+SUMPRODUCT(('Réel 2024'!$A$8:$A$501=$A23)*('Réel 2024'!$C$3:$AO$3=Q$2),'Réel 2024'!$C$8:$AO$501)</f>
        <v>1358.23</v>
      </c>
      <c r="R23" s="255">
        <f t="shared" si="16"/>
        <v>-4.0739682539682542</v>
      </c>
      <c r="S23" s="256">
        <f t="shared" si="17"/>
        <v>-331.58999999999992</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59" t="s">
        <v>108</v>
      </c>
      <c r="D24" s="260">
        <f>+D15+D13</f>
        <v>288</v>
      </c>
      <c r="E24" s="260">
        <f>IF(D24&lt;=0,0,F24/D24)</f>
        <v>1000</v>
      </c>
      <c r="F24" s="261">
        <f>F21+F22+F23</f>
        <v>288000</v>
      </c>
      <c r="G24" s="262"/>
      <c r="H24" s="260"/>
      <c r="I24" s="261"/>
      <c r="J24" s="262">
        <f>+J15+J13</f>
        <v>252</v>
      </c>
      <c r="K24" s="260">
        <f>IF(J24&lt;=0,0,L24/J24)</f>
        <v>961.39785714285722</v>
      </c>
      <c r="L24" s="261">
        <f>L21+L22+L23</f>
        <v>242272.26</v>
      </c>
      <c r="M24" s="275">
        <f>J24-D24</f>
        <v>-36</v>
      </c>
      <c r="N24" s="261">
        <f>L24-F24</f>
        <v>-45727.739999999991</v>
      </c>
      <c r="O24" s="262">
        <f>+O15+O13</f>
        <v>340</v>
      </c>
      <c r="P24" s="260">
        <f>IF(O24&lt;=0,0,Q24/O24)</f>
        <v>882.94755882352933</v>
      </c>
      <c r="Q24" s="261">
        <f>Q21+Q22+Q23</f>
        <v>300202.17</v>
      </c>
      <c r="R24" s="273"/>
      <c r="S24" s="261">
        <f t="shared" si="17"/>
        <v>-57929.909999999974</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3"/>
      <c r="D25" s="41"/>
      <c r="E25" s="41"/>
      <c r="F25" s="276"/>
      <c r="G25" s="253"/>
      <c r="H25" s="41"/>
      <c r="I25" s="276"/>
      <c r="J25" s="253"/>
      <c r="K25" s="41"/>
      <c r="L25" s="276"/>
      <c r="M25" s="264"/>
      <c r="N25" s="265">
        <f>IF(N24=0,0,N24/F24)</f>
        <v>-0.15877687499999996</v>
      </c>
      <c r="O25" s="253"/>
      <c r="P25" s="41"/>
      <c r="Q25" s="276"/>
      <c r="R25" s="277"/>
      <c r="S25" s="265">
        <f>IF(Q24=0,0,(S24/Q24))</f>
        <v>-0.1929696577476438</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tr">
        <f t="shared" si="0"/>
        <v>Véhicules neufs</v>
      </c>
      <c r="B26" s="41" t="str">
        <f t="shared" si="1"/>
        <v>Véhicules neufs</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tr">
        <f t="shared" si="0"/>
        <v>Véhicules neufsTotal Dépt. Neufs</v>
      </c>
      <c r="B27" s="41" t="str">
        <f t="shared" si="1"/>
        <v>Véhicules neufs</v>
      </c>
      <c r="C27" s="278" t="s">
        <v>109</v>
      </c>
      <c r="D27" s="279">
        <f>+D13+D15+D17</f>
        <v>295</v>
      </c>
      <c r="E27" s="280">
        <f>IF(D27&lt;=0,0,F27/D27)</f>
        <v>3352.8024553556479</v>
      </c>
      <c r="F27" s="281">
        <f>F13+F17+F24+F19+F15</f>
        <v>989076.72432991618</v>
      </c>
      <c r="G27" s="282"/>
      <c r="H27" s="280"/>
      <c r="I27" s="281"/>
      <c r="J27" s="282">
        <f>+J13+J15+J17</f>
        <v>264</v>
      </c>
      <c r="K27" s="280">
        <f>IF(J27&lt;=0,0,L27/J27)</f>
        <v>3327.5910984848492</v>
      </c>
      <c r="L27" s="281">
        <f>L13+L17+L24+L19+L15</f>
        <v>878484.05000000016</v>
      </c>
      <c r="M27" s="282">
        <f>J27-D27</f>
        <v>-31</v>
      </c>
      <c r="N27" s="281">
        <f>L27-F27</f>
        <v>-110592.67432991602</v>
      </c>
      <c r="O27" s="282">
        <f>+O13+O15+O17</f>
        <v>342</v>
      </c>
      <c r="P27" s="280">
        <f>IF(O27&lt;=0,0,Q27/O27)</f>
        <v>3428.2409941520418</v>
      </c>
      <c r="Q27" s="281">
        <f>Q13+Q17+Q24+Q19+Q15</f>
        <v>1172458.4199999983</v>
      </c>
      <c r="R27" s="282">
        <f>J27-O27</f>
        <v>-78</v>
      </c>
      <c r="S27" s="281">
        <f>L27-Q27</f>
        <v>-293974.36999999813</v>
      </c>
      <c r="T27" s="41"/>
      <c r="U27" s="41">
        <f>+S27/R27</f>
        <v>3768.9021794871555</v>
      </c>
      <c r="V27" s="41"/>
      <c r="W27" s="41"/>
      <c r="X27" s="41"/>
      <c r="Y27" s="41"/>
      <c r="Z27" s="41"/>
      <c r="AA27" s="41"/>
      <c r="AB27" s="41"/>
      <c r="AC27" s="41"/>
      <c r="AD27" s="41"/>
      <c r="AE27" s="41"/>
      <c r="AF27" s="41"/>
      <c r="AG27" s="41"/>
      <c r="AH27" s="41"/>
      <c r="AI27" s="41"/>
      <c r="AJ27" s="41"/>
      <c r="AK27" s="41"/>
      <c r="AL27" s="41"/>
      <c r="AM27" s="41"/>
      <c r="AN27" s="41"/>
    </row>
    <row r="28" spans="1:40" ht="22.5" customHeight="1">
      <c r="A28" s="5" t="str">
        <f t="shared" si="0"/>
        <v>Véhicules neufs</v>
      </c>
      <c r="B28" s="41" t="str">
        <f t="shared" si="1"/>
        <v>Véhicules neufs</v>
      </c>
      <c r="C28" s="283"/>
      <c r="D28" s="284"/>
      <c r="E28" s="284"/>
      <c r="F28" s="285"/>
      <c r="G28" s="283"/>
      <c r="H28" s="284"/>
      <c r="I28" s="285"/>
      <c r="J28" s="602"/>
      <c r="K28" s="284"/>
      <c r="L28" s="287">
        <f>+L27/F27</f>
        <v>0.88818594997790412</v>
      </c>
      <c r="M28" s="286">
        <f>M27/D27</f>
        <v>-0.10508474576271186</v>
      </c>
      <c r="N28" s="287">
        <f>N27/F27</f>
        <v>-0.11181405002209591</v>
      </c>
      <c r="O28" s="283"/>
      <c r="P28" s="284"/>
      <c r="Q28" s="285"/>
      <c r="R28" s="286">
        <f>R27/O27</f>
        <v>-0.22807017543859648</v>
      </c>
      <c r="S28" s="287">
        <f>IF(Q27=0,0,S27/Q27)</f>
        <v>-0.25073330105812924</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tr">
        <f t="shared" si="0"/>
        <v>Véhicules neufs</v>
      </c>
      <c r="B29" s="41" t="str">
        <f t="shared" si="1"/>
        <v>Véhicules neufs</v>
      </c>
      <c r="C29" s="270"/>
      <c r="D29" s="11"/>
      <c r="E29" s="11"/>
      <c r="F29" s="288"/>
      <c r="G29" s="270"/>
      <c r="H29" s="11"/>
      <c r="I29" s="288"/>
      <c r="J29" s="270"/>
      <c r="K29" s="11"/>
      <c r="L29" s="288"/>
      <c r="M29" s="264"/>
      <c r="N29" s="265"/>
      <c r="O29" s="270"/>
      <c r="P29" s="11"/>
      <c r="Q29" s="288"/>
      <c r="R29" s="264"/>
      <c r="S29" s="265"/>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3" t="s">
        <v>111</v>
      </c>
      <c r="D31" s="290"/>
      <c r="E31" s="291">
        <f t="shared" ref="E31:E40" si="18">F31/D$24</f>
        <v>764.4423073960719</v>
      </c>
      <c r="F31" s="254" cm="1">
        <f t="array" ref="F31">+SUMPRODUCT(('Budget original'!$A$8:$A$501=$A31)*('Budget original'!$C$3:$AO$3=F$2),'Budget original'!$C$8:$AO$501)</f>
        <v>220159.3845300687</v>
      </c>
      <c r="G31" s="298"/>
      <c r="H31" s="291"/>
      <c r="I31" s="254"/>
      <c r="J31" s="292">
        <f>L31/(L13+L15+L17)</f>
        <v>0.30532665566842515</v>
      </c>
      <c r="K31" s="291">
        <f t="shared" ref="K31:K40" si="19">IF(L31=0,0,L31/J$24)</f>
        <v>719.49781746031749</v>
      </c>
      <c r="L31" s="254">
        <f>SUMIFS(BV_Data_An_Cour!$P:$P,BV_Data_An_Cour!$U:$U,$B31,BV_Data_An_Cour!$V:$V,$C31,BV_Data_An_Cour!$W:$W,L$2)</f>
        <v>181313.45</v>
      </c>
      <c r="M31" s="253"/>
      <c r="N31" s="276">
        <f t="shared" ref="N31:N53" si="20">L31-F31</f>
        <v>-38845.934530068684</v>
      </c>
      <c r="O31" s="253"/>
      <c r="P31" s="291">
        <f t="shared" ref="P31:P40" si="21">Q31/O$24</f>
        <v>670.59744117647062</v>
      </c>
      <c r="Q31" s="256" cm="1">
        <f t="array" ref="Q31">+SUMPRODUCT(('Réel 2024'!$A$8:$A$501=$A31)*('Réel 2024'!$C$3:$AO$3=Q$2),'Réel 2024'!$C$8:$AO$501)</f>
        <v>228003.13</v>
      </c>
      <c r="R31" s="253"/>
      <c r="S31" s="276">
        <f t="shared" ref="S31:S41" si="22">L31-Q31</f>
        <v>-46689.679999999993</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6" t="s">
        <v>112</v>
      </c>
      <c r="D32" s="293"/>
      <c r="E32" s="294">
        <f t="shared" si="18"/>
        <v>280</v>
      </c>
      <c r="F32" s="248" cm="1">
        <f t="array" ref="F32">+SUMPRODUCT(('Budget original'!$A$8:$A$501=$A32)*('Budget original'!$C$3:$AO$3=F$2),'Budget original'!$C$8:$AO$501)</f>
        <v>80640</v>
      </c>
      <c r="G32" s="300"/>
      <c r="H32" s="294"/>
      <c r="I32" s="248"/>
      <c r="J32" s="295">
        <f>L32/L24</f>
        <v>0.27194289597991944</v>
      </c>
      <c r="K32" s="294">
        <f t="shared" si="19"/>
        <v>261.44531746031748</v>
      </c>
      <c r="L32" s="248">
        <f>SUMIFS(BV_Data_An_Cour!$P:$P,BV_Data_An_Cour!$U:$U,$B32,BV_Data_An_Cour!$V:$V,$C32,BV_Data_An_Cour!$W:$W,L$2)</f>
        <v>65884.22</v>
      </c>
      <c r="M32" s="246"/>
      <c r="N32" s="296">
        <f t="shared" si="20"/>
        <v>-14755.779999999999</v>
      </c>
      <c r="O32" s="246"/>
      <c r="P32" s="294">
        <f t="shared" si="21"/>
        <v>263.75414705882349</v>
      </c>
      <c r="Q32" s="248" cm="1">
        <f t="array" ref="Q32">+SUMPRODUCT(('Réel 2024'!$A$8:$A$501=$A32)*('Réel 2024'!$C$3:$AO$3=Q$2),'Réel 2024'!$C$8:$AO$501)</f>
        <v>89676.409999999989</v>
      </c>
      <c r="R32" s="246"/>
      <c r="S32" s="296">
        <f t="shared" si="22"/>
        <v>-23792.189999999988</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3" t="s">
        <v>113</v>
      </c>
      <c r="D33" s="297"/>
      <c r="E33" s="291">
        <f t="shared" si="18"/>
        <v>115</v>
      </c>
      <c r="F33" s="254" cm="1">
        <f t="array" ref="F33">+SUMPRODUCT(('Budget original'!$A$8:$A$501=$A33)*('Budget original'!$C$3:$AO$3=F$2),'Budget original'!$C$8:$AO$501)</f>
        <v>33120</v>
      </c>
      <c r="G33" s="298"/>
      <c r="H33" s="291"/>
      <c r="I33" s="254"/>
      <c r="J33" s="253"/>
      <c r="K33" s="291">
        <f t="shared" si="19"/>
        <v>107.33436507936507</v>
      </c>
      <c r="L33" s="254">
        <f>SUMIFS(BV_Data_An_Cour!$P:$P,BV_Data_An_Cour!$U:$U,$B33,BV_Data_An_Cour!$V:$V,$C33,BV_Data_An_Cour!$W:$W,L$2)</f>
        <v>27048.26</v>
      </c>
      <c r="M33" s="253"/>
      <c r="N33" s="276">
        <f t="shared" si="20"/>
        <v>-6071.7400000000016</v>
      </c>
      <c r="O33" s="253"/>
      <c r="P33" s="291">
        <f t="shared" si="21"/>
        <v>117.06311764705885</v>
      </c>
      <c r="Q33" s="256" cm="1">
        <f t="array" ref="Q33">+SUMPRODUCT(('Réel 2024'!$A$8:$A$501=$A33)*('Réel 2024'!$C$3:$AO$3=Q$2),'Réel 2024'!$C$8:$AO$501)</f>
        <v>39801.460000000006</v>
      </c>
      <c r="R33" s="253"/>
      <c r="S33" s="276">
        <f t="shared" si="22"/>
        <v>-12753.200000000008</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3" t="s">
        <v>114</v>
      </c>
      <c r="D34" s="297"/>
      <c r="E34" s="291">
        <f t="shared" si="18"/>
        <v>10</v>
      </c>
      <c r="F34" s="254" cm="1">
        <f t="array" ref="F34">+SUMPRODUCT(('Budget original'!$A$8:$A$501=$A34)*('Budget original'!$C$3:$AO$3=F$2),'Budget original'!$C$8:$AO$501)</f>
        <v>2880</v>
      </c>
      <c r="G34" s="298"/>
      <c r="H34" s="291"/>
      <c r="I34" s="254"/>
      <c r="J34" s="253"/>
      <c r="K34" s="291">
        <f t="shared" si="19"/>
        <v>7.8526190476190472</v>
      </c>
      <c r="L34" s="254">
        <f>SUMIFS(BV_Data_An_Cour!$P:$P,BV_Data_An_Cour!$U:$U,$B34,BV_Data_An_Cour!$V:$V,$C34,BV_Data_An_Cour!$W:$W,L$2)</f>
        <v>1978.86</v>
      </c>
      <c r="M34" s="253"/>
      <c r="N34" s="276">
        <f t="shared" si="20"/>
        <v>-901.1400000000001</v>
      </c>
      <c r="O34" s="253"/>
      <c r="P34" s="291">
        <f t="shared" si="21"/>
        <v>9.0609705882352927</v>
      </c>
      <c r="Q34" s="256" cm="1">
        <f t="array" ref="Q34">+SUMPRODUCT(('Réel 2024'!$A$8:$A$501=$A34)*('Réel 2024'!$C$3:$AO$3=Q$2),'Réel 2024'!$C$8:$AO$501)</f>
        <v>3080.7299999999996</v>
      </c>
      <c r="R34" s="253"/>
      <c r="S34" s="276">
        <f t="shared" si="22"/>
        <v>-1101.8699999999997</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6" t="s">
        <v>115</v>
      </c>
      <c r="D35" s="299"/>
      <c r="E35" s="294">
        <f t="shared" si="18"/>
        <v>120.75</v>
      </c>
      <c r="F35" s="248" cm="1">
        <f t="array" ref="F35">+SUMPRODUCT(('Budget original'!$A$8:$A$501=$A35)*('Budget original'!$C$3:$AO$3=F$2),'Budget original'!$C$8:$AO$501)</f>
        <v>34776</v>
      </c>
      <c r="G35" s="300"/>
      <c r="H35" s="294"/>
      <c r="I35" s="248"/>
      <c r="J35" s="246"/>
      <c r="K35" s="294">
        <f t="shared" si="19"/>
        <v>151.63674603174601</v>
      </c>
      <c r="L35" s="248">
        <f>SUMIFS(BV_Data_An_Cour!$P:$P,BV_Data_An_Cour!$U:$U,$B35,BV_Data_An_Cour!$V:$V,$C35,BV_Data_An_Cour!$W:$W,L$2)</f>
        <v>38212.46</v>
      </c>
      <c r="M35" s="246"/>
      <c r="N35" s="296">
        <f t="shared" si="20"/>
        <v>3436.4599999999991</v>
      </c>
      <c r="O35" s="246"/>
      <c r="P35" s="294">
        <f t="shared" si="21"/>
        <v>119.60111764705884</v>
      </c>
      <c r="Q35" s="256" cm="1">
        <f t="array" ref="Q35">+SUMPRODUCT(('Réel 2024'!$A$8:$A$501=$A35)*('Réel 2024'!$C$3:$AO$3=Q$2),'Réel 2024'!$C$8:$AO$501)</f>
        <v>40664.380000000005</v>
      </c>
      <c r="R35" s="246"/>
      <c r="S35" s="296">
        <f t="shared" si="22"/>
        <v>-2451.9200000000055</v>
      </c>
      <c r="T35" s="41"/>
      <c r="U35" s="41"/>
      <c r="V35" s="41"/>
      <c r="W35" s="254"/>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3" t="s">
        <v>116</v>
      </c>
      <c r="D36" s="297"/>
      <c r="E36" s="291">
        <f t="shared" si="18"/>
        <v>140.65972222222223</v>
      </c>
      <c r="F36" s="254" cm="1">
        <f t="array" ref="F36">+SUMPRODUCT(('Budget original'!$A$8:$A$501=$A36)*('Budget original'!$C$3:$AO$3=F$2),'Budget original'!$C$8:$AO$501)</f>
        <v>40510</v>
      </c>
      <c r="G36" s="298"/>
      <c r="H36" s="291"/>
      <c r="I36" s="254"/>
      <c r="J36" s="253"/>
      <c r="K36" s="291">
        <f t="shared" si="19"/>
        <v>211.25039682539685</v>
      </c>
      <c r="L36" s="301">
        <f>SUMIFS(BV_Data_An_Cour!$P:$P,BV_Data_An_Cour!$U:$U,$B36,BV_Data_An_Cour!$V:$V,$C36,BV_Data_An_Cour!$W:$W,L$2)</f>
        <v>53235.100000000006</v>
      </c>
      <c r="M36" s="41"/>
      <c r="N36" s="276">
        <f t="shared" si="20"/>
        <v>12725.100000000006</v>
      </c>
      <c r="O36" s="253"/>
      <c r="P36" s="291">
        <f t="shared" si="21"/>
        <v>113.15776470588229</v>
      </c>
      <c r="Q36" s="272" cm="1">
        <f t="array" ref="Q36">+SUMPRODUCT(('Réel 2024'!$A$8:$A$501=$A36)*('Réel 2024'!$C$3:$AO$3=Q$2),'Réel 2024'!$C$8:$AO$501)</f>
        <v>38473.639999999978</v>
      </c>
      <c r="R36" s="253"/>
      <c r="S36" s="276">
        <f t="shared" si="22"/>
        <v>14761.460000000028</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3" t="s">
        <v>117</v>
      </c>
      <c r="D37" s="297"/>
      <c r="E37" s="291">
        <f t="shared" si="18"/>
        <v>622.34648004508972</v>
      </c>
      <c r="F37" s="254" cm="1">
        <f t="array" ref="F37">+SUMPRODUCT(('Budget original'!$A$8:$A$501=$A37)*('Budget original'!$C$3:$AO$3=F$2),'Budget original'!$C$8:$AO$501)</f>
        <v>179235.78625298582</v>
      </c>
      <c r="G37" s="298"/>
      <c r="H37" s="291"/>
      <c r="I37" s="254"/>
      <c r="J37" s="253"/>
      <c r="K37" s="291">
        <f t="shared" si="19"/>
        <v>189.06404761904761</v>
      </c>
      <c r="L37" s="951">
        <f>SUMIFS(BV_Data_An_Cour!$P:$P,BV_Data_An_Cour!$U:$U,$B37,BV_Data_An_Cour!$V:$V,$C37,BV_Data_An_Cour!$W:$W,L$2)</f>
        <v>47644.14</v>
      </c>
      <c r="M37" s="986"/>
      <c r="N37" s="961">
        <f t="shared" si="20"/>
        <v>-131591.64625298581</v>
      </c>
      <c r="O37" s="253"/>
      <c r="P37" s="291">
        <f t="shared" si="21"/>
        <v>501.42061764705886</v>
      </c>
      <c r="Q37" s="256" cm="1">
        <f t="array" ref="Q37">+SUMPRODUCT(('Réel 2024'!$A$8:$A$501=$A37)*('Réel 2024'!$C$3:$AO$3=Q$2),'Réel 2024'!$C$8:$AO$501)</f>
        <v>170483.01</v>
      </c>
      <c r="R37" s="253"/>
      <c r="S37" s="276">
        <f t="shared" si="22"/>
        <v>-122838.87000000001</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3" t="s">
        <v>59</v>
      </c>
      <c r="D38" s="297"/>
      <c r="E38" s="291">
        <f t="shared" si="18"/>
        <v>0</v>
      </c>
      <c r="F38" s="254" cm="1">
        <f t="array" ref="F38">+SUMPRODUCT(('Budget original'!$A$8:$A$501=$A38)*('Budget original'!$C$3:$AO$3=F$2),'Budget original'!$C$8:$AO$501)</f>
        <v>0</v>
      </c>
      <c r="G38" s="298"/>
      <c r="H38" s="291"/>
      <c r="I38" s="254"/>
      <c r="J38" s="253"/>
      <c r="K38" s="291">
        <f t="shared" si="19"/>
        <v>0</v>
      </c>
      <c r="L38" s="302">
        <f>SUMIFS(BV_Data_An_Cour!$P:$P,BV_Data_An_Cour!$U:$U,$B38,BV_Data_An_Cour!$V:$V,$C38,BV_Data_An_Cour!$W:$W,L$2)</f>
        <v>0</v>
      </c>
      <c r="M38" s="41"/>
      <c r="N38" s="276">
        <f t="shared" si="20"/>
        <v>0</v>
      </c>
      <c r="O38" s="253"/>
      <c r="P38" s="291">
        <f t="shared" si="21"/>
        <v>0</v>
      </c>
      <c r="Q38" s="256" cm="1">
        <f t="array" ref="Q38">+SUMPRODUCT(('Réel 2024'!$A$8:$A$501=$A38)*('Réel 2024'!$C$3:$AO$3=Q$2),'Réel 2024'!$C$8:$AO$501)</f>
        <v>0</v>
      </c>
      <c r="R38" s="253"/>
      <c r="S38" s="276">
        <f t="shared" si="22"/>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3" t="s">
        <v>59</v>
      </c>
      <c r="D39" s="297"/>
      <c r="E39" s="291">
        <f t="shared" si="18"/>
        <v>0</v>
      </c>
      <c r="F39" s="254" cm="1">
        <f t="array" ref="F39">+SUMPRODUCT(('Budget original'!$A$8:$A$501=$A39)*('Budget original'!$C$3:$AO$3=F$2),'Budget original'!$C$8:$AO$501)</f>
        <v>0</v>
      </c>
      <c r="G39" s="298"/>
      <c r="H39" s="291"/>
      <c r="I39" s="254"/>
      <c r="J39" s="253"/>
      <c r="K39" s="291">
        <f t="shared" si="19"/>
        <v>0</v>
      </c>
      <c r="L39" s="302">
        <f>SUMIFS(BV_Data_An_Cour!$P:$P,BV_Data_An_Cour!$U:$U,$B39,BV_Data_An_Cour!$V:$V,$C39,BV_Data_An_Cour!$W:$W,L$2)</f>
        <v>0</v>
      </c>
      <c r="M39" s="41"/>
      <c r="N39" s="276">
        <f t="shared" si="20"/>
        <v>0</v>
      </c>
      <c r="O39" s="253"/>
      <c r="P39" s="291">
        <f t="shared" si="21"/>
        <v>0</v>
      </c>
      <c r="Q39" s="256" cm="1">
        <f t="array" ref="Q39">+SUMPRODUCT(('Réel 2024'!$A$8:$A$501=$A39)*('Réel 2024'!$C$3:$AO$3=Q$2),'Réel 2024'!$C$8:$AO$501)</f>
        <v>0</v>
      </c>
      <c r="R39" s="253"/>
      <c r="S39" s="276">
        <f t="shared" si="22"/>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3" t="s">
        <v>59</v>
      </c>
      <c r="D40" s="297"/>
      <c r="E40" s="291">
        <f t="shared" si="18"/>
        <v>0</v>
      </c>
      <c r="F40" s="254" cm="1">
        <f t="array" ref="F40">+SUMPRODUCT(('Budget original'!$A$8:$A$501=$A40)*('Budget original'!$C$3:$AO$3=F$2),'Budget original'!$C$8:$AO$501)</f>
        <v>0</v>
      </c>
      <c r="G40" s="298"/>
      <c r="H40" s="291"/>
      <c r="I40" s="254"/>
      <c r="J40" s="253"/>
      <c r="K40" s="291">
        <f t="shared" si="19"/>
        <v>0</v>
      </c>
      <c r="L40" s="303">
        <f>SUMIFS(BV_Data_An_Cour!$P:$P,BV_Data_An_Cour!$U:$U,$B40,BV_Data_An_Cour!$V:$V,$C40,BV_Data_An_Cour!$W:$W,L$2)</f>
        <v>0</v>
      </c>
      <c r="M40" s="41"/>
      <c r="N40" s="276">
        <f t="shared" si="20"/>
        <v>0</v>
      </c>
      <c r="O40" s="253"/>
      <c r="P40" s="291">
        <f t="shared" si="21"/>
        <v>0</v>
      </c>
      <c r="Q40" s="256" cm="1">
        <f t="array" ref="Q40">+SUMPRODUCT(('Réel 2024'!$A$8:$A$501=$A40)*('Réel 2024'!$C$3:$AO$3=Q$2),'Réel 2024'!$C$8:$AO$501)</f>
        <v>0</v>
      </c>
      <c r="R40" s="253"/>
      <c r="S40" s="276">
        <f t="shared" si="22"/>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4" t="s">
        <v>118</v>
      </c>
      <c r="D41" s="305" t="s">
        <v>119</v>
      </c>
      <c r="E41" s="306">
        <f>F41/F$27</f>
        <v>0.59785166937748457</v>
      </c>
      <c r="F41" s="307">
        <f>SUM(F31:F40)</f>
        <v>591321.17078305455</v>
      </c>
      <c r="G41" s="308"/>
      <c r="H41" s="306"/>
      <c r="I41" s="307"/>
      <c r="J41" s="308" t="s">
        <v>119</v>
      </c>
      <c r="K41" s="306">
        <f>L41/L$27</f>
        <v>0.47276497507268334</v>
      </c>
      <c r="L41" s="307">
        <f>SUM(L31:L40)</f>
        <v>415316.49</v>
      </c>
      <c r="M41" s="309"/>
      <c r="N41" s="307">
        <f t="shared" si="20"/>
        <v>-176004.68078305456</v>
      </c>
      <c r="O41" s="308" t="s">
        <v>119</v>
      </c>
      <c r="P41" s="306">
        <f>Q41/Q$27</f>
        <v>0.52043019146043656</v>
      </c>
      <c r="Q41" s="310">
        <f>SUM(Q31:Q40)</f>
        <v>610182.76</v>
      </c>
      <c r="R41" s="311"/>
      <c r="S41" s="307">
        <f t="shared" si="22"/>
        <v>-194866.27000000002</v>
      </c>
      <c r="T41" s="41"/>
      <c r="U41" s="603">
        <f>H41/K41</f>
        <v>0</v>
      </c>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2" t="s">
        <v>120</v>
      </c>
      <c r="D42" s="41"/>
      <c r="E42" s="41"/>
      <c r="F42" s="254" cm="1">
        <f t="array" ref="F42">+SUMPRODUCT(('Budget original'!$A$8:$A$501=$A42)*('Budget original'!$C$3:$AO$3=F$2),'Budget original'!$C$8:$AO$501)</f>
        <v>130300.55961538463</v>
      </c>
      <c r="G42" s="253"/>
      <c r="H42" s="41"/>
      <c r="I42" s="254"/>
      <c r="J42" s="253"/>
      <c r="K42" s="41"/>
      <c r="L42" s="256">
        <f>SUMIFS(BV_Data_An_Cour!$P:$P,BV_Data_An_Cour!$U:$U,$B42,BV_Data_An_Cour!$V:$V,$C42,BV_Data_An_Cour!$W:$W,L$2)</f>
        <v>104661.44</v>
      </c>
      <c r="M42" s="253"/>
      <c r="N42" s="276">
        <f t="shared" si="20"/>
        <v>-25639.119615384625</v>
      </c>
      <c r="O42" s="253"/>
      <c r="P42" s="41"/>
      <c r="Q42" s="256" cm="1">
        <f t="array" ref="Q42">+SUMPRODUCT(('Réel 2024'!$A$8:$A$501=$A42)*('Réel 2024'!$C$3:$AO$3=Q$2),'Réel 2024'!$C$8:$AO$501)</f>
        <v>80668.209999999992</v>
      </c>
      <c r="R42" s="253"/>
      <c r="S42" s="276"/>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3" t="s">
        <v>121</v>
      </c>
      <c r="D43" s="297"/>
      <c r="E43" s="41"/>
      <c r="F43" s="248" cm="1">
        <f t="array" ref="F43">+SUMPRODUCT(('Budget original'!$A$8:$A$501=$A43)*('Budget original'!$C$3:$AO$3=F$2),'Budget original'!$C$8:$AO$501)</f>
        <v>76048.204923076933</v>
      </c>
      <c r="G43" s="298"/>
      <c r="H43" s="41"/>
      <c r="I43" s="248"/>
      <c r="J43" s="253"/>
      <c r="K43" s="604"/>
      <c r="L43" s="256">
        <f>SUMIFS(BV_Data_An_Cour!$P:$P,BV_Data_An_Cour!$U:$U,$B43,BV_Data_An_Cour!$V:$V,$C43,BV_Data_An_Cour!$W:$W,L$2)</f>
        <v>64781.58</v>
      </c>
      <c r="M43" s="253"/>
      <c r="N43" s="276">
        <f t="shared" si="20"/>
        <v>-11266.624923076932</v>
      </c>
      <c r="O43" s="253"/>
      <c r="P43" s="41"/>
      <c r="Q43" s="256" cm="1">
        <f t="array" ref="Q43">+SUMPRODUCT(('Réel 2024'!$A$8:$A$501=$A43)*('Réel 2024'!$C$3:$AO$3=Q$2),'Réel 2024'!$C$8:$AO$501)</f>
        <v>48199.729999999996</v>
      </c>
      <c r="R43" s="253"/>
      <c r="S43" s="276">
        <f t="shared" ref="S43:S53" si="23">L43-Q43</f>
        <v>16581.850000000006</v>
      </c>
      <c r="T43" s="41"/>
      <c r="U43" s="604"/>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2" t="s">
        <v>122</v>
      </c>
      <c r="D44" s="314"/>
      <c r="E44" s="315"/>
      <c r="F44" s="254" cm="1">
        <f t="array" ref="F44">+SUMPRODUCT(('Budget original'!$A$8:$A$501=$A44)*('Budget original'!$C$3:$AO$3=F$2),'Budget original'!$C$8:$AO$501)</f>
        <v>1735.5461538461541</v>
      </c>
      <c r="G44" s="316"/>
      <c r="H44" s="315"/>
      <c r="I44" s="254"/>
      <c r="J44" s="241"/>
      <c r="K44" s="315"/>
      <c r="L44" s="272">
        <f>SUMIFS(BV_Data_An_Cour!$P:$P,BV_Data_An_Cour!$U:$U,$B44,BV_Data_An_Cour!$V:$V,$C44,BV_Data_An_Cour!$W:$W,L$2)</f>
        <v>7864.25</v>
      </c>
      <c r="M44" s="241"/>
      <c r="N44" s="317">
        <f t="shared" si="20"/>
        <v>6128.7038461538459</v>
      </c>
      <c r="O44" s="241"/>
      <c r="P44" s="315"/>
      <c r="Q44" s="272" cm="1">
        <f t="array" ref="Q44">+SUMPRODUCT(('Réel 2024'!$A$8:$A$501=$A44)*('Réel 2024'!$C$3:$AO$3=Q$2),'Réel 2024'!$C$8:$AO$501)</f>
        <v>18701.620000000003</v>
      </c>
      <c r="R44" s="241"/>
      <c r="S44" s="317">
        <f t="shared" si="23"/>
        <v>-10837.370000000003</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2" t="s">
        <v>123</v>
      </c>
      <c r="D45" s="297"/>
      <c r="E45" s="41"/>
      <c r="F45" s="254" cm="1">
        <f t="array" ref="F45">+SUMPRODUCT(('Budget original'!$A$8:$A$501=$A45)*('Budget original'!$C$3:$AO$3=F$2),'Budget original'!$C$8:$AO$501)</f>
        <v>0</v>
      </c>
      <c r="G45" s="298"/>
      <c r="H45" s="41"/>
      <c r="I45" s="254"/>
      <c r="J45" s="253"/>
      <c r="K45" s="41"/>
      <c r="L45" s="256">
        <f>SUMIFS(BV_Data_An_Cour!$P:$P,BV_Data_An_Cour!$U:$U,$B45,BV_Data_An_Cour!$V:$V,$C45,BV_Data_An_Cour!$W:$W,L$2)</f>
        <v>0</v>
      </c>
      <c r="M45" s="253"/>
      <c r="N45" s="276">
        <f t="shared" si="20"/>
        <v>0</v>
      </c>
      <c r="O45" s="253"/>
      <c r="P45" s="41"/>
      <c r="Q45" s="256" cm="1">
        <f t="array" ref="Q45">+SUMPRODUCT(('Réel 2024'!$A$8:$A$501=$A45)*('Réel 2024'!$C$3:$AO$3=Q$2),'Réel 2024'!$C$8:$AO$501)</f>
        <v>0</v>
      </c>
      <c r="R45" s="253"/>
      <c r="S45" s="276">
        <f t="shared" si="23"/>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2" t="s">
        <v>59</v>
      </c>
      <c r="D46" s="297"/>
      <c r="E46" s="41"/>
      <c r="F46" s="254" cm="1">
        <f t="array" ref="F46">+SUMPRODUCT(('Budget original'!$A$8:$A$501=$A46)*('Budget original'!$C$3:$AO$3=F$2),'Budget original'!$C$8:$AO$501)</f>
        <v>0</v>
      </c>
      <c r="G46" s="298"/>
      <c r="H46" s="41"/>
      <c r="I46" s="254"/>
      <c r="J46" s="253"/>
      <c r="K46" s="41"/>
      <c r="L46" s="256">
        <f>SUMIFS(BV_Data_An_Cour!$P:$P,BV_Data_An_Cour!$U:$U,$B46,BV_Data_An_Cour!$V:$V,$C46,BV_Data_An_Cour!$W:$W,L$2)</f>
        <v>0</v>
      </c>
      <c r="M46" s="253"/>
      <c r="N46" s="276">
        <f t="shared" si="20"/>
        <v>0</v>
      </c>
      <c r="O46" s="253"/>
      <c r="P46" s="41"/>
      <c r="Q46" s="256" cm="1">
        <f t="array" ref="Q46">+SUMPRODUCT(('Réel 2024'!$A$8:$A$501=$A46)*('Réel 2024'!$C$3:$AO$3=Q$2),'Réel 2024'!$C$8:$AO$501)</f>
        <v>0</v>
      </c>
      <c r="R46" s="253"/>
      <c r="S46" s="276">
        <f t="shared" si="23"/>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2" t="s">
        <v>59</v>
      </c>
      <c r="D47" s="297"/>
      <c r="E47" s="41"/>
      <c r="F47" s="254" cm="1">
        <f t="array" ref="F47">+SUMPRODUCT(('Budget original'!$A$8:$A$501=$A47)*('Budget original'!$C$3:$AO$3=F$2),'Budget original'!$C$8:$AO$501)</f>
        <v>0</v>
      </c>
      <c r="G47" s="298"/>
      <c r="H47" s="41"/>
      <c r="I47" s="254"/>
      <c r="J47" s="253"/>
      <c r="K47" s="41"/>
      <c r="L47" s="256">
        <f>SUMIFS(BV_Data_An_Cour!$P:$P,BV_Data_An_Cour!$U:$U,$B47,BV_Data_An_Cour!$V:$V,$C47,BV_Data_An_Cour!$W:$W,L$2)</f>
        <v>0</v>
      </c>
      <c r="M47" s="253"/>
      <c r="N47" s="276">
        <f t="shared" si="20"/>
        <v>0</v>
      </c>
      <c r="O47" s="253"/>
      <c r="P47" s="41"/>
      <c r="Q47" s="256" cm="1">
        <f t="array" ref="Q47">+SUMPRODUCT(('Réel 2024'!$A$8:$A$501=$A47)*('Réel 2024'!$C$3:$AO$3=Q$2),'Réel 2024'!$C$8:$AO$501)</f>
        <v>0</v>
      </c>
      <c r="R47" s="253"/>
      <c r="S47" s="276">
        <f t="shared" si="23"/>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2" t="s">
        <v>59</v>
      </c>
      <c r="D48" s="297"/>
      <c r="E48" s="41"/>
      <c r="F48" s="254" cm="1">
        <f t="array" ref="F48">+SUMPRODUCT(('Budget original'!$A$8:$A$501=$A48)*('Budget original'!$C$3:$AO$3=F$2),'Budget original'!$C$8:$AO$501)</f>
        <v>0</v>
      </c>
      <c r="G48" s="298"/>
      <c r="H48" s="41"/>
      <c r="I48" s="254"/>
      <c r="J48" s="253"/>
      <c r="K48" s="41"/>
      <c r="L48" s="256">
        <f>SUMIFS(BV_Data_An_Cour!$P:$P,BV_Data_An_Cour!$U:$U,$B48,BV_Data_An_Cour!$V:$V,$C48,BV_Data_An_Cour!$W:$W,L$2)</f>
        <v>0</v>
      </c>
      <c r="M48" s="253"/>
      <c r="N48" s="276">
        <f t="shared" si="20"/>
        <v>0</v>
      </c>
      <c r="O48" s="253"/>
      <c r="P48" s="41"/>
      <c r="Q48" s="256" cm="1">
        <f t="array" ref="Q48">+SUMPRODUCT(('Réel 2024'!$A$8:$A$501=$A48)*('Réel 2024'!$C$3:$AO$3=Q$2),'Réel 2024'!$C$8:$AO$501)</f>
        <v>0</v>
      </c>
      <c r="R48" s="253"/>
      <c r="S48" s="276">
        <f t="shared" si="23"/>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3" t="s">
        <v>124</v>
      </c>
      <c r="D49" s="297"/>
      <c r="E49" s="41"/>
      <c r="F49" s="248" cm="1">
        <f t="array" ref="F49">+SUMPRODUCT(('Budget original'!$A$8:$A$501=$A49)*('Budget original'!$C$3:$AO$3=F$2),'Budget original'!$C$8:$AO$501)</f>
        <v>62617.645747836563</v>
      </c>
      <c r="G49" s="298"/>
      <c r="H49" s="41"/>
      <c r="I49" s="248"/>
      <c r="J49" s="253"/>
      <c r="K49" s="41"/>
      <c r="L49" s="248">
        <f>SUMIFS(BV_Data_An_Cour!$P:$P,BV_Data_An_Cour!$U:$U,$B49,BV_Data_An_Cour!$V:$V,$C49,BV_Data_An_Cour!$W:$W,L$2)</f>
        <v>59499.05</v>
      </c>
      <c r="M49" s="253"/>
      <c r="N49" s="276">
        <f t="shared" si="20"/>
        <v>-3118.5957478365599</v>
      </c>
      <c r="O49" s="253"/>
      <c r="P49" s="41"/>
      <c r="Q49" s="248" cm="1">
        <f t="array" ref="Q49">+SUMPRODUCT(('Réel 2024'!$A$8:$A$501=$A49)*('Réel 2024'!$C$3:$AO$3=Q$2),'Réel 2024'!$C$8:$AO$501)</f>
        <v>56125.88</v>
      </c>
      <c r="R49" s="253"/>
      <c r="S49" s="276">
        <f t="shared" si="23"/>
        <v>3373.1700000000055</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2" t="s">
        <v>125</v>
      </c>
      <c r="D50" s="314"/>
      <c r="E50" s="315"/>
      <c r="F50" s="254" cm="1">
        <f t="array" ref="F50">+SUMPRODUCT(('Budget original'!$A$8:$A$501=$A50)*('Budget original'!$C$3:$AO$3=F$2),'Budget original'!$C$8:$AO$501)</f>
        <v>76134.230072259437</v>
      </c>
      <c r="G50" s="316"/>
      <c r="H50" s="315"/>
      <c r="I50" s="254"/>
      <c r="J50" s="241"/>
      <c r="K50" s="315"/>
      <c r="L50" s="256">
        <f>SUMIFS(BV_Data_An_Cour!$P:$P,BV_Data_An_Cour!$U:$U,$B50,BV_Data_An_Cour!$V:$V,$C50,BV_Data_An_Cour!$W:$W,L$2)</f>
        <v>75150.14</v>
      </c>
      <c r="M50" s="241"/>
      <c r="N50" s="317">
        <f t="shared" si="20"/>
        <v>-984.09007225943787</v>
      </c>
      <c r="O50" s="241"/>
      <c r="P50" s="315"/>
      <c r="Q50" s="256" cm="1">
        <f t="array" ref="Q50">+SUMPRODUCT(('Réel 2024'!$A$8:$A$501=$A50)*('Réel 2024'!$C$3:$AO$3=Q$2),'Réel 2024'!$C$8:$AO$501)</f>
        <v>84880.909999999989</v>
      </c>
      <c r="R50" s="241"/>
      <c r="S50" s="317">
        <f t="shared" si="23"/>
        <v>-9730.7699999999895</v>
      </c>
      <c r="T50" s="41"/>
      <c r="U50" s="254">
        <f>L50-Print_Mois!L50</f>
        <v>57190.14</v>
      </c>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2" t="s">
        <v>126</v>
      </c>
      <c r="D51" s="297"/>
      <c r="E51" s="41"/>
      <c r="F51" s="254" cm="1">
        <f t="array" ref="F51">+SUMPRODUCT(('Budget original'!$A$8:$A$501=$A51)*('Budget original'!$C$3:$AO$3=F$2),'Budget original'!$C$8:$AO$501)</f>
        <v>39225.67940679453</v>
      </c>
      <c r="G51" s="298"/>
      <c r="H51" s="41"/>
      <c r="I51" s="254"/>
      <c r="J51" s="253"/>
      <c r="K51" s="41"/>
      <c r="L51" s="256">
        <f>SUMIFS(BV_Data_An_Cour!$P:$P,BV_Data_An_Cour!$U:$U,$B51,BV_Data_An_Cour!$V:$V,$C51,BV_Data_An_Cour!$W:$W,L$2)</f>
        <v>36595.75</v>
      </c>
      <c r="M51" s="253"/>
      <c r="N51" s="276">
        <f t="shared" si="20"/>
        <v>-2629.9294067945302</v>
      </c>
      <c r="O51" s="253"/>
      <c r="P51" s="41"/>
      <c r="Q51" s="256" cm="1">
        <f t="array" ref="Q51">+SUMPRODUCT(('Réel 2024'!$A$8:$A$501=$A51)*('Réel 2024'!$C$3:$AO$3=Q$2),'Réel 2024'!$C$8:$AO$501)</f>
        <v>35729.380000000005</v>
      </c>
      <c r="R51" s="253"/>
      <c r="S51" s="276">
        <f t="shared" si="23"/>
        <v>866.36999999999534</v>
      </c>
      <c r="T51" s="41"/>
      <c r="U51" s="254">
        <f>L51-Print_Mois!L51</f>
        <v>28109.73</v>
      </c>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2" t="s">
        <v>127</v>
      </c>
      <c r="D52" s="297"/>
      <c r="E52" s="41"/>
      <c r="F52" s="254" cm="1">
        <f t="array" ref="F52">+SUMPRODUCT(('Budget original'!$A$8:$A$501=$A52)*('Budget original'!$C$3:$AO$3=F$2),'Budget original'!$C$8:$AO$501)</f>
        <v>17102.616900290159</v>
      </c>
      <c r="G52" s="298"/>
      <c r="H52" s="41"/>
      <c r="I52" s="254"/>
      <c r="J52" s="253"/>
      <c r="K52" s="41"/>
      <c r="L52" s="256">
        <f>SUMIFS(BV_Data_An_Cour!$P:$P,BV_Data_An_Cour!$U:$U,$B52,BV_Data_An_Cour!$V:$V,$C52,BV_Data_An_Cour!$W:$W,L$2)</f>
        <v>13981.61</v>
      </c>
      <c r="M52" s="253"/>
      <c r="N52" s="276">
        <f t="shared" si="20"/>
        <v>-3121.0069002901582</v>
      </c>
      <c r="O52" s="253"/>
      <c r="P52" s="41"/>
      <c r="Q52" s="256" cm="1">
        <f t="array" ref="Q52">+SUMPRODUCT(('Réel 2024'!$A$8:$A$501=$A52)*('Réel 2024'!$C$3:$AO$3=Q$2),'Réel 2024'!$C$8:$AO$501)</f>
        <v>15630.9</v>
      </c>
      <c r="R52" s="253"/>
      <c r="S52" s="276">
        <f t="shared" si="23"/>
        <v>-1649.2899999999991</v>
      </c>
      <c r="T52" s="41"/>
      <c r="U52" s="254">
        <f>L52-Print_Mois!L52</f>
        <v>11105.44</v>
      </c>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3" t="s">
        <v>59</v>
      </c>
      <c r="D53" s="299"/>
      <c r="E53" s="318"/>
      <c r="F53" s="254" cm="1">
        <f t="array" ref="F53">+SUMPRODUCT(('Budget original'!$A$8:$A$501=$A53)*('Budget original'!$C$3:$AO$3=F$2),'Budget original'!$C$8:$AO$501)</f>
        <v>0</v>
      </c>
      <c r="G53" s="300"/>
      <c r="H53" s="318"/>
      <c r="I53" s="254"/>
      <c r="J53" s="246"/>
      <c r="K53" s="318"/>
      <c r="L53" s="256">
        <f>SUMIFS(BV_Data_An_Cour!$P:$P,BV_Data_An_Cour!$U:$U,$B53,BV_Data_An_Cour!$V:$V,$C53,BV_Data_An_Cour!$W:$W,L$2)</f>
        <v>0</v>
      </c>
      <c r="M53" s="246"/>
      <c r="N53" s="296">
        <f t="shared" si="20"/>
        <v>0</v>
      </c>
      <c r="O53" s="246"/>
      <c r="P53" s="318"/>
      <c r="Q53" s="256" cm="1">
        <f t="array" ref="Q53">+SUMPRODUCT(('Réel 2024'!$A$8:$A$501=$A53)*('Réel 2024'!$C$3:$AO$3=Q$2),'Réel 2024'!$C$8:$AO$501)</f>
        <v>0</v>
      </c>
      <c r="R53" s="246"/>
      <c r="S53" s="296">
        <f t="shared" si="23"/>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4" t="s">
        <v>128</v>
      </c>
      <c r="D54" s="305" t="s">
        <v>119</v>
      </c>
      <c r="E54" s="306">
        <f>F54/F$27</f>
        <v>0.40761699563057258</v>
      </c>
      <c r="F54" s="307">
        <f>+SUM(F42:F53)</f>
        <v>403164.4828194885</v>
      </c>
      <c r="G54" s="308"/>
      <c r="H54" s="306"/>
      <c r="I54" s="307"/>
      <c r="J54" s="308" t="s">
        <v>119</v>
      </c>
      <c r="K54" s="306">
        <f>L54/L$27</f>
        <v>0.41268116364776336</v>
      </c>
      <c r="L54" s="307">
        <f>+SUM(L42:L53)</f>
        <v>362533.82</v>
      </c>
      <c r="M54" s="311"/>
      <c r="N54" s="307">
        <f>+SUM(N42:N53)</f>
        <v>-40630.662819488396</v>
      </c>
      <c r="O54" s="308" t="s">
        <v>119</v>
      </c>
      <c r="P54" s="306">
        <f>Q54/Q$27</f>
        <v>0.28993491300100904</v>
      </c>
      <c r="Q54" s="307">
        <f>+SUM(Q42:Q53)</f>
        <v>339936.63</v>
      </c>
      <c r="R54" s="311"/>
      <c r="S54" s="307">
        <f>+SUM(S42:S53)</f>
        <v>-1396.0399999999845</v>
      </c>
      <c r="T54" s="291"/>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3" t="s">
        <v>129</v>
      </c>
      <c r="D55" s="297"/>
      <c r="E55" s="41"/>
      <c r="F55" s="254" cm="1">
        <f t="array" ref="F55">+SUMPRODUCT(('Budget original'!$A$8:$A$501=$A55)*('Budget original'!$C$3:$AO$3=F$2),'Budget original'!$C$8:$AO$501)</f>
        <v>0</v>
      </c>
      <c r="G55" s="298"/>
      <c r="H55" s="41"/>
      <c r="I55" s="254"/>
      <c r="J55" s="253"/>
      <c r="K55" s="41"/>
      <c r="L55" s="256">
        <f>SUMIFS(BV_Data_An_Cour!$P:$P,BV_Data_An_Cour!$U:$U,$B55,BV_Data_An_Cour!$V:$V,$C55,BV_Data_An_Cour!$W:$W,L$2)</f>
        <v>0</v>
      </c>
      <c r="M55" s="253"/>
      <c r="N55" s="276">
        <f t="shared" ref="N55:N71" si="24">L55-F55</f>
        <v>0</v>
      </c>
      <c r="O55" s="253"/>
      <c r="P55" s="41"/>
      <c r="Q55" s="256" cm="1">
        <f t="array" ref="Q55">+SUMPRODUCT(('Réel 2024'!$A$8:$A$501=$A55)*('Réel 2024'!$C$3:$AO$3=Q$2),'Réel 2024'!$C$8:$AO$501)</f>
        <v>0</v>
      </c>
      <c r="R55" s="253"/>
      <c r="S55" s="276">
        <f t="shared" ref="S55:S71" si="25">L55-Q55</f>
        <v>0</v>
      </c>
      <c r="T55" s="291"/>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3" t="s">
        <v>130</v>
      </c>
      <c r="D56" s="297"/>
      <c r="E56" s="41"/>
      <c r="F56" s="254" cm="1">
        <f t="array" ref="F56">+SUMPRODUCT(('Budget original'!$A$8:$A$501=$A56)*('Budget original'!$C$3:$AO$3=F$2),'Budget original'!$C$8:$AO$501)</f>
        <v>0</v>
      </c>
      <c r="G56" s="298"/>
      <c r="H56" s="41"/>
      <c r="I56" s="254"/>
      <c r="J56" s="253"/>
      <c r="K56" s="41"/>
      <c r="L56" s="256">
        <f>SUMIFS(BV_Data_An_Cour!$P:$P,BV_Data_An_Cour!$U:$U,$B56,BV_Data_An_Cour!$V:$V,$C56,BV_Data_An_Cour!$W:$W,L$2)</f>
        <v>0</v>
      </c>
      <c r="M56" s="253"/>
      <c r="N56" s="276">
        <f t="shared" si="24"/>
        <v>0</v>
      </c>
      <c r="O56" s="253"/>
      <c r="P56" s="41"/>
      <c r="Q56" s="256" cm="1">
        <f t="array" ref="Q56">+SUMPRODUCT(('Réel 2024'!$A$8:$A$501=$A56)*('Réel 2024'!$C$3:$AO$3=Q$2),'Réel 2024'!$C$8:$AO$501)</f>
        <v>0</v>
      </c>
      <c r="R56" s="253"/>
      <c r="S56" s="276">
        <f t="shared" si="25"/>
        <v>0</v>
      </c>
      <c r="T56" s="291"/>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6" t="s">
        <v>131</v>
      </c>
      <c r="D57" s="299"/>
      <c r="E57" s="318"/>
      <c r="F57" s="248" cm="1">
        <f t="array" ref="F57">+SUMPRODUCT(('Budget original'!$A$8:$A$501=$A57)*('Budget original'!$C$3:$AO$3=F$2),'Budget original'!$C$8:$AO$501)</f>
        <v>44762.739666666668</v>
      </c>
      <c r="G57" s="300"/>
      <c r="H57" s="318"/>
      <c r="I57" s="248"/>
      <c r="J57" s="246"/>
      <c r="K57" s="318"/>
      <c r="L57" s="248">
        <f>SUMIFS(BV_Data_An_Cour!$P:$P,BV_Data_An_Cour!$U:$U,$B57,BV_Data_An_Cour!$V:$V,$C57,BV_Data_An_Cour!$W:$W,L$2)</f>
        <v>49497.83</v>
      </c>
      <c r="M57" s="246"/>
      <c r="N57" s="296">
        <f t="shared" si="24"/>
        <v>4735.0903333333335</v>
      </c>
      <c r="O57" s="246"/>
      <c r="P57" s="318"/>
      <c r="Q57" s="248" cm="1">
        <f t="array" ref="Q57">+SUMPRODUCT(('Réel 2024'!$A$8:$A$501=$A57)*('Réel 2024'!$C$3:$AO$3=Q$2),'Réel 2024'!$C$8:$AO$501)</f>
        <v>40854.74</v>
      </c>
      <c r="R57" s="246"/>
      <c r="S57" s="296">
        <f t="shared" si="25"/>
        <v>8643.0900000000038</v>
      </c>
      <c r="T57" s="319"/>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3" t="s">
        <v>132</v>
      </c>
      <c r="D58" s="297"/>
      <c r="E58" s="41"/>
      <c r="F58" s="254" cm="1">
        <f t="array" ref="F58">+SUMPRODUCT(('Budget original'!$A$8:$A$501=$A58)*('Budget original'!$C$3:$AO$3=F$2),'Budget original'!$C$8:$AO$501)</f>
        <v>39804.973792577788</v>
      </c>
      <c r="G58" s="298"/>
      <c r="H58" s="41"/>
      <c r="I58" s="254"/>
      <c r="J58" s="253"/>
      <c r="K58" s="41"/>
      <c r="L58" s="256">
        <f>SUMIFS(BV_Data_An_Cour!$P:$P,BV_Data_An_Cour!$U:$U,$B58,BV_Data_An_Cour!$V:$V,$C58,BV_Data_An_Cour!$W:$W,L$2)</f>
        <v>36625.550000000003</v>
      </c>
      <c r="M58" s="253"/>
      <c r="N58" s="276">
        <f t="shared" si="24"/>
        <v>-3179.4237925777852</v>
      </c>
      <c r="O58" s="253"/>
      <c r="P58" s="41"/>
      <c r="Q58" s="256" cm="1">
        <f t="array" ref="Q58">+SUMPRODUCT(('Réel 2024'!$A$8:$A$501=$A58)*('Réel 2024'!$C$3:$AO$3=Q$2),'Réel 2024'!$C$8:$AO$501)</f>
        <v>35799.72</v>
      </c>
      <c r="R58" s="253"/>
      <c r="S58" s="276">
        <f t="shared" si="25"/>
        <v>825.83000000000175</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3" t="s">
        <v>133</v>
      </c>
      <c r="D59" s="297"/>
      <c r="E59" s="41"/>
      <c r="F59" s="254" cm="1">
        <f t="array" ref="F59">+SUMPRODUCT(('Budget original'!$A$8:$A$501=$A59)*('Budget original'!$C$3:$AO$3=F$2),'Budget original'!$C$8:$AO$501)</f>
        <v>6333.4875043149032</v>
      </c>
      <c r="G59" s="298"/>
      <c r="H59" s="41"/>
      <c r="I59" s="254"/>
      <c r="J59" s="253"/>
      <c r="K59" s="41"/>
      <c r="L59" s="256">
        <f>SUMIFS(BV_Data_An_Cour!$P:$P,BV_Data_An_Cour!$U:$U,$B59,BV_Data_An_Cour!$V:$V,$C59,BV_Data_An_Cour!$W:$W,L$2)</f>
        <v>7146.61</v>
      </c>
      <c r="M59" s="253"/>
      <c r="N59" s="276">
        <f t="shared" si="24"/>
        <v>813.12249568509651</v>
      </c>
      <c r="O59" s="253"/>
      <c r="P59" s="41"/>
      <c r="Q59" s="256" cm="1">
        <f t="array" ref="Q59">+SUMPRODUCT(('Réel 2024'!$A$8:$A$501=$A59)*('Réel 2024'!$C$3:$AO$3=Q$2),'Réel 2024'!$C$8:$AO$501)</f>
        <v>6391.869999999999</v>
      </c>
      <c r="R59" s="253"/>
      <c r="S59" s="276">
        <f t="shared" si="25"/>
        <v>754.74000000000069</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6" t="s">
        <v>134</v>
      </c>
      <c r="D60" s="299"/>
      <c r="E60" s="318"/>
      <c r="F60" s="248" cm="1">
        <f t="array" ref="F60">+SUMPRODUCT(('Budget original'!$A$8:$A$501=$A60)*('Budget original'!$C$3:$AO$3=F$2),'Budget original'!$C$8:$AO$501)</f>
        <v>36078.703617937652</v>
      </c>
      <c r="G60" s="300"/>
      <c r="H60" s="318"/>
      <c r="I60" s="248"/>
      <c r="J60" s="246"/>
      <c r="K60" s="318"/>
      <c r="L60" s="248">
        <f>SUMIFS(BV_Data_An_Cour!$P:$P,BV_Data_An_Cour!$U:$U,$B60,BV_Data_An_Cour!$V:$V,$C60,BV_Data_An_Cour!$W:$W,L$2)</f>
        <v>40576.68</v>
      </c>
      <c r="M60" s="246"/>
      <c r="N60" s="296">
        <f t="shared" si="24"/>
        <v>4497.9763820623484</v>
      </c>
      <c r="O60" s="246"/>
      <c r="P60" s="318"/>
      <c r="Q60" s="248" cm="1">
        <f t="array" ref="Q60">+SUMPRODUCT(('Réel 2024'!$A$8:$A$501=$A60)*('Réel 2024'!$C$3:$AO$3=Q$2),'Réel 2024'!$C$8:$AO$501)</f>
        <v>34805.369999999995</v>
      </c>
      <c r="R60" s="246"/>
      <c r="S60" s="296">
        <f t="shared" si="25"/>
        <v>5771.3100000000049</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3" t="s">
        <v>135</v>
      </c>
      <c r="D61" s="297"/>
      <c r="E61" s="41"/>
      <c r="F61" s="254" cm="1">
        <f t="array" ref="F61">+SUMPRODUCT(('Budget original'!$A$8:$A$501=$A61)*('Budget original'!$C$3:$AO$3=F$2),'Budget original'!$C$8:$AO$501)</f>
        <v>486.28666666666675</v>
      </c>
      <c r="G61" s="298"/>
      <c r="H61" s="41"/>
      <c r="I61" s="254"/>
      <c r="J61" s="253"/>
      <c r="K61" s="41"/>
      <c r="L61" s="256">
        <f>SUMIFS(BV_Data_An_Cour!$P:$P,BV_Data_An_Cour!$U:$U,$B61,BV_Data_An_Cour!$V:$V,$C61,BV_Data_An_Cour!$W:$W,L$2)</f>
        <v>306.39</v>
      </c>
      <c r="M61" s="253"/>
      <c r="N61" s="276">
        <f t="shared" si="24"/>
        <v>-179.89666666666676</v>
      </c>
      <c r="O61" s="253"/>
      <c r="P61" s="41"/>
      <c r="Q61" s="256" cm="1">
        <f t="array" ref="Q61">+SUMPRODUCT(('Réel 2024'!$A$8:$A$501=$A61)*('Réel 2024'!$C$3:$AO$3=Q$2),'Réel 2024'!$C$8:$AO$501)</f>
        <v>378.62</v>
      </c>
      <c r="R61" s="253"/>
      <c r="S61" s="276">
        <f t="shared" si="25"/>
        <v>-72.230000000000018</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3" t="s">
        <v>136</v>
      </c>
      <c r="D62" s="297"/>
      <c r="E62" s="41"/>
      <c r="F62" s="254" cm="1">
        <f t="array" ref="F62">+SUMPRODUCT(('Budget original'!$A$8:$A$501=$A62)*('Budget original'!$C$3:$AO$3=F$2),'Budget original'!$C$8:$AO$501)</f>
        <v>141.66666666666666</v>
      </c>
      <c r="G62" s="298"/>
      <c r="H62" s="41"/>
      <c r="I62" s="254"/>
      <c r="J62" s="253"/>
      <c r="K62" s="41"/>
      <c r="L62" s="256">
        <f>SUMIFS(BV_Data_An_Cour!$P:$P,BV_Data_An_Cour!$U:$U,$B62,BV_Data_An_Cour!$V:$V,$C62,BV_Data_An_Cour!$W:$W,L$2)</f>
        <v>623</v>
      </c>
      <c r="M62" s="253"/>
      <c r="N62" s="276">
        <f t="shared" si="24"/>
        <v>481.33333333333337</v>
      </c>
      <c r="O62" s="253"/>
      <c r="P62" s="41"/>
      <c r="Q62" s="256" cm="1">
        <f t="array" ref="Q62">+SUMPRODUCT(('Réel 2024'!$A$8:$A$501=$A62)*('Réel 2024'!$C$3:$AO$3=Q$2),'Réel 2024'!$C$8:$AO$501)</f>
        <v>0</v>
      </c>
      <c r="R62" s="253"/>
      <c r="S62" s="276">
        <f t="shared" si="25"/>
        <v>623</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3" t="s">
        <v>137</v>
      </c>
      <c r="D63" s="297"/>
      <c r="E63" s="41"/>
      <c r="F63" s="254" cm="1">
        <f t="array" ref="F63">+SUMPRODUCT(('Budget original'!$A$8:$A$501=$A63)*('Budget original'!$C$3:$AO$3=F$2),'Budget original'!$C$8:$AO$501)</f>
        <v>3707.1544733455999</v>
      </c>
      <c r="G63" s="298"/>
      <c r="H63" s="41"/>
      <c r="I63" s="254"/>
      <c r="J63" s="253"/>
      <c r="K63" s="41"/>
      <c r="L63" s="256">
        <f>SUMIFS(BV_Data_An_Cour!$P:$P,BV_Data_An_Cour!$U:$U,$B63,BV_Data_An_Cour!$V:$V,$C63,BV_Data_An_Cour!$W:$W,L$2)</f>
        <v>2852.19</v>
      </c>
      <c r="M63" s="253"/>
      <c r="N63" s="276">
        <f t="shared" si="24"/>
        <v>-854.9644733455998</v>
      </c>
      <c r="O63" s="253"/>
      <c r="P63" s="41"/>
      <c r="Q63" s="256" cm="1">
        <f t="array" ref="Q63">+SUMPRODUCT(('Réel 2024'!$A$8:$A$501=$A63)*('Réel 2024'!$C$3:$AO$3=Q$2),'Réel 2024'!$C$8:$AO$501)</f>
        <v>3575.31</v>
      </c>
      <c r="R63" s="253"/>
      <c r="S63" s="276">
        <f t="shared" si="25"/>
        <v>-723.11999999999989</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3" t="s">
        <v>138</v>
      </c>
      <c r="D64" s="297"/>
      <c r="E64" s="41"/>
      <c r="F64" s="254" cm="1">
        <f t="array" ref="F64">+SUMPRODUCT(('Budget original'!$A$8:$A$501=$A64)*('Budget original'!$C$3:$AO$3=F$2),'Budget original'!$C$8:$AO$501)</f>
        <v>1724.0099245899112</v>
      </c>
      <c r="G64" s="298"/>
      <c r="H64" s="41"/>
      <c r="I64" s="254"/>
      <c r="J64" s="253"/>
      <c r="K64" s="41"/>
      <c r="L64" s="256">
        <f>SUMIFS(BV_Data_An_Cour!$P:$P,BV_Data_An_Cour!$U:$U,$B64,BV_Data_An_Cour!$V:$V,$C64,BV_Data_An_Cour!$W:$W,L$2)</f>
        <v>2165.19</v>
      </c>
      <c r="M64" s="253"/>
      <c r="N64" s="276">
        <f t="shared" si="24"/>
        <v>441.18007541008888</v>
      </c>
      <c r="O64" s="253"/>
      <c r="P64" s="41"/>
      <c r="Q64" s="256" cm="1">
        <f t="array" ref="Q64">+SUMPRODUCT(('Réel 2024'!$A$8:$A$501=$A64)*('Réel 2024'!$C$3:$AO$3=Q$2),'Réel 2024'!$C$8:$AO$501)</f>
        <v>1720.1000000000001</v>
      </c>
      <c r="R64" s="253"/>
      <c r="S64" s="276">
        <f t="shared" si="25"/>
        <v>445.08999999999992</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3" t="s">
        <v>139</v>
      </c>
      <c r="D65" s="297"/>
      <c r="E65" s="41"/>
      <c r="F65" s="254" cm="1">
        <f t="array" ref="F65">+SUMPRODUCT(('Budget original'!$A$8:$A$501=$A65)*('Budget original'!$C$3:$AO$3=F$2),'Budget original'!$C$8:$AO$501)</f>
        <v>514.11197684208878</v>
      </c>
      <c r="G65" s="298"/>
      <c r="H65" s="41"/>
      <c r="I65" s="254"/>
      <c r="J65" s="253"/>
      <c r="K65" s="41"/>
      <c r="L65" s="256">
        <f>SUMIFS(BV_Data_An_Cour!$P:$P,BV_Data_An_Cour!$U:$U,$B65,BV_Data_An_Cour!$V:$V,$C65,BV_Data_An_Cour!$W:$W,L$2)</f>
        <v>1921.96</v>
      </c>
      <c r="M65" s="253"/>
      <c r="N65" s="276">
        <f t="shared" si="24"/>
        <v>1407.8480231579113</v>
      </c>
      <c r="O65" s="253"/>
      <c r="P65" s="41"/>
      <c r="Q65" s="256" cm="1">
        <f t="array" ref="Q65">+SUMPRODUCT(('Réel 2024'!$A$8:$A$501=$A65)*('Réel 2024'!$C$3:$AO$3=Q$2),'Réel 2024'!$C$8:$AO$501)</f>
        <v>680.68</v>
      </c>
      <c r="R65" s="253"/>
      <c r="S65" s="276">
        <f t="shared" si="25"/>
        <v>1241.2800000000002</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3" t="s">
        <v>140</v>
      </c>
      <c r="D66" s="297"/>
      <c r="E66" s="41"/>
      <c r="F66" s="254" cm="1">
        <f t="array" ref="F66">+SUMPRODUCT(('Budget original'!$A$8:$A$501=$A66)*('Budget original'!$C$3:$AO$3=F$2),'Budget original'!$C$8:$AO$501)</f>
        <v>1005.8519258396889</v>
      </c>
      <c r="G66" s="298"/>
      <c r="H66" s="41"/>
      <c r="I66" s="254"/>
      <c r="J66" s="253"/>
      <c r="K66" s="41"/>
      <c r="L66" s="256">
        <f>SUMIFS(BV_Data_An_Cour!$P:$P,BV_Data_An_Cour!$U:$U,$B66,BV_Data_An_Cour!$V:$V,$C66,BV_Data_An_Cour!$W:$W,L$2)</f>
        <v>464.6</v>
      </c>
      <c r="M66" s="253"/>
      <c r="N66" s="276">
        <f t="shared" si="24"/>
        <v>-541.25192583968885</v>
      </c>
      <c r="O66" s="253"/>
      <c r="P66" s="41"/>
      <c r="Q66" s="256" cm="1">
        <f t="array" ref="Q66">+SUMPRODUCT(('Réel 2024'!$A$8:$A$501=$A66)*('Réel 2024'!$C$3:$AO$3=Q$2),'Réel 2024'!$C$8:$AO$501)</f>
        <v>872.12999999999988</v>
      </c>
      <c r="R66" s="253"/>
      <c r="S66" s="276">
        <f t="shared" si="25"/>
        <v>-407.52999999999986</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3" t="s">
        <v>141</v>
      </c>
      <c r="D67" s="297"/>
      <c r="E67" s="41"/>
      <c r="F67" s="254" cm="1">
        <f t="array" ref="F67">+SUMPRODUCT(('Budget original'!$A$8:$A$501=$A67)*('Budget original'!$C$3:$AO$3=F$2),'Budget original'!$C$8:$AO$501)</f>
        <v>9673.5312499999982</v>
      </c>
      <c r="G67" s="298"/>
      <c r="H67" s="41"/>
      <c r="I67" s="254"/>
      <c r="J67" s="253"/>
      <c r="K67" s="41"/>
      <c r="L67" s="256">
        <f>SUMIFS(BV_Data_An_Cour!$P:$P,BV_Data_An_Cour!$U:$U,$B67,BV_Data_An_Cour!$V:$V,$C67,BV_Data_An_Cour!$W:$W,L$2)</f>
        <v>10675.09</v>
      </c>
      <c r="M67" s="253"/>
      <c r="N67" s="276">
        <f t="shared" si="24"/>
        <v>1001.558750000002</v>
      </c>
      <c r="O67" s="253"/>
      <c r="P67" s="41"/>
      <c r="Q67" s="256" cm="1">
        <f t="array" ref="Q67">+SUMPRODUCT(('Réel 2024'!$A$8:$A$501=$A67)*('Réel 2024'!$C$3:$AO$3=Q$2),'Réel 2024'!$C$8:$AO$501)</f>
        <v>6708.2699999999995</v>
      </c>
      <c r="R67" s="253"/>
      <c r="S67" s="276">
        <f t="shared" si="25"/>
        <v>3966.8200000000006</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3" t="s">
        <v>142</v>
      </c>
      <c r="D68" s="297"/>
      <c r="E68" s="41"/>
      <c r="F68" s="254" cm="1">
        <f t="array" ref="F68">+SUMPRODUCT(('Budget original'!$A$8:$A$501=$A68)*('Budget original'!$C$3:$AO$3=F$2),'Budget original'!$C$8:$AO$501)</f>
        <v>16001.601584330236</v>
      </c>
      <c r="G68" s="298"/>
      <c r="H68" s="41"/>
      <c r="I68" s="254"/>
      <c r="J68" s="253"/>
      <c r="K68" s="41"/>
      <c r="L68" s="952">
        <f>SUMIFS(BV_Data_An_Cour!$P:$P,BV_Data_An_Cour!$U:$U,$B68,BV_Data_An_Cour!$V:$V,$C68,BV_Data_An_Cour!$W:$W,L$2)</f>
        <v>17856.2</v>
      </c>
      <c r="M68" s="987"/>
      <c r="N68" s="961">
        <f t="shared" si="24"/>
        <v>1854.598415669765</v>
      </c>
      <c r="O68" s="253"/>
      <c r="P68" s="41"/>
      <c r="Q68" s="256" cm="1">
        <f t="array" ref="Q68">+SUMPRODUCT(('Réel 2024'!$A$8:$A$501=$A68)*('Réel 2024'!$C$3:$AO$3=Q$2),'Réel 2024'!$C$8:$AO$501)</f>
        <v>17767.68</v>
      </c>
      <c r="R68" s="253"/>
      <c r="S68" s="276">
        <f t="shared" si="25"/>
        <v>88.520000000000437</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3" t="s">
        <v>59</v>
      </c>
      <c r="D69" s="297"/>
      <c r="E69" s="41"/>
      <c r="F69" s="254" cm="1">
        <f t="array" ref="F69">+SUMPRODUCT(('Budget original'!$A$8:$A$501=$A69)*('Budget original'!$C$3:$AO$3=F$2),'Budget original'!$C$8:$AO$501)</f>
        <v>0</v>
      </c>
      <c r="G69" s="298"/>
      <c r="H69" s="41"/>
      <c r="I69" s="254"/>
      <c r="J69" s="253"/>
      <c r="K69" s="41"/>
      <c r="L69" s="256"/>
      <c r="M69" s="253"/>
      <c r="N69" s="276">
        <f t="shared" si="24"/>
        <v>0</v>
      </c>
      <c r="O69" s="253"/>
      <c r="P69" s="41"/>
      <c r="Q69" s="256" cm="1">
        <f t="array" ref="Q69">+SUMPRODUCT(('Réel 2024'!$A$8:$A$501=$A69)*('Réel 2024'!$C$3:$AO$3=Q$2),'Réel 2024'!$C$8:$AO$501)</f>
        <v>0</v>
      </c>
      <c r="R69" s="253"/>
      <c r="S69" s="276">
        <f t="shared" si="25"/>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3" t="s">
        <v>59</v>
      </c>
      <c r="D70" s="297"/>
      <c r="E70" s="41"/>
      <c r="F70" s="254" cm="1">
        <f t="array" ref="F70">+SUMPRODUCT(('Budget original'!$A$8:$A$501=$A70)*('Budget original'!$C$3:$AO$3=F$2),'Budget original'!$C$8:$AO$501)</f>
        <v>0</v>
      </c>
      <c r="G70" s="298"/>
      <c r="H70" s="41"/>
      <c r="I70" s="254"/>
      <c r="J70" s="253"/>
      <c r="K70" s="41"/>
      <c r="L70" s="256">
        <f>SUMIFS(BV_Data_An_Cour!$P:$P,BV_Data_An_Cour!$U:$U,$B70,BV_Data_An_Cour!$V:$V,$C70,BV_Data_An_Cour!$W:$W,L$2)</f>
        <v>0</v>
      </c>
      <c r="M70" s="253"/>
      <c r="N70" s="276">
        <f t="shared" si="24"/>
        <v>0</v>
      </c>
      <c r="O70" s="253"/>
      <c r="P70" s="41"/>
      <c r="Q70" s="256" cm="1">
        <f t="array" ref="Q70">+SUMPRODUCT(('Réel 2024'!$A$8:$A$501=$A70)*('Réel 2024'!$C$3:$AO$3=Q$2),'Réel 2024'!$C$8:$AO$501)</f>
        <v>0</v>
      </c>
      <c r="R70" s="253"/>
      <c r="S70" s="276">
        <f t="shared" si="25"/>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3" t="s">
        <v>59</v>
      </c>
      <c r="D71" s="297"/>
      <c r="E71" s="41"/>
      <c r="F71" s="254" cm="1">
        <f t="array" ref="F71">+SUMPRODUCT(('Budget original'!$A$8:$A$501=$A71)*('Budget original'!$C$3:$AO$3=F$2),'Budget original'!$C$8:$AO$501)</f>
        <v>0</v>
      </c>
      <c r="G71" s="298"/>
      <c r="H71" s="41"/>
      <c r="I71" s="254"/>
      <c r="J71" s="253"/>
      <c r="K71" s="41"/>
      <c r="L71" s="256">
        <f>SUMIFS(BV_Data_An_Cour!$P:$P,BV_Data_An_Cour!$U:$U,$B71,BV_Data_An_Cour!$V:$V,$C71,BV_Data_An_Cour!$W:$W,L$2)*0.32</f>
        <v>0</v>
      </c>
      <c r="M71" s="253"/>
      <c r="N71" s="276">
        <f t="shared" si="24"/>
        <v>0</v>
      </c>
      <c r="O71" s="253"/>
      <c r="P71" s="41"/>
      <c r="Q71" s="256" cm="1">
        <f t="array" ref="Q71">+SUMPRODUCT(('Réel 2024'!$A$8:$A$501=$A71)*('Réel 2024'!$C$3:$AO$3=Q$2),'Réel 2024'!$C$8:$AO$501)</f>
        <v>0</v>
      </c>
      <c r="R71" s="253"/>
      <c r="S71" s="276">
        <f t="shared" si="25"/>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4" t="s">
        <v>143</v>
      </c>
      <c r="D72" s="305" t="s">
        <v>119</v>
      </c>
      <c r="E72" s="306">
        <f>F72/F$27</f>
        <v>0.16200373045714322</v>
      </c>
      <c r="F72" s="307">
        <f>+SUM(F55:F71)</f>
        <v>160234.11904977789</v>
      </c>
      <c r="G72" s="308"/>
      <c r="H72" s="306"/>
      <c r="I72" s="307"/>
      <c r="J72" s="308" t="s">
        <v>119</v>
      </c>
      <c r="K72" s="306">
        <f>L72/L$27</f>
        <v>0.19432485996757712</v>
      </c>
      <c r="L72" s="307">
        <f>+SUM(L55:L71)</f>
        <v>170711.29000000004</v>
      </c>
      <c r="M72" s="311"/>
      <c r="N72" s="307">
        <f>+SUM(N55:N71)</f>
        <v>10477.170950222138</v>
      </c>
      <c r="O72" s="308" t="s">
        <v>119</v>
      </c>
      <c r="P72" s="306">
        <f>Q72/Q$27</f>
        <v>0.12755632732800892</v>
      </c>
      <c r="Q72" s="307">
        <f>+SUM(Q55:Q71)</f>
        <v>149554.48999999996</v>
      </c>
      <c r="R72" s="311"/>
      <c r="S72" s="307">
        <f>+SUM(S55:S71)</f>
        <v>21156.800000000014</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4" t="s">
        <v>144</v>
      </c>
      <c r="D74" s="305" t="s">
        <v>119</v>
      </c>
      <c r="E74" s="306">
        <f>F74/F$27</f>
        <v>1.1674723954652004</v>
      </c>
      <c r="F74" s="307">
        <f>F41+F54+F72</f>
        <v>1154719.772652321</v>
      </c>
      <c r="G74" s="308"/>
      <c r="H74" s="306"/>
      <c r="I74" s="307"/>
      <c r="J74" s="308" t="s">
        <v>119</v>
      </c>
      <c r="K74" s="306">
        <f>L74/L$27</f>
        <v>1.079770998688024</v>
      </c>
      <c r="L74" s="307">
        <f>L41+L54+L72</f>
        <v>948561.60000000009</v>
      </c>
      <c r="M74" s="311"/>
      <c r="N74" s="320">
        <f t="shared" ref="N74:N82" si="26">L74-F74</f>
        <v>-206158.17265232094</v>
      </c>
      <c r="O74" s="308" t="s">
        <v>119</v>
      </c>
      <c r="P74" s="306">
        <f>Q74/Q$27</f>
        <v>0.93792143178945442</v>
      </c>
      <c r="Q74" s="307">
        <f>Q41+Q54+Q72</f>
        <v>1099673.8799999999</v>
      </c>
      <c r="R74" s="311"/>
      <c r="S74" s="320">
        <f>L74-Q74</f>
        <v>-151112.2799999998</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3" t="s">
        <v>145</v>
      </c>
      <c r="D75" s="297"/>
      <c r="E75" s="41"/>
      <c r="F75" s="254" cm="1">
        <f t="array" ref="F75">+SUMPRODUCT(('Budget original'!$A$8:$A$501=$A75)*('Budget original'!$C$3:$AO$3=F$2),'Budget original'!$C$8:$AO$501)</f>
        <v>25000</v>
      </c>
      <c r="G75" s="298"/>
      <c r="H75" s="41"/>
      <c r="I75" s="254"/>
      <c r="J75" s="253"/>
      <c r="K75" s="41"/>
      <c r="L75" s="256">
        <f>-SUMIFS(BV_Data_An_Cour!$P:$P,BV_Data_An_Cour!$U:$U,$B75,BV_Data_An_Cour!$V:$V,$C75,BV_Data_An_Cour!$W:$W,L$2)</f>
        <v>0</v>
      </c>
      <c r="M75" s="253"/>
      <c r="N75" s="276">
        <f t="shared" si="26"/>
        <v>-25000</v>
      </c>
      <c r="O75" s="253"/>
      <c r="P75" s="41"/>
      <c r="Q75" s="256" cm="1">
        <f t="array" ref="Q75">+SUMPRODUCT(('Réel 2024'!$A$8:$A$501=$A75)*('Réel 2024'!$C$3:$AO$3=Q$2),'Réel 2024'!$C$8:$AO$501)</f>
        <v>695</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3" t="s">
        <v>146</v>
      </c>
      <c r="D76" s="297"/>
      <c r="E76" s="41"/>
      <c r="F76" s="254" cm="1">
        <f t="array" ref="F76">+SUMPRODUCT(('Budget original'!$A$8:$A$501=$A76)*('Budget original'!$C$3:$AO$3=F$2),'Budget original'!$C$8:$AO$501)</f>
        <v>0</v>
      </c>
      <c r="G76" s="298"/>
      <c r="H76" s="41"/>
      <c r="I76" s="254"/>
      <c r="J76" s="253"/>
      <c r="K76" s="41"/>
      <c r="L76" s="256">
        <f>-SUMIFS(BV_Data_An_Cour!$P:$P,BV_Data_An_Cour!$U:$U,$B76,BV_Data_An_Cour!$V:$V,$C76,BV_Data_An_Cour!$W:$W,L$2)</f>
        <v>0</v>
      </c>
      <c r="M76" s="253"/>
      <c r="N76" s="276">
        <f t="shared" si="26"/>
        <v>0</v>
      </c>
      <c r="O76" s="253"/>
      <c r="P76" s="41"/>
      <c r="Q76" s="256" cm="1">
        <f t="array" ref="Q76">+SUMPRODUCT(('Réel 2024'!$A$8:$A$501=$A76)*('Réel 2024'!$C$3:$AO$3=Q$2),'Réel 2024'!$C$8:$AO$501)</f>
        <v>0</v>
      </c>
      <c r="R76" s="253"/>
      <c r="S76" s="276">
        <f t="shared" ref="S76:S82" si="27">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3" t="s">
        <v>147</v>
      </c>
      <c r="D77" s="297"/>
      <c r="E77" s="41"/>
      <c r="F77" s="254" cm="1">
        <f t="array" ref="F77">+SUMPRODUCT(('Budget original'!$A$8:$A$501=$A77)*('Budget original'!$C$3:$AO$3=F$2),'Budget original'!$C$8:$AO$501)</f>
        <v>0</v>
      </c>
      <c r="G77" s="298"/>
      <c r="H77" s="41"/>
      <c r="I77" s="254"/>
      <c r="J77" s="253"/>
      <c r="K77" s="41"/>
      <c r="L77" s="256">
        <f>-SUMIFS(BV_Data_An_Cour!$P:$P,BV_Data_An_Cour!$U:$U,$B77,BV_Data_An_Cour!$V:$V,$C77,BV_Data_An_Cour!$W:$W,L$2)</f>
        <v>0</v>
      </c>
      <c r="M77" s="253"/>
      <c r="N77" s="276">
        <f t="shared" si="26"/>
        <v>0</v>
      </c>
      <c r="O77" s="253"/>
      <c r="P77" s="41"/>
      <c r="Q77" s="256" cm="1">
        <f t="array" ref="Q77">+SUMPRODUCT(('Réel 2024'!$A$8:$A$501=$A77)*('Réel 2024'!$C$3:$AO$3=Q$2),'Réel 2024'!$C$8:$AO$501)</f>
        <v>0</v>
      </c>
      <c r="R77" s="253"/>
      <c r="S77" s="276">
        <f t="shared" si="27"/>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3" t="s">
        <v>148</v>
      </c>
      <c r="D78" s="297"/>
      <c r="E78" s="41"/>
      <c r="F78" s="254" cm="1">
        <f t="array" ref="F78">+SUMPRODUCT(('Budget original'!$A$8:$A$501=$A78)*('Budget original'!$C$3:$AO$3=F$2),'Budget original'!$C$8:$AO$501)</f>
        <v>407096.13974815456</v>
      </c>
      <c r="G78" s="298"/>
      <c r="H78" s="41"/>
      <c r="I78" s="254"/>
      <c r="J78" s="253"/>
      <c r="K78" s="41"/>
      <c r="L78" s="256">
        <f>-SUMIFS(BV_Data_An_Cour!$P:$P,BV_Data_An_Cour!$U:$U,$B78,BV_Data_An_Cour!$V:$V,$C78,BV_Data_An_Cour!$W:$W,L$2)</f>
        <v>347078</v>
      </c>
      <c r="M78" s="253"/>
      <c r="N78" s="276">
        <f t="shared" si="26"/>
        <v>-60018.139748154557</v>
      </c>
      <c r="O78" s="253"/>
      <c r="P78" s="41"/>
      <c r="Q78" s="256" cm="1">
        <f t="array" ref="Q78">+SUMPRODUCT(('Réel 2024'!$A$8:$A$501=$A78)*('Réel 2024'!$C$3:$AO$3=Q$2),'Réel 2024'!$C$8:$AO$501)</f>
        <v>432083.4</v>
      </c>
      <c r="R78" s="253"/>
      <c r="S78" s="276">
        <f t="shared" si="27"/>
        <v>-85005.400000000023</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3" t="s">
        <v>59</v>
      </c>
      <c r="D79" s="297"/>
      <c r="E79" s="41"/>
      <c r="F79" s="254" cm="1">
        <f t="array" ref="F79">+SUMPRODUCT(('Budget original'!$A$8:$A$501=$A79)*('Budget original'!$C$3:$AO$3=F$2),'Budget original'!$C$8:$AO$501)</f>
        <v>0</v>
      </c>
      <c r="G79" s="298"/>
      <c r="H79" s="41"/>
      <c r="I79" s="254"/>
      <c r="J79" s="253"/>
      <c r="K79" s="41"/>
      <c r="L79" s="256">
        <f>-SUMIFS(BV_Data_An_Cour!$P:$P,BV_Data_An_Cour!$U:$U,$B79,BV_Data_An_Cour!$V:$V,$C79,BV_Data_An_Cour!$W:$W,L$2)</f>
        <v>0</v>
      </c>
      <c r="M79" s="253"/>
      <c r="N79" s="276">
        <f t="shared" si="26"/>
        <v>0</v>
      </c>
      <c r="O79" s="253"/>
      <c r="P79" s="41"/>
      <c r="Q79" s="256" cm="1">
        <f t="array" ref="Q79">+SUMPRODUCT(('Réel 2024'!$A$8:$A$501=$A79)*('Réel 2024'!$C$3:$AO$3=Q$2),'Réel 2024'!$C$8:$AO$501)</f>
        <v>0</v>
      </c>
      <c r="R79" s="253"/>
      <c r="S79" s="276">
        <f t="shared" si="27"/>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3" t="s">
        <v>59</v>
      </c>
      <c r="D80" s="297"/>
      <c r="E80" s="41"/>
      <c r="F80" s="254" cm="1">
        <f t="array" ref="F80">+SUMPRODUCT(('Budget original'!$A$8:$A$501=$A80)*('Budget original'!$C$3:$AO$3=F$2),'Budget original'!$C$8:$AO$501)</f>
        <v>0</v>
      </c>
      <c r="G80" s="298"/>
      <c r="H80" s="41"/>
      <c r="I80" s="254"/>
      <c r="J80" s="253"/>
      <c r="K80" s="41"/>
      <c r="L80" s="256">
        <f>-SUMIFS(BV_Data_An_Cour!$P:$P,BV_Data_An_Cour!$U:$U,$B80,BV_Data_An_Cour!$V:$V,$C80,BV_Data_An_Cour!$W:$W,L$2)</f>
        <v>0</v>
      </c>
      <c r="M80" s="253"/>
      <c r="N80" s="276">
        <f t="shared" si="26"/>
        <v>0</v>
      </c>
      <c r="O80" s="253"/>
      <c r="P80" s="41"/>
      <c r="Q80" s="256" cm="1">
        <f t="array" ref="Q80">+SUMPRODUCT(('Réel 2024'!$A$8:$A$501=$A80)*('Réel 2024'!$C$3:$AO$3=Q$2),'Réel 2024'!$C$8:$AO$501)</f>
        <v>0</v>
      </c>
      <c r="R80" s="253"/>
      <c r="S80" s="276">
        <f t="shared" si="27"/>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3" t="s">
        <v>59</v>
      </c>
      <c r="D81" s="297"/>
      <c r="E81" s="41"/>
      <c r="F81" s="254" cm="1">
        <f t="array" ref="F81">+SUMPRODUCT(('Budget original'!$A$8:$A$501=$A81)*('Budget original'!$C$3:$AO$3=F$2),'Budget original'!$C$8:$AO$501)</f>
        <v>0</v>
      </c>
      <c r="G81" s="298"/>
      <c r="H81" s="41"/>
      <c r="I81" s="254"/>
      <c r="J81" s="253"/>
      <c r="K81" s="41"/>
      <c r="L81" s="256">
        <f>-SUMIFS(BV_Data_An_Cour!$P:$P,BV_Data_An_Cour!$U:$U,$B81,BV_Data_An_Cour!$V:$V,$C81,BV_Data_An_Cour!$W:$W,L$2)</f>
        <v>0</v>
      </c>
      <c r="M81" s="253"/>
      <c r="N81" s="276">
        <f t="shared" si="26"/>
        <v>0</v>
      </c>
      <c r="O81" s="253"/>
      <c r="P81" s="41"/>
      <c r="Q81" s="256" cm="1">
        <f t="array" ref="Q81">+SUMPRODUCT(('Réel 2024'!$A$8:$A$501=$A81)*('Réel 2024'!$C$3:$AO$3=Q$2),'Réel 2024'!$C$8:$AO$501)</f>
        <v>0</v>
      </c>
      <c r="R81" s="253"/>
      <c r="S81" s="276">
        <f t="shared" si="27"/>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3" t="s">
        <v>149</v>
      </c>
      <c r="D82" s="297"/>
      <c r="E82" s="41"/>
      <c r="F82" s="254" cm="1">
        <f t="array" ref="F82">+SUMPRODUCT(('Budget original'!$A$8:$A$501=$A82)*('Budget original'!$C$3:$AO$3=F$2),'Budget original'!$C$8:$AO$501)</f>
        <v>136526.39999999999</v>
      </c>
      <c r="G82" s="298"/>
      <c r="H82" s="41"/>
      <c r="I82" s="254"/>
      <c r="J82" s="253"/>
      <c r="K82" s="41"/>
      <c r="L82" s="256">
        <f>-SUMIFS(BV_Data_An_Cour!$P:$P,BV_Data_An_Cour!$U:$U,$B82,BV_Data_An_Cour!$V:$V,$C82,BV_Data_An_Cour!$W:$W,L$2)</f>
        <v>115071</v>
      </c>
      <c r="M82" s="253"/>
      <c r="N82" s="276">
        <f t="shared" si="26"/>
        <v>-21455.399999999994</v>
      </c>
      <c r="O82" s="253"/>
      <c r="P82" s="41"/>
      <c r="Q82" s="256" cm="1">
        <f t="array" ref="Q82">+SUMPRODUCT(('Réel 2024'!$A$8:$A$501=$A82)*('Réel 2024'!$C$3:$AO$3=Q$2),'Réel 2024'!$C$8:$AO$501)</f>
        <v>158400</v>
      </c>
      <c r="R82" s="253"/>
      <c r="S82" s="276">
        <f t="shared" si="27"/>
        <v>-43329</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4" t="s">
        <v>150</v>
      </c>
      <c r="D83" s="305"/>
      <c r="E83" s="306"/>
      <c r="F83" s="307">
        <f>+SUM(F75:F82)</f>
        <v>568622.53974815458</v>
      </c>
      <c r="G83" s="308"/>
      <c r="H83" s="306"/>
      <c r="I83" s="307"/>
      <c r="J83" s="308"/>
      <c r="K83" s="306"/>
      <c r="L83" s="307">
        <f>+SUM(L75:L82)</f>
        <v>462149</v>
      </c>
      <c r="M83" s="311"/>
      <c r="N83" s="307">
        <f>+SUM(N75:N82)</f>
        <v>-106473.53974815455</v>
      </c>
      <c r="O83" s="308"/>
      <c r="P83" s="306"/>
      <c r="Q83" s="307">
        <f>+SUM(Q75:Q82)</f>
        <v>591178.4</v>
      </c>
      <c r="R83" s="311"/>
      <c r="S83" s="307">
        <f>+SUM(S75:S82)</f>
        <v>-128334.40000000002</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c r="A85" s="5" t="str">
        <f t="shared" si="0"/>
        <v>Véhicules neufsPROFIT DÉPARTEMENTAL</v>
      </c>
      <c r="B85" s="41" t="str">
        <f t="shared" si="1"/>
        <v>Véhicules neufs</v>
      </c>
      <c r="C85" s="332" t="s">
        <v>151</v>
      </c>
      <c r="D85" s="333"/>
      <c r="E85" s="334"/>
      <c r="F85" s="335">
        <f>F27-F74+F83</f>
        <v>402979.49142574973</v>
      </c>
      <c r="G85" s="336"/>
      <c r="H85" s="334"/>
      <c r="I85" s="335"/>
      <c r="J85" s="336"/>
      <c r="K85" s="333"/>
      <c r="L85" s="335">
        <f>L27-L74+L83</f>
        <v>392071.45000000007</v>
      </c>
      <c r="M85" s="336"/>
      <c r="N85" s="335">
        <f>N27-N41-N54-N72+N83</f>
        <v>-10908.041425749747</v>
      </c>
      <c r="O85" s="336"/>
      <c r="P85" s="333"/>
      <c r="Q85" s="335">
        <f>Q27-Q74+Q83</f>
        <v>663962.93999999843</v>
      </c>
      <c r="R85" s="336"/>
      <c r="S85" s="335">
        <f>L85-Q85</f>
        <v>-271891.48999999836</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59"/>
      <c r="K86" s="59"/>
      <c r="L86" s="338"/>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Volks</v>
      </c>
      <c r="D89" s="232"/>
      <c r="E89" s="232"/>
      <c r="F89" s="232"/>
      <c r="G89" s="232"/>
      <c r="H89" s="36"/>
      <c r="I89" s="36"/>
      <c r="J89" s="36"/>
      <c r="K89" s="9" t="s">
        <v>152</v>
      </c>
      <c r="L89" s="232"/>
      <c r="M89" s="232"/>
      <c r="N89" s="36"/>
      <c r="O89" s="36"/>
      <c r="P89" s="232"/>
      <c r="Q89" s="36"/>
      <c r="R89" s="232"/>
      <c r="S89" s="10" t="str">
        <f>$S$1</f>
        <v>Réalisé AAJ, Mai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18" t="s">
        <v>343</v>
      </c>
      <c r="E91" s="1219"/>
      <c r="F91" s="1220"/>
      <c r="G91" s="1223"/>
      <c r="H91" s="1219"/>
      <c r="I91" s="1220"/>
      <c r="J91" s="1223" t="s">
        <v>344</v>
      </c>
      <c r="K91" s="1219"/>
      <c r="L91" s="1220"/>
      <c r="M91" s="1223" t="s">
        <v>3310</v>
      </c>
      <c r="N91" s="1220"/>
      <c r="O91" s="1218" t="s">
        <v>345</v>
      </c>
      <c r="P91" s="1219"/>
      <c r="Q91" s="1220"/>
      <c r="R91" s="1221" t="s">
        <v>3312</v>
      </c>
      <c r="S91" s="1222"/>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3318</v>
      </c>
      <c r="K92" s="243" t="s">
        <v>94</v>
      </c>
      <c r="L92" s="244" t="s">
        <v>95</v>
      </c>
      <c r="M92" s="245" t="s">
        <v>3318</v>
      </c>
      <c r="N92" s="244" t="s">
        <v>95</v>
      </c>
      <c r="O92" s="243" t="s">
        <v>93</v>
      </c>
      <c r="P92" s="243" t="s">
        <v>348</v>
      </c>
      <c r="Q92" s="244" t="s">
        <v>95</v>
      </c>
      <c r="R92" s="245" t="s">
        <v>3318</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2" si="28">+B93&amp;C93</f>
        <v>Véhicules usagésVentes nettes</v>
      </c>
      <c r="B93" s="41" t="s">
        <v>152</v>
      </c>
      <c r="C93" s="246" t="s">
        <v>96</v>
      </c>
      <c r="D93" s="250"/>
      <c r="E93" s="250"/>
      <c r="F93" s="248" cm="1">
        <f t="array" ref="F93">+SUMPRODUCT(('Budget original'!$A$8:$A$501=$A93)*('Budget original'!$C$3:$AO$3=F$2),'Budget original'!$C$8:$AO$501)</f>
        <v>7135846.9324366208</v>
      </c>
      <c r="G93" s="267"/>
      <c r="H93" s="250"/>
      <c r="I93" s="248"/>
      <c r="J93" s="246"/>
      <c r="K93" s="250"/>
      <c r="L93" s="248">
        <f>-SUMIFS(BV_Data_An_Cour!$P:$P,BV_Data_An_Cour!$X:$X,"Oui",BV_Data_An_Cour!$U:$U,$B93)</f>
        <v>4615927.4799999995</v>
      </c>
      <c r="M93" s="342"/>
      <c r="N93" s="343"/>
      <c r="O93" s="246"/>
      <c r="P93" s="250"/>
      <c r="Q93" s="248" cm="1">
        <f t="array" ref="Q93">+SUMPRODUCT(('Réel 2024'!$A$8:$A$501=$A93)*('Réel 2024'!$C$3:$AO$3=Q$2),'Réel 2024'!$C$8:$AO$501)</f>
        <v>7044029.9599999897</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8"/>
        <v>Véhicules usagésCertifié</v>
      </c>
      <c r="B94" s="41" t="s">
        <v>152</v>
      </c>
      <c r="C94" s="253" t="s">
        <v>153</v>
      </c>
      <c r="D94" s="254" cm="1">
        <f t="array" ref="D94">+SUMPRODUCT(('Budget original'!$A$8:$A$501=$A94)*('Budget original'!$C$3:$AO$3=D$2),'Budget original'!$C$8:$AO$501)</f>
        <v>109</v>
      </c>
      <c r="E94" s="254">
        <f t="shared" ref="E94:E100" si="29">IF(D94=0,0,F94/D94)</f>
        <v>1400</v>
      </c>
      <c r="F94" s="254" cm="1">
        <f t="array" ref="F94">+SUMPRODUCT(('Budget original'!$A$8:$A$501=$A94)*('Budget original'!$C$3:$AO$3=F$2),'Budget original'!$C$8:$AO$501)</f>
        <v>152600</v>
      </c>
      <c r="G94" s="255"/>
      <c r="H94" s="254"/>
      <c r="I94" s="254"/>
      <c r="J94" s="255">
        <f>-SUMIFS(BV_Data_An_Cour!$P:$P,BV_Data_An_Cour!$U:$U,$B94,BV_Data_An_Cour!$V:$V,$C94,BV_Data_An_Cour!$W:$W,J$2)</f>
        <v>116</v>
      </c>
      <c r="K94" s="254">
        <f t="shared" ref="K94:K95" si="30">IF(J94=0,0,L94/J94)</f>
        <v>1303.1950862068986</v>
      </c>
      <c r="L94" s="256">
        <f>-SUMIFS(BV_Data_An_Cour!$P:$P,BV_Data_An_Cour!$U:$U,$B94,BV_Data_An_Cour!$V:$V,$C94,BV_Data_An_Cour!$W:$W,$L2)</f>
        <v>151170.63000000024</v>
      </c>
      <c r="M94" s="255">
        <f>J94-D94</f>
        <v>7</v>
      </c>
      <c r="N94" s="256">
        <f>L94-F94</f>
        <v>-1429.3699999997625</v>
      </c>
      <c r="O94" s="255" cm="1">
        <f t="array" ref="O94">+SUMPRODUCT(('Réel 2024'!$A$8:$A$501=$A94)*('Réel 2024'!$C$3:$AO$3=O$2),'Réel 2024'!$C$8:$AO$501)</f>
        <v>118</v>
      </c>
      <c r="P94" s="254">
        <f t="shared" ref="P94:P100" si="31">IF(O94=0,0,Q94/O94)</f>
        <v>605.38025423728811</v>
      </c>
      <c r="Q94" s="256" cm="1">
        <f t="array" ref="Q94">+SUMPRODUCT(('Réel 2024'!$A$8:$A$501=$A94)*('Réel 2024'!$C$3:$AO$3=Q$2),'Réel 2024'!$C$8:$AO$501)</f>
        <v>71434.87</v>
      </c>
      <c r="R94" s="255">
        <f t="shared" ref="R94:R95" si="32">J94-O94</f>
        <v>-2</v>
      </c>
      <c r="S94" s="256">
        <f t="shared" ref="S94:S95" si="33">L94-Q94</f>
        <v>79735.760000000242</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8"/>
        <v>Véhicules usagésNon Certifié</v>
      </c>
      <c r="B95" s="41" t="s">
        <v>152</v>
      </c>
      <c r="C95" s="253" t="s">
        <v>154</v>
      </c>
      <c r="D95" s="254" cm="1">
        <f t="array" ref="D95">+SUMPRODUCT(('Budget original'!$A$8:$A$501=$A95)*('Budget original'!$C$3:$AO$3=D$2),'Budget original'!$C$8:$AO$501)</f>
        <v>13</v>
      </c>
      <c r="E95" s="1076">
        <f t="shared" si="29"/>
        <v>1800</v>
      </c>
      <c r="F95" s="254" cm="1">
        <f t="array" ref="F95">+SUMPRODUCT(('Budget original'!$A$8:$A$501=$A95)*('Budget original'!$C$3:$AO$3=F$2),'Budget original'!$C$8:$AO$501)</f>
        <v>23400</v>
      </c>
      <c r="G95" s="255"/>
      <c r="H95" s="254"/>
      <c r="I95" s="254"/>
      <c r="J95" s="255">
        <f>-SUMIFS(BV_Data_An_Cour!$P:$P,BV_Data_An_Cour!$U:$U,$B95,BV_Data_An_Cour!$V:$V,$C95,BV_Data_An_Cour!$W:$W,J$2)</f>
        <v>8</v>
      </c>
      <c r="K95" s="254">
        <f t="shared" si="30"/>
        <v>574.7374999999995</v>
      </c>
      <c r="L95" s="256">
        <f>-SUMIFS(BV_Data_An_Cour!$P:$P,BV_Data_An_Cour!$U:$U,$B95,BV_Data_An_Cour!$V:$V,$C95,BV_Data_An_Cour!$W:$W,$L2)</f>
        <v>4597.899999999996</v>
      </c>
      <c r="M95" s="255">
        <f>J95-D95</f>
        <v>-5</v>
      </c>
      <c r="N95" s="256">
        <f>L95-F95</f>
        <v>-18802.100000000006</v>
      </c>
      <c r="O95" s="255" cm="1">
        <f t="array" ref="O95">+SUMPRODUCT(('Réel 2024'!$A$8:$A$501=$A95)*('Réel 2024'!$C$3:$AO$3=O$2),'Réel 2024'!$C$8:$AO$501)</f>
        <v>6</v>
      </c>
      <c r="P95" s="254">
        <f t="shared" si="31"/>
        <v>-1560.5533333333299</v>
      </c>
      <c r="Q95" s="256" cm="1">
        <f t="array" ref="Q95">+SUMPRODUCT(('Réel 2024'!$A$8:$A$501=$A95)*('Réel 2024'!$C$3:$AO$3=Q$2),'Réel 2024'!$C$8:$AO$501)</f>
        <v>-9363.3199999999797</v>
      </c>
      <c r="R95" s="255">
        <f t="shared" si="32"/>
        <v>2</v>
      </c>
      <c r="S95" s="256">
        <f t="shared" si="33"/>
        <v>13961.219999999976</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 t="shared" si="28"/>
        <v>Véhicules usagésAutres marques</v>
      </c>
      <c r="B96" s="41" t="s">
        <v>152</v>
      </c>
      <c r="C96" s="987" t="s">
        <v>3858</v>
      </c>
      <c r="D96" s="254" cm="1">
        <f t="array" ref="D96">+SUMPRODUCT(('Budget original'!$A$8:$A$501=$A96)*('Budget original'!$C$3:$AO$3=D$2),'Budget original'!$C$8:$AO$501)</f>
        <v>20</v>
      </c>
      <c r="E96" s="1078">
        <f t="shared" si="29"/>
        <v>1500</v>
      </c>
      <c r="F96" s="254" cm="1">
        <f t="array" ref="F96">+SUMPRODUCT(('Budget original'!$A$8:$A$501=$A96)*('Budget original'!$C$3:$AO$3=F$2),'Budget original'!$C$8:$AO$501)</f>
        <v>30000</v>
      </c>
      <c r="G96" s="1077"/>
      <c r="H96" s="254"/>
      <c r="I96" s="254"/>
      <c r="J96" s="1077">
        <f>-SUMIFS(BV_Data_An_Cour!$P:$P,BV_Data_An_Cour!$U:$U,$B96,BV_Data_An_Cour!$V:$V,$C96,BV_Data_An_Cour!$W:$W,J$2)</f>
        <v>7</v>
      </c>
      <c r="K96" s="254">
        <f t="shared" ref="K96" si="34">IF(J96=0,0,L96/J96)</f>
        <v>2353.2999999999988</v>
      </c>
      <c r="L96" s="952">
        <f>-SUMIFS(BV_Data_An_Cour!$P:$P,BV_Data_An_Cour!$U:$U,$B96,BV_Data_An_Cour!$V:$V,$C96,BV_Data_An_Cour!$W:$W,$L2)</f>
        <v>16473.099999999991</v>
      </c>
      <c r="M96" s="1077">
        <f>J96-D96</f>
        <v>-13</v>
      </c>
      <c r="N96" s="952">
        <f>L96-F96</f>
        <v>-13526.900000000009</v>
      </c>
      <c r="O96" s="1077" cm="1">
        <f t="array" ref="O96">+SUMPRODUCT(('Réel 2024'!$A$8:$A$501=$A96)*('Réel 2024'!$C$3:$AO$3=O$2),'Réel 2024'!$C$8:$AO$501)</f>
        <v>0</v>
      </c>
      <c r="P96" s="254">
        <f t="shared" si="31"/>
        <v>0</v>
      </c>
      <c r="Q96" s="952" cm="1">
        <f t="array" ref="Q96">+SUMPRODUCT(('Réel 2024'!$A$8:$A$501=$A96)*('Réel 2024'!$C$3:$AO$3=Q$2),'Réel 2024'!$C$8:$AO$501)</f>
        <v>0</v>
      </c>
      <c r="R96" s="1077">
        <f>J96-O96</f>
        <v>7</v>
      </c>
      <c r="S96" s="952">
        <f t="shared" ref="S96" si="35">L96-Q96</f>
        <v>16473.099999999991</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si="28"/>
        <v>Véhicules usagésTotal Usagés</v>
      </c>
      <c r="B97" s="41" t="s">
        <v>152</v>
      </c>
      <c r="C97" s="259" t="s">
        <v>155</v>
      </c>
      <c r="D97" s="260">
        <f>+D95+D94+D96</f>
        <v>142</v>
      </c>
      <c r="E97" s="254">
        <f t="shared" si="29"/>
        <v>1450.7042253521126</v>
      </c>
      <c r="F97" s="261">
        <f>+F94+F95+F96</f>
        <v>206000</v>
      </c>
      <c r="G97" s="262"/>
      <c r="H97" s="260"/>
      <c r="I97" s="261"/>
      <c r="J97" s="262">
        <f>+J94+J95+J96</f>
        <v>131</v>
      </c>
      <c r="K97" s="260">
        <f>IF(J97&lt;=0,0,L97/J97)</f>
        <v>1314.821603053437</v>
      </c>
      <c r="L97" s="261">
        <f>+L94+L95+L96</f>
        <v>172241.63000000024</v>
      </c>
      <c r="M97" s="262">
        <f>J97-D97</f>
        <v>-11</v>
      </c>
      <c r="N97" s="261">
        <f>L97-F97</f>
        <v>-33758.369999999763</v>
      </c>
      <c r="O97" s="262">
        <f>+O95+O94+O96</f>
        <v>124</v>
      </c>
      <c r="P97" s="260">
        <f t="shared" si="31"/>
        <v>500.57701612903242</v>
      </c>
      <c r="Q97" s="261">
        <f>+Q94+Q95+Q96</f>
        <v>62071.550000000017</v>
      </c>
      <c r="R97" s="262">
        <f>R94+R95</f>
        <v>0</v>
      </c>
      <c r="S97" s="261">
        <f>S94+S95</f>
        <v>93696.980000000214</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8"/>
        <v>Véhicules usagés</v>
      </c>
      <c r="B98" s="41" t="s">
        <v>152</v>
      </c>
      <c r="C98" s="253"/>
      <c r="D98" s="41"/>
      <c r="E98" s="254">
        <f t="shared" si="29"/>
        <v>0</v>
      </c>
      <c r="F98" s="263"/>
      <c r="G98" s="253"/>
      <c r="H98" s="41"/>
      <c r="I98" s="263"/>
      <c r="J98" s="253"/>
      <c r="K98" s="41"/>
      <c r="L98" s="263"/>
      <c r="M98" s="264">
        <f>M97/D97</f>
        <v>-7.746478873239436E-2</v>
      </c>
      <c r="N98" s="265">
        <f>N97/F97</f>
        <v>-0.1638755825242707</v>
      </c>
      <c r="O98" s="253"/>
      <c r="P98" s="41">
        <f t="shared" si="31"/>
        <v>0</v>
      </c>
      <c r="Q98" s="263"/>
      <c r="R98" s="264">
        <f>R97/O97</f>
        <v>0</v>
      </c>
      <c r="S98" s="265">
        <f>IF(Q97=0,0,(S97/Q97))</f>
        <v>1.5094996016693669</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8"/>
        <v>Véhicules usagésUS</v>
      </c>
      <c r="B99" s="41" t="s">
        <v>152</v>
      </c>
      <c r="C99" s="253" t="s">
        <v>412</v>
      </c>
      <c r="D99" s="254" cm="1">
        <f t="array" ref="D99">+SUMPRODUCT(('Budget original'!$A$8:$A$501=$A99)*('Budget original'!$C$3:$AO$3=D$2),'Budget original'!$C$8:$AO$501)</f>
        <v>0</v>
      </c>
      <c r="E99" s="254">
        <f t="shared" si="29"/>
        <v>0</v>
      </c>
      <c r="F99" s="254" cm="1">
        <f t="array" ref="F99">+SUMPRODUCT(('Budget original'!$A$8:$A$501=$A99)*('Budget original'!$C$3:$AO$3=F$2),'Budget original'!$C$8:$AO$501)</f>
        <v>0</v>
      </c>
      <c r="G99" s="253"/>
      <c r="H99" s="254"/>
      <c r="I99" s="254"/>
      <c r="J99" s="255">
        <f>-SUMIFS(BV_Data_An_Cour!$P:$P,BV_Data_An_Cour!$U:$U,$B99,BV_Data_An_Cour!$V:$V,$C99,BV_Data_An_Cour!$W:$W,J$2)</f>
        <v>0</v>
      </c>
      <c r="K99" s="254">
        <f t="shared" ref="K99:K100" si="36">IF(J99=0,0,L99/J99)</f>
        <v>0</v>
      </c>
      <c r="L99" s="256">
        <f>-SUMIFS(BV_Data_An_Cour!$P:$P,BV_Data_An_Cour!$U:$U,$B99,BV_Data_An_Cour!$V:$V,$C99,BV_Data_An_Cour!$W:$W,$L2)</f>
        <v>0</v>
      </c>
      <c r="M99" s="255"/>
      <c r="N99" s="256"/>
      <c r="O99" s="255" cm="1">
        <f t="array" ref="O99">+SUMPRODUCT(('Réel 2024'!$A$8:$A$501=$A99)*('Réel 2024'!$C$3:$AO$3=O$2),'Réel 2024'!$C$8:$AO$501)</f>
        <v>0</v>
      </c>
      <c r="P99" s="254">
        <f t="shared" si="31"/>
        <v>0</v>
      </c>
      <c r="Q99" s="256" cm="1">
        <f t="array" ref="Q99">+SUMPRODUCT(('Réel 2024'!$A$8:$A$501=$A99)*('Réel 2024'!$C$3:$AO$3=Q$2),'Réel 2024'!$C$8:$AO$501)</f>
        <v>0</v>
      </c>
      <c r="R99" s="255">
        <f t="shared" ref="R99:R100" si="37">J99-O99</f>
        <v>0</v>
      </c>
      <c r="S99" s="256">
        <f t="shared" ref="S99:S100" si="38">L99-Q99</f>
        <v>0</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t="str">
        <f t="shared" si="28"/>
        <v>Véhicules usagésVentes au Gros</v>
      </c>
      <c r="B100" s="41" t="s">
        <v>152</v>
      </c>
      <c r="C100" s="253" t="s">
        <v>156</v>
      </c>
      <c r="D100" s="254" cm="1">
        <f t="array" ref="D100">+SUMPRODUCT(('Budget original'!$A$8:$A$501=$A100)*('Budget original'!$C$3:$AO$3=D$2),'Budget original'!$C$8:$AO$501)</f>
        <v>155</v>
      </c>
      <c r="E100" s="254">
        <f t="shared" si="29"/>
        <v>400</v>
      </c>
      <c r="F100" s="254" cm="1">
        <f t="array" ref="F100">+SUMPRODUCT(('Budget original'!$A$8:$A$501=$A100)*('Budget original'!$C$3:$AO$3=F$2),'Budget original'!$C$8:$AO$501)</f>
        <v>62000</v>
      </c>
      <c r="G100" s="254"/>
      <c r="H100" s="254"/>
      <c r="I100" s="254"/>
      <c r="J100" s="255">
        <f>-SUMIFS(BV_Data_An_Cour!$P:$P,BV_Data_An_Cour!$U:$U,$B100,BV_Data_An_Cour!$V:$V,$C100,BV_Data_An_Cour!$W:$W,J$2)</f>
        <v>83</v>
      </c>
      <c r="K100" s="254">
        <f t="shared" si="36"/>
        <v>809.58072289156576</v>
      </c>
      <c r="L100" s="256">
        <f>-SUMIFS(BV_Data_An_Cour!$P:$P,BV_Data_An_Cour!$U:$U,$B100,BV_Data_An_Cour!$V:$V,$C100,BV_Data_An_Cour!$W:$W,L$2)</f>
        <v>67195.199999999953</v>
      </c>
      <c r="M100" s="255">
        <f>J100-D100</f>
        <v>-72</v>
      </c>
      <c r="N100" s="256">
        <f>L100-F100</f>
        <v>5195.1999999999534</v>
      </c>
      <c r="O100" s="255" cm="1">
        <f t="array" ref="O100">+SUMPRODUCT(('Réel 2024'!$A$8:$A$501=$A100)*('Réel 2024'!$C$3:$AO$3=O$2),'Réel 2024'!$C$8:$AO$501)</f>
        <v>190</v>
      </c>
      <c r="P100" s="254">
        <f t="shared" si="31"/>
        <v>-143.63399999999999</v>
      </c>
      <c r="Q100" s="256" cm="1">
        <f t="array" ref="Q100">+SUMPRODUCT(('Réel 2024'!$A$8:$A$501=$A100)*('Réel 2024'!$C$3:$AO$3=Q$2),'Réel 2024'!$C$8:$AO$501)</f>
        <v>-27290.46</v>
      </c>
      <c r="R100" s="255">
        <f t="shared" si="37"/>
        <v>-107</v>
      </c>
      <c r="S100" s="256">
        <f t="shared" si="38"/>
        <v>94485.659999999945</v>
      </c>
      <c r="T100" s="41"/>
      <c r="U100" s="41"/>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tr">
        <f t="shared" si="28"/>
        <v>Véhicules usagés</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41"/>
      <c r="X101" s="41"/>
      <c r="Y101" s="41"/>
      <c r="Z101" s="41"/>
      <c r="AA101" s="41"/>
      <c r="AB101" s="41"/>
      <c r="AC101" s="41"/>
      <c r="AD101" s="41"/>
      <c r="AE101" s="41"/>
      <c r="AF101" s="347"/>
      <c r="AG101" s="41"/>
      <c r="AH101" s="41"/>
      <c r="AI101" s="41"/>
      <c r="AJ101" s="41"/>
      <c r="AK101" s="41"/>
      <c r="AL101" s="41"/>
      <c r="AM101" s="41"/>
      <c r="AN101" s="41"/>
    </row>
    <row r="102" spans="1:40" ht="15.75" customHeight="1">
      <c r="A102" s="5" t="str">
        <f t="shared" si="28"/>
        <v>Véhicules usagésRev. Finances</v>
      </c>
      <c r="B102" s="41" t="s">
        <v>152</v>
      </c>
      <c r="C102" s="253" t="s">
        <v>105</v>
      </c>
      <c r="D102" s="254" cm="1">
        <f t="array" ref="D102">+SUMPRODUCT(('Budget original'!$A$8:$A$501=$A102)*('Budget original'!$C$3:$AO$3=D$2),'Budget original'!$C$8:$AO$501)</f>
        <v>0</v>
      </c>
      <c r="E102" s="254">
        <f t="shared" ref="E102:E105" si="39">IF(D102=0,0,F102/D102)</f>
        <v>0</v>
      </c>
      <c r="F102" s="256" cm="1">
        <f t="array" ref="F102">+SUMPRODUCT(('Budget original'!$A$8:$A$501=$A102)*('Budget original'!$C$3:$AO$3=F$2),'Budget original'!$C$8:$AO$501)</f>
        <v>85200</v>
      </c>
      <c r="G102" s="255"/>
      <c r="H102" s="254"/>
      <c r="I102" s="254"/>
      <c r="J102" s="255"/>
      <c r="K102" s="254">
        <f>IF(J97=0,0,L102/J97)</f>
        <v>337.44656488549617</v>
      </c>
      <c r="L102" s="256">
        <f>-SUMIFS(BV_Data_An_Cour!$P:$P,BV_Data_An_Cour!$U:$U,$B102,BV_Data_An_Cour!$V:$V,$C102,BV_Data_An_Cour!$W:$W,$L2)</f>
        <v>44205.5</v>
      </c>
      <c r="M102" s="255"/>
      <c r="N102" s="256">
        <f>L102-F102</f>
        <v>-40994.5</v>
      </c>
      <c r="O102" s="255" cm="1">
        <f t="array" ref="O102">+SUMPRODUCT(('Réel 2024'!$A$8:$A$501=$A102)*('Réel 2024'!$C$3:$AO$3=O$2),'Réel 2024'!$C$8:$AO$501)</f>
        <v>0</v>
      </c>
      <c r="P102" s="254">
        <f t="shared" ref="P102:P105" si="40">IF(O102=0,0,Q102/O102)</f>
        <v>0</v>
      </c>
      <c r="Q102" s="256" cm="1">
        <f t="array" ref="Q102">+SUMPRODUCT(('Réel 2024'!$A$8:$A$501=$A102)*('Réel 2024'!$C$3:$AO$3=Q$2),'Réel 2024'!$C$8:$AO$501)</f>
        <v>25174.63</v>
      </c>
      <c r="R102" s="255">
        <f t="shared" ref="R102:R104" si="41">O102-K102</f>
        <v>-337.44656488549617</v>
      </c>
      <c r="S102" s="256">
        <f t="shared" ref="S102:S105" si="42">L102-Q102</f>
        <v>19030.87</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tr">
        <f t="shared" si="28"/>
        <v>Véhicules usagésRev. Protections</v>
      </c>
      <c r="B103" s="41" t="s">
        <v>152</v>
      </c>
      <c r="C103" s="253" t="s">
        <v>106</v>
      </c>
      <c r="D103" s="254" cm="1">
        <f t="array" ref="D103">+SUMPRODUCT(('Budget original'!$A$8:$A$501=$A103)*('Budget original'!$C$3:$AO$3=D$2),'Budget original'!$C$8:$AO$501)</f>
        <v>0</v>
      </c>
      <c r="E103" s="254">
        <f t="shared" si="39"/>
        <v>0</v>
      </c>
      <c r="F103" s="256" cm="1">
        <f t="array" ref="F103">+SUMPRODUCT(('Budget original'!$A$8:$A$501=$A103)*('Budget original'!$C$3:$AO$3=F$2),'Budget original'!$C$8:$AO$501)</f>
        <v>177500</v>
      </c>
      <c r="G103" s="255"/>
      <c r="H103" s="254"/>
      <c r="I103" s="254"/>
      <c r="J103" s="255"/>
      <c r="K103" s="254">
        <f>IF(J97=0,0,L103/J97)</f>
        <v>1533.719465648855</v>
      </c>
      <c r="L103" s="256">
        <f>-SUMIFS(BV_Data_An_Cour!$P:$P,BV_Data_An_Cour!$U:$U,$B103,BV_Data_An_Cour!$V:$V,$C103,BV_Data_An_Cour!$W:$W,$L2)</f>
        <v>200917.25</v>
      </c>
      <c r="M103" s="255"/>
      <c r="N103" s="256">
        <f>L103-F103</f>
        <v>23417.25</v>
      </c>
      <c r="O103" s="255" cm="1">
        <f t="array" ref="O103">+SUMPRODUCT(('Réel 2024'!$A$8:$A$501=$A103)*('Réel 2024'!$C$3:$AO$3=O$2),'Réel 2024'!$C$8:$AO$501)</f>
        <v>0</v>
      </c>
      <c r="P103" s="254">
        <f t="shared" si="40"/>
        <v>0</v>
      </c>
      <c r="Q103" s="256" cm="1">
        <f t="array" ref="Q103">+SUMPRODUCT(('Réel 2024'!$A$8:$A$501=$A103)*('Réel 2024'!$C$3:$AO$3=Q$2),'Réel 2024'!$C$8:$AO$501)</f>
        <v>157634.60999999981</v>
      </c>
      <c r="R103" s="255">
        <f t="shared" si="41"/>
        <v>-1533.719465648855</v>
      </c>
      <c r="S103" s="256">
        <f t="shared" si="42"/>
        <v>43282.640000000189</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8"/>
        <v>Véhicules usagésRev. Autres</v>
      </c>
      <c r="B104" s="41" t="s">
        <v>152</v>
      </c>
      <c r="C104" s="253" t="s">
        <v>107</v>
      </c>
      <c r="D104" s="254" cm="1">
        <f t="array" ref="D104">+SUMPRODUCT(('Budget original'!$A$8:$A$501=$A104)*('Budget original'!$C$3:$AO$3=D$2),'Budget original'!$C$8:$AO$501)</f>
        <v>0</v>
      </c>
      <c r="E104" s="250">
        <f t="shared" si="39"/>
        <v>0</v>
      </c>
      <c r="F104" s="256" cm="1">
        <f t="array" ref="F104">+SUMPRODUCT(('Budget original'!$A$8:$A$501=$A104)*('Budget original'!$C$3:$AO$3=F$2),'Budget original'!$C$8:$AO$501)</f>
        <v>7100</v>
      </c>
      <c r="G104" s="255"/>
      <c r="H104" s="250"/>
      <c r="I104" s="254"/>
      <c r="J104" s="255"/>
      <c r="K104" s="250">
        <f>IF(J97=0,0,L104/J97)</f>
        <v>31.32732824427481</v>
      </c>
      <c r="L104" s="256">
        <f>-SUMIFS(BV_Data_An_Cour!$P:$P,BV_Data_An_Cour!$U:$U,$B104,BV_Data_An_Cour!$V:$V,$C104,BV_Data_An_Cour!$W:$W,$L$2)</f>
        <v>4103.88</v>
      </c>
      <c r="M104" s="267"/>
      <c r="N104" s="256">
        <f>L104-F104</f>
        <v>-2996.12</v>
      </c>
      <c r="O104" s="255" cm="1">
        <f t="array" ref="O104">+SUMPRODUCT(('Réel 2024'!$A$8:$A$501=$A104)*('Réel 2024'!$C$3:$AO$3=O$2),'Réel 2024'!$C$8:$AO$501)</f>
        <v>0</v>
      </c>
      <c r="P104" s="250">
        <f t="shared" si="40"/>
        <v>0</v>
      </c>
      <c r="Q104" s="256" cm="1">
        <f t="array" ref="Q104">+SUMPRODUCT(('Réel 2024'!$A$8:$A$501=$A104)*('Réel 2024'!$C$3:$AO$3=Q$2),'Réel 2024'!$C$8:$AO$501)</f>
        <v>2517.63</v>
      </c>
      <c r="R104" s="255">
        <f t="shared" si="41"/>
        <v>-31.32732824427481</v>
      </c>
      <c r="S104" s="256">
        <f t="shared" si="42"/>
        <v>1586.25</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8"/>
        <v>Véhicules usagésTotal F&amp;I</v>
      </c>
      <c r="B105" s="41" t="s">
        <v>152</v>
      </c>
      <c r="C105" s="259" t="s">
        <v>108</v>
      </c>
      <c r="D105" s="260">
        <f>D97</f>
        <v>142</v>
      </c>
      <c r="E105" s="254">
        <f t="shared" si="39"/>
        <v>1900</v>
      </c>
      <c r="F105" s="261">
        <f>F102+F103+F104</f>
        <v>269800</v>
      </c>
      <c r="G105" s="262"/>
      <c r="H105" s="260"/>
      <c r="I105" s="261"/>
      <c r="J105" s="262">
        <f>J97</f>
        <v>131</v>
      </c>
      <c r="K105" s="260">
        <f>IF(J105&lt;=0,0,L105/J105)</f>
        <v>1902.4933587786261</v>
      </c>
      <c r="L105" s="261">
        <f>L102+L103+L104</f>
        <v>249226.63</v>
      </c>
      <c r="M105" s="255">
        <f>J105-D105</f>
        <v>-11</v>
      </c>
      <c r="N105" s="261">
        <f>L105-F105</f>
        <v>-20573.369999999995</v>
      </c>
      <c r="O105" s="262">
        <f>O97</f>
        <v>124</v>
      </c>
      <c r="P105" s="260">
        <f t="shared" si="40"/>
        <v>1494.5715322580631</v>
      </c>
      <c r="Q105" s="261">
        <f>Q102+Q103+Q104</f>
        <v>185326.86999999982</v>
      </c>
      <c r="R105" s="273"/>
      <c r="S105" s="261">
        <f t="shared" si="42"/>
        <v>63899.760000000184</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8"/>
        <v>Véhicules usagés</v>
      </c>
      <c r="B106" s="41" t="s">
        <v>152</v>
      </c>
      <c r="C106" s="253"/>
      <c r="D106" s="41"/>
      <c r="E106" s="41"/>
      <c r="F106" s="276"/>
      <c r="G106" s="253"/>
      <c r="H106" s="349"/>
      <c r="I106" s="276"/>
      <c r="J106" s="253"/>
      <c r="K106" s="41"/>
      <c r="L106" s="276"/>
      <c r="M106" s="264"/>
      <c r="N106" s="265">
        <f>N105/F105</f>
        <v>-7.625415122312823E-2</v>
      </c>
      <c r="O106" s="253"/>
      <c r="P106" s="41"/>
      <c r="Q106" s="276"/>
      <c r="R106" s="277"/>
      <c r="S106" s="265">
        <f>IF(Q105=0,0,(S105/Q105))</f>
        <v>0.34479490210998676</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8"/>
        <v>Véhicules usagés</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tr">
        <f t="shared" si="28"/>
        <v>Véhicules usagésTotal Dépt. Usagés</v>
      </c>
      <c r="B108" s="41" t="s">
        <v>152</v>
      </c>
      <c r="C108" s="278" t="s">
        <v>157</v>
      </c>
      <c r="D108" s="279">
        <f>D97+D100</f>
        <v>297</v>
      </c>
      <c r="E108" s="350">
        <f>IF(D108&lt;=0,0,F108/D108)</f>
        <v>1810.7744107744109</v>
      </c>
      <c r="F108" s="281">
        <f>F97+F105+F100</f>
        <v>537800</v>
      </c>
      <c r="G108" s="282"/>
      <c r="H108" s="350"/>
      <c r="I108" s="281"/>
      <c r="J108" s="282">
        <f>J97+J100</f>
        <v>214</v>
      </c>
      <c r="K108" s="350">
        <f>IF(J108&lt;=0,0,L108/J108)</f>
        <v>2283.4741121495335</v>
      </c>
      <c r="L108" s="281">
        <f>L97+L105+L100</f>
        <v>488663.4600000002</v>
      </c>
      <c r="M108" s="282">
        <f>J108-D108</f>
        <v>-83</v>
      </c>
      <c r="N108" s="281">
        <f>L108-F108</f>
        <v>-49136.539999999804</v>
      </c>
      <c r="O108" s="282">
        <f>O97+O100</f>
        <v>314</v>
      </c>
      <c r="P108" s="350">
        <f>IF(O108&lt;=0,0,Q108/O108)</f>
        <v>700.98076433120968</v>
      </c>
      <c r="Q108" s="281">
        <f>Q97+Q105+Q100</f>
        <v>220107.95999999985</v>
      </c>
      <c r="R108" s="282">
        <f>J108-O108</f>
        <v>-100</v>
      </c>
      <c r="S108" s="281">
        <f>L108-Q108</f>
        <v>268555.50000000035</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tr">
        <f t="shared" si="28"/>
        <v>Véhicules usagés</v>
      </c>
      <c r="B109" s="41" t="s">
        <v>152</v>
      </c>
      <c r="C109" s="283"/>
      <c r="D109" s="284"/>
      <c r="E109" s="284"/>
      <c r="F109" s="285"/>
      <c r="G109" s="283"/>
      <c r="H109" s="284"/>
      <c r="I109" s="285"/>
      <c r="J109" s="283"/>
      <c r="K109" s="284"/>
      <c r="L109" s="352">
        <f>+L108/F108</f>
        <v>0.90863417627370802</v>
      </c>
      <c r="M109" s="286">
        <f>M108/D108</f>
        <v>-0.27946127946127947</v>
      </c>
      <c r="N109" s="287">
        <f>N108/F108</f>
        <v>-9.1365823726291942E-2</v>
      </c>
      <c r="O109" s="283"/>
      <c r="P109" s="284"/>
      <c r="Q109" s="285"/>
      <c r="R109" s="286">
        <f>O108/R108</f>
        <v>-3.14</v>
      </c>
      <c r="S109" s="352">
        <f>IF(Q108=0,0,(S108/Q108))</f>
        <v>1.2201080778723339</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tr">
        <f t="shared" si="28"/>
        <v>Véhicules usagés</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tr">
        <f t="shared" si="28"/>
        <v>Véhicules usagésDEPENSES</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8"/>
        <v>Véhicules usagésComm. vendeurs</v>
      </c>
      <c r="B112" s="41" t="s">
        <v>152</v>
      </c>
      <c r="C112" s="253" t="s">
        <v>111</v>
      </c>
      <c r="D112" s="290">
        <f>F112/F97</f>
        <v>0.35800643759976974</v>
      </c>
      <c r="E112" s="291">
        <f t="shared" ref="E112:E121" si="43">F112/D$97</f>
        <v>519.36145172924341</v>
      </c>
      <c r="F112" s="254" cm="1">
        <f t="array" ref="F112">+SUMPRODUCT(('Budget original'!$A$8:$A$501=$A112)*('Budget original'!$C$3:$AO$3=F$2),'Budget original'!$C$8:$AO$501)</f>
        <v>73749.326145552564</v>
      </c>
      <c r="G112" s="298"/>
      <c r="H112" s="291"/>
      <c r="I112" s="254"/>
      <c r="J112" s="292">
        <f>+L112/L97</f>
        <v>0.3452246126560688</v>
      </c>
      <c r="K112" s="291">
        <f>IF($J$97=0,0,L112/(J$94+J$95+J96))</f>
        <v>453.9087786259542</v>
      </c>
      <c r="L112" s="256">
        <f>SUMIFS(BV_Data_An_Cour!$P:$P,BV_Data_An_Cour!$U:$U,$B112,BV_Data_An_Cour!$V:$V,$C112,BV_Data_An_Cour!$W:$W,$L$2)</f>
        <v>59462.05</v>
      </c>
      <c r="M112" s="253"/>
      <c r="N112" s="276">
        <f t="shared" ref="N112:N153" si="44">L112-F112</f>
        <v>-14287.276145552562</v>
      </c>
      <c r="O112" s="253">
        <f>Q112/Q97</f>
        <v>1.1228456515102327</v>
      </c>
      <c r="P112" s="291">
        <f t="shared" ref="P112:P121" si="45">Q112/O$97</f>
        <v>562.07072580645161</v>
      </c>
      <c r="Q112" s="256" cm="1">
        <f t="array" ref="Q112">+SUMPRODUCT(('Réel 2024'!$A$8:$A$501=$A112)*('Réel 2024'!$C$3:$AO$3=Q$2),'Réel 2024'!$C$8:$AO$501)</f>
        <v>69696.77</v>
      </c>
      <c r="R112" s="253"/>
      <c r="S112" s="276">
        <f t="shared" ref="S112:S122" si="46">L112-Q112</f>
        <v>-10234.720000000001</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8"/>
        <v>Véhicules usagésComm. F&amp;I</v>
      </c>
      <c r="B113" s="41" t="s">
        <v>152</v>
      </c>
      <c r="C113" s="246" t="s">
        <v>112</v>
      </c>
      <c r="D113" s="293">
        <f>F113/(F105+F19)</f>
        <v>0.26944074567243675</v>
      </c>
      <c r="E113" s="294">
        <f t="shared" si="43"/>
        <v>570</v>
      </c>
      <c r="F113" s="248" cm="1">
        <f t="array" ref="F113">+SUMPRODUCT(('Budget original'!$A$8:$A$501=$A113)*('Budget original'!$C$3:$AO$3=F$2),'Budget original'!$C$8:$AO$501)</f>
        <v>80940</v>
      </c>
      <c r="G113" s="300"/>
      <c r="H113" s="294"/>
      <c r="I113" s="248"/>
      <c r="J113" s="295">
        <f>L113/L105</f>
        <v>0.29010058034328029</v>
      </c>
      <c r="K113" s="294">
        <f>IF($J$97=0,0,L113/(J$94+J$95+J96))</f>
        <v>551.91442748091595</v>
      </c>
      <c r="L113" s="256">
        <f>SUMIFS(BV_Data_An_Cour!$P:$P,BV_Data_An_Cour!$U:$U,$B113,BV_Data_An_Cour!$V:$V,$C113,BV_Data_An_Cour!$W:$W,$L$2)</f>
        <v>72300.789999999994</v>
      </c>
      <c r="M113" s="246"/>
      <c r="N113" s="296">
        <f t="shared" si="44"/>
        <v>-8639.2100000000064</v>
      </c>
      <c r="O113" s="246">
        <f>Q113/(Q105+Q19)</f>
        <v>0.26079397489035649</v>
      </c>
      <c r="P113" s="294">
        <f t="shared" si="45"/>
        <v>458.0451612903226</v>
      </c>
      <c r="Q113" s="256" cm="1">
        <f t="array" ref="Q113">+SUMPRODUCT(('Réel 2024'!$A$8:$A$501=$A113)*('Réel 2024'!$C$3:$AO$3=Q$2),'Réel 2024'!$C$8:$AO$501)</f>
        <v>56797.599999999999</v>
      </c>
      <c r="R113" s="246"/>
      <c r="S113" s="296">
        <f t="shared" si="46"/>
        <v>15503.189999999995</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8"/>
        <v>Véhicules usagésFrais de livraison</v>
      </c>
      <c r="B114" s="41" t="s">
        <v>152</v>
      </c>
      <c r="C114" s="253" t="s">
        <v>113</v>
      </c>
      <c r="D114" s="297"/>
      <c r="E114" s="291">
        <f t="shared" si="43"/>
        <v>8</v>
      </c>
      <c r="F114" s="254" cm="1">
        <f t="array" ref="F114">+SUMPRODUCT(('Budget original'!$A$8:$A$501=$A114)*('Budget original'!$C$3:$AO$3=F$2),'Budget original'!$C$8:$AO$501)</f>
        <v>1136</v>
      </c>
      <c r="G114" s="298"/>
      <c r="H114" s="291"/>
      <c r="I114" s="254"/>
      <c r="J114" s="253"/>
      <c r="K114" s="291">
        <f>IF($J$97=0,0,L114/(J$94+J$95+J96))</f>
        <v>-62.062900763358776</v>
      </c>
      <c r="L114" s="272">
        <f>SUMIFS(BV_Data_An_Cour!$P:$P,BV_Data_An_Cour!$U:$U,$B114,BV_Data_An_Cour!$V:$V,$C114,BV_Data_An_Cour!$W:$W,$L$2)</f>
        <v>-8130.24</v>
      </c>
      <c r="M114" s="253"/>
      <c r="N114" s="276">
        <f t="shared" si="44"/>
        <v>-9266.24</v>
      </c>
      <c r="O114" s="253"/>
      <c r="P114" s="291">
        <f t="shared" si="45"/>
        <v>36.588709677419352</v>
      </c>
      <c r="Q114" s="272" cm="1">
        <f t="array" ref="Q114">+SUMPRODUCT(('Réel 2024'!$A$8:$A$501=$A114)*('Réel 2024'!$C$3:$AO$3=Q$2),'Réel 2024'!$C$8:$AO$501)</f>
        <v>4537</v>
      </c>
      <c r="R114" s="253"/>
      <c r="S114" s="276">
        <f t="shared" si="46"/>
        <v>-12667.24</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8"/>
        <v>Véhicules usagésService gratuit 1</v>
      </c>
      <c r="B115" s="41" t="s">
        <v>152</v>
      </c>
      <c r="C115" s="253" t="s">
        <v>114</v>
      </c>
      <c r="D115" s="297"/>
      <c r="E115" s="291">
        <f t="shared" si="43"/>
        <v>45</v>
      </c>
      <c r="F115" s="254" cm="1">
        <f t="array" ref="F115">+SUMPRODUCT(('Budget original'!$A$8:$A$501=$A115)*('Budget original'!$C$3:$AO$3=F$2),'Budget original'!$C$8:$AO$501)</f>
        <v>6390</v>
      </c>
      <c r="G115" s="298"/>
      <c r="H115" s="291"/>
      <c r="I115" s="254"/>
      <c r="J115" s="253"/>
      <c r="K115" s="291">
        <f>IF($J$97=0,0,L115/(J$94+J$95+J96))</f>
        <v>46.917175572519078</v>
      </c>
      <c r="L115" s="256">
        <f>SUMIFS(BV_Data_An_Cour!$P:$P,BV_Data_An_Cour!$U:$U,$B115,BV_Data_An_Cour!$V:$V,$C115,BV_Data_An_Cour!$W:$W,$L$2)</f>
        <v>6146.15</v>
      </c>
      <c r="M115" s="253"/>
      <c r="N115" s="276">
        <f t="shared" si="44"/>
        <v>-243.85000000000036</v>
      </c>
      <c r="O115" s="253"/>
      <c r="P115" s="291">
        <f t="shared" si="45"/>
        <v>40.756209677419349</v>
      </c>
      <c r="Q115" s="256" cm="1">
        <f t="array" ref="Q115">+SUMPRODUCT(('Réel 2024'!$A$8:$A$501=$A115)*('Réel 2024'!$C$3:$AO$3=Q$2),'Réel 2024'!$C$8:$AO$501)</f>
        <v>5053.7699999999995</v>
      </c>
      <c r="R115" s="253"/>
      <c r="S115" s="276">
        <f t="shared" si="46"/>
        <v>1092.3800000000001</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8"/>
        <v>Véhicules usagésEntretien stock</v>
      </c>
      <c r="B116" s="41" t="s">
        <v>152</v>
      </c>
      <c r="C116" s="246" t="s">
        <v>115</v>
      </c>
      <c r="D116" s="299"/>
      <c r="E116" s="294">
        <f t="shared" si="43"/>
        <v>160</v>
      </c>
      <c r="F116" s="248" cm="1">
        <f t="array" ref="F116">+SUMPRODUCT(('Budget original'!$A$8:$A$501=$A116)*('Budget original'!$C$3:$AO$3=F$2),'Budget original'!$C$8:$AO$501)</f>
        <v>22720</v>
      </c>
      <c r="G116" s="300"/>
      <c r="H116" s="294"/>
      <c r="I116" s="248"/>
      <c r="J116" s="246"/>
      <c r="K116" s="294">
        <f>IF($J$97=0,0,L116/(J$94+J$95+J96))</f>
        <v>149.25427480916031</v>
      </c>
      <c r="L116" s="248">
        <f>SUMIFS(BV_Data_An_Cour!$P:$P,BV_Data_An_Cour!$U:$U,$B116,BV_Data_An_Cour!$V:$V,$C116,BV_Data_An_Cour!$W:$W,$L$2)</f>
        <v>19552.310000000001</v>
      </c>
      <c r="M116" s="246"/>
      <c r="N116" s="296">
        <f t="shared" si="44"/>
        <v>-3167.6899999999987</v>
      </c>
      <c r="O116" s="246"/>
      <c r="P116" s="294">
        <f t="shared" si="45"/>
        <v>163.61145161290321</v>
      </c>
      <c r="Q116" s="248" cm="1">
        <f t="array" ref="Q116">+SUMPRODUCT(('Réel 2024'!$A$8:$A$501=$A116)*('Réel 2024'!$C$3:$AO$3=Q$2),'Réel 2024'!$C$8:$AO$501)</f>
        <v>20287.82</v>
      </c>
      <c r="R116" s="246"/>
      <c r="S116" s="296">
        <f t="shared" si="46"/>
        <v>-735.5099999999984</v>
      </c>
      <c r="T116" s="41"/>
      <c r="U116" s="41"/>
      <c r="V116" s="41"/>
      <c r="W116" s="41"/>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8"/>
        <v>Véhicules usagésPublicité 1</v>
      </c>
      <c r="B117" s="41" t="s">
        <v>152</v>
      </c>
      <c r="C117" s="253" t="s">
        <v>116</v>
      </c>
      <c r="D117" s="297"/>
      <c r="E117" s="291">
        <f t="shared" si="43"/>
        <v>438.09859154929575</v>
      </c>
      <c r="F117" s="254" cm="1">
        <f t="array" ref="F117">+SUMPRODUCT(('Budget original'!$A$8:$A$501=$A117)*('Budget original'!$C$3:$AO$3=F$2),'Budget original'!$C$8:$AO$501)</f>
        <v>62210</v>
      </c>
      <c r="G117" s="298"/>
      <c r="H117" s="291"/>
      <c r="I117" s="254"/>
      <c r="J117" s="253"/>
      <c r="K117" s="291">
        <f>IF($J$97=0,0,L117/(J$94+J$95+J96))</f>
        <v>415.80534351145036</v>
      </c>
      <c r="L117" s="256">
        <f>SUMIFS(BV_Data_An_Cour!$P:$P,BV_Data_An_Cour!$U:$U,$B117,BV_Data_An_Cour!$V:$V,$C117,BV_Data_An_Cour!$W:$W,$L$2)</f>
        <v>54470.5</v>
      </c>
      <c r="M117" s="253"/>
      <c r="N117" s="276">
        <f t="shared" si="44"/>
        <v>-7739.5</v>
      </c>
      <c r="O117" s="253"/>
      <c r="P117" s="291">
        <f t="shared" si="45"/>
        <v>470.94354838709677</v>
      </c>
      <c r="Q117" s="256" cm="1">
        <f t="array" ref="Q117">+SUMPRODUCT(('Réel 2024'!$A$8:$A$501=$A117)*('Réel 2024'!$C$3:$AO$3=Q$2),'Réel 2024'!$C$8:$AO$501)</f>
        <v>58397</v>
      </c>
      <c r="R117" s="253"/>
      <c r="S117" s="276">
        <f t="shared" si="46"/>
        <v>-3926.5</v>
      </c>
      <c r="T117" s="41"/>
      <c r="U117" s="41"/>
      <c r="V117" s="41"/>
      <c r="W117" s="41"/>
      <c r="X117" s="41"/>
      <c r="Y117" s="41"/>
      <c r="Z117" s="41"/>
      <c r="AA117" s="41"/>
      <c r="AB117" s="41"/>
      <c r="AC117" s="41"/>
      <c r="AD117" s="41"/>
      <c r="AE117" s="41"/>
      <c r="AF117" s="41"/>
      <c r="AG117" s="41"/>
      <c r="AH117" s="41"/>
      <c r="AI117" s="41"/>
      <c r="AJ117" s="41"/>
      <c r="AK117" s="41"/>
      <c r="AL117" s="41"/>
      <c r="AM117" s="41"/>
      <c r="AN117" s="41"/>
    </row>
    <row r="118" spans="1:40" ht="15.75" customHeight="1">
      <c r="A118" s="5" t="str">
        <f t="shared" si="28"/>
        <v>Véhicules usagésIntérêt de gros</v>
      </c>
      <c r="B118" s="41" t="s">
        <v>152</v>
      </c>
      <c r="C118" s="253" t="s">
        <v>117</v>
      </c>
      <c r="D118" s="297"/>
      <c r="E118" s="291">
        <f t="shared" si="43"/>
        <v>261.73046588781244</v>
      </c>
      <c r="F118" s="254" cm="1">
        <f t="array" ref="F118">+SUMPRODUCT(('Budget original'!$A$8:$A$501=$A118)*('Budget original'!$C$3:$AO$3=F$2),'Budget original'!$C$8:$AO$501)</f>
        <v>37165.726156069366</v>
      </c>
      <c r="G118" s="298"/>
      <c r="H118" s="291"/>
      <c r="I118" s="254"/>
      <c r="J118" s="253"/>
      <c r="K118" s="291">
        <f>IF($J$97=0,0,L118/(J$94+J$95+J96))</f>
        <v>105.36618320610687</v>
      </c>
      <c r="L118" s="952">
        <f>SUMIFS(BV_Data_An_Cour!$P:$P,BV_Data_An_Cour!$U:$U,$B118,BV_Data_An_Cour!$V:$V,$C118,BV_Data_An_Cour!$W:$W,$L$2)</f>
        <v>13802.97</v>
      </c>
      <c r="M118" s="987"/>
      <c r="N118" s="961">
        <f t="shared" si="44"/>
        <v>-23362.756156069365</v>
      </c>
      <c r="O118" s="253"/>
      <c r="P118" s="291">
        <f t="shared" si="45"/>
        <v>287.94072580645161</v>
      </c>
      <c r="Q118" s="256" cm="1">
        <f t="array" ref="Q118">+SUMPRODUCT(('Réel 2024'!$A$8:$A$501=$A118)*('Réel 2024'!$C$3:$AO$3=Q$2),'Réel 2024'!$C$8:$AO$501)</f>
        <v>35704.65</v>
      </c>
      <c r="R118" s="253"/>
      <c r="S118" s="276">
        <f t="shared" si="46"/>
        <v>-21901.68</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tr">
        <f t="shared" si="28"/>
        <v>Véhicules usagés[...]</v>
      </c>
      <c r="B119" s="41" t="s">
        <v>152</v>
      </c>
      <c r="C119" s="253" t="s">
        <v>59</v>
      </c>
      <c r="D119" s="297"/>
      <c r="E119" s="291">
        <f t="shared" si="43"/>
        <v>0</v>
      </c>
      <c r="F119" s="254" cm="1">
        <f t="array" ref="F119">+SUMPRODUCT(('Budget original'!$A$8:$A$501=$A119)*('Budget original'!$C$3:$AO$3=F$2),'Budget original'!$C$8:$AO$501)</f>
        <v>0</v>
      </c>
      <c r="G119" s="298"/>
      <c r="H119" s="291"/>
      <c r="I119" s="254"/>
      <c r="J119" s="253"/>
      <c r="K119" s="291">
        <f t="shared" ref="K119:K121" si="47">IF($J$97=0,0,L119/(J$94+J$95))</f>
        <v>0</v>
      </c>
      <c r="L119" s="256">
        <f>SUMIFS(BV_Data_An_Cour!$P:$P,BV_Data_An_Cour!$U:$U,$B119,BV_Data_An_Cour!$V:$V,$C119,BV_Data_An_Cour!$W:$W,$L$2)</f>
        <v>0</v>
      </c>
      <c r="M119" s="253"/>
      <c r="N119" s="276">
        <f t="shared" si="44"/>
        <v>0</v>
      </c>
      <c r="O119" s="253"/>
      <c r="P119" s="291">
        <f t="shared" si="45"/>
        <v>0</v>
      </c>
      <c r="Q119" s="256" cm="1">
        <f t="array" ref="Q119">+SUMPRODUCT(('Réel 2024'!$A$8:$A$501=$A119)*('Réel 2024'!$C$3:$AO$3=Q$2),'Réel 2024'!$C$8:$AO$501)</f>
        <v>0</v>
      </c>
      <c r="R119" s="253"/>
      <c r="S119" s="276">
        <f t="shared" si="46"/>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8"/>
        <v>Véhicules usagés[...]</v>
      </c>
      <c r="B120" s="41" t="s">
        <v>152</v>
      </c>
      <c r="C120" s="253" t="s">
        <v>59</v>
      </c>
      <c r="D120" s="297"/>
      <c r="E120" s="291">
        <f t="shared" si="43"/>
        <v>0</v>
      </c>
      <c r="F120" s="254" cm="1">
        <f t="array" ref="F120">+SUMPRODUCT(('Budget original'!$A$8:$A$501=$A120)*('Budget original'!$C$3:$AO$3=F$2),'Budget original'!$C$8:$AO$501)</f>
        <v>0</v>
      </c>
      <c r="G120" s="298"/>
      <c r="H120" s="291"/>
      <c r="I120" s="254"/>
      <c r="J120" s="253"/>
      <c r="K120" s="291">
        <f t="shared" si="47"/>
        <v>0</v>
      </c>
      <c r="L120" s="256">
        <f>SUMIFS(BV_Data_An_Cour!$P:$P,BV_Data_An_Cour!$U:$U,$B120,BV_Data_An_Cour!$V:$V,$C120,BV_Data_An_Cour!$W:$W,$L$2)</f>
        <v>0</v>
      </c>
      <c r="M120" s="253"/>
      <c r="N120" s="276">
        <f t="shared" si="44"/>
        <v>0</v>
      </c>
      <c r="O120" s="253"/>
      <c r="P120" s="291">
        <f t="shared" si="45"/>
        <v>0</v>
      </c>
      <c r="Q120" s="256" cm="1">
        <f t="array" ref="Q120">+SUMPRODUCT(('Réel 2024'!$A$8:$A$501=$A120)*('Réel 2024'!$C$3:$AO$3=Q$2),'Réel 2024'!$C$8:$AO$501)</f>
        <v>0</v>
      </c>
      <c r="R120" s="253"/>
      <c r="S120" s="276">
        <f t="shared" si="46"/>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tr">
        <f t="shared" si="28"/>
        <v>Véhicules usagés[...]</v>
      </c>
      <c r="B121" s="41" t="s">
        <v>152</v>
      </c>
      <c r="C121" s="253" t="s">
        <v>59</v>
      </c>
      <c r="D121" s="297"/>
      <c r="E121" s="291">
        <f t="shared" si="43"/>
        <v>0</v>
      </c>
      <c r="F121" s="254" cm="1">
        <f t="array" ref="F121">+SUMPRODUCT(('Budget original'!$A$8:$A$501=$A121)*('Budget original'!$C$3:$AO$3=F$2),'Budget original'!$C$8:$AO$501)</f>
        <v>0</v>
      </c>
      <c r="G121" s="298"/>
      <c r="H121" s="291"/>
      <c r="I121" s="254"/>
      <c r="J121" s="253"/>
      <c r="K121" s="291">
        <f t="shared" si="47"/>
        <v>0</v>
      </c>
      <c r="L121" s="256">
        <f>SUMIFS(BV_Data_An_Cour!$P:$P,BV_Data_An_Cour!$U:$U,$B121,BV_Data_An_Cour!$V:$V,$C121,BV_Data_An_Cour!$W:$W,$L$2)</f>
        <v>0</v>
      </c>
      <c r="M121" s="253"/>
      <c r="N121" s="276">
        <f t="shared" si="44"/>
        <v>0</v>
      </c>
      <c r="O121" s="253"/>
      <c r="P121" s="291">
        <f t="shared" si="45"/>
        <v>0</v>
      </c>
      <c r="Q121" s="256" cm="1">
        <f t="array" ref="Q121">+SUMPRODUCT(('Réel 2024'!$A$8:$A$501=$A121)*('Réel 2024'!$C$3:$AO$3=Q$2),'Réel 2024'!$C$8:$AO$501)</f>
        <v>0</v>
      </c>
      <c r="R121" s="253"/>
      <c r="S121" s="276">
        <f t="shared" si="46"/>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tr">
        <f t="shared" si="28"/>
        <v>Véhicules usagésTOTAL VARIABLES</v>
      </c>
      <c r="B122" s="41" t="s">
        <v>152</v>
      </c>
      <c r="C122" s="304" t="s">
        <v>118</v>
      </c>
      <c r="D122" s="305" t="s">
        <v>119</v>
      </c>
      <c r="E122" s="306">
        <f>F122/F$108</f>
        <v>0.52865573131577159</v>
      </c>
      <c r="F122" s="307">
        <f>SUM(F112:F121)</f>
        <v>284311.05230162194</v>
      </c>
      <c r="G122" s="308"/>
      <c r="H122" s="306"/>
      <c r="I122" s="307"/>
      <c r="J122" s="308" t="s">
        <v>119</v>
      </c>
      <c r="K122" s="306">
        <f>L122/L$108</f>
        <v>0.44530550739357494</v>
      </c>
      <c r="L122" s="307">
        <f>SUM(L112:L121)</f>
        <v>217604.53</v>
      </c>
      <c r="M122" s="311"/>
      <c r="N122" s="307">
        <f t="shared" si="44"/>
        <v>-66706.522301621939</v>
      </c>
      <c r="O122" s="308" t="s">
        <v>119</v>
      </c>
      <c r="P122" s="306">
        <f>Q122/Q$108</f>
        <v>1.1379625252989496</v>
      </c>
      <c r="Q122" s="307">
        <f>SUM(Q112:Q121)</f>
        <v>250474.61</v>
      </c>
      <c r="R122" s="311"/>
      <c r="S122" s="307">
        <f t="shared" si="46"/>
        <v>-32870.079999999987</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8"/>
        <v>Véhicules usagésSalaires cadres</v>
      </c>
      <c r="B123" s="41" t="s">
        <v>152</v>
      </c>
      <c r="C123" s="312" t="s">
        <v>120</v>
      </c>
      <c r="D123" s="41"/>
      <c r="E123" s="41"/>
      <c r="F123" s="254" cm="1">
        <f t="array" ref="F123">+SUMPRODUCT(('Budget original'!$A$8:$A$501=$A123)*('Budget original'!$C$3:$AO$3=F$2),'Budget original'!$C$8:$AO$501)</f>
        <v>48528.329487179493</v>
      </c>
      <c r="G123" s="253"/>
      <c r="H123" s="41"/>
      <c r="I123" s="254"/>
      <c r="J123" s="253"/>
      <c r="K123" s="41"/>
      <c r="L123" s="256">
        <f>SUMIFS(BV_Data_An_Cour!$P:$P,BV_Data_An_Cour!$U:$U,$B123,BV_Data_An_Cour!$V:$V,$C123,BV_Data_An_Cour!$W:$W,$L$2)</f>
        <v>43692.77</v>
      </c>
      <c r="M123" s="253"/>
      <c r="N123" s="276">
        <f t="shared" si="44"/>
        <v>-4835.5594871794965</v>
      </c>
      <c r="O123" s="253"/>
      <c r="P123" s="41"/>
      <c r="Q123" s="256" cm="1">
        <f t="array" ref="Q123">+SUMPRODUCT(('Réel 2024'!$A$8:$A$501=$A123)*('Réel 2024'!$C$3:$AO$3=Q$2),'Réel 2024'!$C$8:$AO$501)</f>
        <v>54502.19</v>
      </c>
      <c r="R123" s="253"/>
      <c r="S123" s="276"/>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8"/>
        <v>Véhicules usagésSalaires commis</v>
      </c>
      <c r="B124" s="41" t="s">
        <v>152</v>
      </c>
      <c r="C124" s="313" t="s">
        <v>121</v>
      </c>
      <c r="D124" s="297"/>
      <c r="E124" s="41"/>
      <c r="F124" s="248" cm="1">
        <f t="array" ref="F124">+SUMPRODUCT(('Budget original'!$A$8:$A$501=$A124)*('Budget original'!$C$3:$AO$3=F$2),'Budget original'!$C$8:$AO$501)</f>
        <v>46575.621538461535</v>
      </c>
      <c r="G124" s="298"/>
      <c r="H124" s="41"/>
      <c r="I124" s="248"/>
      <c r="J124" s="253"/>
      <c r="K124" s="41"/>
      <c r="L124" s="248">
        <f>SUMIFS(BV_Data_An_Cour!$P:$P,BV_Data_An_Cour!$U:$U,$B124,BV_Data_An_Cour!$V:$V,$C124,BV_Data_An_Cour!$W:$W,$L$2)</f>
        <v>20940.02</v>
      </c>
      <c r="M124" s="253"/>
      <c r="N124" s="276">
        <f t="shared" si="44"/>
        <v>-25635.601538461535</v>
      </c>
      <c r="O124" s="253"/>
      <c r="P124" s="41"/>
      <c r="Q124" s="248" cm="1">
        <f t="array" ref="Q124">+SUMPRODUCT(('Réel 2024'!$A$8:$A$501=$A124)*('Réel 2024'!$C$3:$AO$3=Q$2),'Réel 2024'!$C$8:$AO$501)</f>
        <v>9183.0499999999993</v>
      </c>
      <c r="R124" s="253"/>
      <c r="S124" s="276">
        <f t="shared" ref="S124:S153" si="48">L124-Q124</f>
        <v>11756.970000000001</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8"/>
        <v>Véhicules usagésSalaires autres</v>
      </c>
      <c r="B125" s="41" t="s">
        <v>152</v>
      </c>
      <c r="C125" s="312" t="s">
        <v>122</v>
      </c>
      <c r="D125" s="314"/>
      <c r="E125" s="315"/>
      <c r="F125" s="254" cm="1">
        <f t="array" ref="F125">+SUMPRODUCT(('Budget original'!$A$8:$A$501=$A125)*('Budget original'!$C$3:$AO$3=F$2),'Budget original'!$C$8:$AO$501)</f>
        <v>18396.907692307694</v>
      </c>
      <c r="G125" s="316"/>
      <c r="H125" s="315"/>
      <c r="I125" s="254"/>
      <c r="J125" s="241"/>
      <c r="K125" s="315"/>
      <c r="L125" s="256">
        <f>SUMIFS(BV_Data_An_Cour!$P:$P,BV_Data_An_Cour!$U:$U,$B125,BV_Data_An_Cour!$V:$V,$C125,BV_Data_An_Cour!$W:$W,$L$2)</f>
        <v>24884.25</v>
      </c>
      <c r="M125" s="241"/>
      <c r="N125" s="317">
        <f t="shared" si="44"/>
        <v>6487.3423076923063</v>
      </c>
      <c r="O125" s="241"/>
      <c r="P125" s="315"/>
      <c r="Q125" s="256" cm="1">
        <f t="array" ref="Q125">+SUMPRODUCT(('Réel 2024'!$A$8:$A$501=$A125)*('Réel 2024'!$C$3:$AO$3=Q$2),'Réel 2024'!$C$8:$AO$501)</f>
        <v>31841.51</v>
      </c>
      <c r="R125" s="241"/>
      <c r="S125" s="317">
        <f t="shared" si="48"/>
        <v>-6957.2599999999984</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tr">
        <f t="shared" si="28"/>
        <v>Véhicules usagésSalaires spécialistes</v>
      </c>
      <c r="B126" s="41" t="s">
        <v>152</v>
      </c>
      <c r="C126" s="312" t="s">
        <v>123</v>
      </c>
      <c r="D126" s="297"/>
      <c r="E126" s="41"/>
      <c r="F126" s="254" cm="1">
        <f t="array" ref="F126">+SUMPRODUCT(('Budget original'!$A$8:$A$501=$A126)*('Budget original'!$C$3:$AO$3=F$2),'Budget original'!$C$8:$AO$501)</f>
        <v>0</v>
      </c>
      <c r="G126" s="298"/>
      <c r="H126" s="41"/>
      <c r="I126" s="254"/>
      <c r="J126" s="253"/>
      <c r="K126" s="41"/>
      <c r="L126" s="256">
        <f>SUMIFS(BV_Data_An_Cour!$P:$P,BV_Data_An_Cour!$U:$U,$B126,BV_Data_An_Cour!$V:$V,$C126,BV_Data_An_Cour!$W:$W,$L$2)</f>
        <v>0</v>
      </c>
      <c r="M126" s="253"/>
      <c r="N126" s="276">
        <f t="shared" si="44"/>
        <v>0</v>
      </c>
      <c r="O126" s="253"/>
      <c r="P126" s="41"/>
      <c r="Q126" s="256" cm="1">
        <f t="array" ref="Q126">+SUMPRODUCT(('Réel 2024'!$A$8:$A$501=$A126)*('Réel 2024'!$C$3:$AO$3=Q$2),'Réel 2024'!$C$8:$AO$501)</f>
        <v>0</v>
      </c>
      <c r="R126" s="253"/>
      <c r="S126" s="276">
        <f t="shared" si="4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tr">
        <f t="shared" si="28"/>
        <v>Véhicules usagés[...]</v>
      </c>
      <c r="B127" s="41" t="s">
        <v>152</v>
      </c>
      <c r="C127" s="312" t="s">
        <v>59</v>
      </c>
      <c r="D127" s="297"/>
      <c r="E127" s="41"/>
      <c r="F127" s="254" cm="1">
        <f t="array" ref="F127">+SUMPRODUCT(('Budget original'!$A$8:$A$501=$A127)*('Budget original'!$C$3:$AO$3=F$2),'Budget original'!$C$8:$AO$501)</f>
        <v>0</v>
      </c>
      <c r="G127" s="298"/>
      <c r="H127" s="41"/>
      <c r="I127" s="254"/>
      <c r="J127" s="253"/>
      <c r="K127" s="41"/>
      <c r="L127" s="256">
        <f>SUMIFS(BV_Data_An_Cour!$P:$P,BV_Data_An_Cour!$U:$U,$B127,BV_Data_An_Cour!$V:$V,$C127,BV_Data_An_Cour!$W:$W,$L$2)</f>
        <v>0</v>
      </c>
      <c r="M127" s="253"/>
      <c r="N127" s="276">
        <f t="shared" si="44"/>
        <v>0</v>
      </c>
      <c r="O127" s="253"/>
      <c r="P127" s="41"/>
      <c r="Q127" s="256" cm="1">
        <f t="array" ref="Q127">+SUMPRODUCT(('Réel 2024'!$A$8:$A$501=$A127)*('Réel 2024'!$C$3:$AO$3=Q$2),'Réel 2024'!$C$8:$AO$501)</f>
        <v>0</v>
      </c>
      <c r="R127" s="253"/>
      <c r="S127" s="276">
        <f t="shared" si="4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8"/>
        <v>Véhicules usagés[...]</v>
      </c>
      <c r="B128" s="41" t="s">
        <v>152</v>
      </c>
      <c r="C128" s="312" t="s">
        <v>59</v>
      </c>
      <c r="D128" s="297"/>
      <c r="E128" s="41"/>
      <c r="F128" s="254" cm="1">
        <f t="array" ref="F128">+SUMPRODUCT(('Budget original'!$A$8:$A$501=$A128)*('Budget original'!$C$3:$AO$3=F$2),'Budget original'!$C$8:$AO$501)</f>
        <v>0</v>
      </c>
      <c r="G128" s="298"/>
      <c r="H128" s="41"/>
      <c r="I128" s="254"/>
      <c r="J128" s="253"/>
      <c r="K128" s="41"/>
      <c r="L128" s="256">
        <f>SUMIFS(BV_Data_An_Cour!$P:$P,BV_Data_An_Cour!$U:$U,$B128,BV_Data_An_Cour!$V:$V,$C128,BV_Data_An_Cour!$W:$W,$L$2)</f>
        <v>0</v>
      </c>
      <c r="M128" s="253"/>
      <c r="N128" s="276">
        <f t="shared" si="44"/>
        <v>0</v>
      </c>
      <c r="O128" s="253"/>
      <c r="P128" s="41"/>
      <c r="Q128" s="256" cm="1">
        <f t="array" ref="Q128">+SUMPRODUCT(('Réel 2024'!$A$8:$A$501=$A128)*('Réel 2024'!$C$3:$AO$3=Q$2),'Réel 2024'!$C$8:$AO$501)</f>
        <v>0</v>
      </c>
      <c r="R128" s="253"/>
      <c r="S128" s="276">
        <f t="shared" si="4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tr">
        <f t="shared" si="28"/>
        <v>Véhicules usagés[...]</v>
      </c>
      <c r="B129" s="41" t="s">
        <v>152</v>
      </c>
      <c r="C129" s="312" t="s">
        <v>59</v>
      </c>
      <c r="D129" s="297"/>
      <c r="E129" s="41"/>
      <c r="F129" s="254" cm="1">
        <f t="array" ref="F129">+SUMPRODUCT(('Budget original'!$A$8:$A$501=$A129)*('Budget original'!$C$3:$AO$3=F$2),'Budget original'!$C$8:$AO$501)</f>
        <v>0</v>
      </c>
      <c r="G129" s="298"/>
      <c r="H129" s="41"/>
      <c r="I129" s="254"/>
      <c r="J129" s="253"/>
      <c r="K129" s="41"/>
      <c r="L129" s="256">
        <f>SUMIFS(BV_Data_An_Cour!$P:$P,BV_Data_An_Cour!$U:$U,$B129,BV_Data_An_Cour!$V:$V,$C129,BV_Data_An_Cour!$W:$W,$L$2)</f>
        <v>0</v>
      </c>
      <c r="M129" s="253"/>
      <c r="N129" s="276">
        <f t="shared" si="44"/>
        <v>0</v>
      </c>
      <c r="O129" s="253"/>
      <c r="P129" s="41"/>
      <c r="Q129" s="256" cm="1">
        <f t="array" ref="Q129">+SUMPRODUCT(('Réel 2024'!$A$8:$A$501=$A129)*('Réel 2024'!$C$3:$AO$3=Q$2),'Réel 2024'!$C$8:$AO$501)</f>
        <v>0</v>
      </c>
      <c r="R129" s="253"/>
      <c r="S129" s="276">
        <f t="shared" si="48"/>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tr">
        <f t="shared" si="28"/>
        <v>Véhicules usagésSalaires en absences</v>
      </c>
      <c r="B130" s="41" t="s">
        <v>152</v>
      </c>
      <c r="C130" s="313" t="s">
        <v>124</v>
      </c>
      <c r="D130" s="297"/>
      <c r="E130" s="41"/>
      <c r="F130" s="254" cm="1">
        <f t="array" ref="F130">+SUMPRODUCT(('Budget original'!$A$8:$A$501=$A130)*('Budget original'!$C$3:$AO$3=F$2),'Budget original'!$C$8:$AO$501)</f>
        <v>41940.097983717947</v>
      </c>
      <c r="G130" s="298"/>
      <c r="H130" s="41"/>
      <c r="I130" s="254"/>
      <c r="J130" s="253"/>
      <c r="K130" s="41"/>
      <c r="L130" s="256">
        <f>SUMIFS(BV_Data_An_Cour!$P:$P,BV_Data_An_Cour!$U:$U,$B130,BV_Data_An_Cour!$V:$V,$C130,BV_Data_An_Cour!$W:$W,$L$2)</f>
        <v>40541.42</v>
      </c>
      <c r="M130" s="253"/>
      <c r="N130" s="276">
        <f t="shared" si="44"/>
        <v>-1398.6779837179492</v>
      </c>
      <c r="O130" s="253"/>
      <c r="P130" s="41"/>
      <c r="Q130" s="256" cm="1">
        <f t="array" ref="Q130">+SUMPRODUCT(('Réel 2024'!$A$8:$A$501=$A130)*('Réel 2024'!$C$3:$AO$3=Q$2),'Réel 2024'!$C$8:$AO$501)</f>
        <v>32738.5</v>
      </c>
      <c r="R130" s="253"/>
      <c r="S130" s="276">
        <f t="shared" si="48"/>
        <v>7802.9199999999983</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8"/>
        <v>Véhicules usagésDéduction à la source</v>
      </c>
      <c r="B131" s="41" t="s">
        <v>152</v>
      </c>
      <c r="C131" s="312" t="s">
        <v>125</v>
      </c>
      <c r="D131" s="314"/>
      <c r="E131" s="315"/>
      <c r="F131" s="271" cm="1">
        <f t="array" ref="F131">+SUMPRODUCT(('Budget original'!$A$8:$A$501=$A131)*('Budget original'!$C$3:$AO$3=F$2),'Budget original'!$C$8:$AO$501)</f>
        <v>50993.246887692309</v>
      </c>
      <c r="G131" s="316"/>
      <c r="H131" s="315"/>
      <c r="I131" s="271"/>
      <c r="J131" s="241"/>
      <c r="K131" s="315"/>
      <c r="L131" s="272">
        <f>SUMIFS(BV_Data_An_Cour!$P:$P,BV_Data_An_Cour!$U:$U,$B131,BV_Data_An_Cour!$V:$V,$C131,BV_Data_An_Cour!$W:$W,$L$2)</f>
        <v>47362.11</v>
      </c>
      <c r="M131" s="241"/>
      <c r="N131" s="317">
        <f t="shared" si="44"/>
        <v>-3631.1368876923079</v>
      </c>
      <c r="O131" s="241"/>
      <c r="P131" s="315"/>
      <c r="Q131" s="272" cm="1">
        <f t="array" ref="Q131">+SUMPRODUCT(('Réel 2024'!$A$8:$A$501=$A131)*('Réel 2024'!$C$3:$AO$3=Q$2),'Réel 2024'!$C$8:$AO$501)</f>
        <v>31471.53</v>
      </c>
      <c r="R131" s="241"/>
      <c r="S131" s="317">
        <f t="shared" si="48"/>
        <v>15890.580000000002</v>
      </c>
      <c r="T131" s="41"/>
      <c r="U131" s="254">
        <f>L131-Print_Mois!L131</f>
        <v>36177.370000000003</v>
      </c>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8"/>
        <v>Véhicules usagésBénéfices marginaux</v>
      </c>
      <c r="B132" s="41" t="s">
        <v>152</v>
      </c>
      <c r="C132" s="312" t="s">
        <v>126</v>
      </c>
      <c r="D132" s="297"/>
      <c r="E132" s="41"/>
      <c r="F132" s="254" cm="1">
        <f t="array" ref="F132">+SUMPRODUCT(('Budget original'!$A$8:$A$501=$A132)*('Budget original'!$C$3:$AO$3=F$2),'Budget original'!$C$8:$AO$501)</f>
        <v>26272.607635615383</v>
      </c>
      <c r="G132" s="298"/>
      <c r="H132" s="41"/>
      <c r="I132" s="254"/>
      <c r="J132" s="253"/>
      <c r="K132" s="41"/>
      <c r="L132" s="256">
        <f>SUMIFS(BV_Data_An_Cour!$P:$P,BV_Data_An_Cour!$U:$U,$B132,BV_Data_An_Cour!$V:$V,$C132,BV_Data_An_Cour!$W:$W,$L$2)</f>
        <v>23966.030000000002</v>
      </c>
      <c r="M132" s="253"/>
      <c r="N132" s="276">
        <f t="shared" si="44"/>
        <v>-2306.5776356153801</v>
      </c>
      <c r="O132" s="253"/>
      <c r="P132" s="41"/>
      <c r="Q132" s="256" cm="1">
        <f t="array" ref="Q132">+SUMPRODUCT(('Réel 2024'!$A$8:$A$501=$A132)*('Réel 2024'!$C$3:$AO$3=Q$2),'Réel 2024'!$C$8:$AO$501)</f>
        <v>5572.4199999999992</v>
      </c>
      <c r="R132" s="253"/>
      <c r="S132" s="276">
        <f t="shared" si="48"/>
        <v>18393.610000000004</v>
      </c>
      <c r="T132" s="41"/>
      <c r="U132" s="254">
        <f>L132-Print_Mois!L132</f>
        <v>17890.68</v>
      </c>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tr">
        <f t="shared" si="28"/>
        <v>Véhicules usagésCsst</v>
      </c>
      <c r="B133" s="41" t="s">
        <v>152</v>
      </c>
      <c r="C133" s="312" t="s">
        <v>127</v>
      </c>
      <c r="D133" s="297"/>
      <c r="E133" s="41"/>
      <c r="F133" s="254" cm="1">
        <f t="array" ref="F133">+SUMPRODUCT(('Budget original'!$A$8:$A$501=$A133)*('Budget original'!$C$3:$AO$3=F$2),'Budget original'!$C$8:$AO$501)</f>
        <v>11455.004735641025</v>
      </c>
      <c r="G133" s="298"/>
      <c r="H133" s="41"/>
      <c r="I133" s="254"/>
      <c r="J133" s="253"/>
      <c r="K133" s="41"/>
      <c r="L133" s="256">
        <f>SUMIFS(BV_Data_An_Cour!$P:$P,BV_Data_An_Cour!$U:$U,$B133,BV_Data_An_Cour!$V:$V,$C133,BV_Data_An_Cour!$W:$W,$L$2)</f>
        <v>6817.33</v>
      </c>
      <c r="M133" s="253"/>
      <c r="N133" s="276">
        <f t="shared" si="44"/>
        <v>-4637.6747356410251</v>
      </c>
      <c r="O133" s="253"/>
      <c r="P133" s="41"/>
      <c r="Q133" s="256" cm="1">
        <f t="array" ref="Q133">+SUMPRODUCT(('Réel 2024'!$A$8:$A$501=$A133)*('Réel 2024'!$C$3:$AO$3=Q$2),'Réel 2024'!$C$8:$AO$501)</f>
        <v>4716.97</v>
      </c>
      <c r="R133" s="253"/>
      <c r="S133" s="276">
        <f t="shared" si="48"/>
        <v>2100.3599999999997</v>
      </c>
      <c r="T133" s="41"/>
      <c r="U133" s="254">
        <f>L133-Print_Mois!L133</f>
        <v>5430.27</v>
      </c>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tr">
        <f t="shared" si="28"/>
        <v>Véhicules usagés[...]</v>
      </c>
      <c r="B134" s="41" t="s">
        <v>152</v>
      </c>
      <c r="C134" s="253" t="s">
        <v>59</v>
      </c>
      <c r="D134" s="299"/>
      <c r="E134" s="318"/>
      <c r="F134" s="254" cm="1">
        <f t="array" ref="F134">+SUMPRODUCT(('Budget original'!$A$8:$A$501=$A134)*('Budget original'!$C$3:$AO$3=F$2),'Budget original'!$C$8:$AO$501)</f>
        <v>0</v>
      </c>
      <c r="G134" s="300"/>
      <c r="H134" s="318"/>
      <c r="I134" s="254"/>
      <c r="J134" s="246"/>
      <c r="K134" s="318"/>
      <c r="L134" s="256">
        <f>SUMIFS(BV_Data_An_Cour!$P:$P,BV_Data_An_Cour!$U:$U,$B134,BV_Data_An_Cour!$V:$V,$C134,BV_Data_An_Cour!$W:$W,$L$2)</f>
        <v>0</v>
      </c>
      <c r="M134" s="246"/>
      <c r="N134" s="296">
        <f t="shared" si="44"/>
        <v>0</v>
      </c>
      <c r="O134" s="246"/>
      <c r="P134" s="318"/>
      <c r="Q134" s="256" cm="1">
        <f t="array" ref="Q134">+SUMPRODUCT(('Réel 2024'!$A$8:$A$501=$A134)*('Réel 2024'!$C$3:$AO$3=Q$2),'Réel 2024'!$C$8:$AO$501)</f>
        <v>0</v>
      </c>
      <c r="R134" s="246"/>
      <c r="S134" s="296">
        <f t="shared" si="48"/>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tr">
        <f t="shared" si="28"/>
        <v>Véhicules usagésTOTAL PERSONNEL</v>
      </c>
      <c r="B135" s="41" t="s">
        <v>152</v>
      </c>
      <c r="C135" s="304" t="s">
        <v>128</v>
      </c>
      <c r="D135" s="305" t="s">
        <v>119</v>
      </c>
      <c r="E135" s="306">
        <f>F135/F$108</f>
        <v>0.45400114533398178</v>
      </c>
      <c r="F135" s="307">
        <f>+SUM(F123:F134)</f>
        <v>244161.81596061541</v>
      </c>
      <c r="G135" s="308"/>
      <c r="H135" s="306"/>
      <c r="I135" s="307"/>
      <c r="J135" s="308" t="s">
        <v>119</v>
      </c>
      <c r="K135" s="306">
        <f>L135/L$108</f>
        <v>0.42606813695462292</v>
      </c>
      <c r="L135" s="307">
        <f>SUM(L123:L134)</f>
        <v>208203.93</v>
      </c>
      <c r="M135" s="355"/>
      <c r="N135" s="320">
        <f t="shared" si="44"/>
        <v>-35957.885960615415</v>
      </c>
      <c r="O135" s="308" t="s">
        <v>119</v>
      </c>
      <c r="P135" s="306">
        <f>Q135/Q$108</f>
        <v>0.77246715657171205</v>
      </c>
      <c r="Q135" s="307">
        <f>+SUM(Q123:Q134)</f>
        <v>170026.17</v>
      </c>
      <c r="R135" s="355"/>
      <c r="S135" s="320">
        <f t="shared" si="48"/>
        <v>38177.75999999998</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8"/>
        <v>Véhicules usagésPublicité 2</v>
      </c>
      <c r="B136" s="41" t="s">
        <v>152</v>
      </c>
      <c r="C136" s="253" t="s">
        <v>129</v>
      </c>
      <c r="D136" s="297"/>
      <c r="E136" s="41"/>
      <c r="F136" s="254" cm="1">
        <f t="array" ref="F136">+SUMPRODUCT(('Budget original'!$A$8:$A$501=$A136)*('Budget original'!$C$3:$AO$3=F$2),'Budget original'!$C$8:$AO$501)</f>
        <v>0</v>
      </c>
      <c r="G136" s="298"/>
      <c r="H136" s="41"/>
      <c r="I136" s="254"/>
      <c r="J136" s="253"/>
      <c r="K136" s="41"/>
      <c r="L136" s="256">
        <f>SUMIFS(BV_Data_An_Cour!$P:$P,BV_Data_An_Cour!$U:$U,$B136,BV_Data_An_Cour!$V:$V,$C136,BV_Data_An_Cour!$W:$W,$L$2)</f>
        <v>0</v>
      </c>
      <c r="M136" s="253"/>
      <c r="N136" s="276">
        <f t="shared" si="44"/>
        <v>0</v>
      </c>
      <c r="O136" s="253"/>
      <c r="P136" s="41"/>
      <c r="Q136" s="256" cm="1">
        <f t="array" ref="Q136">+SUMPRODUCT(('Réel 2024'!$A$8:$A$501=$A136)*('Réel 2024'!$C$3:$AO$3=Q$2),'Réel 2024'!$C$8:$AO$501)</f>
        <v>0</v>
      </c>
      <c r="R136" s="253"/>
      <c r="S136" s="276">
        <f t="shared" si="4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8"/>
        <v>Véhicules usagésService gratuit 2</v>
      </c>
      <c r="B137" s="41" t="s">
        <v>152</v>
      </c>
      <c r="C137" s="253" t="s">
        <v>130</v>
      </c>
      <c r="D137" s="297"/>
      <c r="E137" s="41"/>
      <c r="F137" s="254" cm="1">
        <f t="array" ref="F137">+SUMPRODUCT(('Budget original'!$A$8:$A$501=$A137)*('Budget original'!$C$3:$AO$3=F$2),'Budget original'!$C$8:$AO$501)</f>
        <v>0</v>
      </c>
      <c r="G137" s="298"/>
      <c r="H137" s="41"/>
      <c r="I137" s="254"/>
      <c r="J137" s="253"/>
      <c r="K137" s="41"/>
      <c r="L137" s="256">
        <f>SUMIFS(BV_Data_An_Cour!$P:$P,BV_Data_An_Cour!$U:$U,$B137,BV_Data_An_Cour!$V:$V,$C137,BV_Data_An_Cour!$W:$W,$L$2)</f>
        <v>0</v>
      </c>
      <c r="M137" s="253"/>
      <c r="N137" s="276">
        <f t="shared" si="44"/>
        <v>0</v>
      </c>
      <c r="O137" s="253"/>
      <c r="P137" s="41"/>
      <c r="Q137" s="256" cm="1">
        <f t="array" ref="Q137">+SUMPRODUCT(('Réel 2024'!$A$8:$A$501=$A137)*('Réel 2024'!$C$3:$AO$3=Q$2),'Réel 2024'!$C$8:$AO$501)</f>
        <v>0</v>
      </c>
      <c r="R137" s="253"/>
      <c r="S137" s="276">
        <f t="shared" si="48"/>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8"/>
        <v>Véhicules usagésFrais véhicules de cie</v>
      </c>
      <c r="B138" s="41" t="s">
        <v>152</v>
      </c>
      <c r="C138" s="246" t="s">
        <v>131</v>
      </c>
      <c r="D138" s="299"/>
      <c r="E138" s="318"/>
      <c r="F138" s="248" cm="1">
        <f t="array" ref="F138">+SUMPRODUCT(('Budget original'!$A$8:$A$501=$A138)*('Budget original'!$C$3:$AO$3=F$2),'Budget original'!$C$8:$AO$501)</f>
        <v>6420.7664444444445</v>
      </c>
      <c r="G138" s="300"/>
      <c r="H138" s="318"/>
      <c r="I138" s="248"/>
      <c r="J138" s="246"/>
      <c r="K138" s="318"/>
      <c r="L138" s="248">
        <f>SUMIFS(BV_Data_An_Cour!$P:$P,BV_Data_An_Cour!$U:$U,$B138,BV_Data_An_Cour!$V:$V,$C138,BV_Data_An_Cour!$W:$W,$L$2)</f>
        <v>17574.189999999999</v>
      </c>
      <c r="M138" s="246"/>
      <c r="N138" s="296">
        <f t="shared" si="44"/>
        <v>11153.423555555553</v>
      </c>
      <c r="O138" s="246"/>
      <c r="P138" s="318"/>
      <c r="Q138" s="248" cm="1">
        <f t="array" ref="Q138">+SUMPRODUCT(('Réel 2024'!$A$8:$A$501=$A138)*('Réel 2024'!$C$3:$AO$3=Q$2),'Réel 2024'!$C$8:$AO$501)</f>
        <v>2810.93</v>
      </c>
      <c r="R138" s="246"/>
      <c r="S138" s="296">
        <f t="shared" si="48"/>
        <v>14763.259999999998</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8"/>
        <v>Véhicules usagésInformatique</v>
      </c>
      <c r="B139" s="41" t="s">
        <v>152</v>
      </c>
      <c r="C139" s="253" t="s">
        <v>132</v>
      </c>
      <c r="D139" s="297"/>
      <c r="E139" s="41"/>
      <c r="F139" s="254" cm="1">
        <f t="array" ref="F139">+SUMPRODUCT(('Budget original'!$A$8:$A$501=$A139)*('Budget original'!$C$3:$AO$3=F$2),'Budget original'!$C$8:$AO$501)</f>
        <v>18788.42811346666</v>
      </c>
      <c r="G139" s="298"/>
      <c r="H139" s="41"/>
      <c r="I139" s="254"/>
      <c r="J139" s="253"/>
      <c r="K139" s="41"/>
      <c r="L139" s="256">
        <f>SUMIFS(BV_Data_An_Cour!$P:$P,BV_Data_An_Cour!$U:$U,$B139,BV_Data_An_Cour!$V:$V,$C139,BV_Data_An_Cour!$W:$W,$L$2)</f>
        <v>17569.09</v>
      </c>
      <c r="M139" s="253"/>
      <c r="N139" s="276">
        <f t="shared" si="44"/>
        <v>-1219.3381134666597</v>
      </c>
      <c r="O139" s="253"/>
      <c r="P139" s="41"/>
      <c r="Q139" s="256" cm="1">
        <f t="array" ref="Q139">+SUMPRODUCT(('Réel 2024'!$A$8:$A$501=$A139)*('Réel 2024'!$C$3:$AO$3=Q$2),'Réel 2024'!$C$8:$AO$501)</f>
        <v>18655.97</v>
      </c>
      <c r="R139" s="253"/>
      <c r="S139" s="276">
        <f t="shared" si="48"/>
        <v>-1086.880000000001</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8"/>
        <v>Véhicules usagésFrais de déplacement</v>
      </c>
      <c r="B140" s="41" t="s">
        <v>152</v>
      </c>
      <c r="C140" s="253" t="s">
        <v>133</v>
      </c>
      <c r="D140" s="297"/>
      <c r="E140" s="41"/>
      <c r="F140" s="254" cm="1">
        <f t="array" ref="F140">+SUMPRODUCT(('Budget original'!$A$8:$A$501=$A140)*('Budget original'!$C$3:$AO$3=F$2),'Budget original'!$C$8:$AO$501)</f>
        <v>2778.351218870248</v>
      </c>
      <c r="G140" s="298"/>
      <c r="H140" s="41"/>
      <c r="I140" s="254"/>
      <c r="J140" s="253"/>
      <c r="K140" s="41"/>
      <c r="L140" s="256">
        <f>SUMIFS(BV_Data_An_Cour!$P:$P,BV_Data_An_Cour!$U:$U,$B140,BV_Data_An_Cour!$V:$V,$C140,BV_Data_An_Cour!$W:$W,$L$2)</f>
        <v>2623.94</v>
      </c>
      <c r="M140" s="253"/>
      <c r="N140" s="276">
        <f t="shared" si="44"/>
        <v>-154.41121887024792</v>
      </c>
      <c r="O140" s="253"/>
      <c r="P140" s="41"/>
      <c r="Q140" s="256" cm="1">
        <f t="array" ref="Q140">+SUMPRODUCT(('Réel 2024'!$A$8:$A$501=$A140)*('Réel 2024'!$C$3:$AO$3=Q$2),'Réel 2024'!$C$8:$AO$501)</f>
        <v>2294.91</v>
      </c>
      <c r="R140" s="253"/>
      <c r="S140" s="276">
        <f t="shared" si="48"/>
        <v>329.0300000000002</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8"/>
        <v>Véhicules usagésServices extérieurs</v>
      </c>
      <c r="B141" s="41" t="s">
        <v>152</v>
      </c>
      <c r="C141" s="246" t="s">
        <v>134</v>
      </c>
      <c r="D141" s="299"/>
      <c r="E141" s="318"/>
      <c r="F141" s="248" cm="1">
        <f t="array" ref="F141">+SUMPRODUCT(('Budget original'!$A$8:$A$501=$A141)*('Budget original'!$C$3:$AO$3=F$2),'Budget original'!$C$8:$AO$501)</f>
        <v>6994.2473202682877</v>
      </c>
      <c r="G141" s="300"/>
      <c r="H141" s="318"/>
      <c r="I141" s="248"/>
      <c r="J141" s="246"/>
      <c r="K141" s="318"/>
      <c r="L141" s="248">
        <f>SUMIFS(BV_Data_An_Cour!$P:$P,BV_Data_An_Cour!$U:$U,$B141,BV_Data_An_Cour!$V:$V,$C141,BV_Data_An_Cour!$W:$W,$L$2)</f>
        <v>17346.91</v>
      </c>
      <c r="M141" s="246"/>
      <c r="N141" s="296">
        <f t="shared" si="44"/>
        <v>10352.662679731711</v>
      </c>
      <c r="O141" s="246"/>
      <c r="P141" s="318"/>
      <c r="Q141" s="248" cm="1">
        <f t="array" ref="Q141">+SUMPRODUCT(('Réel 2024'!$A$8:$A$501=$A141)*('Réel 2024'!$C$3:$AO$3=Q$2),'Réel 2024'!$C$8:$AO$501)</f>
        <v>5694.3199999999988</v>
      </c>
      <c r="R141" s="246"/>
      <c r="S141" s="296">
        <f t="shared" si="48"/>
        <v>11652.59</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8"/>
        <v>Véhicules usagésFournitures autres</v>
      </c>
      <c r="B142" s="41" t="s">
        <v>152</v>
      </c>
      <c r="C142" s="253" t="s">
        <v>135</v>
      </c>
      <c r="D142" s="297"/>
      <c r="E142" s="41"/>
      <c r="F142" s="254" cm="1">
        <f t="array" ref="F142">+SUMPRODUCT(('Budget original'!$A$8:$A$501=$A142)*('Budget original'!$C$3:$AO$3=F$2),'Budget original'!$C$8:$AO$501)</f>
        <v>419.42766666666665</v>
      </c>
      <c r="G142" s="298"/>
      <c r="H142" s="41"/>
      <c r="I142" s="254"/>
      <c r="J142" s="253"/>
      <c r="K142" s="41"/>
      <c r="L142" s="256">
        <f>SUMIFS(BV_Data_An_Cour!$P:$P,BV_Data_An_Cour!$U:$U,$B142,BV_Data_An_Cour!$V:$V,$C142,BV_Data_An_Cour!$W:$W,$L$2)</f>
        <v>306.39</v>
      </c>
      <c r="M142" s="253"/>
      <c r="N142" s="276">
        <f t="shared" si="44"/>
        <v>-113.03766666666667</v>
      </c>
      <c r="O142" s="253"/>
      <c r="P142" s="41"/>
      <c r="Q142" s="256" cm="1">
        <f t="array" ref="Q142">+SUMPRODUCT(('Réel 2024'!$A$8:$A$501=$A142)*('Réel 2024'!$C$3:$AO$3=Q$2),'Réel 2024'!$C$8:$AO$501)</f>
        <v>117.99</v>
      </c>
      <c r="R142" s="253"/>
      <c r="S142" s="276">
        <f t="shared" si="48"/>
        <v>188.39999999999998</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8"/>
        <v>Véhicules usagésUniformes</v>
      </c>
      <c r="B143" s="41" t="s">
        <v>152</v>
      </c>
      <c r="C143" s="253" t="s">
        <v>136</v>
      </c>
      <c r="D143" s="297"/>
      <c r="E143" s="41"/>
      <c r="F143" s="254" cm="1">
        <f t="array" ref="F143">+SUMPRODUCT(('Budget original'!$A$8:$A$501=$A143)*('Budget original'!$C$3:$AO$3=F$2),'Budget original'!$C$8:$AO$501)</f>
        <v>141.66666666666666</v>
      </c>
      <c r="G143" s="298"/>
      <c r="H143" s="41"/>
      <c r="I143" s="254"/>
      <c r="J143" s="253"/>
      <c r="K143" s="41"/>
      <c r="L143" s="256">
        <f>SUMIFS(BV_Data_An_Cour!$P:$P,BV_Data_An_Cour!$U:$U,$B143,BV_Data_An_Cour!$V:$V,$C143,BV_Data_An_Cour!$W:$W,$L$2)</f>
        <v>0</v>
      </c>
      <c r="M143" s="253"/>
      <c r="N143" s="276">
        <f t="shared" si="44"/>
        <v>-141.66666666666666</v>
      </c>
      <c r="O143" s="253"/>
      <c r="P143" s="41"/>
      <c r="Q143" s="256" cm="1">
        <f t="array" ref="Q143">+SUMPRODUCT(('Réel 2024'!$A$8:$A$501=$A143)*('Réel 2024'!$C$3:$AO$3=Q$2),'Réel 2024'!$C$8:$AO$501)</f>
        <v>0</v>
      </c>
      <c r="R143" s="253"/>
      <c r="S143" s="276">
        <f t="shared" si="48"/>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8"/>
        <v>Véhicules usagésPapeterie</v>
      </c>
      <c r="B144" s="41" t="s">
        <v>152</v>
      </c>
      <c r="C144" s="253" t="s">
        <v>137</v>
      </c>
      <c r="D144" s="297"/>
      <c r="E144" s="41"/>
      <c r="F144" s="254" cm="1">
        <f t="array" ref="F144">+SUMPRODUCT(('Budget original'!$A$8:$A$501=$A144)*('Budget original'!$C$3:$AO$3=F$2),'Budget original'!$C$8:$AO$501)</f>
        <v>1618.0969868795999</v>
      </c>
      <c r="G144" s="298"/>
      <c r="H144" s="41"/>
      <c r="I144" s="254"/>
      <c r="J144" s="253"/>
      <c r="K144" s="41"/>
      <c r="L144" s="256">
        <f>SUMIFS(BV_Data_An_Cour!$P:$P,BV_Data_An_Cour!$U:$U,$B144,BV_Data_An_Cour!$V:$V,$C144,BV_Data_An_Cour!$W:$W,$L$2)</f>
        <v>1069.58</v>
      </c>
      <c r="M144" s="253"/>
      <c r="N144" s="276">
        <f t="shared" si="44"/>
        <v>-548.51698687959993</v>
      </c>
      <c r="O144" s="253"/>
      <c r="P144" s="41"/>
      <c r="Q144" s="256" cm="1">
        <f t="array" ref="Q144">+SUMPRODUCT(('Réel 2024'!$A$8:$A$501=$A144)*('Réel 2024'!$C$3:$AO$3=Q$2),'Réel 2024'!$C$8:$AO$501)</f>
        <v>1569.42</v>
      </c>
      <c r="R144" s="253"/>
      <c r="S144" s="276">
        <f t="shared" si="48"/>
        <v>-499.84000000000015</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8"/>
        <v>Véhicules usagésTéléphone</v>
      </c>
      <c r="B145" s="41" t="s">
        <v>152</v>
      </c>
      <c r="C145" s="253" t="s">
        <v>138</v>
      </c>
      <c r="D145" s="297"/>
      <c r="E145" s="41"/>
      <c r="F145" s="254" cm="1">
        <f t="array" ref="F145">+SUMPRODUCT(('Budget original'!$A$8:$A$501=$A145)*('Budget original'!$C$3:$AO$3=F$2),'Budget original'!$C$8:$AO$501)</f>
        <v>313.82277422121666</v>
      </c>
      <c r="G145" s="298"/>
      <c r="H145" s="41"/>
      <c r="I145" s="254"/>
      <c r="J145" s="253"/>
      <c r="K145" s="41"/>
      <c r="L145" s="256">
        <f>SUMIFS(BV_Data_An_Cour!$P:$P,BV_Data_An_Cour!$U:$U,$B145,BV_Data_An_Cour!$V:$V,$C145,BV_Data_An_Cour!$W:$W,$L$2)</f>
        <v>435.07</v>
      </c>
      <c r="M145" s="253"/>
      <c r="N145" s="276">
        <f t="shared" si="44"/>
        <v>121.24722577878333</v>
      </c>
      <c r="O145" s="253"/>
      <c r="P145" s="41"/>
      <c r="Q145" s="256" cm="1">
        <f t="array" ref="Q145">+SUMPRODUCT(('Réel 2024'!$A$8:$A$501=$A145)*('Réel 2024'!$C$3:$AO$3=Q$2),'Réel 2024'!$C$8:$AO$501)</f>
        <v>235.95</v>
      </c>
      <c r="R145" s="253"/>
      <c r="S145" s="276">
        <f t="shared" si="48"/>
        <v>199.12</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8"/>
        <v>Véhicules usagésFrais postaux</v>
      </c>
      <c r="B146" s="41" t="s">
        <v>152</v>
      </c>
      <c r="C146" s="253" t="s">
        <v>139</v>
      </c>
      <c r="D146" s="297"/>
      <c r="E146" s="41"/>
      <c r="F146" s="254" cm="1">
        <f t="array" ref="F146">+SUMPRODUCT(('Budget original'!$A$8:$A$501=$A146)*('Budget original'!$C$3:$AO$3=F$2),'Budget original'!$C$8:$AO$501)</f>
        <v>241.0842206907833</v>
      </c>
      <c r="G146" s="298"/>
      <c r="H146" s="41"/>
      <c r="I146" s="254"/>
      <c r="J146" s="253"/>
      <c r="K146" s="41"/>
      <c r="L146" s="256">
        <f>SUMIFS(BV_Data_An_Cour!$P:$P,BV_Data_An_Cour!$U:$U,$B146,BV_Data_An_Cour!$V:$V,$C146,BV_Data_An_Cour!$W:$W,$L$2)</f>
        <v>765.82</v>
      </c>
      <c r="M146" s="253"/>
      <c r="N146" s="276">
        <f t="shared" si="44"/>
        <v>524.7357793092167</v>
      </c>
      <c r="O146" s="253"/>
      <c r="P146" s="41"/>
      <c r="Q146" s="256" cm="1">
        <f t="array" ref="Q146">+SUMPRODUCT(('Réel 2024'!$A$8:$A$501=$A146)*('Réel 2024'!$C$3:$AO$3=Q$2),'Réel 2024'!$C$8:$AO$501)</f>
        <v>297.27</v>
      </c>
      <c r="R146" s="253"/>
      <c r="S146" s="276">
        <f t="shared" si="48"/>
        <v>468.55000000000007</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8"/>
        <v>Véhicules usagésDivers</v>
      </c>
      <c r="B147" s="41" t="s">
        <v>152</v>
      </c>
      <c r="C147" s="253" t="s">
        <v>140</v>
      </c>
      <c r="D147" s="297"/>
      <c r="E147" s="41"/>
      <c r="F147" s="254" cm="1">
        <f t="array" ref="F147">+SUMPRODUCT(('Budget original'!$A$8:$A$501=$A147)*('Budget original'!$C$3:$AO$3=F$2),'Budget original'!$C$8:$AO$501)</f>
        <v>536.75808718988344</v>
      </c>
      <c r="G147" s="298"/>
      <c r="H147" s="41"/>
      <c r="I147" s="254"/>
      <c r="J147" s="253"/>
      <c r="K147" s="41"/>
      <c r="L147" s="256">
        <f>SUMIFS(BV_Data_An_Cour!$P:$P,BV_Data_An_Cour!$U:$U,$B147,BV_Data_An_Cour!$V:$V,$C147,BV_Data_An_Cour!$W:$W,$L$2)</f>
        <v>174.22</v>
      </c>
      <c r="M147" s="253"/>
      <c r="N147" s="276">
        <f t="shared" si="44"/>
        <v>-362.53808718988341</v>
      </c>
      <c r="O147" s="253"/>
      <c r="P147" s="41"/>
      <c r="Q147" s="256" cm="1">
        <f t="array" ref="Q147">+SUMPRODUCT(('Réel 2024'!$A$8:$A$501=$A147)*('Réel 2024'!$C$3:$AO$3=Q$2),'Réel 2024'!$C$8:$AO$501)</f>
        <v>327.07</v>
      </c>
      <c r="R147" s="253"/>
      <c r="S147" s="276">
        <f t="shared" si="48"/>
        <v>-152.85</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8"/>
        <v>Véhicules usagésFormation</v>
      </c>
      <c r="B148" s="41" t="s">
        <v>152</v>
      </c>
      <c r="C148" s="253" t="s">
        <v>141</v>
      </c>
      <c r="D148" s="297"/>
      <c r="E148" s="41"/>
      <c r="F148" s="254" cm="1">
        <f t="array" ref="F148">+SUMPRODUCT(('Budget original'!$A$8:$A$501=$A148)*('Budget original'!$C$3:$AO$3=F$2),'Budget original'!$C$8:$AO$501)</f>
        <v>1092.3218584849242</v>
      </c>
      <c r="G148" s="298"/>
      <c r="H148" s="41"/>
      <c r="I148" s="254"/>
      <c r="J148" s="253"/>
      <c r="K148" s="41"/>
      <c r="L148" s="256">
        <f>SUMIFS(BV_Data_An_Cour!$P:$P,BV_Data_An_Cour!$U:$U,$B148,BV_Data_An_Cour!$V:$V,$C148,BV_Data_An_Cour!$W:$W,$L$2)</f>
        <v>2067.83</v>
      </c>
      <c r="M148" s="253"/>
      <c r="N148" s="276">
        <f t="shared" si="44"/>
        <v>975.50814151507575</v>
      </c>
      <c r="O148" s="253"/>
      <c r="P148" s="41"/>
      <c r="Q148" s="256" cm="1">
        <f t="array" ref="Q148">+SUMPRODUCT(('Réel 2024'!$A$8:$A$501=$A148)*('Réel 2024'!$C$3:$AO$3=Q$2),'Réel 2024'!$C$8:$AO$501)</f>
        <v>446.4</v>
      </c>
      <c r="R148" s="253"/>
      <c r="S148" s="276">
        <f t="shared" si="48"/>
        <v>1621.4299999999998</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tr">
        <f t="shared" si="28"/>
        <v>Véhicules usagésFrais bancaires</v>
      </c>
      <c r="B149" s="41" t="s">
        <v>152</v>
      </c>
      <c r="C149" s="253" t="s">
        <v>142</v>
      </c>
      <c r="D149" s="297"/>
      <c r="E149" s="41"/>
      <c r="F149" s="254" cm="1">
        <f t="array" ref="F149">+SUMPRODUCT(('Budget original'!$A$8:$A$501=$A149)*('Budget original'!$C$3:$AO$3=F$2),'Budget original'!$C$8:$AO$501)</f>
        <v>3643.0090298957834</v>
      </c>
      <c r="G149" s="298"/>
      <c r="H149" s="41"/>
      <c r="I149" s="254"/>
      <c r="J149" s="253"/>
      <c r="K149" s="41"/>
      <c r="L149" s="952">
        <f>SUMIFS(BV_Data_An_Cour!$P:$P,BV_Data_An_Cour!$U:$U,$B149,BV_Data_An_Cour!$V:$V,$C149,BV_Data_An_Cour!$W:$W,L$2)</f>
        <v>4012.46</v>
      </c>
      <c r="M149" s="987"/>
      <c r="N149" s="961">
        <f t="shared" si="44"/>
        <v>369.45097010421659</v>
      </c>
      <c r="O149" s="253"/>
      <c r="P149" s="41"/>
      <c r="Q149" s="256" cm="1">
        <f t="array" ref="Q149">+SUMPRODUCT(('Réel 2024'!$A$8:$A$501=$A149)*('Réel 2024'!$C$3:$AO$3=Q$2),'Réel 2024'!$C$8:$AO$501)</f>
        <v>3992.7799999999997</v>
      </c>
      <c r="R149" s="253"/>
      <c r="S149" s="276">
        <f t="shared" si="48"/>
        <v>19.680000000000291</v>
      </c>
      <c r="T149" s="29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tr">
        <f t="shared" si="28"/>
        <v>Véhicules usagés[...]</v>
      </c>
      <c r="B150" s="41" t="s">
        <v>152</v>
      </c>
      <c r="C150" s="253" t="s">
        <v>59</v>
      </c>
      <c r="D150" s="297"/>
      <c r="E150" s="41"/>
      <c r="F150" s="254" cm="1">
        <f t="array" ref="F150">+SUMPRODUCT(('Budget original'!$A$8:$A$501=$A150)*('Budget original'!$C$3:$AO$3=F$2),'Budget original'!$C$8:$AO$501)</f>
        <v>0</v>
      </c>
      <c r="G150" s="298"/>
      <c r="H150" s="41"/>
      <c r="I150" s="254"/>
      <c r="J150" s="253"/>
      <c r="K150" s="41"/>
      <c r="L150" s="256">
        <f>SUMIFS(BV_Data_An_Cour!$P:$P,BV_Data_An_Cour!$U:$U,$B150,BV_Data_An_Cour!$V:$V,$C150,BV_Data_An_Cour!$W:$W,$L$2)</f>
        <v>0</v>
      </c>
      <c r="M150" s="253"/>
      <c r="N150" s="276">
        <f t="shared" si="44"/>
        <v>0</v>
      </c>
      <c r="O150" s="253"/>
      <c r="P150" s="41"/>
      <c r="Q150" s="256" cm="1">
        <f t="array" ref="Q150">+SUMPRODUCT(('Réel 2024'!$A$8:$A$501=$A150)*('Réel 2024'!$C$3:$AO$3=Q$2),'Réel 2024'!$C$8:$AO$501)</f>
        <v>0</v>
      </c>
      <c r="R150" s="253"/>
      <c r="S150" s="276">
        <f t="shared" si="48"/>
        <v>0</v>
      </c>
      <c r="T150" s="41"/>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8"/>
        <v>Véhicules usagés[...]</v>
      </c>
      <c r="B151" s="41" t="s">
        <v>152</v>
      </c>
      <c r="C151" s="253" t="s">
        <v>59</v>
      </c>
      <c r="D151" s="297"/>
      <c r="E151" s="41"/>
      <c r="F151" s="254" cm="1">
        <f t="array" ref="F151">+SUMPRODUCT(('Budget original'!$A$8:$A$501=$A151)*('Budget original'!$C$3:$AO$3=F$2),'Budget original'!$C$8:$AO$501)</f>
        <v>0</v>
      </c>
      <c r="G151" s="298"/>
      <c r="H151" s="41"/>
      <c r="I151" s="254"/>
      <c r="J151" s="253"/>
      <c r="K151" s="41"/>
      <c r="L151" s="256">
        <f>SUMIFS(BV_Data_An_Cour!$P:$P,BV_Data_An_Cour!$U:$U,$B151,BV_Data_An_Cour!$V:$V,$C151,BV_Data_An_Cour!$W:$W,$L$2)</f>
        <v>0</v>
      </c>
      <c r="M151" s="253"/>
      <c r="N151" s="276">
        <f t="shared" si="44"/>
        <v>0</v>
      </c>
      <c r="O151" s="253"/>
      <c r="P151" s="41"/>
      <c r="Q151" s="256" cm="1">
        <f t="array" ref="Q151">+SUMPRODUCT(('Réel 2024'!$A$8:$A$501=$A151)*('Réel 2024'!$C$3:$AO$3=Q$2),'Réel 2024'!$C$8:$AO$501)</f>
        <v>0</v>
      </c>
      <c r="R151" s="253"/>
      <c r="S151" s="276">
        <f t="shared" si="48"/>
        <v>0</v>
      </c>
      <c r="T151" s="4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tr">
        <f t="shared" si="28"/>
        <v>Véhicules usagés[...]</v>
      </c>
      <c r="B152" s="41" t="s">
        <v>152</v>
      </c>
      <c r="C152" s="253" t="s">
        <v>59</v>
      </c>
      <c r="D152" s="297"/>
      <c r="E152" s="41"/>
      <c r="F152" s="254" cm="1">
        <f t="array" ref="F152">+SUMPRODUCT(('Budget original'!$A$8:$A$501=$A152)*('Budget original'!$C$3:$AO$3=F$2),'Budget original'!$C$8:$AO$501)</f>
        <v>0</v>
      </c>
      <c r="G152" s="298"/>
      <c r="H152" s="41"/>
      <c r="I152" s="254"/>
      <c r="J152" s="253"/>
      <c r="K152" s="41"/>
      <c r="L152" s="256">
        <f>SUMIFS(BV_Data_An_Cour!$P:$P,BV_Data_An_Cour!$U:$U,$B152,BV_Data_An_Cour!$V:$V,$C152,BV_Data_An_Cour!$W:$W,$L$2)</f>
        <v>0</v>
      </c>
      <c r="M152" s="253"/>
      <c r="N152" s="276">
        <f t="shared" si="44"/>
        <v>0</v>
      </c>
      <c r="O152" s="253"/>
      <c r="P152" s="41"/>
      <c r="Q152" s="256" cm="1">
        <f t="array" ref="Q152">+SUMPRODUCT(('Réel 2024'!$A$8:$A$501=$A152)*('Réel 2024'!$C$3:$AO$3=Q$2),'Réel 2024'!$C$8:$AO$501)</f>
        <v>0</v>
      </c>
      <c r="R152" s="253"/>
      <c r="S152" s="276">
        <f t="shared" si="48"/>
        <v>0</v>
      </c>
      <c r="T152" s="291"/>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customHeight="1">
      <c r="A153" s="5" t="str">
        <f t="shared" si="28"/>
        <v>Véhicules usagésTOTAL SEMI-FIXES</v>
      </c>
      <c r="B153" s="41" t="s">
        <v>152</v>
      </c>
      <c r="C153" s="304" t="s">
        <v>143</v>
      </c>
      <c r="D153" s="305" t="s">
        <v>119</v>
      </c>
      <c r="E153" s="306">
        <f>F153/F$108</f>
        <v>7.993302414976787E-2</v>
      </c>
      <c r="F153" s="307">
        <f>+SUM(F136:F152)</f>
        <v>42987.980387745163</v>
      </c>
      <c r="G153" s="308"/>
      <c r="H153" s="306"/>
      <c r="I153" s="307"/>
      <c r="J153" s="308" t="s">
        <v>119</v>
      </c>
      <c r="K153" s="306">
        <f>L153/L$108</f>
        <v>0.13085795283322388</v>
      </c>
      <c r="L153" s="307">
        <f>+SUM(L136:L152)</f>
        <v>63945.500000000007</v>
      </c>
      <c r="M153" s="311"/>
      <c r="N153" s="307">
        <f t="shared" si="44"/>
        <v>20957.519612254844</v>
      </c>
      <c r="O153" s="308" t="s">
        <v>119</v>
      </c>
      <c r="P153" s="306">
        <f>Q153/Q$108</f>
        <v>0.16556879633067348</v>
      </c>
      <c r="Q153" s="307">
        <f>+SUM(Q136:Q152)</f>
        <v>36443.01</v>
      </c>
      <c r="R153" s="311"/>
      <c r="S153" s="307">
        <f t="shared" si="48"/>
        <v>27502.490000000005</v>
      </c>
      <c r="T153" s="319"/>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8"/>
        <v>Véhicules usagés</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8"/>
        <v>Véhicules usagésTOTAL DES DÉPENSES</v>
      </c>
      <c r="B155" s="41" t="s">
        <v>152</v>
      </c>
      <c r="C155" s="304" t="s">
        <v>144</v>
      </c>
      <c r="D155" s="305" t="s">
        <v>119</v>
      </c>
      <c r="E155" s="306">
        <f>F155/F$108</f>
        <v>1.0625899007995214</v>
      </c>
      <c r="F155" s="307">
        <f>F122+F135+F153</f>
        <v>571460.8486499826</v>
      </c>
      <c r="G155" s="308"/>
      <c r="H155" s="306"/>
      <c r="I155" s="307"/>
      <c r="J155" s="308" t="s">
        <v>119</v>
      </c>
      <c r="K155" s="306">
        <f>L155/L$108</f>
        <v>1.0022315971814217</v>
      </c>
      <c r="L155" s="307">
        <f>L122+L135+L153</f>
        <v>489753.95999999996</v>
      </c>
      <c r="M155" s="311"/>
      <c r="N155" s="320">
        <f t="shared" ref="N155:N162" si="49">L155-F155</f>
        <v>-81706.888649982633</v>
      </c>
      <c r="O155" s="308" t="s">
        <v>119</v>
      </c>
      <c r="P155" s="306">
        <f>Q155/Q$108</f>
        <v>2.0759984782013352</v>
      </c>
      <c r="Q155" s="307">
        <f>Q122+Q135+Q153</f>
        <v>456943.79000000004</v>
      </c>
      <c r="R155" s="311"/>
      <c r="S155" s="320">
        <f t="shared" ref="S155:S162" si="50">L155-Q155</f>
        <v>32810.169999999925</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8"/>
        <v>Véhicules usagésProgramme used 1</v>
      </c>
      <c r="B156" s="605" t="s">
        <v>152</v>
      </c>
      <c r="C156" s="253" t="s">
        <v>158</v>
      </c>
      <c r="D156" s="356"/>
      <c r="E156" s="357"/>
      <c r="F156" s="254" cm="1">
        <f t="array" ref="F156">+SUMPRODUCT(('Budget original'!$A$8:$A$501=$A156)*('Budget original'!$C$3:$AO$3=F$2),'Budget original'!$C$8:$AO$501)</f>
        <v>0</v>
      </c>
      <c r="G156" s="358"/>
      <c r="H156" s="357"/>
      <c r="I156" s="254"/>
      <c r="J156" s="358"/>
      <c r="K156" s="357"/>
      <c r="L156" s="256">
        <v>0</v>
      </c>
      <c r="M156" s="253"/>
      <c r="N156" s="276">
        <f t="shared" si="49"/>
        <v>0</v>
      </c>
      <c r="O156" s="358"/>
      <c r="P156" s="357"/>
      <c r="Q156" s="256" cm="1">
        <f t="array" ref="Q156">+SUMPRODUCT(('Réel 2024'!$A$8:$A$501=$A156)*('Réel 2024'!$C$3:$AO$3=Q$2),'Réel 2024'!$C$8:$AO$501)</f>
        <v>0</v>
      </c>
      <c r="R156" s="253"/>
      <c r="S156" s="276">
        <f t="shared" si="5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8"/>
        <v>Véhicules usagésProgramme used 2</v>
      </c>
      <c r="B157" s="41" t="s">
        <v>152</v>
      </c>
      <c r="C157" s="253" t="s">
        <v>159</v>
      </c>
      <c r="D157" s="356"/>
      <c r="E157" s="357"/>
      <c r="F157" s="254" cm="1">
        <f t="array" ref="F157">+SUMPRODUCT(('Budget original'!$A$8:$A$501=$A157)*('Budget original'!$C$3:$AO$3=F$2),'Budget original'!$C$8:$AO$501)</f>
        <v>0</v>
      </c>
      <c r="G157" s="358"/>
      <c r="H157" s="357"/>
      <c r="I157" s="254"/>
      <c r="J157" s="358"/>
      <c r="K157" s="357"/>
      <c r="L157" s="256">
        <f>-SUMIFS(BV_Data_An_Cour!$P:$P,BV_Data_An_Cour!$U:$U,$B157,BV_Data_An_Cour!$V:$V,$C157,BV_Data_An_Cour!$W:$W,$L$2)</f>
        <v>0</v>
      </c>
      <c r="M157" s="253"/>
      <c r="N157" s="276">
        <f t="shared" si="49"/>
        <v>0</v>
      </c>
      <c r="O157" s="358"/>
      <c r="P157" s="357"/>
      <c r="Q157" s="256" cm="1">
        <f t="array" ref="Q157">+SUMPRODUCT(('Réel 2024'!$A$8:$A$501=$A157)*('Réel 2024'!$C$3:$AO$3=Q$2),'Réel 2024'!$C$8:$AO$501)</f>
        <v>0</v>
      </c>
      <c r="R157" s="253"/>
      <c r="S157" s="276">
        <f t="shared" si="5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tr">
        <f t="shared" si="28"/>
        <v>Véhicules usagésProgramme used 3</v>
      </c>
      <c r="B158" s="41" t="s">
        <v>152</v>
      </c>
      <c r="C158" s="253" t="s">
        <v>160</v>
      </c>
      <c r="D158" s="297"/>
      <c r="E158" s="41"/>
      <c r="F158" s="254" cm="1">
        <f t="array" ref="F158">+SUMPRODUCT(('Budget original'!$A$8:$A$501=$A158)*('Budget original'!$C$3:$AO$3=F$2),'Budget original'!$C$8:$AO$501)</f>
        <v>0</v>
      </c>
      <c r="G158" s="298"/>
      <c r="H158" s="41"/>
      <c r="I158" s="254"/>
      <c r="J158" s="253"/>
      <c r="K158" s="41"/>
      <c r="L158" s="256">
        <f>-SUMIFS(BV_Data_An_Cour!$P:$P,BV_Data_An_Cour!$U:$U,$B158,BV_Data_An_Cour!$V:$V,$C158,BV_Data_An_Cour!$W:$W,$L$2)</f>
        <v>0</v>
      </c>
      <c r="M158" s="253"/>
      <c r="N158" s="276">
        <f t="shared" si="49"/>
        <v>0</v>
      </c>
      <c r="O158" s="253"/>
      <c r="P158" s="41"/>
      <c r="Q158" s="256" cm="1">
        <f t="array" ref="Q158">+SUMPRODUCT(('Réel 2024'!$A$8:$A$501=$A158)*('Réel 2024'!$C$3:$AO$3=Q$2),'Réel 2024'!$C$8:$AO$501)</f>
        <v>0</v>
      </c>
      <c r="R158" s="253"/>
      <c r="S158" s="276">
        <f t="shared" si="5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153" t="str">
        <f t="shared" si="28"/>
        <v>Véhicules usagésFrais administration</v>
      </c>
      <c r="B159" s="321" t="s">
        <v>152</v>
      </c>
      <c r="C159" s="253" t="s">
        <v>149</v>
      </c>
      <c r="D159" s="297"/>
      <c r="E159" s="41"/>
      <c r="F159" s="254" cm="1">
        <f t="array" ref="F159">+SUMPRODUCT(('Budget original'!$A$8:$A$501=$A159)*('Budget original'!$C$3:$AO$3=F$2),'Budget original'!$C$8:$AO$501)</f>
        <v>53825.1</v>
      </c>
      <c r="G159" s="298"/>
      <c r="H159" s="41"/>
      <c r="I159" s="254"/>
      <c r="J159" s="253"/>
      <c r="K159" s="41"/>
      <c r="L159" s="256">
        <f>-SUMIFS(BV_Data_An_Cour!$P:$P,BV_Data_An_Cour!$U:$U,$B159,BV_Data_An_Cour!$V:$V,$C159,BV_Data_An_Cour!$W:$W,L$2)</f>
        <v>62037</v>
      </c>
      <c r="M159" s="253"/>
      <c r="N159" s="276">
        <f t="shared" si="49"/>
        <v>8211.9000000000015</v>
      </c>
      <c r="O159" s="253"/>
      <c r="P159" s="41"/>
      <c r="Q159" s="256" cm="1">
        <f t="array" ref="Q159">+SUMPRODUCT(('Réel 2024'!$A$8:$A$501=$A159)*('Réel 2024'!$C$3:$AO$3=Q$2),'Réel 2024'!$C$8:$AO$501)</f>
        <v>35050</v>
      </c>
      <c r="R159" s="253"/>
      <c r="S159" s="276">
        <f t="shared" si="50"/>
        <v>26987</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tr">
        <f t="shared" si="28"/>
        <v>Véhicules usagés[...]</v>
      </c>
      <c r="B160" s="41" t="s">
        <v>152</v>
      </c>
      <c r="C160" s="253" t="s">
        <v>59</v>
      </c>
      <c r="D160" s="297"/>
      <c r="E160" s="41"/>
      <c r="F160" s="254" cm="1">
        <f t="array" ref="F160">+SUMPRODUCT(('Budget original'!$A$8:$A$501=$A160)*('Budget original'!$C$3:$AO$3=F$2),'Budget original'!$C$8:$AO$501)</f>
        <v>0</v>
      </c>
      <c r="G160" s="298"/>
      <c r="H160" s="41"/>
      <c r="I160" s="254"/>
      <c r="J160" s="253"/>
      <c r="K160" s="41"/>
      <c r="L160" s="256">
        <f>-SUMIFS(BV_Data_An_Cour!$P:$P,BV_Data_An_Cour!$U:$U,$B160,BV_Data_An_Cour!$V:$V,$C160,BV_Data_An_Cour!$W:$W,$L$2)</f>
        <v>0</v>
      </c>
      <c r="M160" s="253"/>
      <c r="N160" s="276">
        <f t="shared" si="49"/>
        <v>0</v>
      </c>
      <c r="O160" s="253"/>
      <c r="P160" s="41"/>
      <c r="Q160" s="256" cm="1">
        <f t="array" ref="Q160">+SUMPRODUCT(('Réel 2024'!$A$8:$A$501=$A160)*('Réel 2024'!$C$3:$AO$3=Q$2),'Réel 2024'!$C$8:$AO$501)</f>
        <v>0</v>
      </c>
      <c r="R160" s="253"/>
      <c r="S160" s="276">
        <f t="shared" si="5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8"/>
        <v>Véhicules usagés[...]</v>
      </c>
      <c r="B161" s="41" t="s">
        <v>152</v>
      </c>
      <c r="C161" s="253" t="s">
        <v>59</v>
      </c>
      <c r="D161" s="297"/>
      <c r="E161" s="41"/>
      <c r="F161" s="254" cm="1">
        <f t="array" ref="F161">+SUMPRODUCT(('Budget original'!$A$8:$A$501=$A161)*('Budget original'!$C$3:$AO$3=F$2),'Budget original'!$C$8:$AO$501)</f>
        <v>0</v>
      </c>
      <c r="G161" s="298"/>
      <c r="H161" s="41"/>
      <c r="I161" s="254"/>
      <c r="J161" s="253"/>
      <c r="K161" s="41"/>
      <c r="L161" s="256">
        <f>-SUMIFS(BV_Data_An_Cour!$P:$P,BV_Data_An_Cour!$U:$U,$B161,BV_Data_An_Cour!$V:$V,$C161,BV_Data_An_Cour!$W:$W,$L$2)</f>
        <v>0</v>
      </c>
      <c r="M161" s="253"/>
      <c r="N161" s="276">
        <f t="shared" si="49"/>
        <v>0</v>
      </c>
      <c r="O161" s="253"/>
      <c r="P161" s="41"/>
      <c r="Q161" s="256" cm="1">
        <f t="array" ref="Q161">+SUMPRODUCT(('Réel 2024'!$A$8:$A$501=$A161)*('Réel 2024'!$C$3:$AO$3=Q$2),'Réel 2024'!$C$8:$AO$501)</f>
        <v>0</v>
      </c>
      <c r="R161" s="253"/>
      <c r="S161" s="276">
        <f t="shared" si="5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tr">
        <f t="shared" si="28"/>
        <v>Véhicules usagés[...]</v>
      </c>
      <c r="B162" s="41" t="s">
        <v>152</v>
      </c>
      <c r="C162" s="246" t="s">
        <v>59</v>
      </c>
      <c r="D162" s="299"/>
      <c r="E162" s="318"/>
      <c r="F162" s="254" cm="1">
        <f t="array" ref="F162">+SUMPRODUCT(('Budget original'!$A$8:$A$501=$A162)*('Budget original'!$C$3:$AO$3=F$2),'Budget original'!$C$8:$AO$501)</f>
        <v>0</v>
      </c>
      <c r="G162" s="298"/>
      <c r="H162" s="41"/>
      <c r="I162" s="254"/>
      <c r="J162" s="253"/>
      <c r="K162" s="41"/>
      <c r="L162" s="256">
        <f>-SUMIFS(BV_Data_An_Cour!$P:$P,BV_Data_An_Cour!$U:$U,$B162,BV_Data_An_Cour!$V:$V,$C162,BV_Data_An_Cour!$W:$W,$L$2)</f>
        <v>0</v>
      </c>
      <c r="M162" s="253"/>
      <c r="N162" s="276">
        <f t="shared" si="49"/>
        <v>0</v>
      </c>
      <c r="O162" s="253"/>
      <c r="P162" s="41"/>
      <c r="Q162" s="256" cm="1">
        <f t="array" ref="Q162">+SUMPRODUCT(('Réel 2024'!$A$8:$A$501=$A162)*('Réel 2024'!$C$3:$AO$3=Q$2),'Réel 2024'!$C$8:$AO$501)</f>
        <v>0</v>
      </c>
      <c r="R162" s="253"/>
      <c r="S162" s="276">
        <f t="shared" si="5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53825.1</v>
      </c>
      <c r="G163" s="308"/>
      <c r="H163" s="306"/>
      <c r="I163" s="307"/>
      <c r="J163" s="308"/>
      <c r="K163" s="306"/>
      <c r="L163" s="307">
        <f>+SUM(L156:L162)</f>
        <v>62037</v>
      </c>
      <c r="M163" s="311"/>
      <c r="N163" s="307">
        <f>SUM(N156:N159)</f>
        <v>8211.9000000000015</v>
      </c>
      <c r="O163" s="308"/>
      <c r="P163" s="306"/>
      <c r="Q163" s="307">
        <f>+SUM(Q156:Q162)</f>
        <v>35050</v>
      </c>
      <c r="R163" s="311"/>
      <c r="S163" s="307">
        <f>+SUM(S156:S162)</f>
        <v>26987</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20164.251350017403</v>
      </c>
      <c r="G165" s="361"/>
      <c r="H165" s="333"/>
      <c r="I165" s="335"/>
      <c r="J165" s="332"/>
      <c r="K165" s="334"/>
      <c r="L165" s="335">
        <f>L108-L155+L163</f>
        <v>60946.500000000233</v>
      </c>
      <c r="M165" s="332"/>
      <c r="N165" s="335">
        <f>L165-F165</f>
        <v>40782.24864998283</v>
      </c>
      <c r="O165" s="332"/>
      <c r="P165" s="334"/>
      <c r="Q165" s="335">
        <f>Q108-Q155+Q163</f>
        <v>-201785.83000000019</v>
      </c>
      <c r="R165" s="332"/>
      <c r="S165" s="335">
        <f>L165-Q165</f>
        <v>262732.33000000042</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38"/>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6" t="str">
        <f>C1</f>
        <v>Volks</v>
      </c>
      <c r="D168" s="232"/>
      <c r="E168" s="232"/>
      <c r="F168" s="232"/>
      <c r="G168" s="232"/>
      <c r="H168" s="36"/>
      <c r="I168" s="36"/>
      <c r="J168" s="36"/>
      <c r="K168" s="9" t="s">
        <v>161</v>
      </c>
      <c r="L168" s="232"/>
      <c r="M168" s="232"/>
      <c r="N168" s="36"/>
      <c r="O168" s="36"/>
      <c r="P168" s="232"/>
      <c r="Q168" s="36"/>
      <c r="R168" s="232"/>
      <c r="S168" s="10" t="str">
        <f>$S$1</f>
        <v>Réalisé AAJ, Mai 2025</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18" t="s">
        <v>343</v>
      </c>
      <c r="E170" s="1219"/>
      <c r="F170" s="1220"/>
      <c r="G170" s="1223"/>
      <c r="H170" s="1219"/>
      <c r="I170" s="1220"/>
      <c r="J170" s="1223" t="s">
        <v>344</v>
      </c>
      <c r="K170" s="1219"/>
      <c r="L170" s="1220"/>
      <c r="M170" s="1223" t="s">
        <v>3310</v>
      </c>
      <c r="N170" s="1220"/>
      <c r="O170" s="1218" t="s">
        <v>345</v>
      </c>
      <c r="P170" s="1219"/>
      <c r="Q170" s="1220"/>
      <c r="R170" s="1221" t="s">
        <v>3312</v>
      </c>
      <c r="S170" s="1222"/>
      <c r="T170" s="356"/>
      <c r="U170" s="41"/>
      <c r="V170" s="38"/>
      <c r="W170" s="38"/>
      <c r="X170" s="38"/>
      <c r="Y170" s="38"/>
      <c r="Z170" s="38"/>
      <c r="AA170" s="38"/>
      <c r="AB170" s="38"/>
      <c r="AC170" s="38"/>
      <c r="AD170" s="38"/>
      <c r="AE170" s="38"/>
      <c r="AF170" s="38"/>
      <c r="AG170" s="38"/>
      <c r="AH170" s="38"/>
      <c r="AI170" s="38"/>
      <c r="AJ170" s="38"/>
      <c r="AK170" s="38"/>
      <c r="AL170" s="38"/>
      <c r="AM170" s="38"/>
      <c r="AN170" s="38"/>
    </row>
    <row r="171" spans="1:40" ht="15.75" customHeight="1">
      <c r="A171" s="5" t="str">
        <f t="shared" ref="A171:A228" si="51">+B171&amp;C171</f>
        <v>Service</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U171" s="41"/>
      <c r="V171" s="41"/>
      <c r="W171" s="41"/>
      <c r="X171" s="41"/>
      <c r="Y171" s="41"/>
      <c r="Z171" s="41"/>
      <c r="AA171" s="41"/>
      <c r="AB171" s="41"/>
      <c r="AC171" s="41"/>
      <c r="AD171" s="41"/>
      <c r="AE171" s="41"/>
      <c r="AF171" s="41"/>
      <c r="AG171" s="41"/>
      <c r="AH171" s="41"/>
      <c r="AI171" s="41"/>
      <c r="AJ171" s="41"/>
      <c r="AK171" s="41"/>
      <c r="AL171" s="41"/>
      <c r="AM171" s="41"/>
      <c r="AN171" s="41"/>
    </row>
    <row r="172" spans="1:40" ht="15.75" customHeight="1">
      <c r="A172" s="5" t="str">
        <f t="shared" si="51"/>
        <v>ServiceM/O Client</v>
      </c>
      <c r="B172" s="41" t="s">
        <v>161</v>
      </c>
      <c r="C172" s="253" t="s">
        <v>164</v>
      </c>
      <c r="D172" s="359" cm="1">
        <f t="array" ref="D172">+SUMPRODUCT(('Budget original'!$A$8:$A$501=$A172)*('Budget original'!$C$3:$AO$3=D$2),'Budget original'!$C$8:$AO$501)</f>
        <v>2278.48</v>
      </c>
      <c r="E172" s="291" cm="1">
        <f t="array" ref="E172">+SUMPRODUCT(('Budget original'!$A$8:$A$501=$A172)*('Budget original'!$C$3:$AO$3=E$2),'Budget original'!$C$8:$AO$501)</f>
        <v>774683.2</v>
      </c>
      <c r="F172" s="291" cm="1">
        <f t="array" ref="F172">+SUMPRODUCT(('Budget original'!$A$8:$A$501=$A172)*('Budget original'!$C$3:$AO$3=F$2),'Budget original'!$C$8:$AO$501)</f>
        <v>604252.89599999995</v>
      </c>
      <c r="G172" s="322"/>
      <c r="H172" s="291"/>
      <c r="I172" s="291"/>
      <c r="J172" s="277">
        <f>-SUMIFS(BV_Data_An_Cour!$P:$P,BV_Data_An_Cour!$U:$U,$B172,BV_Data_An_Cour!$V:$V,$C172,BV_Data_An_Cour!$W:$W,J$2)</f>
        <v>2289</v>
      </c>
      <c r="K172" s="254">
        <f>-SUMIFS(BV_Data_An_Cour!$P:$P,BV_Data_An_Cour!$X:$X,"Oui",BV_Data_An_Cour!$U:$U,$B172,BV_Data_An_Cour!$V:$V,$C172)</f>
        <v>737571.8</v>
      </c>
      <c r="L172" s="256">
        <f>-SUMIFS(BV_Data_An_Cour!$P:$P,BV_Data_An_Cour!$U:$U,$B172,BV_Data_An_Cour!$V:$V,$C172,BV_Data_An_Cour!$W:$W,$L$2)</f>
        <v>578456.94000000006</v>
      </c>
      <c r="M172" s="292">
        <f>(K172-E172)/E172</f>
        <v>-4.7905259853317984E-2</v>
      </c>
      <c r="N172" s="276">
        <f>L172-F172</f>
        <v>-25795.955999999889</v>
      </c>
      <c r="O172" s="277" cm="1">
        <f t="array" ref="O172">+SUMPRODUCT(('Réel 2024'!$A$8:$A$501=$A172)*('Réel 2024'!$C$3:$AO$3=O$2),'Réel 2024'!$C$8:$AO$501)</f>
        <v>2300</v>
      </c>
      <c r="P172" s="254" cm="1">
        <f t="array" ref="P172">+SUMPRODUCT(('Réel 2024'!$A$8:$A$501=$A172)*('Réel 2024'!$C$3:$AO$3=P$2),'Réel 2024'!$C$8:$AO$501)</f>
        <v>710063.08999999985</v>
      </c>
      <c r="Q172" s="256" cm="1">
        <f t="array" ref="Q172">+SUMPRODUCT(('Réel 2024'!$A$8:$A$501=$A172)*('Réel 2024'!$C$3:$AO$3=Q$2),'Réel 2024'!$C$8:$AO$501)</f>
        <v>553981.07999999984</v>
      </c>
      <c r="R172" s="292">
        <f>IF(O172=0,0,J172/O172)</f>
        <v>0.99521739130434783</v>
      </c>
      <c r="S172" s="276">
        <f>L172-Q172</f>
        <v>24475.860000000219</v>
      </c>
      <c r="T172" s="291"/>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1"/>
        <v>Service% profit / ventes</v>
      </c>
      <c r="B173" s="41" t="s">
        <v>161</v>
      </c>
      <c r="C173" s="253" t="s">
        <v>165</v>
      </c>
      <c r="D173" s="359"/>
      <c r="E173" s="349"/>
      <c r="F173" s="362">
        <f>F172/E172</f>
        <v>0.78</v>
      </c>
      <c r="G173" s="253"/>
      <c r="H173" s="349"/>
      <c r="I173" s="362"/>
      <c r="J173" s="277"/>
      <c r="K173" s="41"/>
      <c r="L173" s="362">
        <f>IF(L172=0,0,L172/K172)</f>
        <v>0.7842720396848144</v>
      </c>
      <c r="M173" s="292"/>
      <c r="N173" s="276"/>
      <c r="O173" s="277"/>
      <c r="P173" s="41"/>
      <c r="Q173" s="362">
        <f>Q172/P172</f>
        <v>0.78018571561014383</v>
      </c>
      <c r="R173" s="277"/>
      <c r="S173" s="276"/>
      <c r="T173" s="291"/>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5.75" customHeight="1">
      <c r="A174" s="5" t="str">
        <f t="shared" si="51"/>
        <v>Service</v>
      </c>
      <c r="B174" s="41" t="s">
        <v>161</v>
      </c>
      <c r="C174" s="246"/>
      <c r="D174" s="1013"/>
      <c r="E174" s="403">
        <f>IFERROR(E172/D172,0)</f>
        <v>340</v>
      </c>
      <c r="F174" s="364"/>
      <c r="G174" s="246"/>
      <c r="H174" s="403"/>
      <c r="I174" s="364"/>
      <c r="J174" s="365"/>
      <c r="K174" s="606">
        <f>IFERROR(K172/J172,0)</f>
        <v>322.22446483180431</v>
      </c>
      <c r="L174" s="364"/>
      <c r="M174" s="295"/>
      <c r="N174" s="296"/>
      <c r="O174" s="365"/>
      <c r="P174" s="606">
        <f>IFERROR(P172/O172,0)</f>
        <v>308.72308260869556</v>
      </c>
      <c r="Q174" s="364"/>
      <c r="R174" s="365"/>
      <c r="S174" s="296"/>
      <c r="T174" s="291"/>
      <c r="U174" s="41"/>
      <c r="V174" s="41"/>
      <c r="W174" s="41"/>
      <c r="X174" s="41"/>
      <c r="Y174" s="41"/>
      <c r="Z174" s="41"/>
      <c r="AA174" s="41"/>
      <c r="AB174" s="41"/>
      <c r="AC174" s="41"/>
      <c r="AD174" s="41"/>
      <c r="AE174" s="41"/>
      <c r="AF174" s="41"/>
      <c r="AG174" s="41"/>
      <c r="AH174" s="41"/>
      <c r="AI174" s="41"/>
      <c r="AJ174" s="41"/>
      <c r="AK174" s="41"/>
      <c r="AL174" s="41"/>
      <c r="AM174" s="41"/>
      <c r="AN174" s="41"/>
    </row>
    <row r="175" spans="1:40" ht="18" customHeight="1">
      <c r="A175" s="5" t="str">
        <f t="shared" si="51"/>
        <v>ServiceM/O Garantie</v>
      </c>
      <c r="B175" s="41" t="s">
        <v>161</v>
      </c>
      <c r="C175" s="241" t="s">
        <v>166</v>
      </c>
      <c r="D175" s="1014" cm="1">
        <f t="array" ref="D175">+SUMPRODUCT(('Budget original'!$A$8:$A$501=$A175)*('Budget original'!$C$3:$AO$3=D$2),'Budget original'!$C$8:$AO$501)</f>
        <v>454.84000000000003</v>
      </c>
      <c r="E175" s="291" cm="1">
        <f t="array" ref="E175">+SUMPRODUCT(('Budget original'!$A$8:$A$501=$A175)*('Budget original'!$C$3:$AO$3=E$2),'Budget original'!$C$8:$AO$501)</f>
        <v>122806.79999999999</v>
      </c>
      <c r="F175" s="291" cm="1">
        <f t="array" ref="F175">+SUMPRODUCT(('Budget original'!$A$8:$A$501=$A175)*('Budget original'!$C$3:$AO$3=F$2),'Budget original'!$C$8:$AO$501)</f>
        <v>78596.351999999999</v>
      </c>
      <c r="G175" s="367"/>
      <c r="H175" s="291"/>
      <c r="I175" s="291"/>
      <c r="J175" s="367">
        <f>-SUMIFS(BV_Data_An_Cour!$P:$P,BV_Data_An_Cour!$U:$U,$B175,BV_Data_An_Cour!$V:$V,$C175,BV_Data_An_Cour!$W:$W,J$2)</f>
        <v>1146</v>
      </c>
      <c r="K175" s="271">
        <f>-SUMIFS(BV_Data_An_Cour!$P:$P,BV_Data_An_Cour!$X:$X,"Oui",BV_Data_An_Cour!$U:$U,$B175,BV_Data_An_Cour!$V:$V,$C175)</f>
        <v>311748.96000000002</v>
      </c>
      <c r="L175" s="256">
        <f>-SUMIFS(BV_Data_An_Cour!$P:$P,BV_Data_An_Cour!$U:$U,$B175,BV_Data_An_Cour!$V:$V,$C175,BV_Data_An_Cour!$W:$W,$L$2)</f>
        <v>201558.95</v>
      </c>
      <c r="M175" s="292">
        <f>(K175-E175)/E175</f>
        <v>1.5385317425419442</v>
      </c>
      <c r="N175" s="317">
        <f>L175-F175</f>
        <v>122962.59800000001</v>
      </c>
      <c r="O175" s="367" cm="1">
        <f t="array" ref="O175">+SUMPRODUCT(('Réel 2024'!$A$8:$A$501=$A175)*('Réel 2024'!$C$3:$AO$3=O$2),'Réel 2024'!$C$8:$AO$501)</f>
        <v>507</v>
      </c>
      <c r="P175" s="271" cm="1">
        <f t="array" ref="P175">+SUMPRODUCT(('Réel 2024'!$A$8:$A$501=$A175)*('Réel 2024'!$C$3:$AO$3=P$2),'Réel 2024'!$C$8:$AO$501)</f>
        <v>118477.54999999999</v>
      </c>
      <c r="Q175" s="256" cm="1">
        <f t="array" ref="Q175">+SUMPRODUCT(('Réel 2024'!$A$8:$A$501=$A175)*('Réel 2024'!$C$3:$AO$3=Q$2),'Réel 2024'!$C$8:$AO$501)</f>
        <v>72888.699999999808</v>
      </c>
      <c r="R175" s="292">
        <f>IF(O175=0,0,J175/O175)</f>
        <v>2.2603550295857988</v>
      </c>
      <c r="S175" s="276">
        <f>L175-Q175</f>
        <v>128670.2500000002</v>
      </c>
      <c r="T175" s="291"/>
      <c r="U175" s="41" t="s">
        <v>462</v>
      </c>
      <c r="V175" s="254">
        <f>+K175+J297</f>
        <v>757582.87</v>
      </c>
      <c r="W175" s="41"/>
      <c r="X175" s="41"/>
      <c r="Y175" s="41"/>
      <c r="Z175" s="41"/>
      <c r="AA175" s="41"/>
      <c r="AB175" s="41"/>
      <c r="AC175" s="41"/>
      <c r="AD175" s="41"/>
      <c r="AE175" s="41"/>
      <c r="AF175" s="41"/>
      <c r="AG175" s="41"/>
      <c r="AH175" s="41"/>
      <c r="AI175" s="41"/>
      <c r="AJ175" s="41"/>
      <c r="AK175" s="41"/>
      <c r="AL175" s="41"/>
      <c r="AM175" s="41"/>
      <c r="AN175" s="41"/>
    </row>
    <row r="176" spans="1:40" ht="15.75" customHeight="1">
      <c r="A176" s="5" t="str">
        <f t="shared" si="51"/>
        <v>Service% profit / ventes</v>
      </c>
      <c r="B176" s="41" t="s">
        <v>161</v>
      </c>
      <c r="C176" s="253" t="s">
        <v>165</v>
      </c>
      <c r="D176" s="359"/>
      <c r="E176" s="41"/>
      <c r="F176" s="362">
        <f>F175/E175</f>
        <v>0.64</v>
      </c>
      <c r="G176" s="253"/>
      <c r="H176" s="41"/>
      <c r="I176" s="362"/>
      <c r="J176" s="253"/>
      <c r="K176" s="41"/>
      <c r="L176" s="362">
        <f>IF(L175=0,0,L175/K175)</f>
        <v>0.64654249367824679</v>
      </c>
      <c r="M176" s="264"/>
      <c r="N176" s="265"/>
      <c r="O176" s="253"/>
      <c r="P176" s="41"/>
      <c r="Q176" s="362">
        <f>Q175/P175</f>
        <v>0.61521106741319187</v>
      </c>
      <c r="R176" s="264"/>
      <c r="S176" s="265"/>
      <c r="T176" s="41"/>
      <c r="U176" s="41" t="s">
        <v>463</v>
      </c>
      <c r="V176" s="254">
        <f>+L175+L297</f>
        <v>305694.28999999998</v>
      </c>
      <c r="W176" s="368">
        <f>+V176/V175</f>
        <v>0.40351267446160705</v>
      </c>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1"/>
        <v>Service</v>
      </c>
      <c r="B177" s="41" t="s">
        <v>161</v>
      </c>
      <c r="C177" s="246"/>
      <c r="D177" s="1013"/>
      <c r="E177" s="318"/>
      <c r="F177" s="364"/>
      <c r="G177" s="246"/>
      <c r="H177" s="318"/>
      <c r="I177" s="364"/>
      <c r="J177" s="246"/>
      <c r="K177" s="607"/>
      <c r="L177" s="364"/>
      <c r="M177" s="369"/>
      <c r="N177" s="370"/>
      <c r="O177" s="246"/>
      <c r="P177" s="607"/>
      <c r="Q177" s="364"/>
      <c r="R177" s="369"/>
      <c r="S177" s="370"/>
      <c r="T177" s="41"/>
      <c r="U177" s="41"/>
      <c r="V177" s="41"/>
      <c r="W177" s="41"/>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1"/>
        <v>ServiceM/O Interne</v>
      </c>
      <c r="B178" s="41" t="s">
        <v>161</v>
      </c>
      <c r="C178" s="253" t="s">
        <v>167</v>
      </c>
      <c r="D178" s="359" cm="1">
        <f t="array" ref="D178">+SUMPRODUCT(('Budget original'!$A$8:$A$501=$A178)*('Budget original'!$C$3:$AO$3=D$2),'Budget original'!$C$8:$AO$501)</f>
        <v>1088.28</v>
      </c>
      <c r="E178" s="291" cm="1">
        <f t="array" ref="E178">+SUMPRODUCT(('Budget original'!$A$8:$A$501=$A178)*('Budget original'!$C$3:$AO$3=E$2),'Budget original'!$C$8:$AO$501)</f>
        <v>334123.72560000001</v>
      </c>
      <c r="F178" s="291" cm="1">
        <f t="array" ref="F178">+SUMPRODUCT(('Budget original'!$A$8:$A$501=$A178)*('Budget original'!$C$3:$AO$3=F$2),'Budget original'!$C$8:$AO$501)</f>
        <v>247251.55694399995</v>
      </c>
      <c r="G178" s="253"/>
      <c r="H178" s="291"/>
      <c r="I178" s="291"/>
      <c r="J178" s="277">
        <f>-SUMIFS(BV_Data_An_Cour!$P:$P,BV_Data_An_Cour!$U:$U,$B178,BV_Data_An_Cour!$V:$V,$C178,BV_Data_An_Cour!$W:$W,J$2)</f>
        <v>1095</v>
      </c>
      <c r="K178" s="271">
        <f>-SUMIFS(BV_Data_An_Cour!$P:$P,BV_Data_An_Cour!$X:$X,"Oui",BV_Data_An_Cour!$U:$U,$B178,BV_Data_An_Cour!$V:$V,$C178)</f>
        <v>347592.44</v>
      </c>
      <c r="L178" s="256">
        <f>-SUMIFS(BV_Data_An_Cour!$P:$P,BV_Data_An_Cour!$U:$U,$B178,BV_Data_An_Cour!$V:$V,$C178,BV_Data_An_Cour!$W:$W,$L$2)</f>
        <v>266311.19</v>
      </c>
      <c r="M178" s="292">
        <f>(K178-E178)/E178</f>
        <v>4.0310559735959067E-2</v>
      </c>
      <c r="N178" s="276">
        <f>L178-F178</f>
        <v>19059.63305600005</v>
      </c>
      <c r="O178" s="277" cm="1">
        <f t="array" ref="O178">+SUMPRODUCT(('Réel 2024'!$A$8:$A$501=$A178)*('Réel 2024'!$C$3:$AO$3=O$2),'Réel 2024'!$C$8:$AO$501)</f>
        <v>1250</v>
      </c>
      <c r="P178" s="271" cm="1">
        <f t="array" ref="P178">+SUMPRODUCT(('Réel 2024'!$A$8:$A$501=$A178)*('Réel 2024'!$C$3:$AO$3=P$2),'Réel 2024'!$C$8:$AO$501)</f>
        <v>377215.4499999999</v>
      </c>
      <c r="Q178" s="256" cm="1">
        <f t="array" ref="Q178">+SUMPRODUCT(('Réel 2024'!$A$8:$A$501=$A178)*('Réel 2024'!$C$3:$AO$3=Q$2),'Réel 2024'!$C$8:$AO$501)</f>
        <v>283104.33999999968</v>
      </c>
      <c r="R178" s="292">
        <f>IF(O178=0,0,J178/O178)</f>
        <v>0.876</v>
      </c>
      <c r="S178" s="276">
        <f>L178-Q178</f>
        <v>-16793.149999999674</v>
      </c>
      <c r="T178" s="291"/>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1"/>
        <v>Service% profit / ventes</v>
      </c>
      <c r="B179" s="41" t="s">
        <v>161</v>
      </c>
      <c r="C179" s="253" t="s">
        <v>165</v>
      </c>
      <c r="D179" s="359"/>
      <c r="E179" s="349"/>
      <c r="F179" s="362">
        <f>F178/E178</f>
        <v>0.73999999999999988</v>
      </c>
      <c r="G179" s="253"/>
      <c r="H179" s="349"/>
      <c r="I179" s="362"/>
      <c r="J179" s="277"/>
      <c r="K179" s="349"/>
      <c r="L179" s="362">
        <f>IF(L178=0,0,L178/K178)</f>
        <v>0.76615932728571423</v>
      </c>
      <c r="M179" s="292"/>
      <c r="N179" s="276">
        <f>L179-F179</f>
        <v>2.6159327285714351E-2</v>
      </c>
      <c r="O179" s="277"/>
      <c r="P179" s="349"/>
      <c r="Q179" s="362">
        <f>Q178/P178</f>
        <v>0.75051098781876446</v>
      </c>
      <c r="R179" s="277">
        <f>O179-K179</f>
        <v>0</v>
      </c>
      <c r="S179" s="276"/>
      <c r="T179" s="291"/>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1"/>
        <v>Service</v>
      </c>
      <c r="B180" s="41" t="s">
        <v>161</v>
      </c>
      <c r="C180" s="253"/>
      <c r="D180" s="359"/>
      <c r="E180" s="403"/>
      <c r="F180" s="364"/>
      <c r="G180" s="253"/>
      <c r="H180" s="403"/>
      <c r="I180" s="364"/>
      <c r="J180" s="277"/>
      <c r="K180" s="608"/>
      <c r="L180" s="362"/>
      <c r="M180" s="292"/>
      <c r="N180" s="276"/>
      <c r="O180" s="277"/>
      <c r="P180" s="608"/>
      <c r="Q180" s="362"/>
      <c r="R180" s="365"/>
      <c r="S180" s="276"/>
      <c r="T180" s="291"/>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1"/>
        <v>ServiceM/O Esthétique</v>
      </c>
      <c r="B181" s="41" t="s">
        <v>161</v>
      </c>
      <c r="C181" s="241" t="s">
        <v>168</v>
      </c>
      <c r="D181" s="1014" cm="1">
        <f t="array" ref="D181">+SUMPRODUCT(('Budget original'!$A$8:$A$501=$A181)*('Budget original'!$C$3:$AO$3=D$2),'Budget original'!$C$8:$AO$501)</f>
        <v>334.72400000000005</v>
      </c>
      <c r="E181" s="291" cm="1">
        <f t="array" ref="E181">+SUMPRODUCT(('Budget original'!$A$8:$A$501=$A181)*('Budget original'!$C$3:$AO$3=E$2),'Budget original'!$C$8:$AO$501)</f>
        <v>90375.48000000001</v>
      </c>
      <c r="F181" s="291" cm="1">
        <f t="array" ref="F181">+SUMPRODUCT(('Budget original'!$A$8:$A$501=$A181)*('Budget original'!$C$3:$AO$3=F$2),'Budget original'!$C$8:$AO$501)</f>
        <v>67781.61</v>
      </c>
      <c r="G181" s="241"/>
      <c r="H181" s="291"/>
      <c r="I181" s="291"/>
      <c r="J181" s="367">
        <f>-SUMIFS(BV_Data_An_Cour!$P:$P,BV_Data_An_Cour!$U:$U,$B181,BV_Data_An_Cour!$V:$V,$C181,BV_Data_An_Cour!$W:$W,J$2)</f>
        <v>0</v>
      </c>
      <c r="K181" s="271">
        <f>-SUMIFS(BV_Data_An_Cour!$P:$P,BV_Data_An_Cour!$X:$X,"Oui",BV_Data_An_Cour!$U:$U,$B181,BV_Data_An_Cour!$V:$V,$C181)</f>
        <v>64860.42</v>
      </c>
      <c r="L181" s="272">
        <f>-SUMIFS(BV_Data_An_Cour!$P:$P,BV_Data_An_Cour!$U:$U,$B181,BV_Data_An_Cour!$V:$V,$C181,BV_Data_An_Cour!$W:$W,$L$2)</f>
        <v>51691.53</v>
      </c>
      <c r="M181" s="371">
        <f>IF(E181=0,0,(K181-E181)/E181)</f>
        <v>-0.28232281587882035</v>
      </c>
      <c r="N181" s="317">
        <f>L181-F181</f>
        <v>-16090.080000000002</v>
      </c>
      <c r="O181" s="367" cm="1">
        <f t="array" ref="O181">+SUMPRODUCT(('Réel 2024'!$A$8:$A$501=$A181)*('Réel 2024'!$C$3:$AO$3=O$2),'Réel 2024'!$C$8:$AO$501)</f>
        <v>0</v>
      </c>
      <c r="P181" s="271" cm="1">
        <f t="array" ref="P181">+SUMPRODUCT(('Réel 2024'!$A$8:$A$501=$A181)*('Réel 2024'!$C$3:$AO$3=P$2),'Réel 2024'!$C$8:$AO$501)</f>
        <v>83659.13</v>
      </c>
      <c r="Q181" s="272" cm="1">
        <f t="array" ref="Q181">+SUMPRODUCT(('Réel 2024'!$A$8:$A$501=$A181)*('Réel 2024'!$C$3:$AO$3=Q$2),'Réel 2024'!$C$8:$AO$501)</f>
        <v>61895</v>
      </c>
      <c r="R181" s="292">
        <f>IF(O181=0,0,J181/O181)</f>
        <v>0</v>
      </c>
      <c r="S181" s="317">
        <f>L181-Q181</f>
        <v>-10203.470000000001</v>
      </c>
      <c r="T181" s="291"/>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1"/>
        <v>Service% profit / ventes</v>
      </c>
      <c r="B182" s="41" t="s">
        <v>161</v>
      </c>
      <c r="C182" s="253" t="s">
        <v>165</v>
      </c>
      <c r="D182" s="11"/>
      <c r="E182" s="372"/>
      <c r="F182" s="362">
        <f>IFERROR(F181/E181,0)</f>
        <v>0.74999999999999989</v>
      </c>
      <c r="G182" s="270"/>
      <c r="H182" s="372"/>
      <c r="I182" s="362"/>
      <c r="J182" s="373"/>
      <c r="K182" s="372">
        <f>IF(J182&lt;=0,0,L182/J182)</f>
        <v>0</v>
      </c>
      <c r="L182" s="362">
        <f>IF(L181=0,0,L181/K181)</f>
        <v>0.79696569957456331</v>
      </c>
      <c r="M182" s="277">
        <f>J182-D182</f>
        <v>0</v>
      </c>
      <c r="N182" s="374"/>
      <c r="O182" s="373"/>
      <c r="P182" s="372"/>
      <c r="Q182" s="362">
        <f>IFERROR(Q181/P181,0)</f>
        <v>0.73984752172297275</v>
      </c>
      <c r="R182" s="253"/>
      <c r="S182" s="374"/>
      <c r="T182" s="319"/>
      <c r="U182" s="41"/>
      <c r="V182" s="41"/>
      <c r="W182" s="41"/>
      <c r="X182" s="41"/>
      <c r="Y182" s="41"/>
      <c r="Z182" s="41"/>
      <c r="AA182" s="41"/>
      <c r="AB182" s="41"/>
      <c r="AC182" s="41"/>
      <c r="AD182" s="41"/>
      <c r="AE182" s="41"/>
      <c r="AF182" s="41"/>
      <c r="AG182" s="41"/>
      <c r="AH182" s="41"/>
      <c r="AI182" s="41"/>
      <c r="AJ182" s="41"/>
      <c r="AK182" s="41"/>
      <c r="AL182" s="41"/>
      <c r="AM182" s="41"/>
      <c r="AN182" s="41"/>
    </row>
    <row r="183" spans="1:40" ht="15.75" customHeight="1">
      <c r="A183" s="5" t="str">
        <f t="shared" si="51"/>
        <v>Service</v>
      </c>
      <c r="B183" s="41" t="s">
        <v>161</v>
      </c>
      <c r="C183" s="246"/>
      <c r="D183" s="375"/>
      <c r="E183" s="376"/>
      <c r="F183" s="364"/>
      <c r="G183" s="266"/>
      <c r="H183" s="376"/>
      <c r="I183" s="364"/>
      <c r="J183" s="377"/>
      <c r="K183" s="250"/>
      <c r="L183" s="364"/>
      <c r="M183" s="365"/>
      <c r="N183" s="378"/>
      <c r="O183" s="377"/>
      <c r="P183" s="250"/>
      <c r="Q183" s="364"/>
      <c r="R183" s="246"/>
      <c r="S183" s="378"/>
      <c r="T183" s="319"/>
      <c r="U183" s="41"/>
      <c r="V183" s="41"/>
      <c r="W183" s="41"/>
      <c r="X183" s="41"/>
      <c r="Y183" s="41"/>
      <c r="Z183" s="41"/>
      <c r="AA183" s="41"/>
      <c r="AB183" s="41"/>
      <c r="AC183" s="41"/>
      <c r="AD183" s="41"/>
      <c r="AE183" s="41"/>
      <c r="AF183" s="41"/>
      <c r="AG183" s="41"/>
      <c r="AH183" s="41"/>
      <c r="AI183" s="41"/>
      <c r="AJ183" s="41"/>
      <c r="AK183" s="41"/>
      <c r="AL183" s="41"/>
      <c r="AM183" s="41"/>
      <c r="AN183" s="41"/>
    </row>
    <row r="184" spans="1:40" ht="26.25" customHeight="1">
      <c r="A184" s="5" t="str">
        <f t="shared" si="51"/>
        <v>ServiceAjustement M/O</v>
      </c>
      <c r="B184" s="41" t="s">
        <v>161</v>
      </c>
      <c r="C184" s="253" t="s">
        <v>169</v>
      </c>
      <c r="D184" s="41"/>
      <c r="E184" s="41"/>
      <c r="F184" s="276" cm="1">
        <f t="array" ref="F184">+SUMPRODUCT(('Budget original'!$A$8:$A$501=$A184)*('Budget original'!$C$3:$AO$3=F$2),'Budget original'!$C$8:$AO$501)</f>
        <v>-15395.857936674802</v>
      </c>
      <c r="G184" s="253"/>
      <c r="H184" s="291"/>
      <c r="I184" s="291"/>
      <c r="J184" s="277"/>
      <c r="K184" s="291"/>
      <c r="L184" s="291">
        <f>-SUMIFS(BV_Data_An_Cour!$P:$P,BV_Data_An_Cour!$U:$U,$B184,BV_Data_An_Cour!$V:$V,$C184,BV_Data_An_Cour!$W:$W,$L$2)</f>
        <v>-9711.2099999999991</v>
      </c>
      <c r="M184" s="373"/>
      <c r="N184" s="276">
        <f>L184-F184</f>
        <v>5684.6479366748026</v>
      </c>
      <c r="O184" s="277"/>
      <c r="P184" s="291"/>
      <c r="Q184" s="291" cm="1">
        <f t="array" ref="Q184">+SUMPRODUCT(('Réel 2024'!$A$8:$A$501=$A184)*('Réel 2024'!$C$3:$AO$3=Q$2),'Réel 2024'!$C$8:$AO$501)</f>
        <v>-17795.32</v>
      </c>
      <c r="R184" s="379"/>
      <c r="S184" s="276">
        <f t="shared" ref="S184:S185" si="52">L184-Q184</f>
        <v>8084.1100000000006</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tr">
        <f t="shared" si="51"/>
        <v>ServiceSous-total M/O</v>
      </c>
      <c r="B185" s="41" t="s">
        <v>161</v>
      </c>
      <c r="C185" s="380" t="s">
        <v>170</v>
      </c>
      <c r="D185" s="381">
        <f t="shared" ref="D185" si="53">D172+D175+D178+D181+D184</f>
        <v>4156.3240000000005</v>
      </c>
      <c r="E185" s="381">
        <f>E172+E175+E178+E181+E184</f>
        <v>1321989.2056</v>
      </c>
      <c r="F185" s="382">
        <f t="shared" ref="F185" si="54">F172+F175+F178+F181+F184</f>
        <v>982486.557007325</v>
      </c>
      <c r="G185" s="383"/>
      <c r="H185" s="381"/>
      <c r="I185" s="382"/>
      <c r="J185" s="383">
        <f t="shared" ref="J185:L185" si="55">J172+J175+J178+J181+J184</f>
        <v>4530</v>
      </c>
      <c r="K185" s="381">
        <f t="shared" si="55"/>
        <v>1461773.6199999999</v>
      </c>
      <c r="L185" s="382">
        <f t="shared" si="55"/>
        <v>1088307.4000000001</v>
      </c>
      <c r="M185" s="384">
        <f>(K185-E185)/E185</f>
        <v>0.10573793931740701</v>
      </c>
      <c r="N185" s="382">
        <f>L185-F185</f>
        <v>105820.84299267514</v>
      </c>
      <c r="O185" s="383">
        <f t="shared" ref="O185" si="56">O172+O175+O178+O181+O184</f>
        <v>4057</v>
      </c>
      <c r="P185" s="381">
        <f>P172+P175+P178+P181+P184</f>
        <v>1289415.2199999997</v>
      </c>
      <c r="Q185" s="382">
        <f t="shared" ref="Q185" si="57">Q172+Q175+Q178+Q181+Q184</f>
        <v>954073.79999999946</v>
      </c>
      <c r="R185" s="264">
        <f>IF(O185=0,0,J185/O185)</f>
        <v>1.1165886122750801</v>
      </c>
      <c r="S185" s="382">
        <f t="shared" si="52"/>
        <v>134233.60000000068</v>
      </c>
      <c r="T185" s="319"/>
      <c r="U185" s="41"/>
      <c r="V185" s="29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tr">
        <f t="shared" si="51"/>
        <v>Service% protit / ventes</v>
      </c>
      <c r="B186" s="41" t="s">
        <v>161</v>
      </c>
      <c r="C186" s="385" t="s">
        <v>171</v>
      </c>
      <c r="D186" s="386"/>
      <c r="E186" s="386">
        <f>IF(D185=0,0,E185/D185)</f>
        <v>318.06692779484945</v>
      </c>
      <c r="F186" s="388">
        <f>F185/E185</f>
        <v>0.74318803273542022</v>
      </c>
      <c r="G186" s="389"/>
      <c r="H186" s="609"/>
      <c r="I186" s="265"/>
      <c r="J186" s="389"/>
      <c r="K186" s="609">
        <f>IF(J185=0,0,K185/J185)</f>
        <v>322.6873333333333</v>
      </c>
      <c r="L186" s="265">
        <f>IF(L185=0,0,L185/K185)</f>
        <v>0.74451158860015565</v>
      </c>
      <c r="M186" s="389"/>
      <c r="N186" s="388">
        <f>N185/F185</f>
        <v>0.1077071663097434</v>
      </c>
      <c r="O186" s="389"/>
      <c r="P186" s="609">
        <f>IF(O185=0,0,P185/O185)</f>
        <v>317.82480157752025</v>
      </c>
      <c r="Q186" s="265">
        <f>Q185/P185</f>
        <v>0.73992751535847368</v>
      </c>
      <c r="R186" s="389"/>
      <c r="S186" s="265">
        <f>IF(Q185=0,0,(S185/Q185))</f>
        <v>0.14069519569660202</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1"/>
        <v>Service</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1"/>
        <v>ServiceSous-traitement</v>
      </c>
      <c r="B188" s="41" t="s">
        <v>161</v>
      </c>
      <c r="C188" s="253" t="s">
        <v>172</v>
      </c>
      <c r="D188" s="291"/>
      <c r="E188" s="291" cm="1">
        <f t="array" ref="E188">+SUMPRODUCT(('Budget original'!$A$8:$A$501=$A188)*('Budget original'!$C$3:$AO$3=E$2),'Budget original'!$C$8:$AO$501)</f>
        <v>76373.279999999999</v>
      </c>
      <c r="F188" s="291" cm="1">
        <f t="array" ref="F188">+SUMPRODUCT(('Budget original'!$A$8:$A$501=$A188)*('Budget original'!$C$3:$AO$3=F$2),'Budget original'!$C$8:$AO$501)</f>
        <v>13441.697279999998</v>
      </c>
      <c r="G188" s="277"/>
      <c r="H188" s="291"/>
      <c r="I188" s="291"/>
      <c r="J188" s="277"/>
      <c r="K188" s="254">
        <f>-SUMIFS(BV_Data_An_Cour!$P:$P,BV_Data_An_Cour!$X:$X,"Oui",BV_Data_An_Cour!$U:$U,$B188,BV_Data_An_Cour!$V:$V,$C188)</f>
        <v>91414.27</v>
      </c>
      <c r="L188" s="256">
        <f>-SUMIFS(BV_Data_An_Cour!$P:$P,BV_Data_An_Cour!$U:$U,$B188,BV_Data_An_Cour!$V:$V,$C188,BV_Data_An_Cour!$W:$W,$L$2)</f>
        <v>17862.460000000006</v>
      </c>
      <c r="M188" s="292">
        <f>IF(E188=0,0,(K188-E188)/E188)</f>
        <v>0.19694047446960514</v>
      </c>
      <c r="N188" s="276">
        <f>L188-F188</f>
        <v>4420.7627200000079</v>
      </c>
      <c r="O188" s="277"/>
      <c r="P188" s="254" cm="1">
        <f t="array" ref="P188">+SUMPRODUCT(('Réel 2024'!$A$8:$A$501=$A188)*('Réel 2024'!$C$3:$AO$3=P$2),'Réel 2024'!$C$8:$AO$501)</f>
        <v>92215.75</v>
      </c>
      <c r="Q188" s="256" cm="1">
        <f t="array" ref="Q188">+SUMPRODUCT(('Réel 2024'!$A$8:$A$501=$A188)*('Réel 2024'!$C$3:$AO$3=Q$2),'Réel 2024'!$C$8:$AO$501)</f>
        <v>14144.959999999972</v>
      </c>
      <c r="R188" s="292">
        <f>IF(O188=0,0,J188/O188)</f>
        <v>0</v>
      </c>
      <c r="S188" s="276">
        <f>L188-Q188</f>
        <v>3717.5000000000346</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1"/>
        <v>Service% profit / ventes</v>
      </c>
      <c r="B189" s="41" t="s">
        <v>161</v>
      </c>
      <c r="C189" s="253" t="s">
        <v>165</v>
      </c>
      <c r="D189" s="41"/>
      <c r="E189" s="349"/>
      <c r="F189" s="362">
        <f>IFERROR(F188/E188,0)</f>
        <v>0.17599999999999999</v>
      </c>
      <c r="G189" s="253"/>
      <c r="H189" s="349"/>
      <c r="I189" s="362"/>
      <c r="J189" s="373"/>
      <c r="K189" s="372"/>
      <c r="L189" s="362">
        <f>IF(L188=0,0,L188/K188)</f>
        <v>0.19540122127540924</v>
      </c>
      <c r="M189" s="373"/>
      <c r="N189" s="374"/>
      <c r="O189" s="373"/>
      <c r="P189" s="372"/>
      <c r="Q189" s="362">
        <f>IFERROR(Q188/P188,0)</f>
        <v>0.15338984934786054</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1"/>
        <v>Service</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1"/>
        <v>ServiceM.O. Recond. MCPA</v>
      </c>
      <c r="B191" s="41" t="s">
        <v>161</v>
      </c>
      <c r="C191" s="253" t="s">
        <v>173</v>
      </c>
      <c r="D191" s="41"/>
      <c r="E191" s="291" cm="1">
        <f t="array" ref="E191">+SUMPRODUCT(('Budget original'!$A$8:$A$501=$A191)*('Budget original'!$C$3:$AO$3=E$2),'Budget original'!$C$8:$AO$501)</f>
        <v>69290</v>
      </c>
      <c r="F191" s="291" cm="1">
        <f t="array" ref="F191">+SUMPRODUCT(('Budget original'!$A$8:$A$501=$A191)*('Budget original'!$C$3:$AO$3=F$2),'Budget original'!$C$8:$AO$501)</f>
        <v>48503</v>
      </c>
      <c r="G191" s="253"/>
      <c r="H191" s="291"/>
      <c r="I191" s="291"/>
      <c r="J191" s="373"/>
      <c r="K191" s="254">
        <f>-SUMIFS(BV_Data_An_Cour!$P:$P,BV_Data_An_Cour!$X:$X,"Oui",BV_Data_An_Cour!$U:$U,$B191,BV_Data_An_Cour!$V:$V,$C191)</f>
        <v>46691.45</v>
      </c>
      <c r="L191" s="256">
        <f>-SUMIFS(BV_Data_An_Cour!$P:$P,BV_Data_An_Cour!$U:$U,$B191,BV_Data_An_Cour!$V:$V,$C191,BV_Data_An_Cour!$W:$W,$L$2)</f>
        <v>32900.71</v>
      </c>
      <c r="M191" s="373"/>
      <c r="N191" s="374"/>
      <c r="O191" s="373"/>
      <c r="P191" s="254" cm="1">
        <f t="array" ref="P191">+SUMPRODUCT(('Réel 2024'!$A$8:$A$501=$A191)*('Réel 2024'!$C$3:$AO$3=P$2),'Réel 2024'!$C$8:$AO$501)</f>
        <v>40762.1</v>
      </c>
      <c r="Q191" s="254" cm="1">
        <f t="array" ref="Q191">+SUMPRODUCT(('Réel 2024'!$A$8:$A$501=$A191)*('Réel 2024'!$C$3:$AO$3=Q$2),'Réel 2024'!$C$8:$AO$501)</f>
        <v>28172.21</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1"/>
        <v>Service% profit / ventes</v>
      </c>
      <c r="B192" s="41" t="s">
        <v>161</v>
      </c>
      <c r="C192" s="253" t="s">
        <v>165</v>
      </c>
      <c r="D192" s="41"/>
      <c r="E192" s="349"/>
      <c r="F192" s="362">
        <f>IF(F191=0,0,F191/E191)</f>
        <v>0.7</v>
      </c>
      <c r="G192" s="253"/>
      <c r="H192" s="349"/>
      <c r="I192" s="362"/>
      <c r="J192" s="373"/>
      <c r="K192" s="372"/>
      <c r="L192" s="362">
        <f>IF(L191=0,0,L191/K191)</f>
        <v>0.70464099958343551</v>
      </c>
      <c r="M192" s="373"/>
      <c r="N192" s="374"/>
      <c r="O192" s="373"/>
      <c r="P192" s="372"/>
      <c r="Q192" s="362">
        <f>IF(Q191=0,0,Q191/P191)</f>
        <v>0.69113735553369426</v>
      </c>
      <c r="R192" s="373"/>
      <c r="S192" s="374"/>
      <c r="T192" s="319"/>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1"/>
        <v>Service</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tr">
        <f t="shared" si="51"/>
        <v>ServiceTotal Mécanique</v>
      </c>
      <c r="B194" s="41" t="s">
        <v>161</v>
      </c>
      <c r="C194" s="278" t="s">
        <v>174</v>
      </c>
      <c r="D194" s="279"/>
      <c r="E194" s="279">
        <f t="shared" ref="E194:F194" si="58">E185+E188+E191</f>
        <v>1467652.4856</v>
      </c>
      <c r="F194" s="281">
        <f t="shared" si="58"/>
        <v>1044431.254287325</v>
      </c>
      <c r="G194" s="282"/>
      <c r="H194" s="279"/>
      <c r="I194" s="281"/>
      <c r="J194" s="282"/>
      <c r="K194" s="279">
        <f t="shared" ref="K194:L194" si="59">K185+K188+K191</f>
        <v>1599879.3399999999</v>
      </c>
      <c r="L194" s="281">
        <f t="shared" si="59"/>
        <v>1139070.57</v>
      </c>
      <c r="M194" s="399">
        <f>L195-F195</f>
        <v>3.3890327107666263E-4</v>
      </c>
      <c r="N194" s="281">
        <f>L194-F194</f>
        <v>94639.315712675103</v>
      </c>
      <c r="O194" s="282"/>
      <c r="P194" s="279">
        <f t="shared" ref="P194" si="60">P185+P188+P191</f>
        <v>1422393.0699999998</v>
      </c>
      <c r="Q194" s="281">
        <f>Q185+Q188+Q191</f>
        <v>996390.96999999939</v>
      </c>
      <c r="R194" s="399">
        <f>L195-Q195</f>
        <v>1.146954671222522E-2</v>
      </c>
      <c r="S194" s="281">
        <f>L194-Q194</f>
        <v>142679.60000000068</v>
      </c>
      <c r="T194" s="319"/>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tr">
        <f t="shared" si="51"/>
        <v>Service</v>
      </c>
      <c r="B195" s="41" t="s">
        <v>161</v>
      </c>
      <c r="C195" s="283"/>
      <c r="D195" s="284"/>
      <c r="E195" s="284"/>
      <c r="F195" s="287">
        <f>F194/E194</f>
        <v>0.71163389462754501</v>
      </c>
      <c r="G195" s="283"/>
      <c r="H195" s="284"/>
      <c r="I195" s="287"/>
      <c r="J195" s="283"/>
      <c r="K195" s="284"/>
      <c r="L195" s="287">
        <f>L194/K194</f>
        <v>0.71197279789862167</v>
      </c>
      <c r="M195" s="286"/>
      <c r="N195" s="287">
        <f>N194/F194</f>
        <v>9.0613255132098572E-2</v>
      </c>
      <c r="O195" s="283"/>
      <c r="P195" s="284"/>
      <c r="Q195" s="287">
        <f>Q194/P194</f>
        <v>0.70050325118639645</v>
      </c>
      <c r="R195" s="286"/>
      <c r="S195" s="287">
        <f>L194/S194</f>
        <v>7.983415779130266</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tr">
        <f t="shared" si="51"/>
        <v>Service</v>
      </c>
      <c r="B196" s="41" t="s">
        <v>161</v>
      </c>
      <c r="C196" s="270"/>
      <c r="D196" s="11"/>
      <c r="E196" s="11"/>
      <c r="F196" s="265"/>
      <c r="G196" s="270"/>
      <c r="H196" s="11"/>
      <c r="I196" s="265"/>
      <c r="J196" s="270"/>
      <c r="K196" s="11"/>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tr">
        <f t="shared" si="51"/>
        <v>ServiceDEPENSES</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1"/>
        <v>ServiceSalaires cadres</v>
      </c>
      <c r="B198" s="41" t="s">
        <v>161</v>
      </c>
      <c r="C198" s="312" t="s">
        <v>120</v>
      </c>
      <c r="D198" s="41"/>
      <c r="E198" s="41"/>
      <c r="F198" s="254" cm="1">
        <f t="array" ref="F198">+SUMPRODUCT(('Budget original'!$A$8:$A$501=$A198)*('Budget original'!$C$3:$AO$3=F$2),'Budget original'!$C$8:$AO$501)</f>
        <v>84316.606730769243</v>
      </c>
      <c r="G198" s="253"/>
      <c r="H198" s="41"/>
      <c r="I198" s="254"/>
      <c r="J198" s="253"/>
      <c r="K198" s="41"/>
      <c r="L198" s="256">
        <f>SUMIFS(BV_Data_An_Cour!$P:$P,BV_Data_An_Cour!$U:$U,$B198,BV_Data_An_Cour!$V:$V,$C198,BV_Data_An_Cour!$W:$W,$L$2)</f>
        <v>74391.429999999993</v>
      </c>
      <c r="M198" s="253"/>
      <c r="N198" s="276">
        <f t="shared" ref="N198:N229" si="61">L198-F198</f>
        <v>-9925.1767307692498</v>
      </c>
      <c r="O198" s="253"/>
      <c r="P198" s="41"/>
      <c r="Q198" s="256" cm="1">
        <f t="array" ref="Q198">+SUMPRODUCT(('Réel 2024'!$A$8:$A$501=$A198)*('Réel 2024'!$C$3:$AO$3=Q$2),'Réel 2024'!$C$8:$AO$501)</f>
        <v>67958.59</v>
      </c>
      <c r="R198" s="253"/>
      <c r="S198" s="256">
        <f t="shared" ref="S198:S229" si="62">L198-Q198</f>
        <v>6432.8399999999965</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1"/>
        <v>ServiceSalaires commis</v>
      </c>
      <c r="B199" s="41" t="s">
        <v>161</v>
      </c>
      <c r="C199" s="313" t="s">
        <v>121</v>
      </c>
      <c r="D199" s="297"/>
      <c r="E199" s="41"/>
      <c r="F199" s="248" cm="1">
        <f t="array" ref="F199">+SUMPRODUCT(('Budget original'!$A$8:$A$501=$A199)*('Budget original'!$C$3:$AO$3=F$2),'Budget original'!$C$8:$AO$501)</f>
        <v>45910.584861538468</v>
      </c>
      <c r="G199" s="298"/>
      <c r="H199" s="41"/>
      <c r="I199" s="248"/>
      <c r="J199" s="253"/>
      <c r="K199" s="41"/>
      <c r="L199" s="256">
        <f>SUMIFS(BV_Data_An_Cour!$P:$P,BV_Data_An_Cour!$U:$U,$B199,BV_Data_An_Cour!$V:$V,$C199,BV_Data_An_Cour!$W:$W,$L$2)</f>
        <v>40552.089999999997</v>
      </c>
      <c r="M199" s="253"/>
      <c r="N199" s="276">
        <f t="shared" si="61"/>
        <v>-5358.494861538471</v>
      </c>
      <c r="O199" s="253"/>
      <c r="P199" s="41"/>
      <c r="Q199" s="256" cm="1">
        <f t="array" ref="Q199">+SUMPRODUCT(('Réel 2024'!$A$8:$A$501=$A199)*('Réel 2024'!$C$3:$AO$3=Q$2),'Réel 2024'!$C$8:$AO$501)</f>
        <v>40065.08</v>
      </c>
      <c r="R199" s="253"/>
      <c r="S199" s="276">
        <f t="shared" si="62"/>
        <v>487.00999999999476</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1"/>
        <v>ServiceSalaires autres</v>
      </c>
      <c r="B200" s="41" t="s">
        <v>161</v>
      </c>
      <c r="C200" s="312" t="s">
        <v>122</v>
      </c>
      <c r="D200" s="314"/>
      <c r="E200" s="315"/>
      <c r="F200" s="254" cm="1">
        <f t="array" ref="F200">+SUMPRODUCT(('Budget original'!$A$8:$A$501=$A200)*('Budget original'!$C$3:$AO$3=F$2),'Budget original'!$C$8:$AO$501)</f>
        <v>86172.773076923069</v>
      </c>
      <c r="G200" s="316"/>
      <c r="H200" s="315"/>
      <c r="I200" s="254"/>
      <c r="J200" s="241"/>
      <c r="K200" s="315"/>
      <c r="L200" s="272">
        <f>SUMIFS(BV_Data_An_Cour!$P:$P,BV_Data_An_Cour!$U:$U,$B200,BV_Data_An_Cour!$V:$V,$C200,BV_Data_An_Cour!$W:$W,$L$2)</f>
        <v>95041.26</v>
      </c>
      <c r="M200" s="241"/>
      <c r="N200" s="317">
        <f t="shared" si="61"/>
        <v>8868.4869230769255</v>
      </c>
      <c r="O200" s="241"/>
      <c r="P200" s="315"/>
      <c r="Q200" s="272" cm="1">
        <f t="array" ref="Q200">+SUMPRODUCT(('Réel 2024'!$A$8:$A$501=$A200)*('Réel 2024'!$C$3:$AO$3=Q$2),'Réel 2024'!$C$8:$AO$501)</f>
        <v>84226.52</v>
      </c>
      <c r="R200" s="241"/>
      <c r="S200" s="317">
        <f t="shared" si="62"/>
        <v>10814.739999999991</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customHeight="1">
      <c r="A201" s="5" t="str">
        <f t="shared" si="51"/>
        <v>ServiceSalaires spécialistes</v>
      </c>
      <c r="B201" s="41" t="s">
        <v>161</v>
      </c>
      <c r="C201" s="312" t="s">
        <v>123</v>
      </c>
      <c r="D201" s="297"/>
      <c r="E201" s="41"/>
      <c r="F201" s="254" cm="1">
        <f t="array" ref="F201">+SUMPRODUCT(('Budget original'!$A$8:$A$501=$A201)*('Budget original'!$C$3:$AO$3=F$2),'Budget original'!$C$8:$AO$501)</f>
        <v>145799.13351384614</v>
      </c>
      <c r="G201" s="298"/>
      <c r="H201" s="41"/>
      <c r="I201" s="254"/>
      <c r="J201" s="253"/>
      <c r="K201" s="41"/>
      <c r="L201" s="256">
        <f>SUMIFS(BV_Data_An_Cour!$P:$P,BV_Data_An_Cour!$U:$U,$B201,BV_Data_An_Cour!$V:$V,$C201,BV_Data_An_Cour!$W:$W,$L$2)</f>
        <v>102394.42</v>
      </c>
      <c r="M201" s="253"/>
      <c r="N201" s="276">
        <f t="shared" si="61"/>
        <v>-43404.713513846145</v>
      </c>
      <c r="O201" s="253"/>
      <c r="P201" s="41"/>
      <c r="Q201" s="256" cm="1">
        <f t="array" ref="Q201">+SUMPRODUCT(('Réel 2024'!$A$8:$A$501=$A201)*('Réel 2024'!$C$3:$AO$3=Q$2),'Réel 2024'!$C$8:$AO$501)</f>
        <v>145505.44</v>
      </c>
      <c r="R201" s="253"/>
      <c r="S201" s="276">
        <f t="shared" si="62"/>
        <v>-43111.020000000004</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tr">
        <f t="shared" si="51"/>
        <v>Service[...]</v>
      </c>
      <c r="B202" s="41" t="s">
        <v>161</v>
      </c>
      <c r="C202" s="253" t="s">
        <v>59</v>
      </c>
      <c r="D202" s="297"/>
      <c r="E202" s="41"/>
      <c r="F202" s="254" cm="1">
        <f t="array" ref="F202">+SUMPRODUCT(('Budget original'!$A$8:$A$501=$A202)*('Budget original'!$C$3:$AO$3=F$2),'Budget original'!$C$8:$AO$501)</f>
        <v>0</v>
      </c>
      <c r="G202" s="298"/>
      <c r="H202" s="41"/>
      <c r="I202" s="254"/>
      <c r="J202" s="253"/>
      <c r="K202" s="41"/>
      <c r="L202" s="256">
        <f>SUMIFS(BV_Data_An_Cour!$P:$P,BV_Data_An_Cour!$U:$U,$B202,BV_Data_An_Cour!$V:$V,$C202,BV_Data_An_Cour!$W:$W,$L$2)</f>
        <v>0</v>
      </c>
      <c r="M202" s="253"/>
      <c r="N202" s="276">
        <f t="shared" si="61"/>
        <v>0</v>
      </c>
      <c r="O202" s="253"/>
      <c r="P202" s="41"/>
      <c r="Q202" s="256" cm="1">
        <f t="array" ref="Q202">+SUMPRODUCT(('Réel 2024'!$A$8:$A$501=$A202)*('Réel 2024'!$C$3:$AO$3=Q$2),'Réel 2024'!$C$8:$AO$501)</f>
        <v>0</v>
      </c>
      <c r="R202" s="253"/>
      <c r="S202" s="276">
        <f t="shared" si="62"/>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1"/>
        <v>Service[...]</v>
      </c>
      <c r="B203" s="41" t="s">
        <v>161</v>
      </c>
      <c r="C203" s="253" t="s">
        <v>59</v>
      </c>
      <c r="D203" s="297"/>
      <c r="E203" s="41"/>
      <c r="F203" s="254" cm="1">
        <f t="array" ref="F203">+SUMPRODUCT(('Budget original'!$A$8:$A$501=$A203)*('Budget original'!$C$3:$AO$3=F$2),'Budget original'!$C$8:$AO$501)</f>
        <v>0</v>
      </c>
      <c r="G203" s="298"/>
      <c r="H203" s="41"/>
      <c r="I203" s="254"/>
      <c r="J203" s="253"/>
      <c r="K203" s="41"/>
      <c r="L203" s="256">
        <f>SUMIFS(BV_Data_An_Cour!$P:$P,BV_Data_An_Cour!$U:$U,$B203,BV_Data_An_Cour!$V:$V,$C203,BV_Data_An_Cour!$W:$W,$L$2)</f>
        <v>0</v>
      </c>
      <c r="M203" s="253"/>
      <c r="N203" s="276">
        <f t="shared" si="61"/>
        <v>0</v>
      </c>
      <c r="O203" s="253"/>
      <c r="P203" s="41"/>
      <c r="Q203" s="256" cm="1">
        <f t="array" ref="Q203">+SUMPRODUCT(('Réel 2024'!$A$8:$A$501=$A203)*('Réel 2024'!$C$3:$AO$3=Q$2),'Réel 2024'!$C$8:$AO$501)</f>
        <v>0</v>
      </c>
      <c r="R203" s="253"/>
      <c r="S203" s="276">
        <f t="shared" si="62"/>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tr">
        <f t="shared" si="51"/>
        <v>Service[...]</v>
      </c>
      <c r="B204" s="41" t="s">
        <v>161</v>
      </c>
      <c r="C204" s="253" t="s">
        <v>59</v>
      </c>
      <c r="D204" s="297"/>
      <c r="E204" s="41"/>
      <c r="F204" s="254" cm="1">
        <f t="array" ref="F204">+SUMPRODUCT(('Budget original'!$A$8:$A$501=$A204)*('Budget original'!$C$3:$AO$3=F$2),'Budget original'!$C$8:$AO$501)</f>
        <v>0</v>
      </c>
      <c r="G204" s="298"/>
      <c r="H204" s="41"/>
      <c r="I204" s="254"/>
      <c r="J204" s="253"/>
      <c r="K204" s="41"/>
      <c r="L204" s="256">
        <f>SUMIFS(BV_Data_An_Cour!$P:$P,BV_Data_An_Cour!$U:$U,$B204,BV_Data_An_Cour!$V:$V,$C204,BV_Data_An_Cour!$W:$W,$L$2)</f>
        <v>0</v>
      </c>
      <c r="M204" s="253"/>
      <c r="N204" s="276">
        <f t="shared" si="61"/>
        <v>0</v>
      </c>
      <c r="O204" s="253"/>
      <c r="P204" s="41"/>
      <c r="Q204" s="256" cm="1">
        <f t="array" ref="Q204">+SUMPRODUCT(('Réel 2024'!$A$8:$A$501=$A204)*('Réel 2024'!$C$3:$AO$3=Q$2),'Réel 2024'!$C$8:$AO$501)</f>
        <v>0</v>
      </c>
      <c r="R204" s="253"/>
      <c r="S204" s="276">
        <f t="shared" si="62"/>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tr">
        <f t="shared" si="51"/>
        <v>ServiceSalaires en absences</v>
      </c>
      <c r="B205" s="41" t="s">
        <v>161</v>
      </c>
      <c r="C205" s="313" t="s">
        <v>124</v>
      </c>
      <c r="D205" s="297"/>
      <c r="E205" s="41"/>
      <c r="F205" s="254" cm="1">
        <f t="array" ref="F205">+SUMPRODUCT(('Budget original'!$A$8:$A$501=$A205)*('Budget original'!$C$3:$AO$3=F$2),'Budget original'!$C$8:$AO$501)</f>
        <v>81648.97155231706</v>
      </c>
      <c r="G205" s="298"/>
      <c r="H205" s="41"/>
      <c r="I205" s="254"/>
      <c r="J205" s="253"/>
      <c r="K205" s="41"/>
      <c r="L205" s="256">
        <f>SUMIFS(BV_Data_An_Cour!$P:$P,BV_Data_An_Cour!$U:$U,$B205,BV_Data_An_Cour!$V:$V,$C205,BV_Data_An_Cour!$W:$W,$L$2)</f>
        <v>80511.98</v>
      </c>
      <c r="M205" s="253"/>
      <c r="N205" s="276">
        <f t="shared" si="61"/>
        <v>-1136.9915523170639</v>
      </c>
      <c r="O205" s="253"/>
      <c r="P205" s="41"/>
      <c r="Q205" s="256" cm="1">
        <f t="array" ref="Q205">+SUMPRODUCT(('Réel 2024'!$A$8:$A$501=$A205)*('Réel 2024'!$C$3:$AO$3=Q$2),'Réel 2024'!$C$8:$AO$501)</f>
        <v>89526.739999999991</v>
      </c>
      <c r="R205" s="253"/>
      <c r="S205" s="276">
        <f t="shared" si="62"/>
        <v>-9014.7599999999948</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1"/>
        <v>ServiceDéduction à la source</v>
      </c>
      <c r="B206" s="41" t="s">
        <v>161</v>
      </c>
      <c r="C206" s="312" t="s">
        <v>125</v>
      </c>
      <c r="D206" s="314"/>
      <c r="E206" s="315"/>
      <c r="F206" s="272" cm="1">
        <f t="array" ref="F206">+SUMPRODUCT(('Budget original'!$A$8:$A$501=$A206)*('Budget original'!$C$3:$AO$3=F$2),'Budget original'!$C$8:$AO$501)</f>
        <v>99273.639420438369</v>
      </c>
      <c r="G206" s="316"/>
      <c r="H206" s="315"/>
      <c r="I206" s="272"/>
      <c r="J206" s="241"/>
      <c r="K206" s="315"/>
      <c r="L206" s="272">
        <f>SUMIFS(BV_Data_An_Cour!$P:$P,BV_Data_An_Cour!$U:$U,$B206,BV_Data_An_Cour!$V:$V,$C206,BV_Data_An_Cour!$W:$W,$L$2)</f>
        <v>98327.58</v>
      </c>
      <c r="M206" s="241"/>
      <c r="N206" s="317">
        <f t="shared" si="61"/>
        <v>-946.05942043836694</v>
      </c>
      <c r="O206" s="241"/>
      <c r="P206" s="315"/>
      <c r="Q206" s="272" cm="1">
        <f t="array" ref="Q206">+SUMPRODUCT(('Réel 2024'!$A$8:$A$501=$A206)*('Réel 2024'!$C$3:$AO$3=Q$2),'Réel 2024'!$C$8:$AO$501)</f>
        <v>113738.35</v>
      </c>
      <c r="R206" s="241"/>
      <c r="S206" s="317">
        <f t="shared" si="62"/>
        <v>-15410.770000000004</v>
      </c>
      <c r="T206" s="41"/>
      <c r="V206" s="254">
        <f>L206-Print_Mois!L206</f>
        <v>74000.84</v>
      </c>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1"/>
        <v>ServiceBénéfices marginaux</v>
      </c>
      <c r="B207" s="41" t="s">
        <v>161</v>
      </c>
      <c r="C207" s="312" t="s">
        <v>126</v>
      </c>
      <c r="D207" s="297"/>
      <c r="E207" s="41"/>
      <c r="F207" s="254" cm="1">
        <f t="array" ref="F207">+SUMPRODUCT(('Budget original'!$A$8:$A$501=$A207)*('Budget original'!$C$3:$AO$3=F$2),'Budget original'!$C$8:$AO$501)</f>
        <v>51147.505527486719</v>
      </c>
      <c r="G207" s="298"/>
      <c r="H207" s="41"/>
      <c r="I207" s="254"/>
      <c r="J207" s="253"/>
      <c r="K207" s="41"/>
      <c r="L207" s="256">
        <f>SUMIFS(BV_Data_An_Cour!$P:$P,BV_Data_An_Cour!$U:$U,$B207,BV_Data_An_Cour!$V:$V,$C207,BV_Data_An_Cour!$W:$W,$L$2)</f>
        <v>50710.720000000001</v>
      </c>
      <c r="M207" s="253"/>
      <c r="N207" s="276">
        <f t="shared" si="61"/>
        <v>-436.78552748671791</v>
      </c>
      <c r="O207" s="253"/>
      <c r="P207" s="41"/>
      <c r="Q207" s="256" cm="1">
        <f t="array" ref="Q207">+SUMPRODUCT(('Réel 2024'!$A$8:$A$501=$A207)*('Réel 2024'!$C$3:$AO$3=Q$2),'Réel 2024'!$C$8:$AO$501)</f>
        <v>59461.56</v>
      </c>
      <c r="R207" s="253"/>
      <c r="S207" s="276">
        <f t="shared" si="62"/>
        <v>-8750.8399999999965</v>
      </c>
      <c r="T207" s="41"/>
      <c r="V207" s="254">
        <f>L207-Print_Mois!L207</f>
        <v>38606.620000000003</v>
      </c>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tr">
        <f t="shared" si="51"/>
        <v>ServiceCsst</v>
      </c>
      <c r="B208" s="41" t="s">
        <v>161</v>
      </c>
      <c r="C208" s="312" t="s">
        <v>127</v>
      </c>
      <c r="D208" s="297"/>
      <c r="E208" s="41"/>
      <c r="F208" s="254" cm="1">
        <f t="array" ref="F208">+SUMPRODUCT(('Budget original'!$A$8:$A$501=$A208)*('Budget original'!$C$3:$AO$3=F$2),'Budget original'!$C$8:$AO$501)</f>
        <v>22300.600159663692</v>
      </c>
      <c r="G208" s="298"/>
      <c r="H208" s="41"/>
      <c r="I208" s="254"/>
      <c r="J208" s="253"/>
      <c r="K208" s="41"/>
      <c r="L208" s="256">
        <f>SUMIFS(BV_Data_An_Cour!$P:$P,BV_Data_An_Cour!$U:$U,$B208,BV_Data_An_Cour!$V:$V,$C208,BV_Data_An_Cour!$W:$W,$L$2)</f>
        <v>21262.16</v>
      </c>
      <c r="M208" s="253"/>
      <c r="N208" s="276">
        <f t="shared" si="61"/>
        <v>-1038.4401596636926</v>
      </c>
      <c r="O208" s="253"/>
      <c r="P208" s="41"/>
      <c r="Q208" s="256" cm="1">
        <f t="array" ref="Q208">+SUMPRODUCT(('Réel 2024'!$A$8:$A$501=$A208)*('Réel 2024'!$C$3:$AO$3=Q$2),'Réel 2024'!$C$8:$AO$501)</f>
        <v>20835.96</v>
      </c>
      <c r="R208" s="253"/>
      <c r="S208" s="276">
        <f t="shared" si="62"/>
        <v>426.20000000000073</v>
      </c>
      <c r="T208" s="41"/>
      <c r="V208" s="254">
        <f>L208-Print_Mois!L208</f>
        <v>16379.439999999999</v>
      </c>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tr">
        <f t="shared" si="51"/>
        <v>Service[...]</v>
      </c>
      <c r="B209" s="41" t="s">
        <v>161</v>
      </c>
      <c r="C209" s="253" t="s">
        <v>59</v>
      </c>
      <c r="D209" s="299"/>
      <c r="E209" s="318"/>
      <c r="F209" s="254" cm="1">
        <f t="array" ref="F209">+SUMPRODUCT(('Budget original'!$A$8:$A$501=$A209)*('Budget original'!$C$3:$AO$3=F$2),'Budget original'!$C$8:$AO$501)</f>
        <v>0</v>
      </c>
      <c r="G209" s="300"/>
      <c r="H209" s="318"/>
      <c r="I209" s="254"/>
      <c r="J209" s="246"/>
      <c r="K209" s="318"/>
      <c r="L209" s="256">
        <f>SUMIFS(BV_Data_An_Cour!$P:$P,BV_Data_An_Cour!$U:$U,$B209,BV_Data_An_Cour!$V:$V,$C209,BV_Data_An_Cour!$W:$W,$L$2)</f>
        <v>0</v>
      </c>
      <c r="M209" s="246"/>
      <c r="N209" s="296">
        <f t="shared" si="61"/>
        <v>0</v>
      </c>
      <c r="O209" s="246"/>
      <c r="P209" s="318"/>
      <c r="Q209" s="256" cm="1">
        <f t="array" ref="Q209">+SUMPRODUCT(('Réel 2024'!$A$8:$A$501=$A209)*('Réel 2024'!$C$3:$AO$3=Q$2),'Réel 2024'!$C$8:$AO$501)</f>
        <v>0</v>
      </c>
      <c r="R209" s="246"/>
      <c r="S209" s="296">
        <f t="shared" si="62"/>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tr">
        <f t="shared" si="51"/>
        <v>ServiceTOTAL PERSONNEL</v>
      </c>
      <c r="B210" s="41" t="s">
        <v>161</v>
      </c>
      <c r="C210" s="304" t="s">
        <v>128</v>
      </c>
      <c r="D210" s="305" t="s">
        <v>175</v>
      </c>
      <c r="E210" s="306">
        <f>F210/F$194</f>
        <v>0.59034025677803315</v>
      </c>
      <c r="F210" s="307">
        <f>+SUM(F198:F209)</f>
        <v>616569.81484298268</v>
      </c>
      <c r="G210" s="308"/>
      <c r="H210" s="306"/>
      <c r="I210" s="307"/>
      <c r="J210" s="308" t="s">
        <v>175</v>
      </c>
      <c r="K210" s="306">
        <f>L210/L$194</f>
        <v>0.49443085866049546</v>
      </c>
      <c r="L210" s="307">
        <f>+SUM(L198:L209)</f>
        <v>563191.64</v>
      </c>
      <c r="M210" s="355"/>
      <c r="N210" s="320">
        <f t="shared" si="61"/>
        <v>-53378.174842982669</v>
      </c>
      <c r="O210" s="308" t="s">
        <v>175</v>
      </c>
      <c r="P210" s="306">
        <f>Q210/Q$194</f>
        <v>0.62356871821108573</v>
      </c>
      <c r="Q210" s="307">
        <f>+SUM(Q198:Q209)</f>
        <v>621318.24</v>
      </c>
      <c r="R210" s="355"/>
      <c r="S210" s="320">
        <f t="shared" si="62"/>
        <v>-58126.599999999977</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1"/>
        <v>ServicePublicité 2</v>
      </c>
      <c r="B211" s="41" t="s">
        <v>161</v>
      </c>
      <c r="C211" s="253" t="s">
        <v>129</v>
      </c>
      <c r="D211" s="297"/>
      <c r="E211" s="41"/>
      <c r="F211" s="254" cm="1">
        <f t="array" ref="F211">+SUMPRODUCT(('Budget original'!$A$8:$A$501=$A211)*('Budget original'!$C$3:$AO$3=F$2),'Budget original'!$C$8:$AO$501)</f>
        <v>58786.987714459407</v>
      </c>
      <c r="G211" s="298"/>
      <c r="H211" s="41"/>
      <c r="I211" s="254"/>
      <c r="J211" s="253"/>
      <c r="K211" s="41"/>
      <c r="L211" s="256">
        <f>SUMIFS(BV_Data_An_Cour!$P:$P,BV_Data_An_Cour!$U:$U,$B211,BV_Data_An_Cour!$V:$V,$C211,BV_Data_An_Cour!$W:$W,$L$2)</f>
        <v>76162.16</v>
      </c>
      <c r="M211" s="253"/>
      <c r="N211" s="276">
        <f t="shared" si="61"/>
        <v>17375.172285540597</v>
      </c>
      <c r="O211" s="253"/>
      <c r="P211" s="41"/>
      <c r="Q211" s="256" cm="1">
        <f t="array" ref="Q211">+SUMPRODUCT(('Réel 2024'!$A$8:$A$501=$A211)*('Réel 2024'!$C$3:$AO$3=Q$2),'Réel 2024'!$C$8:$AO$501)</f>
        <v>59054.090000000004</v>
      </c>
      <c r="R211" s="253"/>
      <c r="S211" s="276">
        <f t="shared" si="62"/>
        <v>17108.07</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1"/>
        <v>ServiceService gratuit 2</v>
      </c>
      <c r="B212" s="41" t="s">
        <v>161</v>
      </c>
      <c r="C212" s="253" t="s">
        <v>130</v>
      </c>
      <c r="D212" s="297"/>
      <c r="E212" s="41"/>
      <c r="F212" s="254" cm="1">
        <f t="array" ref="F212">+SUMPRODUCT(('Budget original'!$A$8:$A$501=$A212)*('Budget original'!$C$3:$AO$3=F$2),'Budget original'!$C$8:$AO$501)</f>
        <v>17110.887016618548</v>
      </c>
      <c r="G212" s="298"/>
      <c r="H212" s="41"/>
      <c r="I212" s="254"/>
      <c r="J212" s="253"/>
      <c r="K212" s="41"/>
      <c r="L212" s="610">
        <f>SUMIFS(BV_Data_An_Cour!$P:$P,BV_Data_An_Cour!$U:$U,$B212,BV_Data_An_Cour!$V:$V,$C212,BV_Data_An_Cour!$W:$W,$L$2)</f>
        <v>18464.37</v>
      </c>
      <c r="M212" s="253"/>
      <c r="N212" s="276">
        <f t="shared" si="61"/>
        <v>1353.482983381451</v>
      </c>
      <c r="O212" s="253"/>
      <c r="P212" s="41"/>
      <c r="Q212" s="256" cm="1">
        <f t="array" ref="Q212">+SUMPRODUCT(('Réel 2024'!$A$8:$A$501=$A212)*('Réel 2024'!$C$3:$AO$3=Q$2),'Réel 2024'!$C$8:$AO$501)</f>
        <v>11910.569999999989</v>
      </c>
      <c r="R212" s="253"/>
      <c r="S212" s="276">
        <f t="shared" si="62"/>
        <v>6553.8000000000102</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1"/>
        <v>ServiceFrais véhicules de cie</v>
      </c>
      <c r="B213" s="41" t="s">
        <v>161</v>
      </c>
      <c r="C213" s="246" t="s">
        <v>131</v>
      </c>
      <c r="D213" s="299"/>
      <c r="E213" s="318"/>
      <c r="F213" s="248" cm="1">
        <f t="array" ref="F213">+SUMPRODUCT(('Budget original'!$A$8:$A$501=$A213)*('Budget original'!$C$3:$AO$3=F$2),'Budget original'!$C$8:$AO$501)</f>
        <v>68418.696777777775</v>
      </c>
      <c r="G213" s="300"/>
      <c r="H213" s="318"/>
      <c r="I213" s="248"/>
      <c r="J213" s="246"/>
      <c r="K213" s="318"/>
      <c r="L213" s="256">
        <f>SUMIFS(BV_Data_An_Cour!$P:$P,BV_Data_An_Cour!$U:$U,$B213,BV_Data_An_Cour!$V:$V,$C213,BV_Data_An_Cour!$W:$W,$L$2)</f>
        <v>49992.06</v>
      </c>
      <c r="M213" s="246"/>
      <c r="N213" s="296">
        <f t="shared" si="61"/>
        <v>-18426.636777777778</v>
      </c>
      <c r="O213" s="246"/>
      <c r="P213" s="318"/>
      <c r="Q213" s="256" cm="1">
        <f t="array" ref="Q213">+SUMPRODUCT(('Réel 2024'!$A$8:$A$501=$A213)*('Réel 2024'!$C$3:$AO$3=Q$2),'Réel 2024'!$C$8:$AO$501)</f>
        <v>54702.89</v>
      </c>
      <c r="R213" s="246"/>
      <c r="S213" s="296">
        <f t="shared" si="62"/>
        <v>-4710.8300000000017</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1"/>
        <v>ServiceInformatique</v>
      </c>
      <c r="B214" s="41" t="s">
        <v>161</v>
      </c>
      <c r="C214" s="253" t="s">
        <v>132</v>
      </c>
      <c r="D214" s="297"/>
      <c r="E214" s="41"/>
      <c r="F214" s="254" cm="1">
        <f t="array" ref="F214">+SUMPRODUCT(('Budget original'!$A$8:$A$501=$A214)*('Budget original'!$C$3:$AO$3=F$2),'Budget original'!$C$8:$AO$501)</f>
        <v>23916.580686933332</v>
      </c>
      <c r="G214" s="298"/>
      <c r="H214" s="41"/>
      <c r="I214" s="254"/>
      <c r="J214" s="253"/>
      <c r="K214" s="41"/>
      <c r="L214" s="272">
        <f>SUMIFS(BV_Data_An_Cour!$P:$P,BV_Data_An_Cour!$U:$U,$B214,BV_Data_An_Cour!$V:$V,$C214,BV_Data_An_Cour!$W:$W,$L$2)</f>
        <v>26630.77</v>
      </c>
      <c r="M214" s="253"/>
      <c r="N214" s="276">
        <f t="shared" si="61"/>
        <v>2714.1893130666685</v>
      </c>
      <c r="O214" s="253"/>
      <c r="P214" s="41"/>
      <c r="Q214" s="272" cm="1">
        <f t="array" ref="Q214">+SUMPRODUCT(('Réel 2024'!$A$8:$A$501=$A214)*('Réel 2024'!$C$3:$AO$3=Q$2),'Réel 2024'!$C$8:$AO$501)</f>
        <v>24504.710000000003</v>
      </c>
      <c r="R214" s="253"/>
      <c r="S214" s="276">
        <f t="shared" si="62"/>
        <v>2126.0599999999977</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1"/>
        <v>ServiceFrais de déplacement</v>
      </c>
      <c r="B215" s="41" t="s">
        <v>161</v>
      </c>
      <c r="C215" s="253" t="s">
        <v>133</v>
      </c>
      <c r="D215" s="297"/>
      <c r="E215" s="41"/>
      <c r="F215" s="254" cm="1">
        <f t="array" ref="F215">+SUMPRODUCT(('Budget original'!$A$8:$A$501=$A215)*('Budget original'!$C$3:$AO$3=F$2),'Budget original'!$C$8:$AO$501)</f>
        <v>5254.3759029684516</v>
      </c>
      <c r="G215" s="298"/>
      <c r="H215" s="41"/>
      <c r="I215" s="254"/>
      <c r="J215" s="253"/>
      <c r="K215" s="41"/>
      <c r="L215" s="256">
        <f>SUMIFS(BV_Data_An_Cour!$P:$P,BV_Data_An_Cour!$U:$U,$B215,BV_Data_An_Cour!$V:$V,$C215,BV_Data_An_Cour!$W:$W,$L$2)</f>
        <v>6386.64</v>
      </c>
      <c r="M215" s="253"/>
      <c r="N215" s="276">
        <f t="shared" si="61"/>
        <v>1132.2640970315488</v>
      </c>
      <c r="O215" s="253"/>
      <c r="P215" s="41"/>
      <c r="Q215" s="256" cm="1">
        <f t="array" ref="Q215">+SUMPRODUCT(('Réel 2024'!$A$8:$A$501=$A215)*('Réel 2024'!$C$3:$AO$3=Q$2),'Réel 2024'!$C$8:$AO$501)</f>
        <v>4407.21</v>
      </c>
      <c r="R215" s="253"/>
      <c r="S215" s="276">
        <f t="shared" si="62"/>
        <v>1979.4300000000003</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1"/>
        <v>ServiceServices extérieurs</v>
      </c>
      <c r="B216" s="41" t="s">
        <v>161</v>
      </c>
      <c r="C216" s="246" t="s">
        <v>134</v>
      </c>
      <c r="D216" s="299"/>
      <c r="E216" s="318"/>
      <c r="F216" s="248" cm="1">
        <f t="array" ref="F216">+SUMPRODUCT(('Budget original'!$A$8:$A$501=$A216)*('Budget original'!$C$3:$AO$3=F$2),'Budget original'!$C$8:$AO$501)</f>
        <v>63641.158941751855</v>
      </c>
      <c r="G216" s="300"/>
      <c r="H216" s="318"/>
      <c r="I216" s="248"/>
      <c r="J216" s="246"/>
      <c r="K216" s="318"/>
      <c r="L216" s="256">
        <f>SUMIFS(BV_Data_An_Cour!$P:$P,BV_Data_An_Cour!$U:$U,$B216,BV_Data_An_Cour!$V:$V,$C216,BV_Data_An_Cour!$W:$W,$L$2)</f>
        <v>78933.23</v>
      </c>
      <c r="M216" s="246"/>
      <c r="N216" s="296">
        <f t="shared" si="61"/>
        <v>15292.071058248141</v>
      </c>
      <c r="O216" s="246"/>
      <c r="P216" s="318"/>
      <c r="Q216" s="256" cm="1">
        <f t="array" ref="Q216">+SUMPRODUCT(('Réel 2024'!$A$8:$A$501=$A216)*('Réel 2024'!$C$3:$AO$3=Q$2),'Réel 2024'!$C$8:$AO$501)</f>
        <v>52832.32</v>
      </c>
      <c r="R216" s="246"/>
      <c r="S216" s="296">
        <f t="shared" si="62"/>
        <v>26100.909999999996</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1"/>
        <v>ServiceFournitures d'atelier</v>
      </c>
      <c r="B217" s="41" t="s">
        <v>161</v>
      </c>
      <c r="C217" s="253" t="s">
        <v>490</v>
      </c>
      <c r="D217" s="297"/>
      <c r="E217" s="41"/>
      <c r="F217" s="254" cm="1">
        <f t="array" ref="F217">+SUMPRODUCT(('Budget original'!$A$8:$A$501=$A217)*('Budget original'!$C$3:$AO$3=F$2),'Budget original'!$C$8:$AO$501)</f>
        <v>0</v>
      </c>
      <c r="G217" s="298"/>
      <c r="H217" s="41"/>
      <c r="I217" s="254"/>
      <c r="J217" s="253"/>
      <c r="K217" s="41"/>
      <c r="L217" s="272">
        <f>SUMIFS(BV_Data_An_Cour!$P:$P,BV_Data_An_Cour!$U:$U,$B217,BV_Data_An_Cour!$V:$V,$C217,BV_Data_An_Cour!$W:$W,$L$2)</f>
        <v>0</v>
      </c>
      <c r="M217" s="253"/>
      <c r="N217" s="276">
        <f t="shared" si="61"/>
        <v>0</v>
      </c>
      <c r="O217" s="253"/>
      <c r="P217" s="41"/>
      <c r="Q217" s="272" cm="1">
        <f t="array" ref="Q217">+SUMPRODUCT(('Réel 2024'!$A$8:$A$501=$A217)*('Réel 2024'!$C$3:$AO$3=Q$2),'Réel 2024'!$C$8:$AO$501)</f>
        <v>0</v>
      </c>
      <c r="R217" s="253"/>
      <c r="S217" s="276">
        <f t="shared" si="62"/>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1"/>
        <v>ServiceFournitures autres</v>
      </c>
      <c r="B218" s="41" t="s">
        <v>161</v>
      </c>
      <c r="C218" s="253" t="s">
        <v>135</v>
      </c>
      <c r="D218" s="297"/>
      <c r="E218" s="41"/>
      <c r="F218" s="254" cm="1">
        <f t="array" ref="F218">+SUMPRODUCT(('Budget original'!$A$8:$A$501=$A218)*('Budget original'!$C$3:$AO$3=F$2),'Budget original'!$C$8:$AO$501)</f>
        <v>23849.602111111119</v>
      </c>
      <c r="G218" s="298"/>
      <c r="H218" s="41"/>
      <c r="I218" s="254"/>
      <c r="J218" s="253"/>
      <c r="K218" s="41"/>
      <c r="L218" s="256">
        <f>SUMIFS(BV_Data_An_Cour!$P:$P,BV_Data_An_Cour!$U:$U,$B218,BV_Data_An_Cour!$V:$V,$C218,BV_Data_An_Cour!$W:$W,$L$2)</f>
        <v>27980.25</v>
      </c>
      <c r="M218" s="253"/>
      <c r="N218" s="276">
        <f t="shared" si="61"/>
        <v>4130.6478888888814</v>
      </c>
      <c r="O218" s="253"/>
      <c r="P218" s="41"/>
      <c r="Q218" s="256" cm="1">
        <f t="array" ref="Q218">+SUMPRODUCT(('Réel 2024'!$A$8:$A$501=$A218)*('Réel 2024'!$C$3:$AO$3=Q$2),'Réel 2024'!$C$8:$AO$501)</f>
        <v>22281.06</v>
      </c>
      <c r="R218" s="253"/>
      <c r="S218" s="276">
        <f t="shared" si="62"/>
        <v>5699.1899999999987</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1"/>
        <v>ServiceUniformes</v>
      </c>
      <c r="B219" s="41" t="s">
        <v>161</v>
      </c>
      <c r="C219" s="253" t="s">
        <v>136</v>
      </c>
      <c r="D219" s="297"/>
      <c r="E219" s="41"/>
      <c r="F219" s="254" cm="1">
        <f t="array" ref="F219">+SUMPRODUCT(('Budget original'!$A$8:$A$501=$A219)*('Budget original'!$C$3:$AO$3=F$2),'Budget original'!$C$8:$AO$501)</f>
        <v>6102.3270339320861</v>
      </c>
      <c r="G219" s="298"/>
      <c r="H219" s="41"/>
      <c r="I219" s="254"/>
      <c r="J219" s="253"/>
      <c r="K219" s="41"/>
      <c r="L219" s="256">
        <f>SUMIFS(BV_Data_An_Cour!$P:$P,BV_Data_An_Cour!$U:$U,$B219,BV_Data_An_Cour!$V:$V,$C219,BV_Data_An_Cour!$W:$W,$L$2)</f>
        <v>3273.98</v>
      </c>
      <c r="M219" s="253"/>
      <c r="N219" s="276">
        <f t="shared" si="61"/>
        <v>-2828.3470339320861</v>
      </c>
      <c r="O219" s="253"/>
      <c r="P219" s="41"/>
      <c r="Q219" s="256" cm="1">
        <f t="array" ref="Q219">+SUMPRODUCT(('Réel 2024'!$A$8:$A$501=$A219)*('Réel 2024'!$C$3:$AO$3=Q$2),'Réel 2024'!$C$8:$AO$501)</f>
        <v>5422.28</v>
      </c>
      <c r="R219" s="253"/>
      <c r="S219" s="276">
        <f t="shared" si="62"/>
        <v>-2148.2999999999997</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1"/>
        <v>ServicePapeterie</v>
      </c>
      <c r="B220" s="41" t="s">
        <v>161</v>
      </c>
      <c r="C220" s="253" t="s">
        <v>137</v>
      </c>
      <c r="D220" s="297"/>
      <c r="E220" s="41"/>
      <c r="F220" s="254" cm="1">
        <f t="array" ref="F220">+SUMPRODUCT(('Budget original'!$A$8:$A$501=$A220)*('Budget original'!$C$3:$AO$3=F$2),'Budget original'!$C$8:$AO$501)</f>
        <v>4165.2707487592006</v>
      </c>
      <c r="G220" s="298"/>
      <c r="H220" s="41"/>
      <c r="I220" s="254"/>
      <c r="J220" s="253"/>
      <c r="K220" s="41"/>
      <c r="L220" s="256">
        <f>SUMIFS(BV_Data_An_Cour!$P:$P,BV_Data_An_Cour!$U:$U,$B220,BV_Data_An_Cour!$V:$V,$C220,BV_Data_An_Cour!$W:$W,$L$2)</f>
        <v>3064.22</v>
      </c>
      <c r="M220" s="253"/>
      <c r="N220" s="276">
        <f t="shared" si="61"/>
        <v>-1101.0507487592008</v>
      </c>
      <c r="O220" s="253"/>
      <c r="P220" s="41"/>
      <c r="Q220" s="256" cm="1">
        <f t="array" ref="Q220">+SUMPRODUCT(('Réel 2024'!$A$8:$A$501=$A220)*('Réel 2024'!$C$3:$AO$3=Q$2),'Réel 2024'!$C$8:$AO$501)</f>
        <v>3105.2200000000003</v>
      </c>
      <c r="R220" s="253"/>
      <c r="S220" s="276">
        <f t="shared" si="62"/>
        <v>-41.000000000000455</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1"/>
        <v>ServiceTéléphone</v>
      </c>
      <c r="B221" s="41" t="s">
        <v>161</v>
      </c>
      <c r="C221" s="253" t="s">
        <v>138</v>
      </c>
      <c r="D221" s="297"/>
      <c r="E221" s="41"/>
      <c r="F221" s="254" cm="1">
        <f t="array" ref="F221">+SUMPRODUCT(('Budget original'!$A$8:$A$501=$A221)*('Budget original'!$C$3:$AO$3=F$2),'Budget original'!$C$8:$AO$501)</f>
        <v>896.0225084424336</v>
      </c>
      <c r="G221" s="298"/>
      <c r="H221" s="41"/>
      <c r="I221" s="254"/>
      <c r="J221" s="253"/>
      <c r="K221" s="41"/>
      <c r="L221" s="256">
        <f>SUMIFS(BV_Data_An_Cour!$P:$P,BV_Data_An_Cour!$U:$U,$B221,BV_Data_An_Cour!$V:$V,$C221,BV_Data_An_Cour!$W:$W,$L$2)</f>
        <v>1110.1500000000001</v>
      </c>
      <c r="M221" s="253"/>
      <c r="N221" s="276">
        <f t="shared" si="61"/>
        <v>214.12749155756649</v>
      </c>
      <c r="O221" s="253"/>
      <c r="P221" s="41"/>
      <c r="Q221" s="256" cm="1">
        <f t="array" ref="Q221">+SUMPRODUCT(('Réel 2024'!$A$8:$A$501=$A221)*('Réel 2024'!$C$3:$AO$3=Q$2),'Réel 2024'!$C$8:$AO$501)</f>
        <v>794.93999999999994</v>
      </c>
      <c r="R221" s="253"/>
      <c r="S221" s="276">
        <f t="shared" si="62"/>
        <v>315.21000000000015</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1"/>
        <v>ServiceFrais postaux</v>
      </c>
      <c r="B222" s="41" t="s">
        <v>161</v>
      </c>
      <c r="C222" s="253" t="s">
        <v>139</v>
      </c>
      <c r="D222" s="297"/>
      <c r="E222" s="41"/>
      <c r="F222" s="254" cm="1">
        <f t="array" ref="F222">+SUMPRODUCT(('Budget original'!$A$8:$A$501=$A222)*('Budget original'!$C$3:$AO$3=F$2),'Budget original'!$C$8:$AO$501)</f>
        <v>463.95285638156656</v>
      </c>
      <c r="G222" s="298"/>
      <c r="H222" s="41"/>
      <c r="I222" s="254"/>
      <c r="J222" s="253"/>
      <c r="K222" s="41"/>
      <c r="L222" s="256">
        <f>SUMIFS(BV_Data_An_Cour!$P:$P,BV_Data_An_Cour!$U:$U,$B222,BV_Data_An_Cour!$V:$V,$C222,BV_Data_An_Cour!$W:$W,$L$2)</f>
        <v>2081.98</v>
      </c>
      <c r="M222" s="253"/>
      <c r="N222" s="276">
        <f t="shared" si="61"/>
        <v>1618.0271436184335</v>
      </c>
      <c r="O222" s="253"/>
      <c r="P222" s="41"/>
      <c r="Q222" s="256" cm="1">
        <f t="array" ref="Q222">+SUMPRODUCT(('Réel 2024'!$A$8:$A$501=$A222)*('Réel 2024'!$C$3:$AO$3=Q$2),'Réel 2024'!$C$8:$AO$501)</f>
        <v>619.17999999999995</v>
      </c>
      <c r="R222" s="253"/>
      <c r="S222" s="276">
        <f t="shared" si="62"/>
        <v>1462.8000000000002</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1"/>
        <v>ServiceDivers</v>
      </c>
      <c r="B223" s="41" t="s">
        <v>161</v>
      </c>
      <c r="C223" s="253" t="s">
        <v>140</v>
      </c>
      <c r="D223" s="297"/>
      <c r="E223" s="41"/>
      <c r="F223" s="254" cm="1">
        <f t="array" ref="F223">+SUMPRODUCT(('Budget original'!$A$8:$A$501=$A223)*('Budget original'!$C$3:$AO$3=F$2),'Budget original'!$C$8:$AO$501)</f>
        <v>762.25475937976671</v>
      </c>
      <c r="G223" s="298"/>
      <c r="H223" s="41"/>
      <c r="I223" s="254"/>
      <c r="J223" s="253"/>
      <c r="K223" s="41"/>
      <c r="L223" s="256">
        <f>SUMIFS(BV_Data_An_Cour!$P:$P,BV_Data_An_Cour!$U:$U,$B223,BV_Data_An_Cour!$V:$V,$C223,BV_Data_An_Cour!$W:$W,$L$2)</f>
        <v>348.45</v>
      </c>
      <c r="M223" s="253"/>
      <c r="N223" s="276">
        <f t="shared" si="61"/>
        <v>-413.80475937976672</v>
      </c>
      <c r="O223" s="253"/>
      <c r="P223" s="41"/>
      <c r="Q223" s="256" cm="1">
        <f t="array" ref="Q223">+SUMPRODUCT(('Réel 2024'!$A$8:$A$501=$A223)*('Réel 2024'!$C$3:$AO$3=Q$2),'Réel 2024'!$C$8:$AO$501)</f>
        <v>654.11</v>
      </c>
      <c r="R223" s="253"/>
      <c r="S223" s="276">
        <f t="shared" si="62"/>
        <v>-305.66000000000003</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1"/>
        <v>ServiceFormation</v>
      </c>
      <c r="B224" s="41" t="s">
        <v>161</v>
      </c>
      <c r="C224" s="253" t="s">
        <v>141</v>
      </c>
      <c r="D224" s="297"/>
      <c r="E224" s="41"/>
      <c r="F224" s="254" cm="1">
        <f t="array" ref="F224">+SUMPRODUCT(('Budget original'!$A$8:$A$501=$A224)*('Budget original'!$C$3:$AO$3=F$2),'Budget original'!$C$8:$AO$501)</f>
        <v>15332.566994262432</v>
      </c>
      <c r="G224" s="298"/>
      <c r="H224" s="41"/>
      <c r="I224" s="254"/>
      <c r="J224" s="253"/>
      <c r="K224" s="41"/>
      <c r="L224" s="256">
        <f>SUMIFS(BV_Data_An_Cour!$P:$P,BV_Data_An_Cour!$U:$U,$B224,BV_Data_An_Cour!$V:$V,$C224,BV_Data_An_Cour!$W:$W,$L$2)</f>
        <v>4155.63</v>
      </c>
      <c r="M224" s="253"/>
      <c r="N224" s="276">
        <f t="shared" si="61"/>
        <v>-11176.936994262433</v>
      </c>
      <c r="O224" s="253"/>
      <c r="P224" s="41"/>
      <c r="Q224" s="256" cm="1">
        <f t="array" ref="Q224">+SUMPRODUCT(('Réel 2024'!$A$8:$A$501=$A224)*('Réel 2024'!$C$3:$AO$3=Q$2),'Réel 2024'!$C$8:$AO$501)</f>
        <v>12095.27</v>
      </c>
      <c r="R224" s="253"/>
      <c r="S224" s="276">
        <f t="shared" si="62"/>
        <v>-7939.64</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tr">
        <f t="shared" si="51"/>
        <v>ServiceFrais bancaires</v>
      </c>
      <c r="B225" s="41" t="s">
        <v>161</v>
      </c>
      <c r="C225" s="253" t="s">
        <v>142</v>
      </c>
      <c r="D225" s="297"/>
      <c r="E225" s="41"/>
      <c r="F225" s="254" cm="1">
        <f t="array" ref="F225">+SUMPRODUCT(('Budget original'!$A$8:$A$501=$A225)*('Budget original'!$C$3:$AO$3=F$2),'Budget original'!$C$8:$AO$501)</f>
        <v>8410.7914192512344</v>
      </c>
      <c r="G225" s="298"/>
      <c r="H225" s="41"/>
      <c r="I225" s="254"/>
      <c r="J225" s="253"/>
      <c r="K225" s="41"/>
      <c r="L225" s="256">
        <f>SUMIFS(BV_Data_An_Cour!$P:$P,BV_Data_An_Cour!$U:$U,$B225,BV_Data_An_Cour!$V:$V,$C225,BV_Data_An_Cour!$W:$W,L$2)</f>
        <v>8928.1299999999992</v>
      </c>
      <c r="M225" s="253"/>
      <c r="N225" s="276">
        <f t="shared" si="61"/>
        <v>517.3385807487648</v>
      </c>
      <c r="O225" s="253"/>
      <c r="P225" s="41"/>
      <c r="Q225" s="256" cm="1">
        <f t="array" ref="Q225">+SUMPRODUCT(('Réel 2024'!$A$8:$A$501=$A225)*('Réel 2024'!$C$3:$AO$3=Q$2),'Réel 2024'!$C$8:$AO$501)</f>
        <v>8883.86</v>
      </c>
      <c r="R225" s="253"/>
      <c r="S225" s="276">
        <f t="shared" si="62"/>
        <v>44.269999999998618</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tr">
        <f t="shared" si="51"/>
        <v>Service[...]</v>
      </c>
      <c r="B226" s="41" t="s">
        <v>161</v>
      </c>
      <c r="C226" s="253" t="s">
        <v>59</v>
      </c>
      <c r="D226" s="297"/>
      <c r="E226" s="41"/>
      <c r="F226" s="254" cm="1">
        <f t="array" ref="F226">+SUMPRODUCT(('Budget original'!$A$8:$A$501=$A226)*('Budget original'!$C$3:$AO$3=F$2),'Budget original'!$C$8:$AO$501)</f>
        <v>0</v>
      </c>
      <c r="G226" s="298"/>
      <c r="H226" s="41"/>
      <c r="I226" s="254"/>
      <c r="J226" s="253"/>
      <c r="K226" s="41"/>
      <c r="L226" s="256">
        <f>SUMIFS(BV_Data_An_Cour!$P:$P,BV_Data_An_Cour!$U:$U,$B226,BV_Data_An_Cour!$V:$V,$C226,BV_Data_An_Cour!$W:$W,$L$2)</f>
        <v>0</v>
      </c>
      <c r="M226" s="253"/>
      <c r="N226" s="276">
        <f t="shared" si="61"/>
        <v>0</v>
      </c>
      <c r="O226" s="253"/>
      <c r="P226" s="41"/>
      <c r="Q226" s="256" cm="1">
        <f t="array" ref="Q226">+SUMPRODUCT(('Réel 2024'!$A$8:$A$501=$A226)*('Réel 2024'!$C$3:$AO$3=Q$2),'Réel 2024'!$C$8:$AO$501)</f>
        <v>0</v>
      </c>
      <c r="R226" s="253"/>
      <c r="S226" s="276">
        <f t="shared" si="62"/>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1"/>
        <v>Service[...]</v>
      </c>
      <c r="B227" s="41" t="s">
        <v>161</v>
      </c>
      <c r="C227" s="253" t="s">
        <v>59</v>
      </c>
      <c r="D227" s="297"/>
      <c r="E227" s="41"/>
      <c r="F227" s="254" cm="1">
        <f t="array" ref="F227">+SUMPRODUCT(('Budget original'!$A$8:$A$501=$A227)*('Budget original'!$C$3:$AO$3=F$2),'Budget original'!$C$8:$AO$501)</f>
        <v>0</v>
      </c>
      <c r="G227" s="298"/>
      <c r="H227" s="41"/>
      <c r="I227" s="254"/>
      <c r="J227" s="253"/>
      <c r="K227" s="41"/>
      <c r="L227" s="256">
        <f>SUMIFS(BV_Data_An_Cour!$P:$P,BV_Data_An_Cour!$U:$U,$B227,BV_Data_An_Cour!$V:$V,$C227,BV_Data_An_Cour!$W:$W,$L$2)</f>
        <v>0</v>
      </c>
      <c r="M227" s="253"/>
      <c r="N227" s="276">
        <f t="shared" si="61"/>
        <v>0</v>
      </c>
      <c r="O227" s="253"/>
      <c r="P227" s="41"/>
      <c r="Q227" s="256" cm="1">
        <f t="array" ref="Q227">+SUMPRODUCT(('Réel 2024'!$A$8:$A$501=$A227)*('Réel 2024'!$C$3:$AO$3=Q$2),'Réel 2024'!$C$8:$AO$501)</f>
        <v>0</v>
      </c>
      <c r="R227" s="253"/>
      <c r="S227" s="276">
        <f t="shared" si="62"/>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tr">
        <f t="shared" si="51"/>
        <v>Service[...]</v>
      </c>
      <c r="B228" s="41" t="s">
        <v>161</v>
      </c>
      <c r="C228" s="253" t="s">
        <v>59</v>
      </c>
      <c r="D228" s="297"/>
      <c r="E228" s="41"/>
      <c r="F228" s="254" cm="1">
        <f t="array" ref="F228">+SUMPRODUCT(('Budget original'!$A$8:$A$501=$A228)*('Budget original'!$C$3:$AO$3=F$2),'Budget original'!$C$8:$AO$501)</f>
        <v>0</v>
      </c>
      <c r="G228" s="298"/>
      <c r="H228" s="41"/>
      <c r="I228" s="254"/>
      <c r="J228" s="253"/>
      <c r="K228" s="41"/>
      <c r="L228" s="256">
        <f>SUMIFS(BV_Data_An_Cour!$P:$P,BV_Data_An_Cour!$U:$U,$B228,BV_Data_An_Cour!$V:$V,$C228,BV_Data_An_Cour!$W:$W,$L$2)</f>
        <v>0</v>
      </c>
      <c r="M228" s="253"/>
      <c r="N228" s="276">
        <f t="shared" si="61"/>
        <v>0</v>
      </c>
      <c r="O228" s="253"/>
      <c r="P228" s="41"/>
      <c r="Q228" s="256" cm="1">
        <f t="array" ref="Q228">+SUMPRODUCT(('Réel 2024'!$A$8:$A$501=$A228)*('Réel 2024'!$C$3:$AO$3=Q$2),'Réel 2024'!$C$8:$AO$501)</f>
        <v>0</v>
      </c>
      <c r="R228" s="253"/>
      <c r="S228" s="276">
        <f t="shared" si="62"/>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0.28447202652391457</v>
      </c>
      <c r="F229" s="307">
        <f>+SUM(F211:F228)</f>
        <v>297111.47547202924</v>
      </c>
      <c r="G229" s="308"/>
      <c r="H229" s="306"/>
      <c r="I229" s="307"/>
      <c r="J229" s="308" t="s">
        <v>175</v>
      </c>
      <c r="K229" s="306">
        <f>L229/L$194</f>
        <v>0.26996748761580236</v>
      </c>
      <c r="L229" s="307">
        <f>+SUM(L211:L228)</f>
        <v>307512.01999999996</v>
      </c>
      <c r="M229" s="311"/>
      <c r="N229" s="307">
        <f t="shared" si="61"/>
        <v>10400.54452797072</v>
      </c>
      <c r="O229" s="308" t="s">
        <v>175</v>
      </c>
      <c r="P229" s="306">
        <f>Q229/Q$194</f>
        <v>0.26221404836697798</v>
      </c>
      <c r="Q229" s="307">
        <f>+SUM(Q211:Q228)</f>
        <v>261267.70999999996</v>
      </c>
      <c r="R229" s="311"/>
      <c r="S229" s="307">
        <f t="shared" si="62"/>
        <v>46244.31</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0.87481228330194782</v>
      </c>
      <c r="F231" s="307">
        <f>F210+F229</f>
        <v>913681.29031501198</v>
      </c>
      <c r="G231" s="308"/>
      <c r="H231" s="306"/>
      <c r="I231" s="307"/>
      <c r="J231" s="308" t="s">
        <v>119</v>
      </c>
      <c r="K231" s="306">
        <f>L231/L$194</f>
        <v>0.76439834627629777</v>
      </c>
      <c r="L231" s="307">
        <f>L210+L229</f>
        <v>870703.65999999992</v>
      </c>
      <c r="M231" s="311"/>
      <c r="N231" s="320">
        <f>L231-F231</f>
        <v>-42977.630315012066</v>
      </c>
      <c r="O231" s="308" t="s">
        <v>119</v>
      </c>
      <c r="P231" s="306">
        <f>Q231/Q$194</f>
        <v>0.88578276657806376</v>
      </c>
      <c r="Q231" s="307">
        <f>Q210+Q229</f>
        <v>882585.95</v>
      </c>
      <c r="R231" s="311"/>
      <c r="S231" s="320">
        <f>L231-Q231</f>
        <v>-11882.290000000037</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130749.96397231298</v>
      </c>
      <c r="G233" s="361"/>
      <c r="H233" s="333"/>
      <c r="I233" s="335"/>
      <c r="J233" s="332"/>
      <c r="K233" s="334"/>
      <c r="L233" s="335">
        <f>L194-L231</f>
        <v>268366.91000000015</v>
      </c>
      <c r="M233" s="332"/>
      <c r="N233" s="335">
        <f>L233-F233</f>
        <v>137616.94602768717</v>
      </c>
      <c r="O233" s="332"/>
      <c r="P233" s="334"/>
      <c r="Q233" s="335">
        <f>Q194-Q231</f>
        <v>113805.01999999944</v>
      </c>
      <c r="R233" s="332"/>
      <c r="S233" s="335">
        <f>L233-Q233</f>
        <v>154561.89000000071</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6" t="str">
        <f>C1</f>
        <v>Volks</v>
      </c>
      <c r="D236" s="232"/>
      <c r="E236" s="232"/>
      <c r="F236" s="232"/>
      <c r="G236" s="232"/>
      <c r="H236" s="36"/>
      <c r="I236" s="36"/>
      <c r="J236" s="36"/>
      <c r="K236" s="9" t="s">
        <v>176</v>
      </c>
      <c r="L236" s="232"/>
      <c r="M236" s="232"/>
      <c r="N236" s="36"/>
      <c r="O236" s="36"/>
      <c r="P236" s="232"/>
      <c r="Q236" s="36"/>
      <c r="R236" s="232"/>
      <c r="S236" s="10" t="str">
        <f>$S$1</f>
        <v>Réalisé AAJ, Mai 2025</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18" t="s">
        <v>343</v>
      </c>
      <c r="E238" s="1219"/>
      <c r="F238" s="1220"/>
      <c r="G238" s="1223"/>
      <c r="H238" s="1219"/>
      <c r="I238" s="1220"/>
      <c r="J238" s="1223" t="s">
        <v>344</v>
      </c>
      <c r="K238" s="1219"/>
      <c r="L238" s="1220"/>
      <c r="M238" s="1223" t="s">
        <v>3310</v>
      </c>
      <c r="N238" s="1220"/>
      <c r="O238" s="1218" t="s">
        <v>345</v>
      </c>
      <c r="P238" s="1219"/>
      <c r="Q238" s="1220"/>
      <c r="R238" s="1221" t="s">
        <v>3312</v>
      </c>
      <c r="S238" s="1222"/>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tr">
        <f t="shared" ref="A239:A284" si="63">+B239&amp;C239</f>
        <v>Carrosserie</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tr">
        <f t="shared" si="63"/>
        <v>Carrosserie</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tr">
        <f t="shared" si="63"/>
        <v>CarrosserieM/O Sous-traitement</v>
      </c>
      <c r="B241" s="41" t="s">
        <v>176</v>
      </c>
      <c r="C241" s="253" t="s">
        <v>177</v>
      </c>
      <c r="D241" s="39" cm="1">
        <f t="array" ref="D241">+SUMPRODUCT(('Budget original'!$A$8:$A$501=$A241)*('Budget original'!$C$3:$AO$3=D$2),'Budget original'!$C$8:$AO$501)</f>
        <v>0</v>
      </c>
      <c r="E241" s="291" cm="1">
        <f t="array" ref="E241">+SUMPRODUCT(('Budget original'!$A$8:$A$501=$A241)*('Budget original'!$C$3:$AO$3=E$2),'Budget original'!$C$8:$AO$501)</f>
        <v>246000</v>
      </c>
      <c r="F241" s="291" cm="1">
        <f t="array" ref="F241">+SUMPRODUCT(('Budget original'!$A$8:$A$501=$A241)*('Budget original'!$C$3:$AO$3=F$2),'Budget original'!$C$8:$AO$501)</f>
        <v>54120</v>
      </c>
      <c r="G241" s="322"/>
      <c r="H241" s="291"/>
      <c r="I241" s="291"/>
      <c r="J241" s="277">
        <f>-SUMIFS(BV_Data_An_Cour!$P:$P,BV_Data_An_Cour!$U:$U,$B241,BV_Data_An_Cour!$V:$V,$C241,BV_Data_An_Cour!$W:$W,J$2)</f>
        <v>43</v>
      </c>
      <c r="K241" s="254">
        <f>-SUMIFS(BV_Data_An_Cour!$P:$P,BV_Data_An_Cour!$X:$X,"Oui",BV_Data_An_Cour!$U:$U,$B241,BV_Data_An_Cour!$V:$V,$C241)</f>
        <v>76595.08</v>
      </c>
      <c r="L241" s="256">
        <f>-SUMIFS(BV_Data_An_Cour!$P:$P,BV_Data_An_Cour!$U:$U,$B241,BV_Data_An_Cour!$V:$V,$C241,BV_Data_An_Cour!$W:$W,$L$2)</f>
        <v>16272.879999999997</v>
      </c>
      <c r="M241" s="292">
        <f>IFERROR((K241-E241)/E241,0)</f>
        <v>-0.68863788617886168</v>
      </c>
      <c r="N241" s="276">
        <f>L241-F241</f>
        <v>-37847.120000000003</v>
      </c>
      <c r="O241" s="277" cm="1">
        <f t="array" ref="O241">+SUMPRODUCT(('Réel 2024'!$A$8:$A$501=$A241)*('Réel 2024'!$C$3:$AO$3=O$2),'Réel 2024'!$C$8:$AO$501)</f>
        <v>116</v>
      </c>
      <c r="P241" s="254" cm="1">
        <f t="array" ref="P241">+SUMPRODUCT(('Réel 2024'!$A$8:$A$501=$A241)*('Réel 2024'!$C$3:$AO$3=P$2),'Réel 2024'!$C$8:$AO$501)</f>
        <v>270676.55</v>
      </c>
      <c r="Q241" s="256" cm="1">
        <f t="array" ref="Q241">+SUMPRODUCT(('Réel 2024'!$A$8:$A$501=$A241)*('Réel 2024'!$C$3:$AO$3=Q$2),'Réel 2024'!$C$8:$AO$501)</f>
        <v>50695.9399999999</v>
      </c>
      <c r="R241" s="292">
        <f>IF(O241=0,0,J241/O241)</f>
        <v>0.37068965517241381</v>
      </c>
      <c r="S241" s="276">
        <f>L241-Q241</f>
        <v>-34423.059999999903</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tr">
        <f t="shared" si="63"/>
        <v>Carrosserie% profit / ventes</v>
      </c>
      <c r="B242" s="41" t="s">
        <v>176</v>
      </c>
      <c r="C242" s="253" t="s">
        <v>165</v>
      </c>
      <c r="D242" s="39"/>
      <c r="E242" s="349"/>
      <c r="F242" s="362">
        <f>IFERROR(F241/E241,0)</f>
        <v>0.22</v>
      </c>
      <c r="G242" s="253"/>
      <c r="H242" s="349"/>
      <c r="I242" s="362"/>
      <c r="J242" s="277"/>
      <c r="K242" s="41"/>
      <c r="L242" s="362">
        <f>IFERROR(L241/K241,0)</f>
        <v>0.21245333251169654</v>
      </c>
      <c r="M242" s="292"/>
      <c r="N242" s="276">
        <f>IFERROR(N241/M241,0)</f>
        <v>54959.392678795884</v>
      </c>
      <c r="O242" s="277"/>
      <c r="P242" s="41"/>
      <c r="Q242" s="362">
        <f>IFERROR(Q241/P241,0)</f>
        <v>0.18729343195781054</v>
      </c>
      <c r="R242" s="277"/>
      <c r="S242" s="276">
        <f>IFERROR(S241/R241,0)</f>
        <v>-92862.208372092762</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tr">
        <f t="shared" si="63"/>
        <v>Carrosserie</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tr">
        <f t="shared" si="63"/>
        <v>CarrosserieM/O Carrosserie</v>
      </c>
      <c r="B244" s="41" t="s">
        <v>176</v>
      </c>
      <c r="C244" s="241" t="s">
        <v>178</v>
      </c>
      <c r="D244" s="315" cm="1">
        <f t="array" ref="D244">+SUMPRODUCT(('Budget original'!$A$8:$A$501=$A244)*('Budget original'!$C$3:$AO$3=D$2),'Budget original'!$C$8:$AO$501)</f>
        <v>0</v>
      </c>
      <c r="E244" s="291" cm="1">
        <f t="array" ref="E244">+SUMPRODUCT(('Budget original'!$A$8:$A$501=$A244)*('Budget original'!$C$3:$AO$3=E$2),'Budget original'!$C$8:$AO$501)</f>
        <v>0</v>
      </c>
      <c r="F244" s="291" cm="1">
        <f t="array" ref="F244">+SUMPRODUCT(('Budget original'!$A$8:$A$501=$A244)*('Budget original'!$C$3:$AO$3=F$2),'Budget original'!$C$8:$AO$501)</f>
        <v>0</v>
      </c>
      <c r="G244" s="402"/>
      <c r="H244" s="291"/>
      <c r="I244" s="291"/>
      <c r="J244" s="367">
        <f>SUMIFS(BV_Data_An_Cour!$C$1:$C$386,BV_Data_An_Cour!$V$1:$V$386,$C244,BV_Data_An_Cour!$U$1:$U$386,$K$236)</f>
        <v>0</v>
      </c>
      <c r="K244" s="271">
        <f>-SUMIFS(BV_Data_An_Cour!$P:$P,BV_Data_An_Cour!$X:$X,"Oui",BV_Data_An_Cour!$U:$U,$B244,BV_Data_An_Cour!$V:$V,$C244)</f>
        <v>0</v>
      </c>
      <c r="L244" s="272">
        <f>-SUMIFS(BV_Data_An_Cour!$P:$P,BV_Data_An_Cour!$U:$U,$B244,BV_Data_An_Cour!$V:$V,$C244,BV_Data_An_Cour!$W:$W,$L$2)</f>
        <v>0</v>
      </c>
      <c r="M244" s="371">
        <f>IFERROR((K244-E244)/E244,0)</f>
        <v>0</v>
      </c>
      <c r="N244" s="317">
        <f>L244-F244</f>
        <v>0</v>
      </c>
      <c r="O244" s="367" cm="1">
        <f t="array" ref="O244">+SUMPRODUCT(('Réel 2024'!$A$8:$A$501=$A244)*('Réel 2024'!$C$3:$AO$3=O$2),'Réel 2024'!$C$8:$AO$501)</f>
        <v>0</v>
      </c>
      <c r="P244" s="271" cm="1">
        <f t="array" ref="P244">+SUMPRODUCT(('Réel 2024'!$A$8:$A$501=$A244)*('Réel 2024'!$C$3:$AO$3=P$2),'Réel 2024'!$C$8:$AO$501)</f>
        <v>0</v>
      </c>
      <c r="Q244" s="272" cm="1">
        <f t="array" ref="Q244">+SUMPRODUCT(('Réel 2024'!$A$8:$A$501=$A244)*('Réel 2024'!$C$3:$AO$3=Q$2),'Réel 2024'!$C$8:$AO$501)</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tr">
        <f t="shared" si="63"/>
        <v>Carrosserie% profit / ventes</v>
      </c>
      <c r="B245" s="41" t="s">
        <v>176</v>
      </c>
      <c r="C245" s="253" t="s">
        <v>165</v>
      </c>
      <c r="D245" s="41"/>
      <c r="E245" s="349"/>
      <c r="F245" s="362">
        <f>IFERROR(F244/E244,0)</f>
        <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tr">
        <f t="shared" si="63"/>
        <v>Carrosserie</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tr">
        <f t="shared" si="63"/>
        <v>CarrosserieM/O Esthétique Carr.</v>
      </c>
      <c r="B247" s="41" t="s">
        <v>176</v>
      </c>
      <c r="C247" s="241" t="s">
        <v>179</v>
      </c>
      <c r="D247" s="366" cm="1">
        <f t="array" ref="D247">+SUMPRODUCT(('Budget original'!$A$8:$A$501=$A247)*('Budget original'!$C$3:$AO$3=D$2),'Budget original'!$C$8:$AO$501)</f>
        <v>0</v>
      </c>
      <c r="E247" s="291" cm="1">
        <f t="array" ref="E247">+SUMPRODUCT(('Budget original'!$A$8:$A$501=$A247)*('Budget original'!$C$3:$AO$3=E$2),'Budget original'!$C$8:$AO$501)</f>
        <v>0</v>
      </c>
      <c r="F247" s="291" cm="1">
        <f t="array" ref="F247">+SUMPRODUCT(('Budget original'!$A$8:$A$501=$A247)*('Budget original'!$C$3:$AO$3=F$2),'Budget original'!$C$8:$AO$501)</f>
        <v>0</v>
      </c>
      <c r="G247" s="367"/>
      <c r="H247" s="291"/>
      <c r="I247" s="291"/>
      <c r="J247" s="367">
        <f>SUMIFS(BV_Data_An_Cour!$C$1:$C$386,BV_Data_An_Cour!$V$1:$V$386,$C247,BV_Data_An_Cour!$U$1:$U$386,$K$236)</f>
        <v>0</v>
      </c>
      <c r="K247" s="254">
        <f>-SUMIFS(BV_Data_An_Cour!$P:$P,BV_Data_An_Cour!$X:$X,"Oui",BV_Data_An_Cour!$U:$U,$B247,BV_Data_An_Cour!$V:$V,$C247)</f>
        <v>0</v>
      </c>
      <c r="L247" s="256">
        <f>-SUMIFS(BV_Data_An_Cour!$P:$P,BV_Data_An_Cour!$U:$U,$B247,BV_Data_An_Cour!$V:$V,$C247,BV_Data_An_Cour!$W:$W,$L$2)</f>
        <v>0</v>
      </c>
      <c r="M247" s="292">
        <f>IFERROR((K247-E247)/E247,0)</f>
        <v>0</v>
      </c>
      <c r="N247" s="317">
        <f>L247-F247</f>
        <v>0</v>
      </c>
      <c r="O247" s="367" cm="1">
        <f t="array" ref="O247">+SUMPRODUCT(('Réel 2024'!$A$8:$A$501=$A247)*('Réel 2024'!$C$3:$AO$3=O$2),'Réel 2024'!$C$8:$AO$501)</f>
        <v>0</v>
      </c>
      <c r="P247" s="254" cm="1">
        <f t="array" ref="P247">+SUMPRODUCT(('Réel 2024'!$A$8:$A$501=$A247)*('Réel 2024'!$C$3:$AO$3=P$2),'Réel 2024'!$C$8:$AO$501)</f>
        <v>0</v>
      </c>
      <c r="Q247" s="256" cm="1">
        <f t="array" ref="Q247">+SUMPRODUCT(('Réel 2024'!$A$8:$A$501=$A247)*('Réel 2024'!$C$3:$AO$3=Q$2),'Réel 2024'!$C$8:$AO$501)</f>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tr">
        <f t="shared" si="63"/>
        <v>Carrosserie% profit / ventes</v>
      </c>
      <c r="B248" s="41" t="s">
        <v>176</v>
      </c>
      <c r="C248" s="253" t="s">
        <v>165</v>
      </c>
      <c r="D248" s="41"/>
      <c r="E248" s="41"/>
      <c r="F248" s="362">
        <f>IFERROR(F247/E247,0)</f>
        <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tr">
        <f t="shared" si="63"/>
        <v>Carrosserie</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tr">
        <f t="shared" si="63"/>
        <v>CarrosserieTotal Mécanique</v>
      </c>
      <c r="B250" s="41" t="s">
        <v>176</v>
      </c>
      <c r="C250" s="278" t="s">
        <v>174</v>
      </c>
      <c r="D250" s="279"/>
      <c r="E250" s="279">
        <f t="shared" ref="E250:F250" si="64">E244+E247+E241</f>
        <v>246000</v>
      </c>
      <c r="F250" s="281">
        <f t="shared" si="64"/>
        <v>54120</v>
      </c>
      <c r="G250" s="282"/>
      <c r="H250" s="279"/>
      <c r="I250" s="281"/>
      <c r="J250" s="282"/>
      <c r="K250" s="279">
        <f t="shared" ref="K250:L250" si="65">K244+K247+K241</f>
        <v>76595.08</v>
      </c>
      <c r="L250" s="281">
        <f t="shared" si="65"/>
        <v>16272.879999999997</v>
      </c>
      <c r="M250" s="399">
        <f>L251-F251</f>
        <v>-7.5466674883034601E-3</v>
      </c>
      <c r="N250" s="281">
        <f>L250-F250</f>
        <v>-37847.120000000003</v>
      </c>
      <c r="O250" s="282"/>
      <c r="P250" s="279">
        <f t="shared" ref="P250:Q250" si="66">P244+P247+P241</f>
        <v>270676.55</v>
      </c>
      <c r="Q250" s="281">
        <f t="shared" si="66"/>
        <v>50695.9399999999</v>
      </c>
      <c r="R250" s="399">
        <f>L251-Q251</f>
        <v>2.5159900553886005E-2</v>
      </c>
      <c r="S250" s="281">
        <f>L250-Q250</f>
        <v>-34423.059999999903</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tr">
        <f t="shared" si="63"/>
        <v>Carrosserie</v>
      </c>
      <c r="B251" s="41" t="s">
        <v>176</v>
      </c>
      <c r="C251" s="283"/>
      <c r="D251" s="284"/>
      <c r="E251" s="284"/>
      <c r="F251" s="287">
        <f>F250/E250</f>
        <v>0.22</v>
      </c>
      <c r="G251" s="283"/>
      <c r="H251" s="284"/>
      <c r="I251" s="287"/>
      <c r="J251" s="283"/>
      <c r="K251" s="284"/>
      <c r="L251" s="287">
        <f>IF(K250=0,0,L250/K250)</f>
        <v>0.21245333251169654</v>
      </c>
      <c r="M251" s="286"/>
      <c r="N251" s="287">
        <f>N250/F250</f>
        <v>-0.6993185513673319</v>
      </c>
      <c r="O251" s="283"/>
      <c r="P251" s="284"/>
      <c r="Q251" s="287">
        <f>Q250/P250</f>
        <v>0.18729343195781054</v>
      </c>
      <c r="R251" s="286"/>
      <c r="S251" s="287">
        <f>IF(Q250=0,0,(S250/Q250))</f>
        <v>-0.6790101929266914</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tr">
        <f t="shared" si="63"/>
        <v>Carrosserie</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tr">
        <f t="shared" si="63"/>
        <v>CarrosserieDEPENSES</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tr">
        <f t="shared" si="63"/>
        <v>CarrosserieSalaires cadres</v>
      </c>
      <c r="B254" s="41" t="s">
        <v>176</v>
      </c>
      <c r="C254" s="312" t="s">
        <v>120</v>
      </c>
      <c r="D254" s="41"/>
      <c r="E254" s="41"/>
      <c r="F254" s="254" cm="1">
        <f t="array" ref="F254">+SUMPRODUCT(('Budget original'!$A$8:$A$501=$A254)*('Budget original'!$C$3:$AO$3=F$2),'Budget original'!$C$8:$AO$501)</f>
        <v>1635.2875000000001</v>
      </c>
      <c r="G254" s="253"/>
      <c r="H254" s="41"/>
      <c r="I254" s="254"/>
      <c r="J254" s="253"/>
      <c r="K254" s="41"/>
      <c r="L254" s="256">
        <f>SUMIFS(BV_Data_An_Cour!$P:$P,BV_Data_An_Cour!$U:$U,$B254,BV_Data_An_Cour!$V:$V,$C254,BV_Data_An_Cour!$W:$W,$L$2)</f>
        <v>4509.3999999999996</v>
      </c>
      <c r="M254" s="253"/>
      <c r="N254" s="276">
        <f t="shared" ref="N254:N284" si="67">L254-F254</f>
        <v>2874.1124999999993</v>
      </c>
      <c r="O254" s="253"/>
      <c r="P254" s="41"/>
      <c r="Q254" s="256" cm="1">
        <f t="array" ref="Q254">+SUMPRODUCT(('Réel 2024'!$A$8:$A$501=$A254)*('Réel 2024'!$C$3:$AO$3=Q$2),'Réel 2024'!$C$8:$AO$501)</f>
        <v>4509.3999999999996</v>
      </c>
      <c r="R254" s="253"/>
      <c r="S254" s="256">
        <f t="shared" ref="S254:S285" si="68">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tr">
        <f t="shared" si="63"/>
        <v>CarrosserieSalaires commis</v>
      </c>
      <c r="B255" s="41" t="s">
        <v>176</v>
      </c>
      <c r="C255" s="313" t="s">
        <v>121</v>
      </c>
      <c r="D255" s="297"/>
      <c r="E255" s="41"/>
      <c r="F255" s="248" cm="1">
        <f t="array" ref="F255">+SUMPRODUCT(('Budget original'!$A$8:$A$501=$A255)*('Budget original'!$C$3:$AO$3=F$2),'Budget original'!$C$8:$AO$501)</f>
        <v>26398.175384615381</v>
      </c>
      <c r="G255" s="298"/>
      <c r="H255" s="41"/>
      <c r="I255" s="248"/>
      <c r="J255" s="253"/>
      <c r="K255" s="41"/>
      <c r="L255" s="256">
        <f>SUMIFS(BV_Data_An_Cour!$P:$P,BV_Data_An_Cour!$U:$U,$B255,BV_Data_An_Cour!$V:$V,$C255,BV_Data_An_Cour!$W:$W,$L$2)</f>
        <v>20362.2</v>
      </c>
      <c r="M255" s="253"/>
      <c r="N255" s="276">
        <f t="shared" si="67"/>
        <v>-6035.9753846153799</v>
      </c>
      <c r="O255" s="253"/>
      <c r="P255" s="41"/>
      <c r="Q255" s="256" cm="1">
        <f t="array" ref="Q255">+SUMPRODUCT(('Réel 2024'!$A$8:$A$501=$A255)*('Réel 2024'!$C$3:$AO$3=Q$2),'Réel 2024'!$C$8:$AO$501)</f>
        <v>10737.380000000001</v>
      </c>
      <c r="R255" s="253"/>
      <c r="S255" s="276">
        <f t="shared" si="68"/>
        <v>9624.82</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tr">
        <f t="shared" si="63"/>
        <v>CarrosserieSalaires autres</v>
      </c>
      <c r="B256" s="41" t="s">
        <v>176</v>
      </c>
      <c r="C256" s="312" t="s">
        <v>122</v>
      </c>
      <c r="D256" s="314"/>
      <c r="E256" s="315"/>
      <c r="F256" s="254" cm="1">
        <f t="array" ref="F256">+SUMPRODUCT(('Budget original'!$A$8:$A$501=$A256)*('Budget original'!$C$3:$AO$3=F$2),'Budget original'!$C$8:$AO$501)</f>
        <v>96.419230769230779</v>
      </c>
      <c r="G256" s="316"/>
      <c r="H256" s="315"/>
      <c r="I256" s="254"/>
      <c r="J256" s="241"/>
      <c r="K256" s="315"/>
      <c r="L256" s="272">
        <f>SUMIFS(BV_Data_An_Cour!$P:$P,BV_Data_An_Cour!$U:$U,$B256,BV_Data_An_Cour!$V:$V,$C256,BV_Data_An_Cour!$W:$W,$L$2)</f>
        <v>0.4</v>
      </c>
      <c r="M256" s="241"/>
      <c r="N256" s="317">
        <f t="shared" si="67"/>
        <v>-96.019230769230774</v>
      </c>
      <c r="O256" s="241"/>
      <c r="P256" s="315"/>
      <c r="Q256" s="272" cm="1">
        <f t="array" ref="Q256">+SUMPRODUCT(('Réel 2024'!$A$8:$A$501=$A256)*('Réel 2024'!$C$3:$AO$3=Q$2),'Réel 2024'!$C$8:$AO$501)</f>
        <v>0.85</v>
      </c>
      <c r="R256" s="241"/>
      <c r="S256" s="317">
        <f t="shared" si="68"/>
        <v>-0.44999999999999996</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tr">
        <f t="shared" si="63"/>
        <v>CarrosserieSalaires spécialistes</v>
      </c>
      <c r="B257" s="41" t="s">
        <v>176</v>
      </c>
      <c r="C257" s="312" t="s">
        <v>123</v>
      </c>
      <c r="D257" s="297"/>
      <c r="E257" s="41"/>
      <c r="F257" s="254" cm="1">
        <f t="array" ref="F257">+SUMPRODUCT(('Budget original'!$A$8:$A$501=$A257)*('Budget original'!$C$3:$AO$3=F$2),'Budget original'!$C$8:$AO$501)</f>
        <v>0</v>
      </c>
      <c r="G257" s="298"/>
      <c r="H257" s="41"/>
      <c r="I257" s="254"/>
      <c r="J257" s="253"/>
      <c r="K257" s="41"/>
      <c r="L257" s="256">
        <f>SUMIFS(BV_Data_An_Cour!$P:$P,BV_Data_An_Cour!$U:$U,$B257,BV_Data_An_Cour!$V:$V,$C257,BV_Data_An_Cour!$W:$W,$L$2)</f>
        <v>0</v>
      </c>
      <c r="M257" s="253"/>
      <c r="N257" s="276">
        <f t="shared" si="67"/>
        <v>0</v>
      </c>
      <c r="O257" s="253"/>
      <c r="P257" s="41"/>
      <c r="Q257" s="256" cm="1">
        <f t="array" ref="Q257">+SUMPRODUCT(('Réel 2024'!$A$8:$A$501=$A257)*('Réel 2024'!$C$3:$AO$3=Q$2),'Réel 2024'!$C$8:$AO$501)</f>
        <v>0</v>
      </c>
      <c r="R257" s="253"/>
      <c r="S257" s="276">
        <f t="shared" si="68"/>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3"/>
        <v>Carrosserie[...]</v>
      </c>
      <c r="B258" s="41" t="s">
        <v>176</v>
      </c>
      <c r="C258" s="253" t="s">
        <v>59</v>
      </c>
      <c r="D258" s="297"/>
      <c r="E258" s="41"/>
      <c r="F258" s="254" cm="1">
        <f t="array" ref="F258">+SUMPRODUCT(('Budget original'!$A$8:$A$501=$A258)*('Budget original'!$C$3:$AO$3=F$2),'Budget original'!$C$8:$AO$501)</f>
        <v>0</v>
      </c>
      <c r="G258" s="298"/>
      <c r="H258" s="41"/>
      <c r="I258" s="254"/>
      <c r="J258" s="253"/>
      <c r="K258" s="41"/>
      <c r="L258" s="256">
        <f>SUMIFS(BV_Data_An_Cour!$P:$P,BV_Data_An_Cour!$U:$U,$B258,BV_Data_An_Cour!$V:$V,$C258,BV_Data_An_Cour!$W:$W,$L$2)</f>
        <v>0</v>
      </c>
      <c r="M258" s="253"/>
      <c r="N258" s="276">
        <f t="shared" si="67"/>
        <v>0</v>
      </c>
      <c r="O258" s="253"/>
      <c r="P258" s="41"/>
      <c r="Q258" s="256" cm="1">
        <f t="array" ref="Q258">+SUMPRODUCT(('Réel 2024'!$A$8:$A$501=$A258)*('Réel 2024'!$C$3:$AO$3=Q$2),'Réel 2024'!$C$8:$AO$501)</f>
        <v>0</v>
      </c>
      <c r="R258" s="253"/>
      <c r="S258" s="276">
        <f t="shared" si="68"/>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3"/>
        <v>Carrosserie[...]</v>
      </c>
      <c r="B259" s="41" t="s">
        <v>176</v>
      </c>
      <c r="C259" s="253" t="s">
        <v>59</v>
      </c>
      <c r="D259" s="297"/>
      <c r="E259" s="41"/>
      <c r="F259" s="254" cm="1">
        <f t="array" ref="F259">+SUMPRODUCT(('Budget original'!$A$8:$A$501=$A259)*('Budget original'!$C$3:$AO$3=F$2),'Budget original'!$C$8:$AO$501)</f>
        <v>0</v>
      </c>
      <c r="G259" s="298"/>
      <c r="H259" s="41"/>
      <c r="I259" s="254"/>
      <c r="J259" s="253"/>
      <c r="K259" s="41"/>
      <c r="L259" s="256">
        <f>SUMIFS(BV_Data_An_Cour!$P:$P,BV_Data_An_Cour!$U:$U,$B259,BV_Data_An_Cour!$V:$V,$C259,BV_Data_An_Cour!$W:$W,$L$2)</f>
        <v>0</v>
      </c>
      <c r="M259" s="253"/>
      <c r="N259" s="276">
        <f t="shared" si="67"/>
        <v>0</v>
      </c>
      <c r="O259" s="253"/>
      <c r="P259" s="41"/>
      <c r="Q259" s="256" cm="1">
        <f t="array" ref="Q259">+SUMPRODUCT(('Réel 2024'!$A$8:$A$501=$A259)*('Réel 2024'!$C$3:$AO$3=Q$2),'Réel 2024'!$C$8:$AO$501)</f>
        <v>0</v>
      </c>
      <c r="R259" s="253"/>
      <c r="S259" s="276">
        <f t="shared" si="68"/>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tr">
        <f t="shared" si="63"/>
        <v>Carrosserie[...]</v>
      </c>
      <c r="B260" s="41" t="s">
        <v>176</v>
      </c>
      <c r="C260" s="253" t="s">
        <v>59</v>
      </c>
      <c r="D260" s="297"/>
      <c r="E260" s="41"/>
      <c r="F260" s="254" cm="1">
        <f t="array" ref="F260">+SUMPRODUCT(('Budget original'!$A$8:$A$501=$A260)*('Budget original'!$C$3:$AO$3=F$2),'Budget original'!$C$8:$AO$501)</f>
        <v>0</v>
      </c>
      <c r="G260" s="298"/>
      <c r="H260" s="41"/>
      <c r="I260" s="254"/>
      <c r="J260" s="253"/>
      <c r="K260" s="41"/>
      <c r="L260" s="256">
        <f>SUMIFS(BV_Data_An_Cour!$P:$P,BV_Data_An_Cour!$U:$U,$B260,BV_Data_An_Cour!$V:$V,$C260,BV_Data_An_Cour!$W:$W,$L$2)</f>
        <v>0</v>
      </c>
      <c r="M260" s="253"/>
      <c r="N260" s="276">
        <f t="shared" si="67"/>
        <v>0</v>
      </c>
      <c r="O260" s="253"/>
      <c r="P260" s="41"/>
      <c r="Q260" s="256" cm="1">
        <f t="array" ref="Q260">+SUMPRODUCT(('Réel 2024'!$A$8:$A$501=$A260)*('Réel 2024'!$C$3:$AO$3=Q$2),'Réel 2024'!$C$8:$AO$501)</f>
        <v>0</v>
      </c>
      <c r="R260" s="253"/>
      <c r="S260" s="276">
        <f t="shared" si="68"/>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tr">
        <f t="shared" si="63"/>
        <v>CarrosserieSalaires en absences</v>
      </c>
      <c r="B261" s="41" t="s">
        <v>176</v>
      </c>
      <c r="C261" s="313" t="s">
        <v>124</v>
      </c>
      <c r="D261" s="297"/>
      <c r="E261" s="41"/>
      <c r="F261" s="248" cm="1">
        <f t="array" ref="F261">+SUMPRODUCT(('Budget original'!$A$8:$A$501=$A261)*('Budget original'!$C$3:$AO$3=F$2),'Budget original'!$C$8:$AO$501)</f>
        <v>3378.9361874038455</v>
      </c>
      <c r="G261" s="298"/>
      <c r="H261" s="41"/>
      <c r="I261" s="248"/>
      <c r="J261" s="253"/>
      <c r="K261" s="41"/>
      <c r="L261" s="256">
        <f>SUMIFS(BV_Data_An_Cour!$P:$P,BV_Data_An_Cour!$U:$U,$B261,BV_Data_An_Cour!$V:$V,$C261,BV_Data_An_Cour!$W:$W,$L$2)</f>
        <v>2123.9299999999998</v>
      </c>
      <c r="M261" s="253"/>
      <c r="N261" s="276">
        <f t="shared" si="67"/>
        <v>-1255.0061874038456</v>
      </c>
      <c r="O261" s="253"/>
      <c r="P261" s="41"/>
      <c r="Q261" s="256" cm="1">
        <f t="array" ref="Q261">+SUMPRODUCT(('Réel 2024'!$A$8:$A$501=$A261)*('Réel 2024'!$C$3:$AO$3=Q$2),'Réel 2024'!$C$8:$AO$501)</f>
        <v>2590.5700000000002</v>
      </c>
      <c r="R261" s="253"/>
      <c r="S261" s="276">
        <f t="shared" si="68"/>
        <v>-466.64000000000033</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tr">
        <f t="shared" si="63"/>
        <v>CarrosserieDéduction à la source</v>
      </c>
      <c r="B262" s="41" t="s">
        <v>176</v>
      </c>
      <c r="C262" s="312" t="s">
        <v>125</v>
      </c>
      <c r="D262" s="314"/>
      <c r="E262" s="315"/>
      <c r="F262" s="254" cm="1">
        <f t="array" ref="F262">+SUMPRODUCT(('Budget original'!$A$8:$A$501=$A262)*('Budget original'!$C$3:$AO$3=F$2),'Budget original'!$C$8:$AO$501)</f>
        <v>4108.3100780769228</v>
      </c>
      <c r="G262" s="316"/>
      <c r="H262" s="315"/>
      <c r="I262" s="254"/>
      <c r="J262" s="241"/>
      <c r="K262" s="315"/>
      <c r="L262" s="272">
        <f>SUMIFS(BV_Data_An_Cour!$P:$P,BV_Data_An_Cour!$U:$U,$B262,BV_Data_An_Cour!$V:$V,$C262,BV_Data_An_Cour!$W:$W,$L$2)</f>
        <v>7078.14</v>
      </c>
      <c r="M262" s="241"/>
      <c r="N262" s="317">
        <f t="shared" si="67"/>
        <v>2969.8299219230776</v>
      </c>
      <c r="O262" s="241"/>
      <c r="P262" s="315"/>
      <c r="Q262" s="272" cm="1">
        <f t="array" ref="Q262">+SUMPRODUCT(('Réel 2024'!$A$8:$A$501=$A262)*('Réel 2024'!$C$3:$AO$3=Q$2),'Réel 2024'!$C$8:$AO$501)</f>
        <v>6271.0999999999995</v>
      </c>
      <c r="R262" s="241"/>
      <c r="S262" s="317">
        <f t="shared" si="68"/>
        <v>807.04000000000087</v>
      </c>
      <c r="T262" s="41"/>
      <c r="U262" s="254"/>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tr">
        <f t="shared" si="63"/>
        <v>CarrosserieBénéfices marginaux</v>
      </c>
      <c r="B263" s="41" t="s">
        <v>176</v>
      </c>
      <c r="C263" s="312" t="s">
        <v>126</v>
      </c>
      <c r="D263" s="297"/>
      <c r="E263" s="41"/>
      <c r="F263" s="254" cm="1">
        <f t="array" ref="F263">+SUMPRODUCT(('Budget original'!$A$8:$A$501=$A263)*('Budget original'!$C$3:$AO$3=F$2),'Budget original'!$C$8:$AO$501)</f>
        <v>2116.6728010961533</v>
      </c>
      <c r="G263" s="298"/>
      <c r="H263" s="41"/>
      <c r="I263" s="254"/>
      <c r="J263" s="253"/>
      <c r="K263" s="41"/>
      <c r="L263" s="256">
        <f>SUMIFS(BV_Data_An_Cour!$P:$P,BV_Data_An_Cour!$U:$U,$B263,BV_Data_An_Cour!$V:$V,$C263,BV_Data_An_Cour!$W:$W,$L$2)</f>
        <v>2122.91</v>
      </c>
      <c r="M263" s="253"/>
      <c r="N263" s="276">
        <f t="shared" si="67"/>
        <v>6.2371989038465472</v>
      </c>
      <c r="O263" s="253"/>
      <c r="P263" s="41"/>
      <c r="Q263" s="256" cm="1">
        <f t="array" ref="Q263">+SUMPRODUCT(('Réel 2024'!$A$8:$A$501=$A263)*('Réel 2024'!$C$3:$AO$3=Q$2),'Réel 2024'!$C$8:$AO$501)</f>
        <v>1966.6399999999999</v>
      </c>
      <c r="R263" s="253"/>
      <c r="S263" s="276">
        <f t="shared" si="68"/>
        <v>156.26999999999998</v>
      </c>
      <c r="T263" s="41"/>
      <c r="U263" s="254"/>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tr">
        <f t="shared" si="63"/>
        <v>CarrosserieCsst</v>
      </c>
      <c r="B264" s="41" t="s">
        <v>176</v>
      </c>
      <c r="C264" s="312" t="s">
        <v>127</v>
      </c>
      <c r="D264" s="297"/>
      <c r="E264" s="41"/>
      <c r="F264" s="254" cm="1">
        <f t="array" ref="F264">+SUMPRODUCT(('Budget original'!$A$8:$A$501=$A264)*('Budget original'!$C$3:$AO$3=F$2),'Budget original'!$C$8:$AO$501)</f>
        <v>922.88124942307672</v>
      </c>
      <c r="G264" s="298"/>
      <c r="H264" s="41"/>
      <c r="I264" s="254"/>
      <c r="J264" s="253"/>
      <c r="K264" s="41"/>
      <c r="L264" s="256">
        <f>SUMIFS(BV_Data_An_Cour!$P:$P,BV_Data_An_Cour!$U:$U,$B264,BV_Data_An_Cour!$V:$V,$C264,BV_Data_An_Cour!$W:$W,$L$2)</f>
        <v>1220.01</v>
      </c>
      <c r="M264" s="253"/>
      <c r="N264" s="276">
        <f t="shared" si="67"/>
        <v>297.12875057692327</v>
      </c>
      <c r="O264" s="253"/>
      <c r="P264" s="41"/>
      <c r="Q264" s="256" cm="1">
        <f t="array" ref="Q264">+SUMPRODUCT(('Réel 2024'!$A$8:$A$501=$A264)*('Réel 2024'!$C$3:$AO$3=Q$2),'Réel 2024'!$C$8:$AO$501)</f>
        <v>713.57000000000016</v>
      </c>
      <c r="R264" s="253"/>
      <c r="S264" s="276">
        <f t="shared" si="68"/>
        <v>506.43999999999983</v>
      </c>
      <c r="T264" s="41"/>
      <c r="U264" s="254"/>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tr">
        <f t="shared" si="63"/>
        <v>Carrosserie[...]</v>
      </c>
      <c r="B265" s="41" t="s">
        <v>176</v>
      </c>
      <c r="C265" s="253" t="s">
        <v>59</v>
      </c>
      <c r="D265" s="299"/>
      <c r="E265" s="318"/>
      <c r="F265" s="254">
        <f t="array" ref="F265">+INDEX('Budget original'!$A$2:$AO$501,MATCH($A265,'Budget original'!$A$2:$A$501,0),MATCH(F$2,'Budget original'!$A$2:$AO$2,0))</f>
        <v>0</v>
      </c>
      <c r="G265" s="300"/>
      <c r="H265" s="318"/>
      <c r="I265" s="254"/>
      <c r="J265" s="246"/>
      <c r="K265" s="318"/>
      <c r="L265" s="256">
        <f>SUMIFS(BV_Data_An_Cour!$P:$P,BV_Data_An_Cour!$U:$U,$B265,BV_Data_An_Cour!$V:$V,$C265,BV_Data_An_Cour!$W:$W,$L$2)</f>
        <v>0</v>
      </c>
      <c r="M265" s="246"/>
      <c r="N265" s="296">
        <f t="shared" si="67"/>
        <v>0</v>
      </c>
      <c r="O265" s="246"/>
      <c r="P265" s="318"/>
      <c r="Q265" s="256">
        <f t="array" ref="Q265">+INDEX('Réel 2024'!$A$2:$AO$501,MATCH($A265,'Réel 2024'!$A$2:$A$501,0),MATCH(Q$2,'Réel 2024'!$A$2:$AO$2,0))</f>
        <v>0</v>
      </c>
      <c r="R265" s="246"/>
      <c r="S265" s="296">
        <f t="shared" si="68"/>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tr">
        <f t="shared" si="63"/>
        <v>CarrosserieTOTAL PERSONNEL</v>
      </c>
      <c r="B266" s="41" t="s">
        <v>176</v>
      </c>
      <c r="C266" s="304" t="s">
        <v>128</v>
      </c>
      <c r="D266" s="305" t="s">
        <v>119</v>
      </c>
      <c r="E266" s="306" t="e">
        <f>F266/F$244</f>
        <v>#DIV/0!</v>
      </c>
      <c r="F266" s="307">
        <f>+SUM(F254:F265)</f>
        <v>38656.682431384601</v>
      </c>
      <c r="G266" s="308"/>
      <c r="H266" s="306"/>
      <c r="I266" s="307"/>
      <c r="J266" s="308" t="s">
        <v>119</v>
      </c>
      <c r="K266" s="306">
        <f>IF(L244=0,0,L266/L$244)</f>
        <v>0</v>
      </c>
      <c r="L266" s="307">
        <f>+SUM(L254:L265)</f>
        <v>37416.99</v>
      </c>
      <c r="M266" s="355"/>
      <c r="N266" s="320">
        <f t="shared" si="67"/>
        <v>-1239.692431384603</v>
      </c>
      <c r="O266" s="308" t="s">
        <v>119</v>
      </c>
      <c r="P266" s="306" t="e">
        <f>Q266/Q$244</f>
        <v>#DIV/0!</v>
      </c>
      <c r="Q266" s="307">
        <f>+SUM(Q254:Q265)</f>
        <v>26789.51</v>
      </c>
      <c r="R266" s="355"/>
      <c r="S266" s="320">
        <f t="shared" si="68"/>
        <v>10627.48</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tr">
        <f t="shared" si="63"/>
        <v>CarrosseriePublicité 2</v>
      </c>
      <c r="B267" s="41" t="s">
        <v>176</v>
      </c>
      <c r="C267" s="406" t="s">
        <v>129</v>
      </c>
      <c r="D267" s="297"/>
      <c r="E267" s="41"/>
      <c r="F267" s="254" cm="1">
        <f t="array" ref="F267">+SUMPRODUCT(('Budget original'!$A$8:$A$501=$A267)*('Budget original'!$C$3:$AO$3=F$2),'Budget original'!$C$8:$AO$501)</f>
        <v>241.66666666666669</v>
      </c>
      <c r="G267" s="298"/>
      <c r="H267" s="41"/>
      <c r="I267" s="254"/>
      <c r="J267" s="253"/>
      <c r="K267" s="41"/>
      <c r="L267" s="256">
        <f>SUMIFS(BV_Data_An_Cour!$P:$P,BV_Data_An_Cour!$U:$U,$B267,BV_Data_An_Cour!$V:$V,$C267,BV_Data_An_Cour!$W:$W,$L$2)</f>
        <v>103.25</v>
      </c>
      <c r="M267" s="253"/>
      <c r="N267" s="276">
        <f t="shared" si="67"/>
        <v>-138.41666666666669</v>
      </c>
      <c r="O267" s="253"/>
      <c r="P267" s="41"/>
      <c r="Q267" s="256" cm="1">
        <f t="array" ref="Q267">+SUMPRODUCT(('Réel 2024'!$A$8:$A$501=$A267)*('Réel 2024'!$C$3:$AO$3=Q$2),'Réel 2024'!$C$8:$AO$501)</f>
        <v>282.95</v>
      </c>
      <c r="R267" s="253"/>
      <c r="S267" s="276">
        <f t="shared" si="68"/>
        <v>-179.7</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tr">
        <f t="shared" si="63"/>
        <v>CarrosserieService gratuit 2</v>
      </c>
      <c r="B268" s="41" t="s">
        <v>176</v>
      </c>
      <c r="C268" s="312" t="s">
        <v>130</v>
      </c>
      <c r="D268" s="297"/>
      <c r="E268" s="41"/>
      <c r="F268" s="254" cm="1">
        <f t="array" ref="F268">+SUMPRODUCT(('Budget original'!$A$8:$A$501=$A268)*('Budget original'!$C$3:$AO$3=F$2),'Budget original'!$C$8:$AO$501)</f>
        <v>2808.3899064028556</v>
      </c>
      <c r="G268" s="298"/>
      <c r="H268" s="41"/>
      <c r="I268" s="254"/>
      <c r="J268" s="253"/>
      <c r="K268" s="41"/>
      <c r="L268" s="256">
        <f>SUMIFS(BV_Data_An_Cour!$P:$P,BV_Data_An_Cour!$U:$U,$B268,BV_Data_An_Cour!$V:$V,$C268,BV_Data_An_Cour!$W:$W,$L$2)</f>
        <v>12326.72</v>
      </c>
      <c r="M268" s="253"/>
      <c r="N268" s="276">
        <f t="shared" si="67"/>
        <v>9518.3300935971438</v>
      </c>
      <c r="O268" s="253"/>
      <c r="P268" s="41"/>
      <c r="Q268" s="256" cm="1">
        <f t="array" ref="Q268">+SUMPRODUCT(('Réel 2024'!$A$8:$A$501=$A268)*('Réel 2024'!$C$3:$AO$3=Q$2),'Réel 2024'!$C$8:$AO$501)</f>
        <v>1562.35</v>
      </c>
      <c r="R268" s="253"/>
      <c r="S268" s="276">
        <f t="shared" si="68"/>
        <v>10764.369999999999</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tr">
        <f t="shared" si="63"/>
        <v>CarrosserieFrais véhicules de cie</v>
      </c>
      <c r="B269" s="41" t="s">
        <v>176</v>
      </c>
      <c r="C269" s="313" t="s">
        <v>131</v>
      </c>
      <c r="D269" s="299"/>
      <c r="E269" s="318"/>
      <c r="F269" s="248" cm="1">
        <f t="array" ref="F269">+SUMPRODUCT(('Budget original'!$A$8:$A$501=$A269)*('Budget original'!$C$3:$AO$3=F$2),'Budget original'!$C$8:$AO$501)</f>
        <v>622.51800000000003</v>
      </c>
      <c r="G269" s="300"/>
      <c r="H269" s="318"/>
      <c r="I269" s="248"/>
      <c r="J269" s="246"/>
      <c r="K269" s="318"/>
      <c r="L269" s="256">
        <f>SUMIFS(BV_Data_An_Cour!$P:$P,BV_Data_An_Cour!$U:$U,$B269,BV_Data_An_Cour!$V:$V,$C269,BV_Data_An_Cour!$W:$W,$L$2)</f>
        <v>829.13</v>
      </c>
      <c r="M269" s="246"/>
      <c r="N269" s="296">
        <f t="shared" si="67"/>
        <v>206.61199999999997</v>
      </c>
      <c r="O269" s="246"/>
      <c r="P269" s="318"/>
      <c r="Q269" s="256" cm="1">
        <f t="array" ref="Q269">+SUMPRODUCT(('Réel 2024'!$A$8:$A$501=$A269)*('Réel 2024'!$C$3:$AO$3=Q$2),'Réel 2024'!$C$8:$AO$501)</f>
        <v>829.13</v>
      </c>
      <c r="R269" s="246"/>
      <c r="S269" s="296">
        <f t="shared" si="68"/>
        <v>0</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tr">
        <f t="shared" si="63"/>
        <v>CarrosserieInformatique</v>
      </c>
      <c r="B270" s="41" t="s">
        <v>176</v>
      </c>
      <c r="C270" s="312" t="s">
        <v>132</v>
      </c>
      <c r="D270" s="297"/>
      <c r="E270" s="41"/>
      <c r="F270" s="254" cm="1">
        <f t="array" ref="F270">+SUMPRODUCT(('Budget original'!$A$8:$A$501=$A270)*('Budget original'!$C$3:$AO$3=F$2),'Budget original'!$C$8:$AO$501)</f>
        <v>7252.1344311888879</v>
      </c>
      <c r="G270" s="298"/>
      <c r="H270" s="41"/>
      <c r="I270" s="254"/>
      <c r="J270" s="253"/>
      <c r="K270" s="41"/>
      <c r="L270" s="272">
        <f>SUMIFS(BV_Data_An_Cour!$P:$P,BV_Data_An_Cour!$U:$U,$B270,BV_Data_An_Cour!$V:$V,$C270,BV_Data_An_Cour!$W:$W,$L$2)</f>
        <v>8937.75</v>
      </c>
      <c r="M270" s="253"/>
      <c r="N270" s="276">
        <f t="shared" si="67"/>
        <v>1685.6155688111121</v>
      </c>
      <c r="O270" s="253"/>
      <c r="P270" s="41"/>
      <c r="Q270" s="272" cm="1">
        <f t="array" ref="Q270">+SUMPRODUCT(('Réel 2024'!$A$8:$A$501=$A270)*('Réel 2024'!$C$3:$AO$3=Q$2),'Réel 2024'!$C$8:$AO$501)</f>
        <v>7564.99</v>
      </c>
      <c r="R270" s="253"/>
      <c r="S270" s="276">
        <f t="shared" si="68"/>
        <v>1372.7600000000002</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tr">
        <f t="shared" si="63"/>
        <v>CarrosserieFrais de déplacement</v>
      </c>
      <c r="B271" s="41" t="s">
        <v>176</v>
      </c>
      <c r="C271" s="312" t="s">
        <v>133</v>
      </c>
      <c r="D271" s="297"/>
      <c r="E271" s="41"/>
      <c r="F271" s="254" cm="1">
        <f t="array" ref="F271">+SUMPRODUCT(('Budget original'!$A$8:$A$501=$A271)*('Budget original'!$C$3:$AO$3=F$2),'Budget original'!$C$8:$AO$501)</f>
        <v>1070.19119189291</v>
      </c>
      <c r="G271" s="298"/>
      <c r="H271" s="41"/>
      <c r="I271" s="254"/>
      <c r="J271" s="253"/>
      <c r="K271" s="41"/>
      <c r="L271" s="256">
        <f>SUMIFS(BV_Data_An_Cour!$P:$P,BV_Data_An_Cour!$U:$U,$B271,BV_Data_An_Cour!$V:$V,$C271,BV_Data_An_Cour!$W:$W,$L$2)</f>
        <v>1238.42</v>
      </c>
      <c r="M271" s="253"/>
      <c r="N271" s="276">
        <f t="shared" si="67"/>
        <v>168.22880810709012</v>
      </c>
      <c r="O271" s="253"/>
      <c r="P271" s="41"/>
      <c r="Q271" s="256" cm="1">
        <f t="array" ref="Q271">+SUMPRODUCT(('Réel 2024'!$A$8:$A$501=$A271)*('Réel 2024'!$C$3:$AO$3=Q$2),'Réel 2024'!$C$8:$AO$501)</f>
        <v>1012.97</v>
      </c>
      <c r="R271" s="253"/>
      <c r="S271" s="276">
        <f t="shared" si="68"/>
        <v>225.45000000000005</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tr">
        <f t="shared" si="63"/>
        <v>CarrosserieServices extérieurs</v>
      </c>
      <c r="B272" s="41" t="s">
        <v>176</v>
      </c>
      <c r="C272" s="312" t="s">
        <v>134</v>
      </c>
      <c r="D272" s="299"/>
      <c r="E272" s="318"/>
      <c r="F272" s="248" cm="1">
        <f t="array" ref="F272">+SUMPRODUCT(('Budget original'!$A$8:$A$501=$A272)*('Budget original'!$C$3:$AO$3=F$2),'Budget original'!$C$8:$AO$501)</f>
        <v>3435.7337217624035</v>
      </c>
      <c r="G272" s="300"/>
      <c r="H272" s="318"/>
      <c r="I272" s="248"/>
      <c r="J272" s="246"/>
      <c r="K272" s="318"/>
      <c r="L272" s="256">
        <f>SUMIFS(BV_Data_An_Cour!$P:$P,BV_Data_An_Cour!$U:$U,$B272,BV_Data_An_Cour!$V:$V,$C272,BV_Data_An_Cour!$W:$W,$L$2)</f>
        <v>4546.45</v>
      </c>
      <c r="M272" s="246"/>
      <c r="N272" s="296">
        <f t="shared" si="67"/>
        <v>1110.7162782375963</v>
      </c>
      <c r="O272" s="246"/>
      <c r="P272" s="318"/>
      <c r="Q272" s="248" cm="1">
        <f t="array" ref="Q272">+SUMPRODUCT(('Réel 2024'!$A$8:$A$501=$A272)*('Réel 2024'!$C$3:$AO$3=Q$2),'Réel 2024'!$C$8:$AO$501)</f>
        <v>3359.2400000000002</v>
      </c>
      <c r="R272" s="246"/>
      <c r="S272" s="296">
        <f t="shared" si="68"/>
        <v>1187.2099999999996</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tr">
        <f t="shared" si="63"/>
        <v>CarrosserieFournitures d'atelier</v>
      </c>
      <c r="B273" s="41" t="s">
        <v>176</v>
      </c>
      <c r="C273" s="406" t="s">
        <v>490</v>
      </c>
      <c r="D273" s="297"/>
      <c r="E273" s="41"/>
      <c r="F273" s="254"/>
      <c r="G273" s="298"/>
      <c r="H273" s="41"/>
      <c r="I273" s="254"/>
      <c r="J273" s="253"/>
      <c r="K273" s="41"/>
      <c r="L273" s="272">
        <f>SUMIFS(BV_Data_An_Cour!$P:$P,BV_Data_An_Cour!$U:$U,$B273,BV_Data_An_Cour!$V:$V,$C273,BV_Data_An_Cour!$W:$W,$L$2)</f>
        <v>0</v>
      </c>
      <c r="M273" s="253"/>
      <c r="N273" s="276">
        <f t="shared" si="67"/>
        <v>0</v>
      </c>
      <c r="O273" s="253"/>
      <c r="P273" s="41"/>
      <c r="Q273" s="256"/>
      <c r="R273" s="253"/>
      <c r="S273" s="276">
        <f t="shared" si="68"/>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tr">
        <f t="shared" si="63"/>
        <v>CarrosserieFournitures autres</v>
      </c>
      <c r="B274" s="41" t="s">
        <v>176</v>
      </c>
      <c r="C274" s="312" t="s">
        <v>135</v>
      </c>
      <c r="D274" s="297"/>
      <c r="E274" s="41"/>
      <c r="F274" s="254" cm="1">
        <f t="array" ref="F274">+SUMPRODUCT(('Budget original'!$A$8:$A$501=$A274)*('Budget original'!$C$3:$AO$3=F$2),'Budget original'!$C$8:$AO$501)</f>
        <v>229.75766666666669</v>
      </c>
      <c r="G274" s="298"/>
      <c r="H274" s="41"/>
      <c r="I274" s="254"/>
      <c r="J274" s="253"/>
      <c r="K274" s="41"/>
      <c r="L274" s="256">
        <f>SUMIFS(BV_Data_An_Cour!$P:$P,BV_Data_An_Cour!$U:$U,$B274,BV_Data_An_Cour!$V:$V,$C274,BV_Data_An_Cour!$W:$W,$L$2)</f>
        <v>0</v>
      </c>
      <c r="M274" s="253"/>
      <c r="N274" s="276">
        <f t="shared" si="67"/>
        <v>-229.75766666666669</v>
      </c>
      <c r="O274" s="253"/>
      <c r="P274" s="41"/>
      <c r="Q274" s="256" cm="1">
        <f t="array" ref="Q274">+SUMPRODUCT(('Réel 2024'!$A$8:$A$501=$A274)*('Réel 2024'!$C$3:$AO$3=Q$2),'Réel 2024'!$C$8:$AO$501)</f>
        <v>7.93</v>
      </c>
      <c r="R274" s="253"/>
      <c r="S274" s="276">
        <f t="shared" si="68"/>
        <v>-7.93</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tr">
        <f t="shared" si="63"/>
        <v>CarrosserieUniformes</v>
      </c>
      <c r="B275" s="41" t="s">
        <v>176</v>
      </c>
      <c r="C275" s="312" t="s">
        <v>136</v>
      </c>
      <c r="D275" s="297"/>
      <c r="E275" s="41"/>
      <c r="F275" s="254" cm="1">
        <f t="array" ref="F275">+SUMPRODUCT(('Budget original'!$A$8:$A$501=$A275)*('Budget original'!$C$3:$AO$3=F$2),'Budget original'!$C$8:$AO$501)</f>
        <v>141.66666666666666</v>
      </c>
      <c r="G275" s="298"/>
      <c r="H275" s="41"/>
      <c r="I275" s="254"/>
      <c r="J275" s="253"/>
      <c r="K275" s="41"/>
      <c r="L275" s="256">
        <f>SUMIFS(BV_Data_An_Cour!$P:$P,BV_Data_An_Cour!$U:$U,$B275,BV_Data_An_Cour!$V:$V,$C275,BV_Data_An_Cour!$W:$W,$L$2)</f>
        <v>0</v>
      </c>
      <c r="M275" s="253"/>
      <c r="N275" s="276">
        <f t="shared" si="67"/>
        <v>-141.66666666666666</v>
      </c>
      <c r="O275" s="253"/>
      <c r="P275" s="41"/>
      <c r="Q275" s="256" cm="1">
        <f t="array" ref="Q275">+SUMPRODUCT(('Réel 2024'!$A$8:$A$501=$A275)*('Réel 2024'!$C$3:$AO$3=Q$2),'Réel 2024'!$C$8:$AO$501)</f>
        <v>0</v>
      </c>
      <c r="R275" s="253"/>
      <c r="S275" s="276">
        <f t="shared" si="68"/>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tr">
        <f t="shared" si="63"/>
        <v>CarrosseriePapeterie</v>
      </c>
      <c r="B276" s="41" t="s">
        <v>176</v>
      </c>
      <c r="C276" s="312" t="s">
        <v>137</v>
      </c>
      <c r="D276" s="297"/>
      <c r="E276" s="41"/>
      <c r="F276" s="254" cm="1">
        <f t="array" ref="F276">+SUMPRODUCT(('Budget original'!$A$8:$A$501=$A276)*('Budget original'!$C$3:$AO$3=F$2),'Budget original'!$C$8:$AO$501)</f>
        <v>731.18448526309976</v>
      </c>
      <c r="G276" s="298"/>
      <c r="H276" s="41"/>
      <c r="I276" s="254"/>
      <c r="J276" s="253"/>
      <c r="K276" s="41"/>
      <c r="L276" s="256">
        <f>SUMIFS(BV_Data_An_Cour!$P:$P,BV_Data_An_Cour!$U:$U,$B276,BV_Data_An_Cour!$V:$V,$C276,BV_Data_An_Cour!$W:$W,$L$2)</f>
        <v>623.95000000000005</v>
      </c>
      <c r="M276" s="253"/>
      <c r="N276" s="276">
        <f t="shared" si="67"/>
        <v>-107.23448526309971</v>
      </c>
      <c r="O276" s="253"/>
      <c r="P276" s="41"/>
      <c r="Q276" s="256" cm="1">
        <f t="array" ref="Q276">+SUMPRODUCT(('Réel 2024'!$A$8:$A$501=$A276)*('Réel 2024'!$C$3:$AO$3=Q$2),'Réel 2024'!$C$8:$AO$501)</f>
        <v>702.09999999999991</v>
      </c>
      <c r="R276" s="253"/>
      <c r="S276" s="276">
        <f t="shared" si="68"/>
        <v>-78.149999999999864</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tr">
        <f t="shared" si="63"/>
        <v>CarrosserieTéléphone</v>
      </c>
      <c r="B277" s="41" t="s">
        <v>176</v>
      </c>
      <c r="C277" s="312" t="s">
        <v>138</v>
      </c>
      <c r="D277" s="297"/>
      <c r="E277" s="41"/>
      <c r="F277" s="254" cm="1">
        <f t="array" ref="F277">+SUMPRODUCT(('Budget original'!$A$8:$A$501=$A277)*('Budget original'!$C$3:$AO$3=F$2),'Budget original'!$C$8:$AO$501)</f>
        <v>161.84487662904306</v>
      </c>
      <c r="G277" s="298"/>
      <c r="H277" s="41"/>
      <c r="I277" s="254"/>
      <c r="J277" s="253"/>
      <c r="K277" s="41"/>
      <c r="L277" s="256">
        <f>SUMIFS(BV_Data_An_Cour!$P:$P,BV_Data_An_Cour!$U:$U,$B277,BV_Data_An_Cour!$V:$V,$C277,BV_Data_An_Cour!$W:$W,$L$2)</f>
        <v>146.11000000000001</v>
      </c>
      <c r="M277" s="253"/>
      <c r="N277" s="276">
        <f t="shared" si="67"/>
        <v>-15.734876629043043</v>
      </c>
      <c r="O277" s="253"/>
      <c r="P277" s="41"/>
      <c r="Q277" s="256" cm="1">
        <f t="array" ref="Q277">+SUMPRODUCT(('Réel 2024'!$A$8:$A$501=$A277)*('Réel 2024'!$C$3:$AO$3=Q$2),'Réel 2024'!$C$8:$AO$501)</f>
        <v>137.69</v>
      </c>
      <c r="R277" s="253"/>
      <c r="S277" s="276">
        <f t="shared" si="68"/>
        <v>8.4200000000000159</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tr">
        <f t="shared" si="63"/>
        <v>CarrosserieFrais postaux</v>
      </c>
      <c r="B278" s="41" t="s">
        <v>176</v>
      </c>
      <c r="C278" s="312" t="s">
        <v>139</v>
      </c>
      <c r="D278" s="297"/>
      <c r="E278" s="41"/>
      <c r="F278" s="254" cm="1">
        <f t="array" ref="F278">+SUMPRODUCT(('Budget original'!$A$8:$A$501=$A278)*('Budget original'!$C$3:$AO$3=F$2),'Budget original'!$C$8:$AO$501)</f>
        <v>112.46049415295695</v>
      </c>
      <c r="G278" s="298"/>
      <c r="H278" s="41"/>
      <c r="I278" s="254"/>
      <c r="J278" s="253"/>
      <c r="K278" s="41"/>
      <c r="L278" s="256">
        <f>SUMIFS(BV_Data_An_Cour!$P:$P,BV_Data_An_Cour!$U:$U,$B278,BV_Data_An_Cour!$V:$V,$C278,BV_Data_An_Cour!$W:$W,$L$2)</f>
        <v>420.42</v>
      </c>
      <c r="M278" s="253"/>
      <c r="N278" s="276">
        <f t="shared" si="67"/>
        <v>307.95950584704303</v>
      </c>
      <c r="O278" s="253"/>
      <c r="P278" s="41"/>
      <c r="Q278" s="256" cm="1">
        <f t="array" ref="Q278">+SUMPRODUCT(('Réel 2024'!$A$8:$A$501=$A278)*('Réel 2024'!$C$3:$AO$3=Q$2),'Réel 2024'!$C$8:$AO$501)</f>
        <v>148.9</v>
      </c>
      <c r="R278" s="253"/>
      <c r="S278" s="276">
        <f t="shared" si="68"/>
        <v>271.52</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tr">
        <f t="shared" si="63"/>
        <v>CarrosserieDivers</v>
      </c>
      <c r="B279" s="41" t="s">
        <v>176</v>
      </c>
      <c r="C279" s="312" t="s">
        <v>140</v>
      </c>
      <c r="D279" s="297"/>
      <c r="E279" s="41"/>
      <c r="F279" s="254" cm="1">
        <f t="array" ref="F279">+SUMPRODUCT(('Budget original'!$A$8:$A$501=$A279)*('Budget original'!$C$3:$AO$3=F$2),'Budget original'!$C$8:$AO$501)</f>
        <v>514.52533752743193</v>
      </c>
      <c r="G279" s="298"/>
      <c r="H279" s="41"/>
      <c r="I279" s="254"/>
      <c r="J279" s="253"/>
      <c r="K279" s="41"/>
      <c r="L279" s="256">
        <f>SUMIFS(BV_Data_An_Cour!$P:$P,BV_Data_An_Cour!$U:$U,$B279,BV_Data_An_Cour!$V:$V,$C279,BV_Data_An_Cour!$W:$W,$L$2)</f>
        <v>101.65</v>
      </c>
      <c r="M279" s="253"/>
      <c r="N279" s="276">
        <f t="shared" si="67"/>
        <v>-412.87533752743195</v>
      </c>
      <c r="O279" s="253"/>
      <c r="P279" s="41"/>
      <c r="Q279" s="256" cm="1">
        <f t="array" ref="Q279">+SUMPRODUCT(('Réel 2024'!$A$8:$A$501=$A279)*('Réel 2024'!$C$3:$AO$3=Q$2),'Réel 2024'!$C$8:$AO$501)</f>
        <v>190.82999999999998</v>
      </c>
      <c r="R279" s="253"/>
      <c r="S279" s="276">
        <f t="shared" si="68"/>
        <v>-89.179999999999978</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tr">
        <f t="shared" si="63"/>
        <v>CarrosserieFormation</v>
      </c>
      <c r="B280" s="41" t="s">
        <v>176</v>
      </c>
      <c r="C280" s="312" t="s">
        <v>141</v>
      </c>
      <c r="D280" s="297"/>
      <c r="E280" s="41"/>
      <c r="F280" s="254" cm="1">
        <f t="array" ref="F280">+SUMPRODUCT(('Budget original'!$A$8:$A$501=$A280)*('Budget original'!$C$3:$AO$3=F$2),'Budget original'!$C$8:$AO$501)</f>
        <v>877.49350893491282</v>
      </c>
      <c r="G280" s="298"/>
      <c r="H280" s="41"/>
      <c r="I280" s="254"/>
      <c r="J280" s="253"/>
      <c r="K280" s="41"/>
      <c r="L280" s="256">
        <f>SUMIFS(BV_Data_An_Cour!$P:$P,BV_Data_An_Cour!$U:$U,$B280,BV_Data_An_Cour!$V:$V,$C280,BV_Data_An_Cour!$W:$W,$L$2)</f>
        <v>250.44</v>
      </c>
      <c r="M280" s="253"/>
      <c r="N280" s="276">
        <f t="shared" si="67"/>
        <v>-627.05350893491277</v>
      </c>
      <c r="O280" s="253"/>
      <c r="P280" s="41"/>
      <c r="Q280" s="256" cm="1">
        <f t="array" ref="Q280">+SUMPRODUCT(('Réel 2024'!$A$8:$A$501=$A280)*('Réel 2024'!$C$3:$AO$3=Q$2),'Réel 2024'!$C$8:$AO$501)</f>
        <v>260.39999999999998</v>
      </c>
      <c r="R280" s="253"/>
      <c r="S280" s="276">
        <f t="shared" si="68"/>
        <v>-9.9599999999999795</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tr">
        <f t="shared" si="63"/>
        <v>CarrosserieFrais bancaires</v>
      </c>
      <c r="B281" s="41" t="s">
        <v>176</v>
      </c>
      <c r="C281" s="312" t="s">
        <v>142</v>
      </c>
      <c r="D281" s="297"/>
      <c r="E281" s="41"/>
      <c r="F281" s="254" cm="1">
        <f t="array" ref="F281">+SUMPRODUCT(('Budget original'!$A$8:$A$501=$A281)*('Budget original'!$C$3:$AO$3=F$2),'Budget original'!$C$8:$AO$501)</f>
        <v>917.16803192368695</v>
      </c>
      <c r="G281" s="298"/>
      <c r="H281" s="41"/>
      <c r="I281" s="254"/>
      <c r="J281" s="253"/>
      <c r="K281" s="41"/>
      <c r="L281" s="256">
        <f>SUMIFS(BV_Data_An_Cour!$P:$P,BV_Data_An_Cour!$U:$U,$B281,BV_Data_An_Cour!$V:$V,$C281,BV_Data_An_Cour!$W:$W,L$2)</f>
        <v>992.04</v>
      </c>
      <c r="M281" s="253"/>
      <c r="N281" s="276">
        <f t="shared" si="67"/>
        <v>74.87196807631301</v>
      </c>
      <c r="O281" s="253"/>
      <c r="P281" s="41"/>
      <c r="Q281" s="256" cm="1">
        <f t="array" ref="Q281">+SUMPRODUCT(('Réel 2024'!$A$8:$A$501=$A281)*('Réel 2024'!$C$3:$AO$3=Q$2),'Réel 2024'!$C$8:$AO$501)</f>
        <v>987.13000000000011</v>
      </c>
      <c r="R281" s="253"/>
      <c r="S281" s="276">
        <f t="shared" si="68"/>
        <v>4.9099999999998545</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3"/>
        <v>Carrosserie[...]</v>
      </c>
      <c r="B282" s="41" t="s">
        <v>176</v>
      </c>
      <c r="C282" s="312" t="s">
        <v>59</v>
      </c>
      <c r="D282" s="297"/>
      <c r="E282" s="41"/>
      <c r="F282" s="254" cm="1">
        <f t="array" ref="F282">+SUMPRODUCT(('Budget original'!$A$8:$A$501=$A282)*('Budget original'!$C$3:$AO$3=F$2),'Budget original'!$C$8:$AO$501)</f>
        <v>0</v>
      </c>
      <c r="G282" s="298"/>
      <c r="H282" s="41"/>
      <c r="I282" s="254"/>
      <c r="J282" s="253"/>
      <c r="K282" s="41"/>
      <c r="L282" s="256">
        <f>SUMIFS(BV_Data_An_Cour!$P:$P,BV_Data_An_Cour!$U:$U,$B282,BV_Data_An_Cour!$V:$V,$C282,BV_Data_An_Cour!$W:$W,$L$2)</f>
        <v>0</v>
      </c>
      <c r="M282" s="253"/>
      <c r="N282" s="276">
        <f t="shared" si="67"/>
        <v>0</v>
      </c>
      <c r="O282" s="253"/>
      <c r="P282" s="41"/>
      <c r="Q282" s="256" cm="1">
        <f t="array" ref="Q282">+SUMPRODUCT(('Réel 2024'!$A$8:$A$501=$A282)*('Réel 2024'!$C$3:$AO$3=Q$2),'Réel 2024'!$C$8:$AO$501)</f>
        <v>0</v>
      </c>
      <c r="R282" s="253"/>
      <c r="S282" s="276">
        <f t="shared" si="68"/>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3"/>
        <v>Carrosserie[...]</v>
      </c>
      <c r="B283" s="41" t="s">
        <v>176</v>
      </c>
      <c r="C283" s="312" t="s">
        <v>59</v>
      </c>
      <c r="D283" s="297"/>
      <c r="E283" s="41"/>
      <c r="F283" s="254" cm="1">
        <f t="array" ref="F283">+SUMPRODUCT(('Budget original'!$A$8:$A$501=$A283)*('Budget original'!$C$3:$AO$3=F$2),'Budget original'!$C$8:$AO$501)</f>
        <v>0</v>
      </c>
      <c r="G283" s="298"/>
      <c r="H283" s="41"/>
      <c r="I283" s="254"/>
      <c r="J283" s="253"/>
      <c r="K283" s="41"/>
      <c r="L283" s="256">
        <f>SUMIFS(BV_Data_An_Cour!$P:$P,BV_Data_An_Cour!$U:$U,$B283,BV_Data_An_Cour!$V:$V,$C283,BV_Data_An_Cour!$W:$W,$L$2)</f>
        <v>0</v>
      </c>
      <c r="M283" s="253"/>
      <c r="N283" s="276">
        <f t="shared" si="67"/>
        <v>0</v>
      </c>
      <c r="O283" s="253"/>
      <c r="P283" s="41"/>
      <c r="Q283" s="256" cm="1">
        <f t="array" ref="Q283">+SUMPRODUCT(('Réel 2024'!$A$8:$A$501=$A283)*('Réel 2024'!$C$3:$AO$3=Q$2),'Réel 2024'!$C$8:$AO$501)</f>
        <v>0</v>
      </c>
      <c r="R283" s="253"/>
      <c r="S283" s="276">
        <f t="shared" si="68"/>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tr">
        <f t="shared" si="63"/>
        <v>Carrosserie[...]</v>
      </c>
      <c r="B284" s="41" t="s">
        <v>176</v>
      </c>
      <c r="C284" s="312" t="s">
        <v>59</v>
      </c>
      <c r="D284" s="297"/>
      <c r="E284" s="41"/>
      <c r="F284" s="254" cm="1">
        <f t="array" ref="F284">+SUMPRODUCT(('Budget original'!$A$8:$A$501=$A284)*('Budget original'!$C$3:$AO$3=F$2),'Budget original'!$C$8:$AO$501)</f>
        <v>0</v>
      </c>
      <c r="G284" s="298"/>
      <c r="H284" s="41"/>
      <c r="I284" s="254"/>
      <c r="J284" s="253"/>
      <c r="K284" s="41"/>
      <c r="L284" s="256">
        <f>SUMIFS(BV_Data_An_Cour!$P:$P,BV_Data_An_Cour!$U:$U,$B284,BV_Data_An_Cour!$V:$V,$C284,BV_Data_An_Cour!$W:$W,$L$2)</f>
        <v>0</v>
      </c>
      <c r="M284" s="253"/>
      <c r="N284" s="276">
        <f t="shared" si="67"/>
        <v>0</v>
      </c>
      <c r="O284" s="253"/>
      <c r="P284" s="41"/>
      <c r="Q284" s="256" cm="1">
        <f t="array" ref="Q284">+SUMPRODUCT(('Réel 2024'!$A$8:$A$501=$A284)*('Réel 2024'!$C$3:$AO$3=Q$2),'Réel 2024'!$C$8:$AO$501)</f>
        <v>0</v>
      </c>
      <c r="R284" s="253"/>
      <c r="S284" s="276">
        <f t="shared" si="68"/>
        <v>0</v>
      </c>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f>IF(F250=0,0,F285/F$250)</f>
        <v>0.35322865827195477</v>
      </c>
      <c r="F285" s="307">
        <f>+SUM(F267:F284)</f>
        <v>19116.734985678191</v>
      </c>
      <c r="G285" s="308"/>
      <c r="H285" s="306"/>
      <c r="I285" s="307"/>
      <c r="J285" s="308" t="s">
        <v>119</v>
      </c>
      <c r="K285" s="306">
        <f>IF(L262=0,0,L285/L$241)</f>
        <v>1.875287595066147</v>
      </c>
      <c r="L285" s="307">
        <f>+SUM(L267:L284)</f>
        <v>30516.329999999998</v>
      </c>
      <c r="M285" s="311"/>
      <c r="N285" s="307">
        <f>+SUM(N267:N284)</f>
        <v>11399.595014321812</v>
      </c>
      <c r="O285" s="308" t="s">
        <v>119</v>
      </c>
      <c r="P285" s="306">
        <f>IF(Q250=0,0,Q285/Q$250)</f>
        <v>0.33625197599650058</v>
      </c>
      <c r="Q285" s="307">
        <f>+SUM(Q267:Q284)</f>
        <v>17046.61</v>
      </c>
      <c r="R285" s="311"/>
      <c r="S285" s="307">
        <f t="shared" si="68"/>
        <v>13469.719999999998</v>
      </c>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f>IF(F250=0,0,F287/F$250)</f>
        <v>1.0675058650602882</v>
      </c>
      <c r="F287" s="307">
        <f>F266+F285</f>
        <v>57773.417417062796</v>
      </c>
      <c r="G287" s="308"/>
      <c r="H287" s="306"/>
      <c r="I287" s="307"/>
      <c r="J287" s="308" t="s">
        <v>119</v>
      </c>
      <c r="K287" s="306" t="e">
        <f>IF(L264=0,0,L287/L$244)</f>
        <v>#DIV/0!</v>
      </c>
      <c r="L287" s="307">
        <f>L266+L285</f>
        <v>67933.319999999992</v>
      </c>
      <c r="M287" s="311"/>
      <c r="N287" s="320">
        <f>L287-F287</f>
        <v>10159.902582937197</v>
      </c>
      <c r="O287" s="308" t="s">
        <v>119</v>
      </c>
      <c r="P287" s="306">
        <f>IF(Q250=0,0,Q287/Q$250)</f>
        <v>0.86468699465874543</v>
      </c>
      <c r="Q287" s="307">
        <f>Q266+Q285</f>
        <v>43836.119999999995</v>
      </c>
      <c r="R287" s="311"/>
      <c r="S287" s="320">
        <f>L287-Q287</f>
        <v>24097.199999999997</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332" t="s">
        <v>151</v>
      </c>
      <c r="D289" s="360"/>
      <c r="E289" s="333"/>
      <c r="F289" s="335">
        <f>F250-F287</f>
        <v>-3653.4174170627957</v>
      </c>
      <c r="G289" s="361"/>
      <c r="H289" s="333"/>
      <c r="I289" s="335"/>
      <c r="J289" s="332"/>
      <c r="K289" s="334"/>
      <c r="L289" s="335">
        <f>L250-L287</f>
        <v>-51660.439999999995</v>
      </c>
      <c r="M289" s="332"/>
      <c r="N289" s="335">
        <f>L289-F289</f>
        <v>-48007.022582937199</v>
      </c>
      <c r="O289" s="332"/>
      <c r="P289" s="334"/>
      <c r="Q289" s="335">
        <f>Q250-Q287</f>
        <v>6859.8199999999051</v>
      </c>
      <c r="R289" s="332"/>
      <c r="S289" s="335">
        <f>L289-Q289</f>
        <v>-58520.2599999999</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6" t="str">
        <f>C1</f>
        <v>Volks</v>
      </c>
      <c r="D291" s="232"/>
      <c r="E291" s="232"/>
      <c r="F291" s="232"/>
      <c r="G291" s="232"/>
      <c r="H291" s="36"/>
      <c r="I291" s="36"/>
      <c r="J291" s="36"/>
      <c r="K291" s="9" t="s">
        <v>180</v>
      </c>
      <c r="L291" s="232"/>
      <c r="M291" s="232"/>
      <c r="N291" s="36"/>
      <c r="O291" s="36"/>
      <c r="P291" s="232"/>
      <c r="Q291" s="36"/>
      <c r="R291" s="232"/>
      <c r="S291" s="10" t="str">
        <f>$S$1</f>
        <v>Réalisé AAJ, Mai 2025</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18" t="s">
        <v>343</v>
      </c>
      <c r="E293" s="1219"/>
      <c r="F293" s="1220"/>
      <c r="G293" s="1223"/>
      <c r="H293" s="1219"/>
      <c r="I293" s="1220"/>
      <c r="J293" s="1223" t="s">
        <v>344</v>
      </c>
      <c r="K293" s="1219"/>
      <c r="L293" s="1220"/>
      <c r="M293" s="1223" t="s">
        <v>3310</v>
      </c>
      <c r="N293" s="1220"/>
      <c r="O293" s="1218" t="s">
        <v>345</v>
      </c>
      <c r="P293" s="1219"/>
      <c r="Q293" s="1220"/>
      <c r="R293" s="1221" t="s">
        <v>3312</v>
      </c>
      <c r="S293" s="1222"/>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tr">
        <f t="shared" ref="A294:A348" si="69">+B294&amp;C294</f>
        <v>Pièces</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si="69"/>
        <v>PiècesPièces Ro Clients</v>
      </c>
      <c r="B295" s="41" t="s">
        <v>180</v>
      </c>
      <c r="C295" s="253" t="s">
        <v>182</v>
      </c>
      <c r="D295" s="291" cm="1">
        <f t="array" ref="D295">+SUMPRODUCT(('Budget original'!$A$8:$A$501=$A295)*('Budget original'!$C$3:$AO$3=D$2),'Budget original'!$C$8:$AO$501)</f>
        <v>440252.46256000001</v>
      </c>
      <c r="E295" s="353">
        <f t="shared" ref="E295:E303" si="70">IF(D295=0,0,F295/D295)</f>
        <v>0.35699999999999993</v>
      </c>
      <c r="F295" s="276" cm="1">
        <f t="array" ref="F295">+SUMPRODUCT(('Budget original'!$A$8:$A$501=$A295)*('Budget original'!$C$3:$AO$3=F$2),'Budget original'!$C$8:$AO$501)</f>
        <v>157170.12913391998</v>
      </c>
      <c r="G295" s="291"/>
      <c r="H295" s="353"/>
      <c r="I295" s="276"/>
      <c r="J295" s="254">
        <f>-SUMIFS(BV_Data_An_Cour!$P:$P,BV_Data_An_Cour!$X:$X,"Oui",BV_Data_An_Cour!$U:$U,$B295,BV_Data_An_Cour!$V:$V,$C295)</f>
        <v>401918.36</v>
      </c>
      <c r="K295" s="353">
        <f t="shared" ref="K295:K304" si="71">IF(J295&lt;=0,0,L295/J295)</f>
        <v>0.31402738108306366</v>
      </c>
      <c r="L295" s="256">
        <f>-SUMIFS(BV_Data_An_Cour!$P:$P,BV_Data_An_Cour!$U:$U,$B295,BV_Data_An_Cour!$V:$V,$C295,BV_Data_An_Cour!$W:$W,$L$2)</f>
        <v>126213.36999999997</v>
      </c>
      <c r="M295" s="292">
        <f t="shared" ref="M295:M301" si="72">(+J295-D295)/D295</f>
        <v>-8.7072999744494659E-2</v>
      </c>
      <c r="N295" s="276">
        <f t="shared" ref="N295:N304" si="73">L295-F295</f>
        <v>-30956.759133920015</v>
      </c>
      <c r="O295" s="254" cm="1">
        <f t="array" ref="O295">+SUMPRODUCT(('Réel 2024'!$A$8:$A$501=$A295)*('Réel 2024'!$C$3:$AO$3=O$2),'Réel 2024'!$C$8:$AO$501)</f>
        <v>397072.95999999996</v>
      </c>
      <c r="P295" s="353">
        <f t="shared" ref="P295:P303" si="74">IF(O295=0,0,Q295/O295)</f>
        <v>0.36981067660713973</v>
      </c>
      <c r="Q295" s="256" cm="1">
        <f t="array" ref="Q295">+SUMPRODUCT(('Réel 2024'!$A$8:$A$501=$A295)*('Réel 2024'!$C$3:$AO$3=Q$2),'Réel 2024'!$C$8:$AO$501)</f>
        <v>146841.81999999972</v>
      </c>
      <c r="R295" s="292">
        <f t="shared" ref="R295:R304" si="75">IF(O295=0,0,(J295-O295)/O295)</f>
        <v>1.2202795173965067E-2</v>
      </c>
      <c r="S295" s="276">
        <f t="shared" ref="S295:S304" si="76">L295-Q295</f>
        <v>-20628.44999999975</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9"/>
        <v>PiècesPièces Ro Carrosserie</v>
      </c>
      <c r="B296" s="41" t="s">
        <v>180</v>
      </c>
      <c r="C296" s="253" t="s">
        <v>183</v>
      </c>
      <c r="D296" s="291" cm="1">
        <f t="array" ref="D296">+SUMPRODUCT(('Budget original'!$A$8:$A$501=$A296)*('Budget original'!$C$3:$AO$3=D$2),'Budget original'!$C$8:$AO$501)</f>
        <v>147600</v>
      </c>
      <c r="E296" s="353">
        <f t="shared" si="70"/>
        <v>0.24800000000000003</v>
      </c>
      <c r="F296" s="276" cm="1">
        <f t="array" ref="F296">+SUMPRODUCT(('Budget original'!$A$8:$A$501=$A296)*('Budget original'!$C$3:$AO$3=F$2),'Budget original'!$C$8:$AO$501)</f>
        <v>36604.800000000003</v>
      </c>
      <c r="G296" s="291"/>
      <c r="H296" s="353"/>
      <c r="I296" s="276"/>
      <c r="J296" s="254">
        <f>-SUMIFS(BV_Data_An_Cour!$P:$P,BV_Data_An_Cour!$X:$X,"Oui",BV_Data_An_Cour!$U:$U,$B296,BV_Data_An_Cour!$V:$V,$C296)</f>
        <v>24999.530000000002</v>
      </c>
      <c r="K296" s="353">
        <f t="shared" si="71"/>
        <v>0.23716605872190391</v>
      </c>
      <c r="L296" s="256">
        <f>-SUMIFS(BV_Data_An_Cour!$P:$P,BV_Data_An_Cour!$U:$U,$B296,BV_Data_An_Cour!$V:$V,$C296,BV_Data_An_Cour!$W:$W,$L$2)</f>
        <v>5929.0399999999991</v>
      </c>
      <c r="M296" s="292">
        <f t="shared" si="72"/>
        <v>-0.83062649051490511</v>
      </c>
      <c r="N296" s="276">
        <f t="shared" si="73"/>
        <v>-30675.760000000002</v>
      </c>
      <c r="O296" s="254" cm="1">
        <f t="array" ref="O296">+SUMPRODUCT(('Réel 2024'!$A$8:$A$501=$A296)*('Réel 2024'!$C$3:$AO$3=O$2),'Réel 2024'!$C$8:$AO$501)</f>
        <v>164227.42999999991</v>
      </c>
      <c r="P296" s="353">
        <f t="shared" si="74"/>
        <v>0.24869347343497922</v>
      </c>
      <c r="Q296" s="256" cm="1">
        <f t="array" ref="Q296">+SUMPRODUCT(('Réel 2024'!$A$8:$A$501=$A296)*('Réel 2024'!$C$3:$AO$3=Q$2),'Réel 2024'!$C$8:$AO$501)</f>
        <v>40842.289999999884</v>
      </c>
      <c r="R296" s="292">
        <f t="shared" si="75"/>
        <v>-0.84777494234671991</v>
      </c>
      <c r="S296" s="276">
        <f t="shared" si="76"/>
        <v>-34913.249999999884</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9"/>
        <v>PiècesP/A Garantie</v>
      </c>
      <c r="B297" s="41" t="s">
        <v>180</v>
      </c>
      <c r="C297" s="253" t="s">
        <v>184</v>
      </c>
      <c r="D297" s="291" cm="1">
        <f t="array" ref="D297">+SUMPRODUCT(('Budget original'!$A$8:$A$501=$A297)*('Budget original'!$C$3:$AO$3=D$2),'Budget original'!$C$8:$AO$501)</f>
        <v>185333.18999999997</v>
      </c>
      <c r="E297" s="353">
        <f t="shared" si="70"/>
        <v>0.23700000000000002</v>
      </c>
      <c r="F297" s="276" cm="1">
        <f t="array" ref="F297">+SUMPRODUCT(('Budget original'!$A$8:$A$501=$A297)*('Budget original'!$C$3:$AO$3=F$2),'Budget original'!$C$8:$AO$501)</f>
        <v>43923.966029999996</v>
      </c>
      <c r="G297" s="291"/>
      <c r="H297" s="353"/>
      <c r="I297" s="276"/>
      <c r="J297" s="254">
        <f>-SUMIFS(BV_Data_An_Cour!$P:$P,BV_Data_An_Cour!$X:$X,"Oui",BV_Data_An_Cour!$U:$U,$B297,BV_Data_An_Cour!$V:$V,$C297)</f>
        <v>445833.91</v>
      </c>
      <c r="K297" s="353">
        <f t="shared" si="71"/>
        <v>0.23357429227399948</v>
      </c>
      <c r="L297" s="256">
        <f>-SUMIFS(BV_Data_An_Cour!$P:$P,BV_Data_An_Cour!$U:$U,$B297,BV_Data_An_Cour!$V:$V,$C297,BV_Data_An_Cour!$W:$W,$L$2)</f>
        <v>104135.33999999997</v>
      </c>
      <c r="M297" s="292">
        <f t="shared" si="72"/>
        <v>1.4055805115101081</v>
      </c>
      <c r="N297" s="276">
        <f t="shared" si="73"/>
        <v>60211.373969999971</v>
      </c>
      <c r="O297" s="254" cm="1">
        <f t="array" ref="O297">+SUMPRODUCT(('Réel 2024'!$A$8:$A$501=$A297)*('Réel 2024'!$C$3:$AO$3=O$2),'Réel 2024'!$C$8:$AO$501)</f>
        <v>160735.67999999999</v>
      </c>
      <c r="P297" s="353">
        <f t="shared" si="74"/>
        <v>0.23651008911027091</v>
      </c>
      <c r="Q297" s="256" cm="1">
        <f t="array" ref="Q297">+SUMPRODUCT(('Réel 2024'!$A$8:$A$501=$A297)*('Réel 2024'!$C$3:$AO$3=Q$2),'Réel 2024'!$C$8:$AO$501)</f>
        <v>38015.609999999986</v>
      </c>
      <c r="R297" s="292">
        <f t="shared" si="75"/>
        <v>1.7737084261565321</v>
      </c>
      <c r="S297" s="276">
        <f t="shared" si="76"/>
        <v>66119.729999999981</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9"/>
        <v>PiècesVentes Internes</v>
      </c>
      <c r="B298" s="41" t="s">
        <v>180</v>
      </c>
      <c r="C298" s="253" t="s">
        <v>185</v>
      </c>
      <c r="D298" s="291" cm="1">
        <f t="array" ref="D298">+SUMPRODUCT(('Budget original'!$A$8:$A$501=$A298)*('Budget original'!$C$3:$AO$3=D$2),'Budget original'!$C$8:$AO$501)</f>
        <v>261396.82799999995</v>
      </c>
      <c r="E298" s="353">
        <f t="shared" si="70"/>
        <v>0.29399999999999998</v>
      </c>
      <c r="F298" s="276" cm="1">
        <f t="array" ref="F298">+SUMPRODUCT(('Budget original'!$A$8:$A$501=$A298)*('Budget original'!$C$3:$AO$3=F$2),'Budget original'!$C$8:$AO$501)</f>
        <v>76850.667431999987</v>
      </c>
      <c r="G298" s="291"/>
      <c r="H298" s="353"/>
      <c r="I298" s="276"/>
      <c r="J298" s="254">
        <f>-SUMIFS(BV_Data_An_Cour!$P:$P,BV_Data_An_Cour!$X:$X,"Oui",BV_Data_An_Cour!$U:$U,$B298,BV_Data_An_Cour!$V:$V,$C298)</f>
        <v>299909.28999999998</v>
      </c>
      <c r="K298" s="353">
        <f t="shared" si="71"/>
        <v>0.28160844900803172</v>
      </c>
      <c r="L298" s="256">
        <f>-SUMIFS(BV_Data_An_Cour!$P:$P,BV_Data_An_Cour!$U:$U,$B298,BV_Data_An_Cour!$V:$V,$C298,BV_Data_An_Cour!$W:$W,$L$2)</f>
        <v>84456.989999999991</v>
      </c>
      <c r="M298" s="292">
        <f t="shared" si="72"/>
        <v>0.14733331806153377</v>
      </c>
      <c r="N298" s="276">
        <f t="shared" si="73"/>
        <v>7606.3225680000032</v>
      </c>
      <c r="O298" s="254" cm="1">
        <f t="array" ref="O298">+SUMPRODUCT(('Réel 2024'!$A$8:$A$501=$A298)*('Réel 2024'!$C$3:$AO$3=O$2),'Réel 2024'!$C$8:$AO$501)</f>
        <v>265725.77</v>
      </c>
      <c r="P298" s="353">
        <f t="shared" si="74"/>
        <v>0.27207142912785537</v>
      </c>
      <c r="Q298" s="256" cm="1">
        <f t="array" ref="Q298">+SUMPRODUCT(('Réel 2024'!$A$8:$A$501=$A298)*('Réel 2024'!$C$3:$AO$3=Q$2),'Réel 2024'!$C$8:$AO$501)</f>
        <v>72296.389999999796</v>
      </c>
      <c r="R298" s="292">
        <f t="shared" si="75"/>
        <v>0.12864209594726156</v>
      </c>
      <c r="S298" s="276">
        <f t="shared" si="76"/>
        <v>12160.600000000195</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9"/>
        <v>PiècesVentes Détails</v>
      </c>
      <c r="B299" s="41" t="s">
        <v>180</v>
      </c>
      <c r="C299" s="253" t="s">
        <v>186</v>
      </c>
      <c r="D299" s="291" cm="1">
        <f t="array" ref="D299">+SUMPRODUCT(('Budget original'!$A$8:$A$501=$A299)*('Budget original'!$C$3:$AO$3=D$2),'Budget original'!$C$8:$AO$501)</f>
        <v>91965.319999999992</v>
      </c>
      <c r="E299" s="353">
        <f t="shared" si="70"/>
        <v>0.27700000000000002</v>
      </c>
      <c r="F299" s="276" cm="1">
        <f t="array" ref="F299">+SUMPRODUCT(('Budget original'!$A$8:$A$501=$A299)*('Budget original'!$C$3:$AO$3=F$2),'Budget original'!$C$8:$AO$501)</f>
        <v>25474.393640000002</v>
      </c>
      <c r="G299" s="291"/>
      <c r="H299" s="353"/>
      <c r="I299" s="276"/>
      <c r="J299" s="254">
        <f>-SUMIFS(BV_Data_An_Cour!$P:$P,BV_Data_An_Cour!$X:$X,"Oui",BV_Data_An_Cour!$U:$U,$B299,BV_Data_An_Cour!$V:$V,$C299)</f>
        <v>85480.06</v>
      </c>
      <c r="K299" s="353">
        <f t="shared" si="71"/>
        <v>0.28576208299339051</v>
      </c>
      <c r="L299" s="256">
        <f>-SUMIFS(BV_Data_An_Cour!$P:$P,BV_Data_An_Cour!$U:$U,$B299,BV_Data_An_Cour!$V:$V,$C299,BV_Data_An_Cour!$W:$W,$L$2)</f>
        <v>24426.959999999999</v>
      </c>
      <c r="M299" s="292">
        <f t="shared" si="72"/>
        <v>-7.0518538944897874E-2</v>
      </c>
      <c r="N299" s="276">
        <f t="shared" si="73"/>
        <v>-1047.4336400000029</v>
      </c>
      <c r="O299" s="254" cm="1">
        <f t="array" ref="O299">+SUMPRODUCT(('Réel 2024'!$A$8:$A$501=$A299)*('Réel 2024'!$C$3:$AO$3=O$2),'Réel 2024'!$C$8:$AO$501)</f>
        <v>86383.28</v>
      </c>
      <c r="P299" s="353">
        <f t="shared" si="74"/>
        <v>0.28483208787626474</v>
      </c>
      <c r="Q299" s="256" cm="1">
        <f t="array" ref="Q299">+SUMPRODUCT(('Réel 2024'!$A$8:$A$501=$A299)*('Réel 2024'!$C$3:$AO$3=Q$2),'Réel 2024'!$C$8:$AO$501)</f>
        <v>24604.729999999981</v>
      </c>
      <c r="R299" s="292">
        <f t="shared" si="75"/>
        <v>-1.0455958606804478E-2</v>
      </c>
      <c r="S299" s="276">
        <f t="shared" si="76"/>
        <v>-177.76999999998225</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tr">
        <f t="shared" si="69"/>
        <v>PiècesVentes de Gros</v>
      </c>
      <c r="B300" s="41" t="s">
        <v>180</v>
      </c>
      <c r="C300" s="253" t="s">
        <v>187</v>
      </c>
      <c r="D300" s="291" cm="1">
        <f t="array" ref="D300">+SUMPRODUCT(('Budget original'!$A$8:$A$501=$A300)*('Budget original'!$C$3:$AO$3=D$2),'Budget original'!$C$8:$AO$501)</f>
        <v>801184.76699999999</v>
      </c>
      <c r="E300" s="353">
        <f t="shared" si="70"/>
        <v>0.13500000000000001</v>
      </c>
      <c r="F300" s="276" cm="1">
        <f t="array" ref="F300">+SUMPRODUCT(('Budget original'!$A$8:$A$501=$A300)*('Budget original'!$C$3:$AO$3=F$2),'Budget original'!$C$8:$AO$501)</f>
        <v>108159.94354500002</v>
      </c>
      <c r="G300" s="291"/>
      <c r="H300" s="353"/>
      <c r="I300" s="276"/>
      <c r="J300" s="254">
        <f>-SUMIFS(BV_Data_An_Cour!$P:$P,BV_Data_An_Cour!$X:$X,"Oui",BV_Data_An_Cour!$U:$U,$B300,BV_Data_An_Cour!$V:$V,$C300)</f>
        <v>997948.9</v>
      </c>
      <c r="K300" s="353">
        <f t="shared" si="71"/>
        <v>0.13651585767567856</v>
      </c>
      <c r="L300" s="256">
        <f>-SUMIFS(BV_Data_An_Cour!$P:$P,BV_Data_An_Cour!$U:$U,$B300,BV_Data_An_Cour!$V:$V,$C300,BV_Data_An_Cour!$W:$W,$L$2)</f>
        <v>136235.84999999998</v>
      </c>
      <c r="M300" s="292">
        <f t="shared" si="72"/>
        <v>0.24559145543514813</v>
      </c>
      <c r="N300" s="276">
        <f t="shared" si="73"/>
        <v>28075.90645499996</v>
      </c>
      <c r="O300" s="254" cm="1">
        <f t="array" ref="O300">+SUMPRODUCT(('Réel 2024'!$A$8:$A$501=$A300)*('Réel 2024'!$C$3:$AO$3=O$2),'Réel 2024'!$C$8:$AO$501)</f>
        <v>749204.72</v>
      </c>
      <c r="P300" s="353">
        <f t="shared" si="74"/>
        <v>0.14839789049914087</v>
      </c>
      <c r="Q300" s="256" cm="1">
        <f t="array" ref="Q300">+SUMPRODUCT(('Réel 2024'!$A$8:$A$501=$A300)*('Réel 2024'!$C$3:$AO$3=Q$2),'Réel 2024'!$C$8:$AO$501)</f>
        <v>111180.39999999948</v>
      </c>
      <c r="R300" s="292">
        <f t="shared" si="75"/>
        <v>0.33201096223739762</v>
      </c>
      <c r="S300" s="276">
        <f t="shared" si="76"/>
        <v>25055.450000000492</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tr">
        <f t="shared" si="69"/>
        <v>Pièces[...]</v>
      </c>
      <c r="B301" s="41" t="s">
        <v>180</v>
      </c>
      <c r="C301" s="253" t="s">
        <v>59</v>
      </c>
      <c r="D301" s="291" cm="1">
        <f t="array" ref="D301">+SUMPRODUCT(('Budget original'!$A$8:$A$501=$A301)*('Budget original'!$C$3:$AO$3=D$2),'Budget original'!$C$8:$AO$501)</f>
        <v>0</v>
      </c>
      <c r="E301" s="353">
        <f t="shared" si="70"/>
        <v>0</v>
      </c>
      <c r="F301" s="276" cm="1">
        <f t="array" ref="F301">+SUMPRODUCT(('Budget original'!$A$8:$A$501=$A301)*('Budget original'!$C$3:$AO$3=F$2),'Budget original'!$C$8:$AO$501)</f>
        <v>0</v>
      </c>
      <c r="G301" s="291"/>
      <c r="H301" s="353"/>
      <c r="I301" s="276"/>
      <c r="J301" s="254">
        <f>-SUMIFS(BV_Data_An_Cour!$P:$P,BV_Data_An_Cour!$X:$X,"Oui",BV_Data_An_Cour!$U:$U,$B301,BV_Data_An_Cour!$V:$V,$C301)</f>
        <v>0</v>
      </c>
      <c r="K301" s="353">
        <f t="shared" si="71"/>
        <v>0</v>
      </c>
      <c r="L301" s="256">
        <f>-SUMIFS(BV_Data_An_Cour!$P:$P,BV_Data_An_Cour!$U:$U,$B301,BV_Data_An_Cour!$V:$V,$C301,BV_Data_An_Cour!$W:$W,$L$2)</f>
        <v>0</v>
      </c>
      <c r="M301" s="292" t="e">
        <f t="shared" si="72"/>
        <v>#DIV/0!</v>
      </c>
      <c r="N301" s="276">
        <f t="shared" si="73"/>
        <v>0</v>
      </c>
      <c r="O301" s="254" cm="1">
        <f t="array" ref="O301">+SUMPRODUCT(('Réel 2024'!$A$8:$A$501=$A301)*('Réel 2024'!$C$3:$AO$3=O$2),'Réel 2024'!$C$8:$AO$501)</f>
        <v>0</v>
      </c>
      <c r="P301" s="353">
        <f t="shared" si="74"/>
        <v>0</v>
      </c>
      <c r="Q301" s="256" cm="1">
        <f t="array" ref="Q301">+SUMPRODUCT(('Réel 2024'!$A$8:$A$501=$A301)*('Réel 2024'!$C$3:$AO$3=Q$2),'Réel 2024'!$C$8:$AO$501)</f>
        <v>0</v>
      </c>
      <c r="R301" s="292">
        <f t="shared" si="75"/>
        <v>0</v>
      </c>
      <c r="S301" s="276">
        <f t="shared" si="76"/>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tr">
        <f t="shared" si="69"/>
        <v>PiècesEscomptes</v>
      </c>
      <c r="B302" s="41" t="s">
        <v>180</v>
      </c>
      <c r="C302" s="253" t="s">
        <v>188</v>
      </c>
      <c r="D302" s="291" cm="1">
        <f t="array" ref="D302">+SUMPRODUCT(('Budget original'!$A$8:$A$501=$A302)*('Budget original'!$C$3:$AO$3=D$2),'Budget original'!$C$8:$AO$501)</f>
        <v>0</v>
      </c>
      <c r="E302" s="353">
        <f t="shared" si="70"/>
        <v>0</v>
      </c>
      <c r="F302" s="276" cm="1">
        <f t="array" ref="F302">+SUMPRODUCT(('Budget original'!$A$8:$A$501=$A302)*('Budget original'!$C$3:$AO$3=F$2),'Budget original'!$C$8:$AO$501)</f>
        <v>49423.522303793536</v>
      </c>
      <c r="G302" s="291"/>
      <c r="H302" s="353"/>
      <c r="I302" s="276"/>
      <c r="J302" s="254">
        <f>-SUMIFS(BV_Data_An_Cour!$P:$P,BV_Data_An_Cour!$X:$X,"Oui",BV_Data_An_Cour!$U:$U,$B302,BV_Data_An_Cour!$V:$V,$C302)</f>
        <v>0</v>
      </c>
      <c r="K302" s="353">
        <f t="shared" si="71"/>
        <v>0</v>
      </c>
      <c r="L302" s="256">
        <f>-SUMIFS(BV_Data_An_Cour!$P:$P,BV_Data_An_Cour!$U:$U,$B302,BV_Data_An_Cour!$V:$V,$C302,BV_Data_An_Cour!$W:$W,$L$2)</f>
        <v>29116.44</v>
      </c>
      <c r="M302" s="292"/>
      <c r="N302" s="276">
        <f t="shared" si="73"/>
        <v>-20307.082303793537</v>
      </c>
      <c r="O302" s="254" cm="1">
        <f t="array" ref="O302">+SUMPRODUCT(('Réel 2024'!$A$8:$A$501=$A302)*('Réel 2024'!$C$3:$AO$3=O$2),'Réel 2024'!$C$8:$AO$501)</f>
        <v>0</v>
      </c>
      <c r="P302" s="353">
        <f t="shared" si="74"/>
        <v>0</v>
      </c>
      <c r="Q302" s="256" cm="1">
        <f t="array" ref="Q302">+SUMPRODUCT(('Réel 2024'!$A$8:$A$501=$A302)*('Réel 2024'!$C$3:$AO$3=Q$2),'Réel 2024'!$C$8:$AO$501)</f>
        <v>71129.409999999989</v>
      </c>
      <c r="R302" s="292">
        <f t="shared" si="75"/>
        <v>0</v>
      </c>
      <c r="S302" s="276">
        <f t="shared" si="76"/>
        <v>-42012.969999999987</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9"/>
        <v>PiècesRectif. Inventaire</v>
      </c>
      <c r="B303" s="41" t="s">
        <v>180</v>
      </c>
      <c r="C303" s="246" t="s">
        <v>189</v>
      </c>
      <c r="D303" s="291" cm="1">
        <f t="array" ref="D303">+SUMPRODUCT(('Budget original'!$A$8:$A$501=$A303)*('Budget original'!$C$3:$AO$3=D$2),'Budget original'!$C$8:$AO$501)</f>
        <v>0</v>
      </c>
      <c r="E303" s="353">
        <f t="shared" si="70"/>
        <v>0</v>
      </c>
      <c r="F303" s="276" cm="1">
        <f t="array" ref="F303">+SUMPRODUCT(('Budget original'!$A$8:$A$501=$A303)*('Budget original'!$C$3:$AO$3=F$2),'Budget original'!$C$8:$AO$501)</f>
        <v>0</v>
      </c>
      <c r="G303" s="291"/>
      <c r="H303" s="353"/>
      <c r="I303" s="276"/>
      <c r="J303" s="254">
        <f>-SUMIFS(BV_Data_An_Cour!$P:$P,BV_Data_An_Cour!$X:$X,"Oui",BV_Data_An_Cour!$U:$U,$B303,BV_Data_An_Cour!$V:$V,$C303)</f>
        <v>0</v>
      </c>
      <c r="K303" s="353">
        <f t="shared" si="71"/>
        <v>0</v>
      </c>
      <c r="L303" s="256">
        <f>-SUMIFS(BV_Data_An_Cour!$P:$P,BV_Data_An_Cour!$U:$U,$B303,BV_Data_An_Cour!$V:$V,$C303,BV_Data_An_Cour!$W:$W,$L$2)</f>
        <v>0</v>
      </c>
      <c r="M303" s="292"/>
      <c r="N303" s="276">
        <f t="shared" si="73"/>
        <v>0</v>
      </c>
      <c r="O303" s="254" cm="1">
        <f t="array" ref="O303">+SUMPRODUCT(('Réel 2024'!$A$8:$A$501=$A303)*('Réel 2024'!$C$3:$AO$3=O$2),'Réel 2024'!$C$8:$AO$501)</f>
        <v>0</v>
      </c>
      <c r="P303" s="353">
        <f t="shared" si="74"/>
        <v>0</v>
      </c>
      <c r="Q303" s="256" cm="1">
        <f t="array" ref="Q303">+SUMPRODUCT(('Réel 2024'!$A$8:$A$501=$A303)*('Réel 2024'!$C$3:$AO$3=Q$2),'Réel 2024'!$C$8:$AO$501)</f>
        <v>0</v>
      </c>
      <c r="R303" s="292">
        <f t="shared" si="75"/>
        <v>0</v>
      </c>
      <c r="S303" s="276">
        <f t="shared" si="76"/>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9"/>
        <v>PiècesSous-total Pièces</v>
      </c>
      <c r="B304" s="41" t="s">
        <v>180</v>
      </c>
      <c r="C304" s="270" t="s">
        <v>190</v>
      </c>
      <c r="D304" s="390">
        <f>SUM(D295:D303)</f>
        <v>1927732.5675599999</v>
      </c>
      <c r="E304" s="407">
        <f>IF(D304&lt;=0,0,F304/D304)</f>
        <v>0.25813094122000185</v>
      </c>
      <c r="F304" s="392">
        <f t="shared" ref="F304" si="77">SUM(F295:F303)</f>
        <v>497607.42208471353</v>
      </c>
      <c r="G304" s="390"/>
      <c r="H304" s="407"/>
      <c r="I304" s="392"/>
      <c r="J304" s="390">
        <f t="shared" ref="J304" si="78">SUM(J295:J303)</f>
        <v>2256090.0500000003</v>
      </c>
      <c r="K304" s="407">
        <f t="shared" si="71"/>
        <v>0.22628262998633406</v>
      </c>
      <c r="L304" s="392">
        <f>SUM(L295:L303)</f>
        <v>510513.98999999993</v>
      </c>
      <c r="M304" s="408">
        <f>(+J304-D304)/D304</f>
        <v>0.17033352445542496</v>
      </c>
      <c r="N304" s="392">
        <f t="shared" si="73"/>
        <v>12906.567915286403</v>
      </c>
      <c r="O304" s="390">
        <f>SUM(O295:O303)</f>
        <v>1823349.8399999999</v>
      </c>
      <c r="P304" s="407">
        <f>IF(O304&lt;=0,0,Q304/O304)</f>
        <v>0.27691375452118333</v>
      </c>
      <c r="Q304" s="392">
        <f t="shared" ref="Q304" si="79">SUM(Q295:Q303)</f>
        <v>504910.64999999886</v>
      </c>
      <c r="R304" s="408">
        <f t="shared" si="75"/>
        <v>0.23733251870085473</v>
      </c>
      <c r="S304" s="392">
        <f t="shared" si="76"/>
        <v>5603.3400000010733</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9"/>
        <v>Pièces</v>
      </c>
      <c r="B305" s="41" t="s">
        <v>180</v>
      </c>
      <c r="C305" s="253"/>
      <c r="D305" s="41"/>
      <c r="E305" s="41"/>
      <c r="F305" s="263"/>
      <c r="G305" s="253"/>
      <c r="H305" s="41"/>
      <c r="I305" s="263"/>
      <c r="J305" s="253"/>
      <c r="K305" s="41"/>
      <c r="L305" s="263"/>
      <c r="M305" s="253"/>
      <c r="N305" s="265">
        <f>N304/F304</f>
        <v>2.5937249611781649E-2</v>
      </c>
      <c r="O305" s="253"/>
      <c r="P305" s="41"/>
      <c r="Q305" s="263"/>
      <c r="R305" s="253"/>
      <c r="S305" s="265">
        <f>IF(Q304=0,0,S304/Q304)</f>
        <v>1.1097686293606772E-2</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9"/>
        <v>Pièces</v>
      </c>
      <c r="B306" s="41" t="s">
        <v>180</v>
      </c>
      <c r="C306" s="246"/>
      <c r="D306" s="318"/>
      <c r="E306" s="318"/>
      <c r="F306" s="409"/>
      <c r="G306" s="246"/>
      <c r="H306" s="318"/>
      <c r="I306" s="409"/>
      <c r="J306" s="267"/>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tr">
        <f t="shared" si="69"/>
        <v>PiècesVentes Pneus</v>
      </c>
      <c r="B307" s="41" t="s">
        <v>180</v>
      </c>
      <c r="C307" s="253" t="s">
        <v>191</v>
      </c>
      <c r="D307" s="291" cm="1">
        <f t="array" ref="D307">+SUMPRODUCT(('Budget original'!$A$8:$A$501=$A307)*('Budget original'!$C$3:$AO$3=D$2),'Budget original'!$C$8:$AO$501)</f>
        <v>189872.43</v>
      </c>
      <c r="E307" s="353">
        <f t="shared" ref="E307:E308" si="80">IF(D307=0,0,F307/D307)</f>
        <v>0.17100000000000001</v>
      </c>
      <c r="F307" s="317" cm="1">
        <f t="array" ref="F307">+SUMPRODUCT(('Budget original'!$A$8:$A$501=$A307)*('Budget original'!$C$3:$AO$3=F$2),'Budget original'!$C$8:$AO$501)</f>
        <v>32468.185530000002</v>
      </c>
      <c r="G307" s="291"/>
      <c r="H307" s="353"/>
      <c r="I307" s="317"/>
      <c r="J307" s="254">
        <f>-SUMIFS(BV_Data_An_Cour!$P:$P,BV_Data_An_Cour!$X:$X,"Oui",BV_Data_An_Cour!$U:$U,$B307,BV_Data_An_Cour!$V:$V,$C307)</f>
        <v>214980.9</v>
      </c>
      <c r="K307" s="353">
        <f t="shared" ref="K307:K309" si="81">IF(J307&lt;=0,0,L307/J307)</f>
        <v>0.16106365728304234</v>
      </c>
      <c r="L307" s="256">
        <f>-SUMIFS(BV_Data_An_Cour!$P:$P,BV_Data_An_Cour!$U:$U,$B307,BV_Data_An_Cour!$V:$V,$C307,BV_Data_An_Cour!$W:$W,$L$2)</f>
        <v>34625.609999999993</v>
      </c>
      <c r="M307" s="292">
        <f>(+J307-D307)/D307</f>
        <v>0.13223862990535279</v>
      </c>
      <c r="N307" s="276">
        <f>L307-F307</f>
        <v>2157.4244699999908</v>
      </c>
      <c r="O307" s="254" cm="1">
        <f t="array" ref="O307">+SUMPRODUCT(('Réel 2024'!$A$8:$A$501=$A307)*('Réel 2024'!$C$3:$AO$3=O$2),'Réel 2024'!$C$8:$AO$501)</f>
        <v>201526.58</v>
      </c>
      <c r="P307" s="353">
        <f t="shared" ref="P307:P308" si="82">IF(O307=0,0,Q307/O307)</f>
        <v>0.16234394490295018</v>
      </c>
      <c r="Q307" s="256" cm="1">
        <f t="array" ref="Q307">+SUMPRODUCT(('Réel 2024'!$A$8:$A$501=$A307)*('Réel 2024'!$C$3:$AO$3=Q$2),'Réel 2024'!$C$8:$AO$501)</f>
        <v>32716.619999999977</v>
      </c>
      <c r="R307" s="292">
        <f t="shared" ref="R307:R309" si="83">IF(O307=0,0,(J307-O307)/O307)</f>
        <v>6.6762012236797785E-2</v>
      </c>
      <c r="S307" s="276">
        <f t="shared" ref="S307:S309" si="84">L307-Q307</f>
        <v>1908.9900000000162</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69"/>
        <v>PiècesHuiles et Graisse</v>
      </c>
      <c r="B308" s="41" t="s">
        <v>180</v>
      </c>
      <c r="C308" s="246" t="s">
        <v>192</v>
      </c>
      <c r="D308" s="291" cm="1">
        <f t="array" ref="D308">+SUMPRODUCT(('Budget original'!$A$8:$A$501=$A308)*('Budget original'!$C$3:$AO$3=D$2),'Budget original'!$C$8:$AO$501)</f>
        <v>109842.71739974237</v>
      </c>
      <c r="E308" s="353">
        <f t="shared" si="80"/>
        <v>0.25599999999999995</v>
      </c>
      <c r="F308" s="296" cm="1">
        <f t="array" ref="F308">+SUMPRODUCT(('Budget original'!$A$8:$A$501=$A308)*('Budget original'!$C$3:$AO$3=F$2),'Budget original'!$C$8:$AO$501)</f>
        <v>28119.735654334043</v>
      </c>
      <c r="G308" s="291"/>
      <c r="H308" s="353"/>
      <c r="I308" s="296"/>
      <c r="J308" s="254">
        <f>-SUMIFS(BV_Data_An_Cour!$P:$P,BV_Data_An_Cour!$X:$X,"Oui",BV_Data_An_Cour!$U:$U,$B308,BV_Data_An_Cour!$V:$V,$C308)</f>
        <v>106765.79</v>
      </c>
      <c r="K308" s="353">
        <f t="shared" si="81"/>
        <v>0.26126823957374357</v>
      </c>
      <c r="L308" s="256">
        <f>-SUMIFS(BV_Data_An_Cour!$P:$P,BV_Data_An_Cour!$U:$U,$B308,BV_Data_An_Cour!$V:$V,$C308,BV_Data_An_Cour!$W:$W,$L$2)</f>
        <v>27894.509999999995</v>
      </c>
      <c r="M308" s="292">
        <f>(+J308-D308)/D308</f>
        <v>-2.8012120171287663E-2</v>
      </c>
      <c r="N308" s="276">
        <f>L308-F308</f>
        <v>-225.22565433404816</v>
      </c>
      <c r="O308" s="254" cm="1">
        <f t="array" ref="O308">+SUMPRODUCT(('Réel 2024'!$A$8:$A$501=$A308)*('Réel 2024'!$C$3:$AO$3=O$2),'Réel 2024'!$C$8:$AO$501)</f>
        <v>109332.73</v>
      </c>
      <c r="P308" s="353">
        <f t="shared" si="82"/>
        <v>0.25231200208757243</v>
      </c>
      <c r="Q308" s="256" cm="1">
        <f t="array" ref="Q308">+SUMPRODUCT(('Réel 2024'!$A$8:$A$501=$A308)*('Réel 2024'!$C$3:$AO$3=Q$2),'Réel 2024'!$C$8:$AO$501)</f>
        <v>27585.959999999992</v>
      </c>
      <c r="R308" s="292">
        <f t="shared" si="83"/>
        <v>-2.3478239315893809E-2</v>
      </c>
      <c r="S308" s="276">
        <f t="shared" si="84"/>
        <v>308.55000000000291</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9"/>
        <v>PiècesSous-total Pièces et Acc.</v>
      </c>
      <c r="B309" s="41" t="s">
        <v>180</v>
      </c>
      <c r="C309" s="270" t="s">
        <v>193</v>
      </c>
      <c r="D309" s="390">
        <f>D304+D307+D308</f>
        <v>2227447.7149597425</v>
      </c>
      <c r="E309" s="407">
        <f>IF(D309&lt;=0,0,F309/D309)</f>
        <v>0.25059862887921303</v>
      </c>
      <c r="F309" s="392">
        <f t="shared" ref="F309" si="85">F304+F307+F308</f>
        <v>558195.34326904756</v>
      </c>
      <c r="G309" s="393"/>
      <c r="H309" s="407"/>
      <c r="I309" s="392"/>
      <c r="J309" s="393">
        <f t="shared" ref="J309" si="86">J304+J307+J308</f>
        <v>2577836.7400000002</v>
      </c>
      <c r="K309" s="407">
        <f t="shared" si="81"/>
        <v>0.22229263052554676</v>
      </c>
      <c r="L309" s="392">
        <f>L304+L307+L308</f>
        <v>573034.11</v>
      </c>
      <c r="M309" s="408">
        <f>(+J309-D309)/D309</f>
        <v>0.15730516262492403</v>
      </c>
      <c r="N309" s="392">
        <f>L309-F309</f>
        <v>14838.766730952426</v>
      </c>
      <c r="O309" s="393">
        <f>O304+O307+O308</f>
        <v>2134209.15</v>
      </c>
      <c r="P309" s="407">
        <f>IF(O309&lt;=0,0,Q309/O309)</f>
        <v>0.26483497645954657</v>
      </c>
      <c r="Q309" s="392">
        <f t="shared" ref="Q309" si="87">Q304+Q307+Q308</f>
        <v>565213.22999999882</v>
      </c>
      <c r="R309" s="408">
        <f t="shared" si="83"/>
        <v>0.20786509607083276</v>
      </c>
      <c r="S309" s="392">
        <f t="shared" si="84"/>
        <v>7820.8800000011688</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9"/>
        <v>Pièces</v>
      </c>
      <c r="B310" s="41" t="s">
        <v>180</v>
      </c>
      <c r="C310" s="253"/>
      <c r="D310" s="41"/>
      <c r="E310" s="41"/>
      <c r="F310" s="263"/>
      <c r="G310" s="253"/>
      <c r="H310" s="41"/>
      <c r="I310" s="263"/>
      <c r="J310" s="253"/>
      <c r="K310" s="41"/>
      <c r="L310" s="263"/>
      <c r="M310" s="253"/>
      <c r="N310" s="265">
        <f>N309/F309</f>
        <v>2.6583465644929628E-2</v>
      </c>
      <c r="O310" s="253"/>
      <c r="P310" s="41"/>
      <c r="Q310" s="263"/>
      <c r="R310" s="253"/>
      <c r="S310" s="265">
        <f>IF(Q309=0,0,S309/Q309)</f>
        <v>1.3837043411034779E-2</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9"/>
        <v>Pièces</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9"/>
        <v>PiècesAutostock</v>
      </c>
      <c r="B312" s="41" t="s">
        <v>180</v>
      </c>
      <c r="C312" s="246" t="s">
        <v>194</v>
      </c>
      <c r="D312" s="294" cm="1">
        <f t="array" ref="D312">+SUMPRODUCT(('Budget original'!$A$8:$A$501=$A312)*('Budget original'!$C$3:$AO$3=D$2),'Budget original'!$C$8:$AO$501)</f>
        <v>0</v>
      </c>
      <c r="E312" s="354">
        <f>IF(D312=0,0,F312/D312)</f>
        <v>0</v>
      </c>
      <c r="F312" s="296" cm="1">
        <f t="array" ref="F312">+SUMPRODUCT(('Budget original'!$A$8:$A$501=$A312)*('Budget original'!$C$3:$AO$3=F$2),'Budget original'!$C$8:$AO$501)</f>
        <v>0</v>
      </c>
      <c r="G312" s="365"/>
      <c r="H312" s="354"/>
      <c r="I312" s="296"/>
      <c r="J312" s="267">
        <f>-SUMIFS(BV_Data_An_Cour!$P:$P,BV_Data_An_Cour!$X:$X,"Oui",BV_Data_An_Cour!$U:$U,$B312,BV_Data_An_Cour!$V:$V,$C312)</f>
        <v>0</v>
      </c>
      <c r="K312" s="354">
        <f>IF(J312&lt;=0,0,L312/J312)</f>
        <v>0</v>
      </c>
      <c r="L312" s="248">
        <f>-SUMIFS(BV_Data_An_Cour!$P:$P,BV_Data_An_Cour!$U:$U,$B312,BV_Data_An_Cour!$V:$V,$C312,BV_Data_An_Cour!$W:$W,$L$2)</f>
        <v>0</v>
      </c>
      <c r="M312" s="354">
        <f>IF(F312=0,0,(+L312-F312)/F312)</f>
        <v>0</v>
      </c>
      <c r="N312" s="296">
        <f>L312-F312</f>
        <v>0</v>
      </c>
      <c r="O312" s="267" cm="1">
        <f t="array" ref="O312">+SUMPRODUCT(('Réel 2024'!$A$8:$A$501=$A312)*('Réel 2024'!$C$3:$AO$3=O$2),'Réel 2024'!$C$8:$AO$501)</f>
        <v>0</v>
      </c>
      <c r="P312" s="354">
        <f>IF(O312=0,0,Q312/O312)</f>
        <v>0</v>
      </c>
      <c r="Q312" s="248" cm="1">
        <f t="array" ref="Q312">+SUMPRODUCT(('Réel 2024'!$A$8:$A$501=$A312)*('Réel 2024'!$C$3:$AO$3=Q$2),'Réel 2024'!$C$8:$AO$501)</f>
        <v>0</v>
      </c>
      <c r="R312" s="354">
        <f>IF(S312=0,0,(+O312-K312)/K312)</f>
        <v>0</v>
      </c>
      <c r="S312" s="296">
        <f>L312-Q312</f>
        <v>0</v>
      </c>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9"/>
        <v>Pièces</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tr">
        <f t="shared" si="69"/>
        <v>PiècesTotal Dépt. Pièces</v>
      </c>
      <c r="B314" s="41" t="s">
        <v>180</v>
      </c>
      <c r="C314" s="278" t="s">
        <v>195</v>
      </c>
      <c r="D314" s="279">
        <f>D309+D312</f>
        <v>2227447.7149597425</v>
      </c>
      <c r="E314" s="410">
        <f>IF(D314&lt;=0,0,F314/D314)</f>
        <v>0.25059862887921303</v>
      </c>
      <c r="F314" s="281">
        <f t="shared" ref="F314" si="88">F309+F312</f>
        <v>558195.34326904756</v>
      </c>
      <c r="G314" s="282"/>
      <c r="H314" s="410"/>
      <c r="I314" s="281"/>
      <c r="J314" s="282">
        <f t="shared" ref="J314" si="89">J309+J312</f>
        <v>2577836.7400000002</v>
      </c>
      <c r="K314" s="410">
        <f>IF(J314&lt;=0,0,L314/J314)</f>
        <v>0.22229263052554676</v>
      </c>
      <c r="L314" s="281">
        <f>L309+L312</f>
        <v>573034.11</v>
      </c>
      <c r="M314" s="411">
        <f>(+J314-D314)/D314</f>
        <v>0.15730516262492403</v>
      </c>
      <c r="N314" s="412">
        <f>L314-F314</f>
        <v>14838.766730952426</v>
      </c>
      <c r="O314" s="282">
        <f>O309+O312</f>
        <v>2134209.15</v>
      </c>
      <c r="P314" s="410">
        <f>IF(O314&lt;=0,0,Q314/O314)</f>
        <v>0.26483497645954657</v>
      </c>
      <c r="Q314" s="281">
        <f t="shared" ref="Q314" si="90">Q309+Q312</f>
        <v>565213.22999999882</v>
      </c>
      <c r="R314" s="411">
        <f>IF(O314=0,0,(J314-O314)/O314)</f>
        <v>0.20786509607083276</v>
      </c>
      <c r="S314" s="412">
        <f>L314-Q314</f>
        <v>7820.8800000011688</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tr">
        <f t="shared" si="69"/>
        <v>Pièces</v>
      </c>
      <c r="B315" s="41" t="s">
        <v>180</v>
      </c>
      <c r="C315" s="332"/>
      <c r="D315" s="413"/>
      <c r="E315" s="414"/>
      <c r="F315" s="335"/>
      <c r="G315" s="415"/>
      <c r="H315" s="414"/>
      <c r="I315" s="335"/>
      <c r="J315" s="415"/>
      <c r="K315" s="414"/>
      <c r="L315" s="335"/>
      <c r="M315" s="416"/>
      <c r="N315" s="287">
        <f>N314/F314</f>
        <v>2.6583465644929628E-2</v>
      </c>
      <c r="O315" s="415"/>
      <c r="P315" s="414"/>
      <c r="Q315" s="335"/>
      <c r="R315" s="416"/>
      <c r="S315" s="287">
        <f>IF(Q314=0,0,S314/Q314)</f>
        <v>1.3837043411034779E-2</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tr">
        <f t="shared" si="69"/>
        <v>Pièces</v>
      </c>
      <c r="B316" s="41" t="s">
        <v>180</v>
      </c>
      <c r="C316" s="270"/>
      <c r="D316" s="319"/>
      <c r="E316" s="372"/>
      <c r="F316" s="374"/>
      <c r="G316" s="373"/>
      <c r="H316" s="372"/>
      <c r="I316" s="374"/>
      <c r="J316" s="373"/>
      <c r="K316" s="372"/>
      <c r="L316" s="374"/>
      <c r="M316" s="253"/>
      <c r="N316" s="265"/>
      <c r="O316" s="373"/>
      <c r="P316" s="372"/>
      <c r="Q316" s="374"/>
      <c r="R316" s="253"/>
      <c r="S316" s="265"/>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tr">
        <f t="shared" si="69"/>
        <v>PiècesDEPENSES</v>
      </c>
      <c r="B317" s="41" t="s">
        <v>180</v>
      </c>
      <c r="C317" s="289" t="s">
        <v>110</v>
      </c>
      <c r="D317" s="41"/>
      <c r="E317" s="41"/>
      <c r="F317" s="276"/>
      <c r="G317" s="253"/>
      <c r="H317" s="41"/>
      <c r="I317" s="276"/>
      <c r="J317" s="253"/>
      <c r="K317" s="41"/>
      <c r="L317" s="263"/>
      <c r="M317" s="253"/>
      <c r="N317" s="263"/>
      <c r="O317" s="253"/>
      <c r="P317" s="41"/>
      <c r="Q317" s="263"/>
      <c r="R317" s="253"/>
      <c r="S317" s="263"/>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9"/>
        <v>PiècesSalaires cadres</v>
      </c>
      <c r="B318" s="41" t="s">
        <v>180</v>
      </c>
      <c r="C318" s="312" t="s">
        <v>120</v>
      </c>
      <c r="D318" s="41"/>
      <c r="E318" s="41"/>
      <c r="F318" s="254" cm="1">
        <f t="array" ref="F318">+SUMPRODUCT(('Budget original'!$A$8:$A$501=$A318)*('Budget original'!$C$3:$AO$3=F$2),'Budget original'!$C$8:$AO$501)</f>
        <v>37191.646153846159</v>
      </c>
      <c r="G318" s="253"/>
      <c r="H318" s="41"/>
      <c r="I318" s="254"/>
      <c r="J318" s="253"/>
      <c r="K318" s="41"/>
      <c r="L318" s="256">
        <f>SUMIFS(BV_Data_An_Cour!$P:$P,BV_Data_An_Cour!$U:$U,$B318,BV_Data_An_Cour!$V:$V,$C318,BV_Data_An_Cour!$W:$W,$L$2)</f>
        <v>43303.96</v>
      </c>
      <c r="M318" s="253"/>
      <c r="N318" s="276">
        <f t="shared" ref="N318:N348" si="91">L318-F318</f>
        <v>6112.3138461538401</v>
      </c>
      <c r="O318" s="253"/>
      <c r="P318" s="41"/>
      <c r="Q318" s="256" cm="1">
        <f t="array" ref="Q318">+SUMPRODUCT(('Réel 2024'!$A$8:$A$501=$A318)*('Réel 2024'!$C$3:$AO$3=Q$2),'Réel 2024'!$C$8:$AO$501)</f>
        <v>41922.630000000005</v>
      </c>
      <c r="R318" s="253"/>
      <c r="S318" s="256">
        <f t="shared" ref="S318:S348" si="92">L318-Q318</f>
        <v>1381.3299999999945</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9"/>
        <v>PiècesSalaires commis</v>
      </c>
      <c r="B319" s="41" t="s">
        <v>180</v>
      </c>
      <c r="C319" s="313" t="s">
        <v>121</v>
      </c>
      <c r="D319" s="297"/>
      <c r="E319" s="41"/>
      <c r="F319" s="248" cm="1">
        <f t="array" ref="F319">+SUMPRODUCT(('Budget original'!$A$8:$A$501=$A319)*('Budget original'!$C$3:$AO$3=F$2),'Budget original'!$C$8:$AO$501)</f>
        <v>144310.83267692308</v>
      </c>
      <c r="G319" s="298"/>
      <c r="H319" s="41"/>
      <c r="I319" s="248"/>
      <c r="J319" s="253"/>
      <c r="K319" s="41"/>
      <c r="L319" s="256">
        <f>SUMIFS(BV_Data_An_Cour!$P:$P,BV_Data_An_Cour!$U:$U,$B319,BV_Data_An_Cour!$V:$V,$C319,BV_Data_An_Cour!$W:$W,$L$2)</f>
        <v>133988.88</v>
      </c>
      <c r="M319" s="253"/>
      <c r="N319" s="276">
        <f t="shared" si="91"/>
        <v>-10321.952676923072</v>
      </c>
      <c r="O319" s="253"/>
      <c r="P319" s="41"/>
      <c r="Q319" s="256" cm="1">
        <f t="array" ref="Q319">+SUMPRODUCT(('Réel 2024'!$A$8:$A$501=$A319)*('Réel 2024'!$C$3:$AO$3=Q$2),'Réel 2024'!$C$8:$AO$501)</f>
        <v>125975.5</v>
      </c>
      <c r="R319" s="253"/>
      <c r="S319" s="276">
        <f t="shared" si="92"/>
        <v>8013.3800000000047</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9"/>
        <v>PiècesSalaires autres</v>
      </c>
      <c r="B320" s="41" t="s">
        <v>180</v>
      </c>
      <c r="C320" s="312" t="s">
        <v>122</v>
      </c>
      <c r="D320" s="314"/>
      <c r="E320" s="315"/>
      <c r="F320" s="254" cm="1">
        <f t="array" ref="F320">+SUMPRODUCT(('Budget original'!$A$8:$A$501=$A320)*('Budget original'!$C$3:$AO$3=F$2),'Budget original'!$C$8:$AO$501)</f>
        <v>771.35384615384623</v>
      </c>
      <c r="G320" s="316"/>
      <c r="H320" s="315"/>
      <c r="I320" s="254"/>
      <c r="J320" s="241"/>
      <c r="K320" s="315"/>
      <c r="L320" s="272">
        <f>SUMIFS(BV_Data_An_Cour!$P:$P,BV_Data_An_Cour!$U:$U,$B320,BV_Data_An_Cour!$V:$V,$C320,BV_Data_An_Cour!$W:$W,$L$2)</f>
        <v>569.6</v>
      </c>
      <c r="M320" s="241"/>
      <c r="N320" s="317">
        <f t="shared" si="91"/>
        <v>-201.75384615384621</v>
      </c>
      <c r="O320" s="241"/>
      <c r="P320" s="315"/>
      <c r="Q320" s="272" cm="1">
        <f t="array" ref="Q320">+SUMPRODUCT(('Réel 2024'!$A$8:$A$501=$A320)*('Réel 2024'!$C$3:$AO$3=Q$2),'Réel 2024'!$C$8:$AO$501)</f>
        <v>7802.89</v>
      </c>
      <c r="R320" s="241"/>
      <c r="S320" s="317">
        <f t="shared" si="92"/>
        <v>-7233.29</v>
      </c>
      <c r="T320" s="41"/>
      <c r="U320" s="417"/>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tr">
        <f t="shared" si="69"/>
        <v>PiècesSalaires spécialistes</v>
      </c>
      <c r="B321" s="41" t="s">
        <v>180</v>
      </c>
      <c r="C321" s="312" t="s">
        <v>123</v>
      </c>
      <c r="D321" s="297"/>
      <c r="E321" s="41"/>
      <c r="F321" s="254" cm="1">
        <f t="array" ref="F321">+SUMPRODUCT(('Budget original'!$A$8:$A$501=$A321)*('Budget original'!$C$3:$AO$3=F$2),'Budget original'!$C$8:$AO$501)</f>
        <v>0</v>
      </c>
      <c r="G321" s="298"/>
      <c r="H321" s="41"/>
      <c r="I321" s="254"/>
      <c r="J321" s="253"/>
      <c r="K321" s="41"/>
      <c r="L321" s="256">
        <f>SUMIFS(BV_Data_An_Cour!$P:$P,BV_Data_An_Cour!$U:$U,$B321,BV_Data_An_Cour!$V:$V,$C321,BV_Data_An_Cour!$W:$W,$L$2)</f>
        <v>0</v>
      </c>
      <c r="M321" s="253"/>
      <c r="N321" s="276">
        <f t="shared" si="91"/>
        <v>0</v>
      </c>
      <c r="O321" s="253"/>
      <c r="P321" s="41"/>
      <c r="Q321" s="256" cm="1">
        <f t="array" ref="Q321">+SUMPRODUCT(('Réel 2024'!$A$8:$A$501=$A321)*('Réel 2024'!$C$3:$AO$3=Q$2),'Réel 2024'!$C$8:$AO$501)</f>
        <v>0</v>
      </c>
      <c r="R321" s="253"/>
      <c r="S321" s="276">
        <f t="shared" si="92"/>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tr">
        <f t="shared" si="69"/>
        <v>Pièces[...]</v>
      </c>
      <c r="B322" s="41" t="s">
        <v>180</v>
      </c>
      <c r="C322" s="253" t="s">
        <v>59</v>
      </c>
      <c r="D322" s="297"/>
      <c r="E322" s="41"/>
      <c r="F322" s="254" cm="1">
        <f t="array" ref="F322">+SUMPRODUCT(('Budget original'!$A$8:$A$501=$A322)*('Budget original'!$C$3:$AO$3=F$2),'Budget original'!$C$8:$AO$501)</f>
        <v>0</v>
      </c>
      <c r="G322" s="298"/>
      <c r="H322" s="41"/>
      <c r="I322" s="254"/>
      <c r="J322" s="253"/>
      <c r="K322" s="41"/>
      <c r="L322" s="256">
        <f>SUMIFS(BV_Data_An_Cour!$P:$P,BV_Data_An_Cour!$U:$U,$B322,BV_Data_An_Cour!$V:$V,$C322,BV_Data_An_Cour!$W:$W,$L$2)</f>
        <v>0</v>
      </c>
      <c r="M322" s="253"/>
      <c r="N322" s="276">
        <f t="shared" si="91"/>
        <v>0</v>
      </c>
      <c r="O322" s="253"/>
      <c r="P322" s="41"/>
      <c r="Q322" s="256" cm="1">
        <f t="array" ref="Q322">+SUMPRODUCT(('Réel 2024'!$A$8:$A$501=$A322)*('Réel 2024'!$C$3:$AO$3=Q$2),'Réel 2024'!$C$8:$AO$501)</f>
        <v>0</v>
      </c>
      <c r="R322" s="253"/>
      <c r="S322" s="276">
        <f t="shared" si="92"/>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9"/>
        <v>Pièces[...]</v>
      </c>
      <c r="B323" s="41" t="s">
        <v>180</v>
      </c>
      <c r="C323" s="253" t="s">
        <v>59</v>
      </c>
      <c r="D323" s="297"/>
      <c r="E323" s="41"/>
      <c r="F323" s="254" cm="1">
        <f t="array" ref="F323">+SUMPRODUCT(('Budget original'!$A$8:$A$501=$A323)*('Budget original'!$C$3:$AO$3=F$2),'Budget original'!$C$8:$AO$501)</f>
        <v>0</v>
      </c>
      <c r="G323" s="298"/>
      <c r="H323" s="41"/>
      <c r="I323" s="254"/>
      <c r="J323" s="253"/>
      <c r="K323" s="41"/>
      <c r="L323" s="256">
        <f>SUMIFS(BV_Data_An_Cour!$P:$P,BV_Data_An_Cour!$U:$U,$B323,BV_Data_An_Cour!$V:$V,$C323,BV_Data_An_Cour!$W:$W,$L$2)</f>
        <v>0</v>
      </c>
      <c r="M323" s="253"/>
      <c r="N323" s="276">
        <f t="shared" si="91"/>
        <v>0</v>
      </c>
      <c r="O323" s="253"/>
      <c r="P323" s="41"/>
      <c r="Q323" s="256" cm="1">
        <f t="array" ref="Q323">+SUMPRODUCT(('Réel 2024'!$A$8:$A$501=$A323)*('Réel 2024'!$C$3:$AO$3=Q$2),'Réel 2024'!$C$8:$AO$501)</f>
        <v>0</v>
      </c>
      <c r="R323" s="253"/>
      <c r="S323" s="276">
        <f t="shared" si="92"/>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tr">
        <f t="shared" si="69"/>
        <v>Pièces[...]</v>
      </c>
      <c r="B324" s="41" t="s">
        <v>180</v>
      </c>
      <c r="C324" s="253" t="s">
        <v>59</v>
      </c>
      <c r="D324" s="297"/>
      <c r="E324" s="41"/>
      <c r="F324" s="254" cm="1">
        <f t="array" ref="F324">+SUMPRODUCT(('Budget original'!$A$8:$A$501=$A324)*('Budget original'!$C$3:$AO$3=F$2),'Budget original'!$C$8:$AO$501)</f>
        <v>0</v>
      </c>
      <c r="G324" s="298"/>
      <c r="H324" s="41"/>
      <c r="I324" s="254"/>
      <c r="J324" s="253"/>
      <c r="K324" s="41"/>
      <c r="L324" s="256">
        <f>SUMIFS(BV_Data_An_Cour!$P:$P,BV_Data_An_Cour!$U:$U,$B324,BV_Data_An_Cour!$V:$V,$C324,BV_Data_An_Cour!$W:$W,$L$2)</f>
        <v>0</v>
      </c>
      <c r="M324" s="253"/>
      <c r="N324" s="276">
        <f t="shared" si="91"/>
        <v>0</v>
      </c>
      <c r="O324" s="253"/>
      <c r="P324" s="41"/>
      <c r="Q324" s="256" cm="1">
        <f t="array" ref="Q324">+SUMPRODUCT(('Réel 2024'!$A$8:$A$501=$A324)*('Réel 2024'!$C$3:$AO$3=Q$2),'Réel 2024'!$C$8:$AO$501)</f>
        <v>0</v>
      </c>
      <c r="R324" s="253"/>
      <c r="S324" s="276">
        <f t="shared" si="92"/>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tr">
        <f t="shared" si="69"/>
        <v>PiècesSalaires en absences</v>
      </c>
      <c r="B325" s="41" t="s">
        <v>180</v>
      </c>
      <c r="C325" s="313" t="s">
        <v>124</v>
      </c>
      <c r="D325" s="297"/>
      <c r="E325" s="41"/>
      <c r="F325" s="248" cm="1">
        <f t="array" ref="F325">+SUMPRODUCT(('Budget original'!$A$8:$A$501=$A325)*('Budget original'!$C$3:$AO$3=F$2),'Budget original'!$C$8:$AO$501)</f>
        <v>22471.034047292305</v>
      </c>
      <c r="G325" s="298"/>
      <c r="H325" s="41"/>
      <c r="I325" s="248"/>
      <c r="J325" s="253"/>
      <c r="K325" s="41"/>
      <c r="L325" s="256">
        <f>SUMIFS(BV_Data_An_Cour!$P:$P,BV_Data_An_Cour!$U:$U,$B325,BV_Data_An_Cour!$V:$V,$C325,BV_Data_An_Cour!$W:$W,$L$2)</f>
        <v>21093.65</v>
      </c>
      <c r="M325" s="253"/>
      <c r="N325" s="276">
        <f t="shared" si="91"/>
        <v>-1377.3840472923039</v>
      </c>
      <c r="O325" s="253"/>
      <c r="P325" s="41"/>
      <c r="Q325" s="256" cm="1">
        <f t="array" ref="Q325">+SUMPRODUCT(('Réel 2024'!$A$8:$A$501=$A325)*('Réel 2024'!$C$3:$AO$3=Q$2),'Réel 2024'!$C$8:$AO$501)</f>
        <v>21282.23</v>
      </c>
      <c r="R325" s="253"/>
      <c r="S325" s="276">
        <f t="shared" si="92"/>
        <v>-188.57999999999811</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9"/>
        <v>PiècesDéduction à la source</v>
      </c>
      <c r="B326" s="41" t="s">
        <v>180</v>
      </c>
      <c r="C326" s="312" t="s">
        <v>125</v>
      </c>
      <c r="D326" s="314"/>
      <c r="E326" s="315"/>
      <c r="F326" s="254" cm="1">
        <f t="array" ref="F326">+SUMPRODUCT(('Budget original'!$A$8:$A$501=$A326)*('Budget original'!$C$3:$AO$3=F$2),'Budget original'!$C$8:$AO$501)</f>
        <v>27321.609678646157</v>
      </c>
      <c r="G326" s="316"/>
      <c r="H326" s="315"/>
      <c r="I326" s="254"/>
      <c r="J326" s="241"/>
      <c r="K326" s="315"/>
      <c r="L326" s="272">
        <f>SUMIFS(BV_Data_An_Cour!$P:$P,BV_Data_An_Cour!$U:$U,$B326,BV_Data_An_Cour!$V:$V,$C326,BV_Data_An_Cour!$W:$W,$L$2)</f>
        <v>33439.78</v>
      </c>
      <c r="M326" s="241"/>
      <c r="N326" s="317">
        <f t="shared" si="91"/>
        <v>6118.1703213538422</v>
      </c>
      <c r="O326" s="241"/>
      <c r="P326" s="315"/>
      <c r="Q326" s="272" cm="1">
        <f t="array" ref="Q326">+SUMPRODUCT(('Réel 2024'!$A$8:$A$501=$A326)*('Réel 2024'!$C$3:$AO$3=Q$2),'Réel 2024'!$C$8:$AO$501)</f>
        <v>40306.39</v>
      </c>
      <c r="R326" s="241"/>
      <c r="S326" s="317">
        <f t="shared" si="92"/>
        <v>-6866.6100000000006</v>
      </c>
      <c r="T326" s="41"/>
      <c r="U326" s="254"/>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9"/>
        <v>PiècesBénéfices marginaux</v>
      </c>
      <c r="B327" s="41" t="s">
        <v>180</v>
      </c>
      <c r="C327" s="312" t="s">
        <v>126</v>
      </c>
      <c r="D327" s="297"/>
      <c r="E327" s="41"/>
      <c r="F327" s="254" cm="1">
        <f t="array" ref="F327">+SUMPRODUCT(('Budget original'!$A$8:$A$501=$A327)*('Budget original'!$C$3:$AO$3=F$2),'Budget original'!$C$8:$AO$501)</f>
        <v>14076.568464867691</v>
      </c>
      <c r="G327" s="298"/>
      <c r="H327" s="41"/>
      <c r="I327" s="254"/>
      <c r="J327" s="253"/>
      <c r="K327" s="41"/>
      <c r="L327" s="256">
        <f>SUMIFS(BV_Data_An_Cour!$P:$P,BV_Data_An_Cour!$U:$U,$B327,BV_Data_An_Cour!$V:$V,$C327,BV_Data_An_Cour!$W:$W,$L$2)</f>
        <v>8624.58</v>
      </c>
      <c r="M327" s="253"/>
      <c r="N327" s="276">
        <f t="shared" si="91"/>
        <v>-5451.9884648676907</v>
      </c>
      <c r="O327" s="253"/>
      <c r="P327" s="41"/>
      <c r="Q327" s="256" cm="1">
        <f t="array" ref="Q327">+SUMPRODUCT(('Réel 2024'!$A$8:$A$501=$A327)*('Réel 2024'!$C$3:$AO$3=Q$2),'Réel 2024'!$C$8:$AO$501)</f>
        <v>6839.45</v>
      </c>
      <c r="R327" s="253"/>
      <c r="S327" s="276">
        <f t="shared" si="92"/>
        <v>1785.13</v>
      </c>
      <c r="T327" s="41"/>
      <c r="U327" s="254"/>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tr">
        <f t="shared" si="69"/>
        <v>PiècesCsst</v>
      </c>
      <c r="B328" s="41" t="s">
        <v>180</v>
      </c>
      <c r="C328" s="312" t="s">
        <v>127</v>
      </c>
      <c r="D328" s="297"/>
      <c r="E328" s="41"/>
      <c r="F328" s="254" cm="1">
        <f t="array" ref="F328">+SUMPRODUCT(('Budget original'!$A$8:$A$501=$A328)*('Budget original'!$C$3:$AO$3=F$2),'Budget original'!$C$8:$AO$501)</f>
        <v>6137.4630437538453</v>
      </c>
      <c r="G328" s="298"/>
      <c r="H328" s="41"/>
      <c r="I328" s="254"/>
      <c r="J328" s="253"/>
      <c r="K328" s="41"/>
      <c r="L328" s="256">
        <f>SUMIFS(BV_Data_An_Cour!$P:$P,BV_Data_An_Cour!$U:$U,$B328,BV_Data_An_Cour!$V:$V,$C328,BV_Data_An_Cour!$W:$W,$L$2)</f>
        <v>6675.73</v>
      </c>
      <c r="M328" s="253"/>
      <c r="N328" s="276">
        <f t="shared" si="91"/>
        <v>538.26695624615422</v>
      </c>
      <c r="O328" s="253"/>
      <c r="P328" s="41"/>
      <c r="Q328" s="256" cm="1">
        <f t="array" ref="Q328">+SUMPRODUCT(('Réel 2024'!$A$8:$A$501=$A328)*('Réel 2024'!$C$3:$AO$3=Q$2),'Réel 2024'!$C$8:$AO$501)</f>
        <v>5307.6500000000005</v>
      </c>
      <c r="R328" s="253"/>
      <c r="S328" s="276">
        <f t="shared" si="92"/>
        <v>1368.079999999999</v>
      </c>
      <c r="T328" s="41"/>
      <c r="U328" s="254"/>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tr">
        <f t="shared" si="69"/>
        <v>Pièces[...]</v>
      </c>
      <c r="B329" s="41" t="s">
        <v>180</v>
      </c>
      <c r="C329" s="253" t="s">
        <v>59</v>
      </c>
      <c r="D329" s="299"/>
      <c r="E329" s="318"/>
      <c r="F329" s="254" cm="1">
        <f t="array" ref="F329">+SUMPRODUCT(('Budget original'!$A$8:$A$501=$A329)*('Budget original'!$C$3:$AO$3=F$2),'Budget original'!$C$8:$AO$501)</f>
        <v>0</v>
      </c>
      <c r="G329" s="300"/>
      <c r="H329" s="318"/>
      <c r="I329" s="254"/>
      <c r="J329" s="246"/>
      <c r="K329" s="318"/>
      <c r="L329" s="256">
        <f>SUMIFS(BV_Data_An_Cour!$P:$P,BV_Data_An_Cour!$U:$U,$B329,BV_Data_An_Cour!$V:$V,$C329,BV_Data_An_Cour!$W:$W,$L$2)</f>
        <v>0</v>
      </c>
      <c r="M329" s="246"/>
      <c r="N329" s="296">
        <f t="shared" si="91"/>
        <v>0</v>
      </c>
      <c r="O329" s="246"/>
      <c r="P329" s="318"/>
      <c r="Q329" s="256" cm="1">
        <f t="array" ref="Q329">+SUMPRODUCT(('Réel 2024'!$A$8:$A$501=$A329)*('Réel 2024'!$C$3:$AO$3=Q$2),'Réel 2024'!$C$8:$AO$501)</f>
        <v>0</v>
      </c>
      <c r="R329" s="246"/>
      <c r="S329" s="296">
        <f t="shared" si="92"/>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tr">
        <f t="shared" si="69"/>
        <v>PiècesTOTAL PERSONNEL</v>
      </c>
      <c r="B330" s="41" t="s">
        <v>180</v>
      </c>
      <c r="C330" s="304" t="s">
        <v>128</v>
      </c>
      <c r="D330" s="305" t="s">
        <v>119</v>
      </c>
      <c r="E330" s="306">
        <f>F330/F$314</f>
        <v>0.45195738544505393</v>
      </c>
      <c r="F330" s="307">
        <f>+SUM(F318:F329)</f>
        <v>252280.50791148312</v>
      </c>
      <c r="G330" s="308"/>
      <c r="H330" s="306"/>
      <c r="I330" s="307"/>
      <c r="J330" s="308" t="s">
        <v>119</v>
      </c>
      <c r="K330" s="306">
        <f>L330/L$314</f>
        <v>0.43225381469874452</v>
      </c>
      <c r="L330" s="307">
        <f>+SUM(L318:L329)</f>
        <v>247696.18</v>
      </c>
      <c r="M330" s="355"/>
      <c r="N330" s="320">
        <f t="shared" si="91"/>
        <v>-4584.3279114831239</v>
      </c>
      <c r="O330" s="308" t="s">
        <v>119</v>
      </c>
      <c r="P330" s="306">
        <f>Q330/Q$314</f>
        <v>0.44131440447705117</v>
      </c>
      <c r="Q330" s="307">
        <f>+SUM(Q318:Q329)</f>
        <v>249436.74000000002</v>
      </c>
      <c r="R330" s="355"/>
      <c r="S330" s="320">
        <f t="shared" si="92"/>
        <v>-1740.5600000000268</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9"/>
        <v>PiècesPublicité 2</v>
      </c>
      <c r="B331" s="41" t="s">
        <v>180</v>
      </c>
      <c r="C331" s="406" t="s">
        <v>129</v>
      </c>
      <c r="D331" s="297"/>
      <c r="E331" s="41"/>
      <c r="F331" s="254" cm="1">
        <f t="array" ref="F331">+SUMPRODUCT(('Budget original'!$A$8:$A$501=$A331)*('Budget original'!$C$3:$AO$3=F$2),'Budget original'!$C$8:$AO$501)</f>
        <v>24143.386578746555</v>
      </c>
      <c r="G331" s="298"/>
      <c r="H331" s="41"/>
      <c r="I331" s="254"/>
      <c r="J331" s="253"/>
      <c r="K331" s="41"/>
      <c r="L331" s="256">
        <f>SUMIFS(BV_Data_An_Cour!$P:$P,BV_Data_An_Cour!$U:$U,$B331,BV_Data_An_Cour!$V:$V,$C331,BV_Data_An_Cour!$W:$W,$L$2)</f>
        <v>35257.040000000001</v>
      </c>
      <c r="M331" s="253"/>
      <c r="N331" s="276">
        <f t="shared" si="91"/>
        <v>11113.653421253446</v>
      </c>
      <c r="O331" s="253"/>
      <c r="P331" s="41"/>
      <c r="Q331" s="256" cm="1">
        <f t="array" ref="Q331">+SUMPRODUCT(('Réel 2024'!$A$8:$A$501=$A331)*('Réel 2024'!$C$3:$AO$3=Q$2),'Réel 2024'!$C$8:$AO$501)</f>
        <v>23685.299999999996</v>
      </c>
      <c r="R331" s="253"/>
      <c r="S331" s="276">
        <f t="shared" si="92"/>
        <v>11571.740000000005</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9"/>
        <v>PiècesService gratuit 2</v>
      </c>
      <c r="B332" s="41" t="s">
        <v>180</v>
      </c>
      <c r="C332" s="312" t="s">
        <v>130</v>
      </c>
      <c r="D332" s="297"/>
      <c r="E332" s="41"/>
      <c r="F332" s="254" cm="1">
        <f t="array" ref="F332">+SUMPRODUCT(('Budget original'!$A$8:$A$501=$A332)*('Budget original'!$C$3:$AO$3=F$2),'Budget original'!$C$8:$AO$501)</f>
        <v>2807.6288910071366</v>
      </c>
      <c r="G332" s="298"/>
      <c r="H332" s="41"/>
      <c r="I332" s="254"/>
      <c r="J332" s="253"/>
      <c r="K332" s="41"/>
      <c r="L332" s="256">
        <f>SUMIFS(BV_Data_An_Cour!$P:$P,BV_Data_An_Cour!$U:$U,$B332,BV_Data_An_Cour!$V:$V,$C332,BV_Data_An_Cour!$W:$W,$L$2)</f>
        <v>7782.4</v>
      </c>
      <c r="M332" s="253"/>
      <c r="N332" s="276">
        <f t="shared" si="91"/>
        <v>4974.7711089928634</v>
      </c>
      <c r="O332" s="253"/>
      <c r="P332" s="41"/>
      <c r="Q332" s="256" cm="1">
        <f t="array" ref="Q332">+SUMPRODUCT(('Réel 2024'!$A$8:$A$501=$A332)*('Réel 2024'!$C$3:$AO$3=Q$2),'Réel 2024'!$C$8:$AO$501)</f>
        <v>-1081.29</v>
      </c>
      <c r="R332" s="253"/>
      <c r="S332" s="276">
        <f t="shared" si="92"/>
        <v>8863.6899999999987</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9"/>
        <v>PiècesFrais véhicules de cie</v>
      </c>
      <c r="B333" s="41" t="s">
        <v>180</v>
      </c>
      <c r="C333" s="313" t="s">
        <v>131</v>
      </c>
      <c r="D333" s="299"/>
      <c r="E333" s="318"/>
      <c r="F333" s="248" cm="1">
        <f t="array" ref="F333">+SUMPRODUCT(('Budget original'!$A$8:$A$501=$A333)*('Budget original'!$C$3:$AO$3=F$2),'Budget original'!$C$8:$AO$501)</f>
        <v>6321.6024444444465</v>
      </c>
      <c r="G333" s="300"/>
      <c r="H333" s="318"/>
      <c r="I333" s="248"/>
      <c r="J333" s="246"/>
      <c r="K333" s="318"/>
      <c r="L333" s="256">
        <f>SUMIFS(BV_Data_An_Cour!$P:$P,BV_Data_An_Cour!$U:$U,$B333,BV_Data_An_Cour!$V:$V,$C333,BV_Data_An_Cour!$W:$W,$L$2)</f>
        <v>6219.78</v>
      </c>
      <c r="M333" s="246"/>
      <c r="N333" s="296">
        <f t="shared" si="91"/>
        <v>-101.82244444444677</v>
      </c>
      <c r="O333" s="246"/>
      <c r="P333" s="318"/>
      <c r="Q333" s="256" cm="1">
        <f t="array" ref="Q333">+SUMPRODUCT(('Réel 2024'!$A$8:$A$501=$A333)*('Réel 2024'!$C$3:$AO$3=Q$2),'Réel 2024'!$C$8:$AO$501)</f>
        <v>6492.9500000000007</v>
      </c>
      <c r="R333" s="246"/>
      <c r="S333" s="296">
        <f t="shared" si="92"/>
        <v>-273.17000000000098</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9"/>
        <v>PiècesInformatique</v>
      </c>
      <c r="B334" s="41" t="s">
        <v>180</v>
      </c>
      <c r="C334" s="312" t="s">
        <v>132</v>
      </c>
      <c r="D334" s="297"/>
      <c r="E334" s="41"/>
      <c r="F334" s="254" cm="1">
        <f t="array" ref="F334">+SUMPRODUCT(('Budget original'!$A$8:$A$501=$A334)*('Budget original'!$C$3:$AO$3=F$2),'Budget original'!$C$8:$AO$501)</f>
        <v>22248.283694722228</v>
      </c>
      <c r="G334" s="298"/>
      <c r="H334" s="41"/>
      <c r="I334" s="254"/>
      <c r="J334" s="253"/>
      <c r="K334" s="41"/>
      <c r="L334" s="272">
        <f>SUMIFS(BV_Data_An_Cour!$P:$P,BV_Data_An_Cour!$U:$U,$B334,BV_Data_An_Cour!$V:$V,$C334,BV_Data_An_Cour!$W:$W,$L$2)</f>
        <v>33914.07</v>
      </c>
      <c r="M334" s="253"/>
      <c r="N334" s="276">
        <f t="shared" si="91"/>
        <v>11665.786305277772</v>
      </c>
      <c r="O334" s="253"/>
      <c r="P334" s="41"/>
      <c r="Q334" s="272" cm="1">
        <f t="array" ref="Q334">+SUMPRODUCT(('Réel 2024'!$A$8:$A$501=$A334)*('Réel 2024'!$C$3:$AO$3=Q$2),'Réel 2024'!$C$8:$AO$501)</f>
        <v>22626.21</v>
      </c>
      <c r="R334" s="253"/>
      <c r="S334" s="276">
        <f t="shared" si="92"/>
        <v>11287.86</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9"/>
        <v>PiècesFrais de déplacement</v>
      </c>
      <c r="B335" s="41" t="s">
        <v>180</v>
      </c>
      <c r="C335" s="312" t="s">
        <v>133</v>
      </c>
      <c r="D335" s="297"/>
      <c r="E335" s="41"/>
      <c r="F335" s="254" cm="1">
        <f t="array" ref="F335">+SUMPRODUCT(('Budget original'!$A$8:$A$501=$A335)*('Budget original'!$C$3:$AO$3=F$2),'Budget original'!$C$8:$AO$501)</f>
        <v>4091.3823443840447</v>
      </c>
      <c r="G335" s="298"/>
      <c r="H335" s="41"/>
      <c r="I335" s="254"/>
      <c r="J335" s="253"/>
      <c r="K335" s="41"/>
      <c r="L335" s="256">
        <f>SUMIFS(BV_Data_An_Cour!$P:$P,BV_Data_An_Cour!$U:$U,$B335,BV_Data_An_Cour!$V:$V,$C335,BV_Data_An_Cour!$W:$W,$L$2)</f>
        <v>4423.12</v>
      </c>
      <c r="M335" s="253"/>
      <c r="N335" s="276">
        <f t="shared" si="91"/>
        <v>331.73765561595519</v>
      </c>
      <c r="O335" s="253"/>
      <c r="P335" s="41"/>
      <c r="Q335" s="256" cm="1">
        <f t="array" ref="Q335">+SUMPRODUCT(('Réel 2024'!$A$8:$A$501=$A335)*('Réel 2024'!$C$3:$AO$3=Q$2),'Réel 2024'!$C$8:$AO$501)</f>
        <v>4057.79</v>
      </c>
      <c r="R335" s="253"/>
      <c r="S335" s="276">
        <f t="shared" si="92"/>
        <v>365.32999999999993</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9"/>
        <v>PiècesServices extérieurs</v>
      </c>
      <c r="B336" s="41" t="s">
        <v>180</v>
      </c>
      <c r="C336" s="313" t="s">
        <v>134</v>
      </c>
      <c r="D336" s="299"/>
      <c r="E336" s="318"/>
      <c r="F336" s="248" cm="1">
        <f t="array" ref="F336">+SUMPRODUCT(('Budget original'!$A$8:$A$501=$A336)*('Budget original'!$C$3:$AO$3=F$2),'Budget original'!$C$8:$AO$501)</f>
        <v>62440.429386326214</v>
      </c>
      <c r="G336" s="300"/>
      <c r="H336" s="318"/>
      <c r="I336" s="248"/>
      <c r="J336" s="246"/>
      <c r="K336" s="318"/>
      <c r="L336" s="248">
        <f>SUMIFS(BV_Data_An_Cour!$P:$P,BV_Data_An_Cour!$U:$U,$B336,BV_Data_An_Cour!$V:$V,$C336,BV_Data_An_Cour!$W:$W,$L$2)</f>
        <v>71072.58</v>
      </c>
      <c r="M336" s="246"/>
      <c r="N336" s="296">
        <f t="shared" si="91"/>
        <v>8632.150613673788</v>
      </c>
      <c r="O336" s="246"/>
      <c r="P336" s="318"/>
      <c r="Q336" s="248" cm="1">
        <f t="array" ref="Q336">+SUMPRODUCT(('Réel 2024'!$A$8:$A$501=$A336)*('Réel 2024'!$C$3:$AO$3=Q$2),'Réel 2024'!$C$8:$AO$501)</f>
        <v>64396.95</v>
      </c>
      <c r="R336" s="246"/>
      <c r="S336" s="296">
        <f t="shared" si="92"/>
        <v>6675.6300000000047</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9"/>
        <v>PiècesFournitures d'atelier</v>
      </c>
      <c r="B337" s="41" t="s">
        <v>180</v>
      </c>
      <c r="C337" s="312" t="s">
        <v>490</v>
      </c>
      <c r="D337" s="297"/>
      <c r="E337" s="41"/>
      <c r="F337" s="254"/>
      <c r="G337" s="298"/>
      <c r="H337" s="41"/>
      <c r="I337" s="254"/>
      <c r="J337" s="253"/>
      <c r="K337" s="41"/>
      <c r="L337" s="256">
        <f>SUMIFS(BV_Data_An_Cour!$P:$P,BV_Data_An_Cour!$U:$U,$B337,BV_Data_An_Cour!$V:$V,$C337,BV_Data_An_Cour!$W:$W,$L$2)</f>
        <v>0</v>
      </c>
      <c r="M337" s="253"/>
      <c r="N337" s="276">
        <f t="shared" si="91"/>
        <v>0</v>
      </c>
      <c r="O337" s="253"/>
      <c r="P337" s="41"/>
      <c r="Q337" s="256"/>
      <c r="R337" s="253"/>
      <c r="S337" s="276">
        <f t="shared" si="92"/>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9"/>
        <v>PiècesFournitures autres</v>
      </c>
      <c r="B338" s="41" t="s">
        <v>180</v>
      </c>
      <c r="C338" s="312" t="s">
        <v>135</v>
      </c>
      <c r="D338" s="297"/>
      <c r="E338" s="41"/>
      <c r="F338" s="254" cm="1">
        <f t="array" ref="F338">+SUMPRODUCT(('Budget original'!$A$8:$A$501=$A338)*('Budget original'!$C$3:$AO$3=F$2),'Budget original'!$C$8:$AO$501)</f>
        <v>1278.3766666666666</v>
      </c>
      <c r="G338" s="298"/>
      <c r="H338" s="41"/>
      <c r="I338" s="254"/>
      <c r="J338" s="253"/>
      <c r="K338" s="41"/>
      <c r="L338" s="256">
        <f>SUMIFS(BV_Data_An_Cour!$P:$P,BV_Data_An_Cour!$U:$U,$B338,BV_Data_An_Cour!$V:$V,$C338,BV_Data_An_Cour!$W:$W,$L$2)</f>
        <v>0</v>
      </c>
      <c r="M338" s="253"/>
      <c r="N338" s="276">
        <f t="shared" si="91"/>
        <v>-1278.3766666666666</v>
      </c>
      <c r="O338" s="253"/>
      <c r="P338" s="41"/>
      <c r="Q338" s="256" cm="1">
        <f t="array" ref="Q338">+SUMPRODUCT(('Réel 2024'!$A$8:$A$501=$A338)*('Réel 2024'!$C$3:$AO$3=Q$2),'Réel 2024'!$C$8:$AO$501)</f>
        <v>1676.96</v>
      </c>
      <c r="R338" s="253"/>
      <c r="S338" s="276">
        <f t="shared" si="92"/>
        <v>-1676.96</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9"/>
        <v>PiècesUniformes</v>
      </c>
      <c r="B339" s="41" t="s">
        <v>180</v>
      </c>
      <c r="C339" s="312" t="s">
        <v>136</v>
      </c>
      <c r="D339" s="297"/>
      <c r="E339" s="41"/>
      <c r="F339" s="254" cm="1">
        <f t="array" ref="F339">+SUMPRODUCT(('Budget original'!$A$8:$A$501=$A339)*('Budget original'!$C$3:$AO$3=F$2),'Budget original'!$C$8:$AO$501)</f>
        <v>141.66666666666666</v>
      </c>
      <c r="G339" s="298"/>
      <c r="H339" s="41"/>
      <c r="I339" s="254"/>
      <c r="J339" s="253"/>
      <c r="K339" s="41"/>
      <c r="L339" s="256">
        <f>SUMIFS(BV_Data_An_Cour!$P:$P,BV_Data_An_Cour!$U:$U,$B339,BV_Data_An_Cour!$V:$V,$C339,BV_Data_An_Cour!$W:$W,$L$2)</f>
        <v>361.45</v>
      </c>
      <c r="M339" s="253"/>
      <c r="N339" s="276">
        <f t="shared" si="91"/>
        <v>219.78333333333333</v>
      </c>
      <c r="O339" s="253"/>
      <c r="P339" s="41"/>
      <c r="Q339" s="256" cm="1">
        <f t="array" ref="Q339">+SUMPRODUCT(('Réel 2024'!$A$8:$A$501=$A339)*('Réel 2024'!$C$3:$AO$3=Q$2),'Réel 2024'!$C$8:$AO$501)</f>
        <v>0</v>
      </c>
      <c r="R339" s="253"/>
      <c r="S339" s="276">
        <f t="shared" si="92"/>
        <v>361.45</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9"/>
        <v>PiècesPapeterie</v>
      </c>
      <c r="B340" s="41" t="s">
        <v>180</v>
      </c>
      <c r="C340" s="312" t="s">
        <v>137</v>
      </c>
      <c r="D340" s="297"/>
      <c r="E340" s="41"/>
      <c r="F340" s="254" cm="1">
        <f t="array" ref="F340">+SUMPRODUCT(('Budget original'!$A$8:$A$501=$A340)*('Budget original'!$C$3:$AO$3=F$2),'Budget original'!$C$8:$AO$501)</f>
        <v>3582.0452330824996</v>
      </c>
      <c r="G340" s="298"/>
      <c r="H340" s="41"/>
      <c r="I340" s="254"/>
      <c r="J340" s="253"/>
      <c r="K340" s="41"/>
      <c r="L340" s="256">
        <f>SUMIFS(BV_Data_An_Cour!$P:$P,BV_Data_An_Cour!$U:$U,$B340,BV_Data_An_Cour!$V:$V,$C340,BV_Data_An_Cour!$W:$W,$L$2)</f>
        <v>2228.1799999999998</v>
      </c>
      <c r="M340" s="253"/>
      <c r="N340" s="276">
        <f t="shared" si="91"/>
        <v>-1353.8652330824998</v>
      </c>
      <c r="O340" s="253"/>
      <c r="P340" s="41"/>
      <c r="Q340" s="256" cm="1">
        <f t="array" ref="Q340">+SUMPRODUCT(('Réel 2024'!$A$8:$A$501=$A340)*('Réel 2024'!$C$3:$AO$3=Q$2),'Réel 2024'!$C$8:$AO$501)</f>
        <v>2507.34</v>
      </c>
      <c r="R340" s="253"/>
      <c r="S340" s="276">
        <f t="shared" si="92"/>
        <v>-279.16000000000031</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9"/>
        <v>PiècesTéléphone</v>
      </c>
      <c r="B341" s="41" t="s">
        <v>180</v>
      </c>
      <c r="C341" s="312" t="s">
        <v>138</v>
      </c>
      <c r="D341" s="297"/>
      <c r="E341" s="41"/>
      <c r="F341" s="254" cm="1">
        <f t="array" ref="F341">+SUMPRODUCT(('Budget original'!$A$8:$A$501=$A341)*('Budget original'!$C$3:$AO$3=F$2),'Budget original'!$C$8:$AO$501)</f>
        <v>577.70371796086818</v>
      </c>
      <c r="G341" s="298"/>
      <c r="H341" s="41"/>
      <c r="I341" s="254"/>
      <c r="J341" s="253"/>
      <c r="K341" s="41"/>
      <c r="L341" s="256">
        <f>SUMIFS(BV_Data_An_Cour!$P:$P,BV_Data_An_Cour!$U:$U,$B341,BV_Data_An_Cour!$V:$V,$C341,BV_Data_An_Cour!$W:$W,$L$2)</f>
        <v>521.86</v>
      </c>
      <c r="M341" s="253"/>
      <c r="N341" s="276">
        <f t="shared" si="91"/>
        <v>-55.843717960868162</v>
      </c>
      <c r="O341" s="253"/>
      <c r="P341" s="41"/>
      <c r="Q341" s="256" cm="1">
        <f t="array" ref="Q341">+SUMPRODUCT(('Réel 2024'!$A$8:$A$501=$A341)*('Réel 2024'!$C$3:$AO$3=Q$2),'Réel 2024'!$C$8:$AO$501)</f>
        <v>491.30000000000007</v>
      </c>
      <c r="R341" s="253"/>
      <c r="S341" s="276">
        <f t="shared" si="92"/>
        <v>30.559999999999945</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9"/>
        <v>PiècesFrais postaux</v>
      </c>
      <c r="B342" s="41" t="s">
        <v>180</v>
      </c>
      <c r="C342" s="312" t="s">
        <v>139</v>
      </c>
      <c r="D342" s="297"/>
      <c r="E342" s="41"/>
      <c r="F342" s="254" cm="1">
        <f t="array" ref="F342">+SUMPRODUCT(('Budget original'!$A$8:$A$501=$A342)*('Budget original'!$C$3:$AO$3=F$2),'Budget original'!$C$8:$AO$501)</f>
        <v>-155.55173731086811</v>
      </c>
      <c r="G342" s="298"/>
      <c r="H342" s="41"/>
      <c r="I342" s="254"/>
      <c r="J342" s="253"/>
      <c r="K342" s="41"/>
      <c r="L342" s="256">
        <f>SUMIFS(BV_Data_An_Cour!$P:$P,BV_Data_An_Cour!$U:$U,$B342,BV_Data_An_Cour!$V:$V,$C342,BV_Data_An_Cour!$W:$W,$L$2)</f>
        <v>-1115.73</v>
      </c>
      <c r="M342" s="253"/>
      <c r="N342" s="276">
        <f t="shared" si="91"/>
        <v>-960.17826268913188</v>
      </c>
      <c r="O342" s="253"/>
      <c r="P342" s="41"/>
      <c r="Q342" s="256" cm="1">
        <f t="array" ref="Q342">+SUMPRODUCT(('Réel 2024'!$A$8:$A$501=$A342)*('Réel 2024'!$C$3:$AO$3=Q$2),'Réel 2024'!$C$8:$AO$501)</f>
        <v>-659.78</v>
      </c>
      <c r="R342" s="253"/>
      <c r="S342" s="276">
        <f t="shared" si="92"/>
        <v>-455.95000000000005</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9"/>
        <v>PiècesDivers</v>
      </c>
      <c r="B343" s="41" t="s">
        <v>180</v>
      </c>
      <c r="C343" s="312" t="s">
        <v>140</v>
      </c>
      <c r="D343" s="297"/>
      <c r="E343" s="41"/>
      <c r="F343" s="254" cm="1">
        <f t="array" ref="F343">+SUMPRODUCT(('Budget original'!$A$8:$A$501=$A343)*('Budget original'!$C$3:$AO$3=F$2),'Budget original'!$C$8:$AO$501)</f>
        <v>782.55588331225727</v>
      </c>
      <c r="G343" s="298"/>
      <c r="H343" s="41"/>
      <c r="I343" s="254"/>
      <c r="J343" s="253"/>
      <c r="K343" s="41"/>
      <c r="L343" s="256">
        <f>SUMIFS(BV_Data_An_Cour!$P:$P,BV_Data_An_Cour!$U:$U,$B343,BV_Data_An_Cour!$V:$V,$C343,BV_Data_An_Cour!$W:$W,$L$2)</f>
        <v>362.96</v>
      </c>
      <c r="M343" s="253"/>
      <c r="N343" s="276">
        <f t="shared" si="91"/>
        <v>-419.59588331225729</v>
      </c>
      <c r="O343" s="253"/>
      <c r="P343" s="41"/>
      <c r="Q343" s="256" cm="1">
        <f t="array" ref="Q343">+SUMPRODUCT(('Réel 2024'!$A$8:$A$501=$A343)*('Réel 2024'!$C$3:$AO$3=Q$2),'Réel 2024'!$C$8:$AO$501)</f>
        <v>681.34</v>
      </c>
      <c r="R343" s="253"/>
      <c r="S343" s="276">
        <f t="shared" si="92"/>
        <v>-318.38000000000005</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9"/>
        <v>PiècesFormation</v>
      </c>
      <c r="B344" s="41" t="s">
        <v>180</v>
      </c>
      <c r="C344" s="312" t="s">
        <v>141</v>
      </c>
      <c r="D344" s="297"/>
      <c r="E344" s="41"/>
      <c r="F344" s="254" cm="1">
        <f t="array" ref="F344">+SUMPRODUCT(('Budget original'!$A$8:$A$501=$A344)*('Budget original'!$C$3:$AO$3=F$2),'Budget original'!$C$8:$AO$501)</f>
        <v>1894.7716060715663</v>
      </c>
      <c r="G344" s="298"/>
      <c r="H344" s="41"/>
      <c r="I344" s="254"/>
      <c r="J344" s="253"/>
      <c r="K344" s="41"/>
      <c r="L344" s="256">
        <f>SUMIFS(BV_Data_An_Cour!$P:$P,BV_Data_An_Cour!$U:$U,$B344,BV_Data_An_Cour!$V:$V,$C344,BV_Data_An_Cour!$W:$W,$L$2)</f>
        <v>894.42</v>
      </c>
      <c r="M344" s="253"/>
      <c r="N344" s="276">
        <f t="shared" si="91"/>
        <v>-1000.3516060715664</v>
      </c>
      <c r="O344" s="253"/>
      <c r="P344" s="41"/>
      <c r="Q344" s="256" cm="1">
        <f t="array" ref="Q344">+SUMPRODUCT(('Réel 2024'!$A$8:$A$501=$A344)*('Réel 2024'!$C$3:$AO$3=Q$2),'Réel 2024'!$C$8:$AO$501)</f>
        <v>930</v>
      </c>
      <c r="R344" s="253"/>
      <c r="S344" s="276">
        <f t="shared" si="92"/>
        <v>-35.580000000000041</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tr">
        <f t="shared" si="69"/>
        <v>PiècesFrais bancaires</v>
      </c>
      <c r="B345" s="41" t="s">
        <v>180</v>
      </c>
      <c r="C345" s="312" t="s">
        <v>142</v>
      </c>
      <c r="D345" s="297"/>
      <c r="E345" s="41"/>
      <c r="F345" s="254" cm="1">
        <f t="array" ref="F345">+SUMPRODUCT(('Budget original'!$A$8:$A$501=$A345)*('Budget original'!$C$3:$AO$3=F$2),'Budget original'!$C$8:$AO$501)</f>
        <v>7088.6531934747836</v>
      </c>
      <c r="G345" s="298"/>
      <c r="H345" s="41"/>
      <c r="I345" s="254"/>
      <c r="J345" s="253"/>
      <c r="K345" s="41"/>
      <c r="L345" s="256">
        <f>SUMIFS(BV_Data_An_Cour!$P:$P,BV_Data_An_Cour!$U:$U,$B345,BV_Data_An_Cour!$V:$V,$C345,BV_Data_An_Cour!$W:$W,L$2)</f>
        <v>7947.03</v>
      </c>
      <c r="M345" s="253"/>
      <c r="N345" s="276">
        <f t="shared" si="91"/>
        <v>858.37680652521613</v>
      </c>
      <c r="O345" s="253"/>
      <c r="P345" s="41"/>
      <c r="Q345" s="256" cm="1">
        <f t="array" ref="Q345">+SUMPRODUCT(('Réel 2024'!$A$8:$A$501=$A345)*('Réel 2024'!$C$3:$AO$3=Q$2),'Réel 2024'!$C$8:$AO$501)</f>
        <v>7896.6999999999989</v>
      </c>
      <c r="R345" s="253"/>
      <c r="S345" s="276">
        <f t="shared" si="92"/>
        <v>50.330000000000837</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tr">
        <f t="shared" si="69"/>
        <v>Pièces[...]</v>
      </c>
      <c r="B346" s="41" t="s">
        <v>180</v>
      </c>
      <c r="C346" s="312" t="s">
        <v>59</v>
      </c>
      <c r="D346" s="297"/>
      <c r="E346" s="41"/>
      <c r="F346" s="254" cm="1">
        <f t="array" ref="F346">+SUMPRODUCT(('Budget original'!$A$8:$A$501=$A346)*('Budget original'!$C$3:$AO$3=F$2),'Budget original'!$C$8:$AO$501)</f>
        <v>0</v>
      </c>
      <c r="G346" s="298"/>
      <c r="H346" s="41"/>
      <c r="I346" s="254"/>
      <c r="J346" s="253"/>
      <c r="K346" s="41"/>
      <c r="L346" s="256">
        <f>SUMIFS(BV_Data_An_Cour!$P:$P,BV_Data_An_Cour!$U:$U,$B346,BV_Data_An_Cour!$V:$V,$C346,BV_Data_An_Cour!$W:$W,$L$2)</f>
        <v>0</v>
      </c>
      <c r="M346" s="253"/>
      <c r="N346" s="276">
        <f t="shared" si="91"/>
        <v>0</v>
      </c>
      <c r="O346" s="253"/>
      <c r="P346" s="41"/>
      <c r="Q346" s="256" cm="1">
        <f t="array" ref="Q346">+SUMPRODUCT(('Réel 2024'!$A$8:$A$501=$A346)*('Réel 2024'!$C$3:$AO$3=Q$2),'Réel 2024'!$C$8:$AO$501)</f>
        <v>0</v>
      </c>
      <c r="R346" s="253"/>
      <c r="S346" s="276">
        <f t="shared" si="92"/>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9"/>
        <v>Pièces[...]</v>
      </c>
      <c r="B347" s="41" t="s">
        <v>180</v>
      </c>
      <c r="C347" s="312" t="s">
        <v>59</v>
      </c>
      <c r="D347" s="297"/>
      <c r="E347" s="41"/>
      <c r="F347" s="254" cm="1">
        <f t="array" ref="F347">+SUMPRODUCT(('Budget original'!$A$8:$A$501=$A347)*('Budget original'!$C$3:$AO$3=F$2),'Budget original'!$C$8:$AO$501)</f>
        <v>0</v>
      </c>
      <c r="G347" s="298"/>
      <c r="H347" s="41"/>
      <c r="I347" s="254"/>
      <c r="J347" s="253"/>
      <c r="K347" s="41"/>
      <c r="L347" s="256">
        <f>SUMIFS(BV_Data_An_Cour!$P:$P,BV_Data_An_Cour!$U:$U,$B347,BV_Data_An_Cour!$V:$V,$C347,BV_Data_An_Cour!$W:$W,$L$2)</f>
        <v>0</v>
      </c>
      <c r="M347" s="253"/>
      <c r="N347" s="276">
        <f t="shared" si="91"/>
        <v>0</v>
      </c>
      <c r="O347" s="253"/>
      <c r="P347" s="41"/>
      <c r="Q347" s="256" cm="1">
        <f t="array" ref="Q347">+SUMPRODUCT(('Réel 2024'!$A$8:$A$501=$A347)*('Réel 2024'!$C$3:$AO$3=Q$2),'Réel 2024'!$C$8:$AO$501)</f>
        <v>0</v>
      </c>
      <c r="R347" s="253"/>
      <c r="S347" s="276">
        <f t="shared" si="92"/>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tr">
        <f t="shared" si="69"/>
        <v>Pièces[...]</v>
      </c>
      <c r="B348" s="41" t="s">
        <v>180</v>
      </c>
      <c r="C348" s="312" t="s">
        <v>59</v>
      </c>
      <c r="D348" s="297"/>
      <c r="E348" s="41"/>
      <c r="F348" s="254" cm="1">
        <f t="array" ref="F348">+SUMPRODUCT(('Budget original'!$A$8:$A$501=$A348)*('Budget original'!$C$3:$AO$3=F$2),'Budget original'!$C$8:$AO$501)</f>
        <v>0</v>
      </c>
      <c r="G348" s="298"/>
      <c r="H348" s="41"/>
      <c r="I348" s="254"/>
      <c r="J348" s="253"/>
      <c r="K348" s="41"/>
      <c r="L348" s="256">
        <f>SUMIFS(BV_Data_An_Cour!$P:$P,BV_Data_An_Cour!$U:$U,$B348,BV_Data_An_Cour!$V:$V,$C348,BV_Data_An_Cour!$W:$W,$L$2)</f>
        <v>0</v>
      </c>
      <c r="M348" s="253"/>
      <c r="N348" s="276">
        <f t="shared" si="91"/>
        <v>0</v>
      </c>
      <c r="O348" s="253"/>
      <c r="P348" s="41"/>
      <c r="Q348" s="256" cm="1">
        <f t="array" ref="Q348">+SUMPRODUCT(('Réel 2024'!$A$8:$A$501=$A348)*('Réel 2024'!$C$3:$AO$3=Q$2),'Réel 2024'!$C$8:$AO$501)</f>
        <v>0</v>
      </c>
      <c r="R348" s="253"/>
      <c r="S348" s="276">
        <f t="shared" si="92"/>
        <v>0</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0.24586900665598102</v>
      </c>
      <c r="F349" s="307">
        <f>+SUM(F331:F348)</f>
        <v>137242.93456955507</v>
      </c>
      <c r="G349" s="308"/>
      <c r="H349" s="306"/>
      <c r="I349" s="307"/>
      <c r="J349" s="308" t="s">
        <v>119</v>
      </c>
      <c r="K349" s="306">
        <f>L349/L$314</f>
        <v>0.2964381300093985</v>
      </c>
      <c r="L349" s="307">
        <f>+SUM(L331:L348)</f>
        <v>169869.15999999997</v>
      </c>
      <c r="M349" s="311"/>
      <c r="N349" s="307">
        <f>+SUM(N331:N348)</f>
        <v>32626.225430444942</v>
      </c>
      <c r="O349" s="308" t="s">
        <v>119</v>
      </c>
      <c r="P349" s="306">
        <f>Q349/Q$314</f>
        <v>0.23655102694606123</v>
      </c>
      <c r="Q349" s="307">
        <f>+SUM(Q331:Q348)</f>
        <v>133701.77000000002</v>
      </c>
      <c r="R349" s="311"/>
      <c r="S349" s="307">
        <f>+SUM(S331:S348)</f>
        <v>36167.390000000007</v>
      </c>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0.69782639210103492</v>
      </c>
      <c r="F351" s="307">
        <f>F330+F349</f>
        <v>389523.44248103816</v>
      </c>
      <c r="G351" s="308"/>
      <c r="H351" s="306"/>
      <c r="I351" s="307"/>
      <c r="J351" s="308" t="s">
        <v>119</v>
      </c>
      <c r="K351" s="306">
        <f>L351/L$314</f>
        <v>0.72869194470814302</v>
      </c>
      <c r="L351" s="307">
        <f>L330+L349</f>
        <v>417565.33999999997</v>
      </c>
      <c r="M351" s="311"/>
      <c r="N351" s="320">
        <f>L351-F351</f>
        <v>28041.897518961807</v>
      </c>
      <c r="O351" s="308" t="s">
        <v>119</v>
      </c>
      <c r="P351" s="306">
        <f>Q351/Q$314</f>
        <v>0.67786543142311229</v>
      </c>
      <c r="Q351" s="307">
        <f>Q330+Q349</f>
        <v>383138.51</v>
      </c>
      <c r="R351" s="311"/>
      <c r="S351" s="320">
        <f>L351-Q351</f>
        <v>34426.829999999958</v>
      </c>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332" t="s">
        <v>151</v>
      </c>
      <c r="D353" s="360"/>
      <c r="E353" s="333"/>
      <c r="F353" s="335">
        <f>F314-F351</f>
        <v>168671.9007880094</v>
      </c>
      <c r="G353" s="361"/>
      <c r="H353" s="333"/>
      <c r="I353" s="335"/>
      <c r="J353" s="332"/>
      <c r="K353" s="334"/>
      <c r="L353" s="335">
        <f>L314-L351</f>
        <v>155468.77000000002</v>
      </c>
      <c r="M353" s="332"/>
      <c r="N353" s="335">
        <f>L353-F353</f>
        <v>-13203.130788009381</v>
      </c>
      <c r="O353" s="332"/>
      <c r="P353" s="334"/>
      <c r="Q353" s="335">
        <f>Q314-Q351</f>
        <v>182074.71999999881</v>
      </c>
      <c r="R353" s="332"/>
      <c r="S353" s="335">
        <f>L353-Q353</f>
        <v>-26605.949999998789</v>
      </c>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611">
        <v>0.25</v>
      </c>
      <c r="T354" s="41">
        <v>0.75</v>
      </c>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6" t="str">
        <f>+C291</f>
        <v>Volks</v>
      </c>
      <c r="D356" s="232"/>
      <c r="E356" s="232"/>
      <c r="F356" s="232"/>
      <c r="G356" s="232"/>
      <c r="H356" s="36"/>
      <c r="I356" s="36"/>
      <c r="J356" s="36"/>
      <c r="K356" s="9" t="s">
        <v>196</v>
      </c>
      <c r="L356" s="232"/>
      <c r="M356" s="232"/>
      <c r="N356" s="36"/>
      <c r="O356" s="36"/>
      <c r="P356" s="232"/>
      <c r="Q356" s="36"/>
      <c r="R356" s="232"/>
      <c r="S356" s="10" t="str">
        <f>$S$1</f>
        <v>Réalisé AAJ, Mai 2025</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thickBo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Top="1">
      <c r="B358" s="3"/>
      <c r="C358" s="238"/>
      <c r="D358" s="1218" t="s">
        <v>343</v>
      </c>
      <c r="E358" s="1219"/>
      <c r="F358" s="1220"/>
      <c r="G358" s="1223"/>
      <c r="H358" s="1219"/>
      <c r="I358" s="1220"/>
      <c r="J358" s="1223" t="s">
        <v>344</v>
      </c>
      <c r="K358" s="1219"/>
      <c r="L358" s="1220"/>
      <c r="M358" s="1223"/>
      <c r="N358" s="1220"/>
      <c r="O358" s="1223" t="s">
        <v>345</v>
      </c>
      <c r="P358" s="1219"/>
      <c r="Q358" s="1220"/>
      <c r="R358" s="1223" t="s">
        <v>346</v>
      </c>
      <c r="S358" s="1220"/>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Bot="1">
      <c r="A359" s="5" t="str">
        <f t="shared" ref="A359:A394" si="93">+B359&amp;C359</f>
        <v>Boutique</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Top="1">
      <c r="A360" s="5" t="str">
        <f t="shared" si="93"/>
        <v>BoutiqueBoutique</v>
      </c>
      <c r="B360" s="41" t="s">
        <v>196</v>
      </c>
      <c r="C360" s="278" t="s">
        <v>196</v>
      </c>
      <c r="D360" s="421" cm="1">
        <f t="array" ref="D360">+SUMPRODUCT(('Budget original'!$A$8:$A$501=$A360)*('Budget original'!$C$3:$AO$3=D$2),'Budget original'!$C$8:$AO$501)</f>
        <v>0</v>
      </c>
      <c r="E360" s="422">
        <f>IFERROR(F360/D360,0)</f>
        <v>0</v>
      </c>
      <c r="F360" s="423" cm="1">
        <f t="array" ref="F360">+SUMPRODUCT(('Budget original'!$A$8:$A$501=$A360)*('Budget original'!$C$3:$AO$3=F$2),'Budget original'!$C$8:$AO$501)</f>
        <v>0</v>
      </c>
      <c r="G360" s="421"/>
      <c r="H360" s="422"/>
      <c r="I360" s="421"/>
      <c r="J360" s="424">
        <f>-SUMIFS(BV_Data_An_Cour!$N:$N,BV_Data_An_Cour!$Q:$Q,$B360,BV_Data_An_Cour!$O:$O,"S",BV_Data_An_Cour!$R:$R,$C360)</f>
        <v>0</v>
      </c>
      <c r="K360" s="410">
        <f>IF(J360&lt;=0,0,L360/J360)</f>
        <v>0</v>
      </c>
      <c r="L360" s="425">
        <f>J360-SUMIFS(BV_Data_An_Cour!$N:$N,BV_Data_An_Cour!$Q:$Q,$B360,BV_Data_An_Cour!$O:$O,"C",BV_Data_An_Cour!$R:$R,$C360)</f>
        <v>0</v>
      </c>
      <c r="M360" s="411"/>
      <c r="N360" s="412"/>
      <c r="O360" s="424" cm="1">
        <f t="array" ref="O360">+SUMPRODUCT(('Réel 2024'!$A$8:$A$501=$A360)*('Réel 2024'!$C$3:$AO$3=O$2),'Réel 2024'!$C$8:$AO$501)</f>
        <v>0</v>
      </c>
      <c r="P360" s="410">
        <f>IFERROR(Q360/O360,0)</f>
        <v>0</v>
      </c>
      <c r="Q360" s="425" cm="1">
        <f t="array" ref="Q360">+SUMPRODUCT(('Réel 2024'!$A$8:$A$501=$A360)*('Réel 2024'!$C$3:$AO$3=Q$2),'Réel 2024'!$C$8:$AO$501)</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Bot="1">
      <c r="A361" s="5" t="str">
        <f t="shared" si="93"/>
        <v>Boutique</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Top="1">
      <c r="A362" s="5" t="str">
        <f t="shared" si="93"/>
        <v>BoutiqueTotal Dépt. Boutique</v>
      </c>
      <c r="B362" s="41" t="s">
        <v>196</v>
      </c>
      <c r="C362" s="270" t="s">
        <v>197</v>
      </c>
      <c r="D362" s="319">
        <f>+D360</f>
        <v>0</v>
      </c>
      <c r="E362" s="372">
        <f>IF(D362&lt;=0,0,F362/D362)</f>
        <v>0</v>
      </c>
      <c r="F362" s="374">
        <f t="shared" ref="F362" si="94">+F360</f>
        <v>0</v>
      </c>
      <c r="G362" s="373"/>
      <c r="H362" s="372"/>
      <c r="I362" s="374"/>
      <c r="J362" s="373">
        <f t="shared" ref="J362" si="95">+J360</f>
        <v>0</v>
      </c>
      <c r="K362" s="372">
        <f>IF(J362&lt;=0,0,L362/J362)</f>
        <v>0</v>
      </c>
      <c r="L362" s="374">
        <f>+L360</f>
        <v>0</v>
      </c>
      <c r="M362" s="353"/>
      <c r="N362" s="427"/>
      <c r="O362" s="373">
        <f>+O360</f>
        <v>0</v>
      </c>
      <c r="P362" s="372">
        <f>IF(O362&lt;=0,0,Q362/O362)</f>
        <v>0</v>
      </c>
      <c r="Q362" s="374">
        <f t="shared" ref="Q362" si="96">+Q360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tr">
        <f t="shared" si="93"/>
        <v>Boutique</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93"/>
        <v>BoutiqueDEPENSES</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93"/>
        <v>BoutiqueSalaires cadres</v>
      </c>
      <c r="B365" s="41" t="s">
        <v>196</v>
      </c>
      <c r="C365" s="312" t="s">
        <v>120</v>
      </c>
      <c r="D365" s="41"/>
      <c r="E365" s="41"/>
      <c r="F365" s="254" cm="1">
        <f t="array" ref="F365">+SUMPRODUCT(('Budget original'!$A$8:$A$501=$A365)*('Budget original'!$C$3:$AO$3=F$2),'Budget original'!$C$8:$AO$501)</f>
        <v>0</v>
      </c>
      <c r="G365" s="253"/>
      <c r="H365" s="41"/>
      <c r="I365" s="254"/>
      <c r="J365" s="253"/>
      <c r="K365" s="41"/>
      <c r="L365" s="256">
        <f>SUMIFS(BV_Data_An_Cour!$N:$N,BV_Data_An_Cour!$Q:$Q,$B365,BV_Data_An_Cour!$R:$R,$C365)</f>
        <v>0</v>
      </c>
      <c r="M365" s="253"/>
      <c r="N365" s="263"/>
      <c r="O365" s="253"/>
      <c r="P365" s="41"/>
      <c r="Q365" s="256" cm="1">
        <f t="array" ref="Q365">+SUMPRODUCT(('Réel 2024'!$A$8:$A$501=$A365)*('Réel 2024'!$C$3:$AO$3=Q$2),'Réel 2024'!$C$8:$AO$501)</f>
        <v>0</v>
      </c>
      <c r="R365" s="253"/>
      <c r="S365" s="256">
        <f t="shared" ref="S365:S394" si="97">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93"/>
        <v>BoutiqueSalaires commis</v>
      </c>
      <c r="B366" s="41" t="s">
        <v>196</v>
      </c>
      <c r="C366" s="313" t="s">
        <v>121</v>
      </c>
      <c r="D366" s="297"/>
      <c r="E366" s="41"/>
      <c r="F366" s="248" cm="1">
        <f t="array" ref="F366">+SUMPRODUCT(('Budget original'!$A$8:$A$501=$A366)*('Budget original'!$C$3:$AO$3=F$2),'Budget original'!$C$8:$AO$501)</f>
        <v>0</v>
      </c>
      <c r="G366" s="298"/>
      <c r="H366" s="41"/>
      <c r="I366" s="248"/>
      <c r="J366" s="253"/>
      <c r="K366" s="41"/>
      <c r="L366" s="248">
        <f>SUMIFS(BV_Data_An_Cour!$N:$N,BV_Data_An_Cour!$Q:$Q,$B366,BV_Data_An_Cour!$R:$R,$C366)</f>
        <v>0</v>
      </c>
      <c r="M366" s="253"/>
      <c r="N366" s="276"/>
      <c r="O366" s="253"/>
      <c r="P366" s="41"/>
      <c r="Q366" s="248" cm="1">
        <f t="array" ref="Q366">+SUMPRODUCT(('Réel 2024'!$A$8:$A$501=$A366)*('Réel 2024'!$C$3:$AO$3=Q$2),'Réel 2024'!$C$8:$AO$501)</f>
        <v>0</v>
      </c>
      <c r="R366" s="253"/>
      <c r="S366" s="276">
        <f t="shared" si="97"/>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93"/>
        <v>BoutiqueSalaires autres</v>
      </c>
      <c r="B367" s="41" t="s">
        <v>196</v>
      </c>
      <c r="C367" s="312" t="s">
        <v>122</v>
      </c>
      <c r="D367" s="314"/>
      <c r="E367" s="315"/>
      <c r="F367" s="254" cm="1">
        <f t="array" ref="F367">+SUMPRODUCT(('Budget original'!$A$8:$A$501=$A367)*('Budget original'!$C$3:$AO$3=F$2),'Budget original'!$C$8:$AO$501)</f>
        <v>0</v>
      </c>
      <c r="G367" s="316"/>
      <c r="H367" s="315"/>
      <c r="I367" s="254"/>
      <c r="J367" s="241"/>
      <c r="K367" s="315"/>
      <c r="L367" s="256">
        <f>SUMIFS(BV_Data_An_Cour!$N:$N,BV_Data_An_Cour!$Q:$Q,$B367,BV_Data_An_Cour!$R:$R,$C367)</f>
        <v>0</v>
      </c>
      <c r="M367" s="241"/>
      <c r="N367" s="317"/>
      <c r="O367" s="241"/>
      <c r="P367" s="315"/>
      <c r="Q367" s="256" cm="1">
        <f t="array" ref="Q367">+SUMPRODUCT(('Réel 2024'!$A$8:$A$501=$A367)*('Réel 2024'!$C$3:$AO$3=Q$2),'Réel 2024'!$C$8:$AO$501)</f>
        <v>0</v>
      </c>
      <c r="R367" s="241"/>
      <c r="S367" s="317">
        <f t="shared" si="97"/>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93"/>
        <v>BoutiqueSalaires spécialistes</v>
      </c>
      <c r="B368" s="41" t="s">
        <v>196</v>
      </c>
      <c r="C368" s="312" t="s">
        <v>123</v>
      </c>
      <c r="D368" s="297"/>
      <c r="E368" s="41"/>
      <c r="F368" s="254" cm="1">
        <f t="array" ref="F368">+SUMPRODUCT(('Budget original'!$A$8:$A$501=$A368)*('Budget original'!$C$3:$AO$3=F$2),'Budget original'!$C$8:$AO$501)</f>
        <v>0</v>
      </c>
      <c r="G368" s="298"/>
      <c r="H368" s="41"/>
      <c r="I368" s="254"/>
      <c r="J368" s="253"/>
      <c r="K368" s="41"/>
      <c r="L368" s="256">
        <f>SUMIFS(BV_Data_An_Cour!$N:$N,BV_Data_An_Cour!$Q:$Q,$B368,BV_Data_An_Cour!$R:$R,$C368)</f>
        <v>0</v>
      </c>
      <c r="M368" s="253"/>
      <c r="N368" s="276"/>
      <c r="O368" s="253"/>
      <c r="P368" s="41"/>
      <c r="Q368" s="256" cm="1">
        <f t="array" ref="Q368">+SUMPRODUCT(('Réel 2024'!$A$8:$A$501=$A368)*('Réel 2024'!$C$3:$AO$3=Q$2),'Réel 2024'!$C$8:$AO$501)</f>
        <v>0</v>
      </c>
      <c r="R368" s="253"/>
      <c r="S368" s="276">
        <f t="shared" si="97"/>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93"/>
        <v>Boutique[...]</v>
      </c>
      <c r="B369" s="41" t="s">
        <v>196</v>
      </c>
      <c r="C369" s="253" t="s">
        <v>59</v>
      </c>
      <c r="D369" s="297"/>
      <c r="E369" s="41"/>
      <c r="F369" s="254" cm="1">
        <f t="array" ref="F369">+SUMPRODUCT(('Budget original'!$A$8:$A$501=$A369)*('Budget original'!$C$3:$AO$3=F$2),'Budget original'!$C$8:$AO$501)</f>
        <v>0</v>
      </c>
      <c r="G369" s="298"/>
      <c r="H369" s="41"/>
      <c r="I369" s="254"/>
      <c r="J369" s="253"/>
      <c r="K369" s="41"/>
      <c r="L369" s="256">
        <f>SUMIFS(BV_Data_An_Cour!$N:$N,BV_Data_An_Cour!$Q:$Q,$B369,BV_Data_An_Cour!$R:$R,$C369)</f>
        <v>0</v>
      </c>
      <c r="M369" s="253"/>
      <c r="N369" s="276"/>
      <c r="O369" s="253"/>
      <c r="P369" s="41"/>
      <c r="Q369" s="256" cm="1">
        <f t="array" ref="Q369">+SUMPRODUCT(('Réel 2024'!$A$8:$A$501=$A369)*('Réel 2024'!$C$3:$AO$3=Q$2),'Réel 2024'!$C$8:$AO$501)</f>
        <v>0</v>
      </c>
      <c r="R369" s="253"/>
      <c r="S369" s="276">
        <f t="shared" si="97"/>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93"/>
        <v>Boutique[...]</v>
      </c>
      <c r="B370" s="41" t="s">
        <v>196</v>
      </c>
      <c r="C370" s="253" t="s">
        <v>59</v>
      </c>
      <c r="D370" s="297"/>
      <c r="E370" s="41"/>
      <c r="F370" s="254" cm="1">
        <f t="array" ref="F370">+SUMPRODUCT(('Budget original'!$A$8:$A$501=$A370)*('Budget original'!$C$3:$AO$3=F$2),'Budget original'!$C$8:$AO$501)</f>
        <v>0</v>
      </c>
      <c r="G370" s="298"/>
      <c r="H370" s="41"/>
      <c r="I370" s="254"/>
      <c r="J370" s="253"/>
      <c r="K370" s="41"/>
      <c r="L370" s="256">
        <f>SUMIFS(BV_Data_An_Cour!$N:$N,BV_Data_An_Cour!$Q:$Q,$B370,BV_Data_An_Cour!$R:$R,$C370)</f>
        <v>0</v>
      </c>
      <c r="M370" s="253"/>
      <c r="N370" s="276"/>
      <c r="O370" s="253"/>
      <c r="P370" s="41"/>
      <c r="Q370" s="256" cm="1">
        <f t="array" ref="Q370">+SUMPRODUCT(('Réel 2024'!$A$8:$A$501=$A370)*('Réel 2024'!$C$3:$AO$3=Q$2),'Réel 2024'!$C$8:$AO$501)</f>
        <v>0</v>
      </c>
      <c r="R370" s="253"/>
      <c r="S370" s="276">
        <f t="shared" si="97"/>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93"/>
        <v>Boutique[...]</v>
      </c>
      <c r="B371" s="41" t="s">
        <v>196</v>
      </c>
      <c r="C371" s="253" t="s">
        <v>59</v>
      </c>
      <c r="D371" s="297"/>
      <c r="E371" s="41"/>
      <c r="F371" s="254" cm="1">
        <f t="array" ref="F371">+SUMPRODUCT(('Budget original'!$A$8:$A$501=$A371)*('Budget original'!$C$3:$AO$3=F$2),'Budget original'!$C$8:$AO$501)</f>
        <v>0</v>
      </c>
      <c r="G371" s="298"/>
      <c r="H371" s="41"/>
      <c r="I371" s="254"/>
      <c r="J371" s="253"/>
      <c r="K371" s="41"/>
      <c r="L371" s="256">
        <f>SUMIFS(BV_Data_An_Cour!$N:$N,BV_Data_An_Cour!$Q:$Q,$B371,BV_Data_An_Cour!$R:$R,$C371)</f>
        <v>0</v>
      </c>
      <c r="M371" s="253"/>
      <c r="N371" s="276"/>
      <c r="O371" s="253"/>
      <c r="P371" s="41"/>
      <c r="Q371" s="256" cm="1">
        <f t="array" ref="Q371">+SUMPRODUCT(('Réel 2024'!$A$8:$A$501=$A371)*('Réel 2024'!$C$3:$AO$3=Q$2),'Réel 2024'!$C$8:$AO$501)</f>
        <v>0</v>
      </c>
      <c r="R371" s="253"/>
      <c r="S371" s="276">
        <f t="shared" si="97"/>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93"/>
        <v>BoutiqueSalaires en absences</v>
      </c>
      <c r="B372" s="41" t="s">
        <v>196</v>
      </c>
      <c r="C372" s="313" t="s">
        <v>124</v>
      </c>
      <c r="D372" s="297"/>
      <c r="E372" s="41"/>
      <c r="F372" s="248" cm="1">
        <f t="array" ref="F372">+SUMPRODUCT(('Budget original'!$A$8:$A$501=$A372)*('Budget original'!$C$3:$AO$3=F$2),'Budget original'!$C$8:$AO$501)</f>
        <v>0</v>
      </c>
      <c r="G372" s="298"/>
      <c r="H372" s="41"/>
      <c r="I372" s="248"/>
      <c r="J372" s="253"/>
      <c r="K372" s="41"/>
      <c r="L372" s="248">
        <f>SUMIFS(BV_Data_An_Cour!$N:$N,BV_Data_An_Cour!$Q:$Q,$B372,BV_Data_An_Cour!$R:$R,$C372)</f>
        <v>0</v>
      </c>
      <c r="M372" s="253"/>
      <c r="N372" s="276"/>
      <c r="O372" s="253"/>
      <c r="P372" s="41"/>
      <c r="Q372" s="248" cm="1">
        <f t="array" ref="Q372">+SUMPRODUCT(('Réel 2024'!$A$8:$A$501=$A372)*('Réel 2024'!$C$3:$AO$3=Q$2),'Réel 2024'!$C$8:$AO$501)</f>
        <v>0</v>
      </c>
      <c r="R372" s="253"/>
      <c r="S372" s="276">
        <f t="shared" si="97"/>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93"/>
        <v>BoutiqueDéduction à la source</v>
      </c>
      <c r="B373" s="41" t="s">
        <v>196</v>
      </c>
      <c r="C373" s="312" t="s">
        <v>125</v>
      </c>
      <c r="D373" s="314"/>
      <c r="E373" s="315"/>
      <c r="F373" s="254" cm="1">
        <f t="array" ref="F373">+SUMPRODUCT(('Budget original'!$A$8:$A$501=$A373)*('Budget original'!$C$3:$AO$3=F$2),'Budget original'!$C$8:$AO$501)</f>
        <v>0</v>
      </c>
      <c r="G373" s="316"/>
      <c r="H373" s="315"/>
      <c r="I373" s="254"/>
      <c r="J373" s="241"/>
      <c r="K373" s="315"/>
      <c r="L373" s="256">
        <f>SUMIFS(BV_Data_An_Cour!$N:$N,BV_Data_An_Cour!$Q:$Q,$B373,BV_Data_An_Cour!$R:$R,$C373)</f>
        <v>0</v>
      </c>
      <c r="M373" s="241"/>
      <c r="N373" s="317"/>
      <c r="O373" s="241"/>
      <c r="P373" s="315"/>
      <c r="Q373" s="256" cm="1">
        <f t="array" ref="Q373">+SUMPRODUCT(('Réel 2024'!$A$8:$A$501=$A373)*('Réel 2024'!$C$3:$AO$3=Q$2),'Réel 2024'!$C$8:$AO$501)</f>
        <v>0</v>
      </c>
      <c r="R373" s="241"/>
      <c r="S373" s="317">
        <f t="shared" si="97"/>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93"/>
        <v>BoutiqueBénéfices marginaux</v>
      </c>
      <c r="B374" s="41" t="s">
        <v>196</v>
      </c>
      <c r="C374" s="312" t="s">
        <v>126</v>
      </c>
      <c r="D374" s="297"/>
      <c r="E374" s="41"/>
      <c r="F374" s="254" cm="1">
        <f t="array" ref="F374">+SUMPRODUCT(('Budget original'!$A$8:$A$501=$A374)*('Budget original'!$C$3:$AO$3=F$2),'Budget original'!$C$8:$AO$501)</f>
        <v>0</v>
      </c>
      <c r="G374" s="298"/>
      <c r="H374" s="41"/>
      <c r="I374" s="254"/>
      <c r="J374" s="253"/>
      <c r="K374" s="41"/>
      <c r="L374" s="256">
        <f>SUMIFS(BV_Data_An_Cour!$N:$N,BV_Data_An_Cour!$Q:$Q,$B374,BV_Data_An_Cour!$R:$R,$C374)</f>
        <v>0</v>
      </c>
      <c r="M374" s="253"/>
      <c r="N374" s="276"/>
      <c r="O374" s="253"/>
      <c r="P374" s="41"/>
      <c r="Q374" s="256" cm="1">
        <f t="array" ref="Q374">+SUMPRODUCT(('Réel 2024'!$A$8:$A$501=$A374)*('Réel 2024'!$C$3:$AO$3=Q$2),'Réel 2024'!$C$8:$AO$501)</f>
        <v>0</v>
      </c>
      <c r="R374" s="253"/>
      <c r="S374" s="276">
        <f t="shared" si="97"/>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93"/>
        <v>BoutiqueCsst</v>
      </c>
      <c r="B375" s="41" t="s">
        <v>196</v>
      </c>
      <c r="C375" s="312" t="s">
        <v>127</v>
      </c>
      <c r="D375" s="297"/>
      <c r="E375" s="41"/>
      <c r="F375" s="254" cm="1">
        <f t="array" ref="F375">+SUMPRODUCT(('Budget original'!$A$8:$A$501=$A375)*('Budget original'!$C$3:$AO$3=F$2),'Budget original'!$C$8:$AO$501)</f>
        <v>0</v>
      </c>
      <c r="G375" s="298"/>
      <c r="H375" s="41"/>
      <c r="I375" s="254"/>
      <c r="J375" s="253"/>
      <c r="K375" s="41"/>
      <c r="L375" s="256">
        <f>SUMIFS(BV_Data_An_Cour!$N:$N,BV_Data_An_Cour!$Q:$Q,$B375,BV_Data_An_Cour!$R:$R,$C375)</f>
        <v>0</v>
      </c>
      <c r="M375" s="253"/>
      <c r="N375" s="276"/>
      <c r="O375" s="253"/>
      <c r="P375" s="41"/>
      <c r="Q375" s="256" cm="1">
        <f t="array" ref="Q375">+SUMPRODUCT(('Réel 2024'!$A$8:$A$501=$A375)*('Réel 2024'!$C$3:$AO$3=Q$2),'Réel 2024'!$C$8:$AO$501)</f>
        <v>0</v>
      </c>
      <c r="R375" s="253"/>
      <c r="S375" s="276">
        <f t="shared" si="97"/>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93"/>
        <v>Boutique[...]</v>
      </c>
      <c r="B376" s="41" t="s">
        <v>196</v>
      </c>
      <c r="C376" s="253" t="s">
        <v>59</v>
      </c>
      <c r="D376" s="299"/>
      <c r="E376" s="318"/>
      <c r="F376" s="254" cm="1">
        <f t="array" ref="F376">+SUMPRODUCT(('Budget original'!$A$8:$A$501=$A376)*('Budget original'!$C$3:$AO$3=F$2),'Budget original'!$C$8:$AO$501)</f>
        <v>0</v>
      </c>
      <c r="G376" s="300"/>
      <c r="H376" s="318"/>
      <c r="I376" s="254"/>
      <c r="J376" s="246"/>
      <c r="K376" s="318"/>
      <c r="L376" s="256">
        <f>SUMIFS(BV_Data_An_Cour!$N:$N,BV_Data_An_Cour!$Q:$Q,$B376,BV_Data_An_Cour!$R:$R,$C376)</f>
        <v>0</v>
      </c>
      <c r="M376" s="246"/>
      <c r="N376" s="296"/>
      <c r="O376" s="246"/>
      <c r="P376" s="318"/>
      <c r="Q376" s="256" cm="1">
        <f t="array" ref="Q376">+SUMPRODUCT(('Réel 2024'!$A$8:$A$501=$A376)*('Réel 2024'!$C$3:$AO$3=Q$2),'Réel 2024'!$C$8:$AO$501)</f>
        <v>0</v>
      </c>
      <c r="R376" s="246"/>
      <c r="S376" s="296">
        <f t="shared" si="97"/>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93"/>
        <v>BoutiqueTOTAL PERSONNEL</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97"/>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93"/>
        <v>BoutiquePublicité 2</v>
      </c>
      <c r="B378" s="41" t="s">
        <v>196</v>
      </c>
      <c r="C378" s="406" t="s">
        <v>129</v>
      </c>
      <c r="D378" s="297"/>
      <c r="E378" s="41"/>
      <c r="F378" s="254" cm="1">
        <f t="array" ref="F378">+SUMPRODUCT(('Budget original'!$A$8:$A$501=$A378)*('Budget original'!$C$3:$AO$3=F$2),'Budget original'!$C$8:$AO$501)</f>
        <v>0</v>
      </c>
      <c r="G378" s="298"/>
      <c r="H378" s="41"/>
      <c r="I378" s="254"/>
      <c r="J378" s="253"/>
      <c r="K378" s="41"/>
      <c r="L378" s="256">
        <f>SUMIFS(BV_Data_An_Cour!$N:$N,BV_Data_An_Cour!$Q:$Q,$B378,BV_Data_An_Cour!$R:$R,$C378)</f>
        <v>0</v>
      </c>
      <c r="M378" s="253"/>
      <c r="N378" s="276"/>
      <c r="O378" s="253"/>
      <c r="P378" s="41"/>
      <c r="Q378" s="256" cm="1">
        <f t="array" ref="Q378">+SUMPRODUCT(('Réel 2024'!$A$8:$A$501=$A378)*('Réel 2024'!$C$3:$AO$3=Q$2),'Réel 2024'!$C$8:$AO$501)</f>
        <v>0</v>
      </c>
      <c r="R378" s="253"/>
      <c r="S378" s="276">
        <f t="shared" si="97"/>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93"/>
        <v>BoutiqueService gratuit 2</v>
      </c>
      <c r="B379" s="41" t="s">
        <v>196</v>
      </c>
      <c r="C379" s="312" t="s">
        <v>130</v>
      </c>
      <c r="D379" s="297"/>
      <c r="E379" s="41"/>
      <c r="F379" s="254" cm="1">
        <f t="array" ref="F379">+SUMPRODUCT(('Budget original'!$A$8:$A$501=$A379)*('Budget original'!$C$3:$AO$3=F$2),'Budget original'!$C$8:$AO$501)</f>
        <v>0</v>
      </c>
      <c r="G379" s="298"/>
      <c r="H379" s="41"/>
      <c r="I379" s="254"/>
      <c r="J379" s="253"/>
      <c r="K379" s="41"/>
      <c r="L379" s="256">
        <f>SUMIFS(BV_Data_An_Cour!$N:$N,BV_Data_An_Cour!$Q:$Q,$B379,BV_Data_An_Cour!$R:$R,$C379)</f>
        <v>0</v>
      </c>
      <c r="M379" s="253"/>
      <c r="N379" s="276"/>
      <c r="O379" s="253"/>
      <c r="P379" s="41"/>
      <c r="Q379" s="256" cm="1">
        <f t="array" ref="Q379">+SUMPRODUCT(('Réel 2024'!$A$8:$A$501=$A379)*('Réel 2024'!$C$3:$AO$3=Q$2),'Réel 2024'!$C$8:$AO$501)</f>
        <v>0</v>
      </c>
      <c r="R379" s="253"/>
      <c r="S379" s="276">
        <f t="shared" si="97"/>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93"/>
        <v>BoutiqueFrais véhicules de cie</v>
      </c>
      <c r="B380" s="41" t="s">
        <v>196</v>
      </c>
      <c r="C380" s="313" t="s">
        <v>131</v>
      </c>
      <c r="D380" s="299"/>
      <c r="E380" s="318"/>
      <c r="F380" s="248" cm="1">
        <f t="array" ref="F380">+SUMPRODUCT(('Budget original'!$A$8:$A$501=$A380)*('Budget original'!$C$3:$AO$3=F$2),'Budget original'!$C$8:$AO$501)</f>
        <v>0</v>
      </c>
      <c r="G380" s="300"/>
      <c r="H380" s="318"/>
      <c r="I380" s="248"/>
      <c r="J380" s="246"/>
      <c r="K380" s="318"/>
      <c r="L380" s="248">
        <f>SUMIFS(BV_Data_An_Cour!$N:$N,BV_Data_An_Cour!$Q:$Q,$B380,BV_Data_An_Cour!$R:$R,$C380)</f>
        <v>0</v>
      </c>
      <c r="M380" s="246"/>
      <c r="N380" s="296"/>
      <c r="O380" s="246"/>
      <c r="P380" s="318"/>
      <c r="Q380" s="248" cm="1">
        <f t="array" ref="Q380">+SUMPRODUCT(('Réel 2024'!$A$8:$A$501=$A380)*('Réel 2024'!$C$3:$AO$3=Q$2),'Réel 2024'!$C$8:$AO$501)</f>
        <v>0</v>
      </c>
      <c r="R380" s="246"/>
      <c r="S380" s="296">
        <f t="shared" si="97"/>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93"/>
        <v>BoutiqueInformatique</v>
      </c>
      <c r="B381" s="41" t="s">
        <v>196</v>
      </c>
      <c r="C381" s="312" t="s">
        <v>132</v>
      </c>
      <c r="D381" s="297"/>
      <c r="E381" s="41"/>
      <c r="F381" s="254" cm="1">
        <f t="array" ref="F381">+SUMPRODUCT(('Budget original'!$A$8:$A$501=$A381)*('Budget original'!$C$3:$AO$3=F$2),'Budget original'!$C$8:$AO$501)</f>
        <v>0</v>
      </c>
      <c r="G381" s="298"/>
      <c r="H381" s="41"/>
      <c r="I381" s="254"/>
      <c r="J381" s="253"/>
      <c r="K381" s="41"/>
      <c r="L381" s="256">
        <f>SUMIFS(BV_Data_An_Cour!$N:$N,BV_Data_An_Cour!$Q:$Q,$B381,BV_Data_An_Cour!$R:$R,$C381)</f>
        <v>0</v>
      </c>
      <c r="M381" s="253"/>
      <c r="N381" s="276"/>
      <c r="O381" s="253"/>
      <c r="P381" s="41"/>
      <c r="Q381" s="256" cm="1">
        <f t="array" ref="Q381">+SUMPRODUCT(('Réel 2024'!$A$8:$A$501=$A381)*('Réel 2024'!$C$3:$AO$3=Q$2),'Réel 2024'!$C$8:$AO$501)</f>
        <v>0</v>
      </c>
      <c r="R381" s="253"/>
      <c r="S381" s="276">
        <f t="shared" si="97"/>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93"/>
        <v>BoutiqueFrais de déplacement</v>
      </c>
      <c r="B382" s="41" t="s">
        <v>196</v>
      </c>
      <c r="C382" s="312" t="s">
        <v>133</v>
      </c>
      <c r="D382" s="297"/>
      <c r="E382" s="41"/>
      <c r="F382" s="254" cm="1">
        <f t="array" ref="F382">+SUMPRODUCT(('Budget original'!$A$8:$A$501=$A382)*('Budget original'!$C$3:$AO$3=F$2),'Budget original'!$C$8:$AO$501)</f>
        <v>0</v>
      </c>
      <c r="G382" s="298"/>
      <c r="H382" s="41"/>
      <c r="I382" s="254"/>
      <c r="J382" s="253"/>
      <c r="K382" s="41"/>
      <c r="L382" s="256">
        <f>SUMIFS(BV_Data_An_Cour!$N:$N,BV_Data_An_Cour!$Q:$Q,$B382,BV_Data_An_Cour!$R:$R,$C382)</f>
        <v>0</v>
      </c>
      <c r="M382" s="253"/>
      <c r="N382" s="276"/>
      <c r="O382" s="253"/>
      <c r="P382" s="41"/>
      <c r="Q382" s="256" cm="1">
        <f t="array" ref="Q382">+SUMPRODUCT(('Réel 2024'!$A$8:$A$501=$A382)*('Réel 2024'!$C$3:$AO$3=Q$2),'Réel 2024'!$C$8:$AO$501)</f>
        <v>0</v>
      </c>
      <c r="R382" s="253"/>
      <c r="S382" s="276">
        <f t="shared" si="97"/>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tr">
        <f t="shared" si="93"/>
        <v>BoutiqueServices extérieurs</v>
      </c>
      <c r="B383" s="41" t="s">
        <v>196</v>
      </c>
      <c r="C383" s="312" t="s">
        <v>134</v>
      </c>
      <c r="D383" s="299"/>
      <c r="E383" s="318"/>
      <c r="F383" s="248" cm="1">
        <f t="array" ref="F383">+SUMPRODUCT(('Budget original'!$A$8:$A$501=$A383)*('Budget original'!$C$3:$AO$3=F$2),'Budget original'!$C$8:$AO$501)</f>
        <v>0</v>
      </c>
      <c r="G383" s="300"/>
      <c r="H383" s="318"/>
      <c r="I383" s="248"/>
      <c r="J383" s="246"/>
      <c r="K383" s="318"/>
      <c r="L383" s="248">
        <f>SUMIFS(BV_Data_An_Cour!$N:$N,BV_Data_An_Cour!$Q:$Q,$B383,BV_Data_An_Cour!$R:$R,$C383)</f>
        <v>0</v>
      </c>
      <c r="M383" s="246"/>
      <c r="N383" s="296"/>
      <c r="O383" s="246"/>
      <c r="P383" s="318"/>
      <c r="Q383" s="248" cm="1">
        <f t="array" ref="Q383">+SUMPRODUCT(('Réel 2024'!$A$8:$A$501=$A383)*('Réel 2024'!$C$3:$AO$3=Q$2),'Réel 2024'!$C$8:$AO$501)</f>
        <v>0</v>
      </c>
      <c r="R383" s="246"/>
      <c r="S383" s="296">
        <f t="shared" si="97"/>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tr">
        <f t="shared" si="93"/>
        <v>BoutiqueFournitures autres</v>
      </c>
      <c r="B384" s="41" t="s">
        <v>196</v>
      </c>
      <c r="C384" s="406" t="s">
        <v>135</v>
      </c>
      <c r="D384" s="297"/>
      <c r="E384" s="41"/>
      <c r="F384" s="254" cm="1">
        <f t="array" ref="F384">+SUMPRODUCT(('Budget original'!$A$8:$A$501=$A384)*('Budget original'!$C$3:$AO$3=F$2),'Budget original'!$C$8:$AO$501)</f>
        <v>0</v>
      </c>
      <c r="G384" s="298"/>
      <c r="H384" s="41"/>
      <c r="I384" s="254"/>
      <c r="J384" s="253"/>
      <c r="K384" s="41"/>
      <c r="L384" s="256">
        <f>SUMIFS(BV_Data_An_Cour!$N:$N,BV_Data_An_Cour!$Q:$Q,$B384,BV_Data_An_Cour!$R:$R,$C384)</f>
        <v>0</v>
      </c>
      <c r="M384" s="253"/>
      <c r="N384" s="276"/>
      <c r="O384" s="253"/>
      <c r="P384" s="41"/>
      <c r="Q384" s="256" cm="1">
        <f t="array" ref="Q384">+SUMPRODUCT(('Réel 2024'!$A$8:$A$501=$A384)*('Réel 2024'!$C$3:$AO$3=Q$2),'Réel 2024'!$C$8:$AO$501)</f>
        <v>0</v>
      </c>
      <c r="R384" s="253"/>
      <c r="S384" s="276">
        <f t="shared" si="97"/>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93"/>
        <v>BoutiqueUniformes</v>
      </c>
      <c r="B385" s="41" t="s">
        <v>196</v>
      </c>
      <c r="C385" s="312" t="s">
        <v>136</v>
      </c>
      <c r="D385" s="297"/>
      <c r="E385" s="41"/>
      <c r="F385" s="254" cm="1">
        <f t="array" ref="F385">+SUMPRODUCT(('Budget original'!$A$8:$A$501=$A385)*('Budget original'!$C$3:$AO$3=F$2),'Budget original'!$C$8:$AO$501)</f>
        <v>0</v>
      </c>
      <c r="G385" s="298"/>
      <c r="H385" s="41"/>
      <c r="I385" s="254"/>
      <c r="J385" s="253"/>
      <c r="K385" s="41"/>
      <c r="L385" s="256">
        <f>SUMIFS(BV_Data_An_Cour!$N:$N,BV_Data_An_Cour!$Q:$Q,$B385,BV_Data_An_Cour!$R:$R,$C385)</f>
        <v>0</v>
      </c>
      <c r="M385" s="253"/>
      <c r="N385" s="276"/>
      <c r="O385" s="253"/>
      <c r="P385" s="41"/>
      <c r="Q385" s="256" cm="1">
        <f t="array" ref="Q385">+SUMPRODUCT(('Réel 2024'!$A$8:$A$501=$A385)*('Réel 2024'!$C$3:$AO$3=Q$2),'Réel 2024'!$C$8:$AO$501)</f>
        <v>0</v>
      </c>
      <c r="R385" s="253"/>
      <c r="S385" s="276">
        <f t="shared" si="97"/>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93"/>
        <v>BoutiquePapeterie</v>
      </c>
      <c r="B386" s="41" t="s">
        <v>196</v>
      </c>
      <c r="C386" s="312" t="s">
        <v>137</v>
      </c>
      <c r="D386" s="297"/>
      <c r="E386" s="41"/>
      <c r="F386" s="254" cm="1">
        <f t="array" ref="F386">+SUMPRODUCT(('Budget original'!$A$8:$A$501=$A386)*('Budget original'!$C$3:$AO$3=F$2),'Budget original'!$C$8:$AO$501)</f>
        <v>0</v>
      </c>
      <c r="G386" s="298"/>
      <c r="H386" s="41"/>
      <c r="I386" s="254"/>
      <c r="J386" s="253"/>
      <c r="K386" s="41"/>
      <c r="L386" s="256">
        <f>SUMIFS(BV_Data_An_Cour!$N:$N,BV_Data_An_Cour!$Q:$Q,$B386,BV_Data_An_Cour!$R:$R,$C386)</f>
        <v>0</v>
      </c>
      <c r="M386" s="253"/>
      <c r="N386" s="276"/>
      <c r="O386" s="253"/>
      <c r="P386" s="41"/>
      <c r="Q386" s="256" cm="1">
        <f t="array" ref="Q386">+SUMPRODUCT(('Réel 2024'!$A$8:$A$501=$A386)*('Réel 2024'!$C$3:$AO$3=Q$2),'Réel 2024'!$C$8:$AO$501)</f>
        <v>0</v>
      </c>
      <c r="R386" s="253"/>
      <c r="S386" s="276">
        <f t="shared" si="97"/>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93"/>
        <v>BoutiqueTéléphone</v>
      </c>
      <c r="B387" s="41" t="s">
        <v>196</v>
      </c>
      <c r="C387" s="312" t="s">
        <v>138</v>
      </c>
      <c r="D387" s="297"/>
      <c r="E387" s="41"/>
      <c r="F387" s="254" cm="1">
        <f t="array" ref="F387">+SUMPRODUCT(('Budget original'!$A$8:$A$501=$A387)*('Budget original'!$C$3:$AO$3=F$2),'Budget original'!$C$8:$AO$501)</f>
        <v>0</v>
      </c>
      <c r="G387" s="298"/>
      <c r="H387" s="41"/>
      <c r="I387" s="254"/>
      <c r="J387" s="253"/>
      <c r="K387" s="41"/>
      <c r="L387" s="256">
        <f>SUMIFS(BV_Data_An_Cour!$N:$N,BV_Data_An_Cour!$Q:$Q,$B387,BV_Data_An_Cour!$R:$R,$C387)</f>
        <v>0</v>
      </c>
      <c r="M387" s="253"/>
      <c r="N387" s="276"/>
      <c r="O387" s="253"/>
      <c r="P387" s="41"/>
      <c r="Q387" s="256" cm="1">
        <f t="array" ref="Q387">+SUMPRODUCT(('Réel 2024'!$A$8:$A$501=$A387)*('Réel 2024'!$C$3:$AO$3=Q$2),'Réel 2024'!$C$8:$AO$501)</f>
        <v>0</v>
      </c>
      <c r="R387" s="253"/>
      <c r="S387" s="276">
        <f t="shared" si="97"/>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93"/>
        <v>BoutiqueFrais postaux</v>
      </c>
      <c r="B388" s="41" t="s">
        <v>196</v>
      </c>
      <c r="C388" s="312" t="s">
        <v>139</v>
      </c>
      <c r="D388" s="297"/>
      <c r="E388" s="41"/>
      <c r="F388" s="254" cm="1">
        <f t="array" ref="F388">+SUMPRODUCT(('Budget original'!$A$8:$A$501=$A388)*('Budget original'!$C$3:$AO$3=F$2),'Budget original'!$C$8:$AO$501)</f>
        <v>0</v>
      </c>
      <c r="G388" s="298"/>
      <c r="H388" s="41"/>
      <c r="I388" s="254"/>
      <c r="J388" s="253"/>
      <c r="K388" s="41"/>
      <c r="L388" s="256">
        <f>SUMIFS(BV_Data_An_Cour!$N:$N,BV_Data_An_Cour!$Q:$Q,$B388,BV_Data_An_Cour!$R:$R,$C388)</f>
        <v>0</v>
      </c>
      <c r="M388" s="253"/>
      <c r="N388" s="276"/>
      <c r="O388" s="253"/>
      <c r="P388" s="41"/>
      <c r="Q388" s="256" cm="1">
        <f t="array" ref="Q388">+SUMPRODUCT(('Réel 2024'!$A$8:$A$501=$A388)*('Réel 2024'!$C$3:$AO$3=Q$2),'Réel 2024'!$C$8:$AO$501)</f>
        <v>0</v>
      </c>
      <c r="R388" s="253"/>
      <c r="S388" s="276">
        <f t="shared" si="97"/>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93"/>
        <v>BoutiqueDivers</v>
      </c>
      <c r="B389" s="41" t="s">
        <v>196</v>
      </c>
      <c r="C389" s="312" t="s">
        <v>140</v>
      </c>
      <c r="D389" s="297"/>
      <c r="E389" s="41"/>
      <c r="F389" s="254" cm="1">
        <f t="array" ref="F389">+SUMPRODUCT(('Budget original'!$A$8:$A$501=$A389)*('Budget original'!$C$3:$AO$3=F$2),'Budget original'!$C$8:$AO$501)</f>
        <v>0</v>
      </c>
      <c r="G389" s="298"/>
      <c r="H389" s="41"/>
      <c r="I389" s="254"/>
      <c r="J389" s="253"/>
      <c r="K389" s="41"/>
      <c r="L389" s="256">
        <f>SUMIFS(BV_Data_An_Cour!$N:$N,BV_Data_An_Cour!$Q:$Q,$B389,BV_Data_An_Cour!$R:$R,$C389)</f>
        <v>0</v>
      </c>
      <c r="M389" s="253"/>
      <c r="N389" s="276"/>
      <c r="O389" s="253"/>
      <c r="P389" s="41"/>
      <c r="Q389" s="256" cm="1">
        <f t="array" ref="Q389">+SUMPRODUCT(('Réel 2024'!$A$8:$A$501=$A389)*('Réel 2024'!$C$3:$AO$3=Q$2),'Réel 2024'!$C$8:$AO$501)</f>
        <v>0</v>
      </c>
      <c r="R389" s="253"/>
      <c r="S389" s="276">
        <f t="shared" si="97"/>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93"/>
        <v>BoutiqueFormation</v>
      </c>
      <c r="B390" s="41" t="s">
        <v>196</v>
      </c>
      <c r="C390" s="312" t="s">
        <v>141</v>
      </c>
      <c r="D390" s="297"/>
      <c r="E390" s="41"/>
      <c r="F390" s="254" cm="1">
        <f t="array" ref="F390">+SUMPRODUCT(('Budget original'!$A$8:$A$501=$A390)*('Budget original'!$C$3:$AO$3=F$2),'Budget original'!$C$8:$AO$501)</f>
        <v>0</v>
      </c>
      <c r="G390" s="298"/>
      <c r="H390" s="41"/>
      <c r="I390" s="254"/>
      <c r="J390" s="253"/>
      <c r="K390" s="41"/>
      <c r="L390" s="256">
        <f>SUMIFS(BV_Data_An_Cour!$N:$N,BV_Data_An_Cour!$Q:$Q,$B390,BV_Data_An_Cour!$R:$R,$C390)</f>
        <v>0</v>
      </c>
      <c r="M390" s="253"/>
      <c r="N390" s="276"/>
      <c r="O390" s="253"/>
      <c r="P390" s="41"/>
      <c r="Q390" s="256" cm="1">
        <f t="array" ref="Q390">+SUMPRODUCT(('Réel 2024'!$A$8:$A$501=$A390)*('Réel 2024'!$C$3:$AO$3=Q$2),'Réel 2024'!$C$8:$AO$501)</f>
        <v>0</v>
      </c>
      <c r="R390" s="253"/>
      <c r="S390" s="276">
        <f t="shared" si="97"/>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tr">
        <f t="shared" si="93"/>
        <v>BoutiqueFrais bancaires</v>
      </c>
      <c r="B391" s="41" t="s">
        <v>196</v>
      </c>
      <c r="C391" s="312" t="s">
        <v>142</v>
      </c>
      <c r="D391" s="297"/>
      <c r="E391" s="41"/>
      <c r="F391" s="254" cm="1">
        <f t="array" ref="F391">+SUMPRODUCT(('Budget original'!$A$8:$A$501=$A391)*('Budget original'!$C$3:$AO$3=F$2),'Budget original'!$C$8:$AO$501)</f>
        <v>0</v>
      </c>
      <c r="G391" s="298"/>
      <c r="H391" s="41"/>
      <c r="I391" s="254"/>
      <c r="J391" s="253"/>
      <c r="K391" s="41"/>
      <c r="L391" s="256">
        <f>SUMIFS(BV_Data_An_Cour!$N:$N,BV_Data_An_Cour!$Q:$Q,$B391,BV_Data_An_Cour!$R:$R,$C391)</f>
        <v>0</v>
      </c>
      <c r="M391" s="253"/>
      <c r="N391" s="276"/>
      <c r="O391" s="253"/>
      <c r="P391" s="41"/>
      <c r="Q391" s="256" cm="1">
        <f t="array" ref="Q391">+SUMPRODUCT(('Réel 2024'!$A$8:$A$501=$A391)*('Réel 2024'!$C$3:$AO$3=Q$2),'Réel 2024'!$C$8:$AO$501)</f>
        <v>0</v>
      </c>
      <c r="R391" s="253"/>
      <c r="S391" s="276">
        <f t="shared" si="97"/>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tr">
        <f t="shared" si="93"/>
        <v>Boutique[...]</v>
      </c>
      <c r="B392" s="41" t="s">
        <v>196</v>
      </c>
      <c r="C392" s="312" t="s">
        <v>59</v>
      </c>
      <c r="D392" s="297"/>
      <c r="E392" s="41"/>
      <c r="F392" s="254" cm="1">
        <f t="array" ref="F392">+SUMPRODUCT(('Budget original'!$A$8:$A$501=$A392)*('Budget original'!$C$3:$AO$3=F$2),'Budget original'!$C$8:$AO$501)</f>
        <v>0</v>
      </c>
      <c r="G392" s="298"/>
      <c r="H392" s="41"/>
      <c r="I392" s="254"/>
      <c r="J392" s="253"/>
      <c r="K392" s="41"/>
      <c r="L392" s="256">
        <f>SUMIFS(BV_Data_An_Cour!$N:$N,BV_Data_An_Cour!$Q:$Q,$B392,BV_Data_An_Cour!$R:$R,$C392)</f>
        <v>0</v>
      </c>
      <c r="M392" s="253"/>
      <c r="N392" s="276"/>
      <c r="O392" s="253"/>
      <c r="P392" s="41"/>
      <c r="Q392" s="256" cm="1">
        <f t="array" ref="Q392">+SUMPRODUCT(('Réel 2024'!$A$8:$A$501=$A392)*('Réel 2024'!$C$3:$AO$3=Q$2),'Réel 2024'!$C$8:$AO$501)</f>
        <v>0</v>
      </c>
      <c r="R392" s="253"/>
      <c r="S392" s="276">
        <f t="shared" si="97"/>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93"/>
        <v>Boutique[...]</v>
      </c>
      <c r="B393" s="41" t="s">
        <v>196</v>
      </c>
      <c r="C393" s="312" t="s">
        <v>59</v>
      </c>
      <c r="D393" s="297"/>
      <c r="E393" s="41"/>
      <c r="F393" s="254" cm="1">
        <f t="array" ref="F393">+SUMPRODUCT(('Budget original'!$A$8:$A$501=$A393)*('Budget original'!$C$3:$AO$3=F$2),'Budget original'!$C$8:$AO$501)</f>
        <v>0</v>
      </c>
      <c r="G393" s="298"/>
      <c r="H393" s="41"/>
      <c r="I393" s="254"/>
      <c r="J393" s="253"/>
      <c r="K393" s="41"/>
      <c r="L393" s="256">
        <f>SUMIFS(BV_Data_An_Cour!$N:$N,BV_Data_An_Cour!$Q:$Q,$B393,BV_Data_An_Cour!$R:$R,$C393)</f>
        <v>0</v>
      </c>
      <c r="M393" s="253"/>
      <c r="N393" s="276"/>
      <c r="O393" s="253"/>
      <c r="P393" s="41"/>
      <c r="Q393" s="256" cm="1">
        <f t="array" ref="Q393">+SUMPRODUCT(('Réel 2024'!$A$8:$A$501=$A393)*('Réel 2024'!$C$3:$AO$3=Q$2),'Réel 2024'!$C$8:$AO$501)</f>
        <v>0</v>
      </c>
      <c r="R393" s="253"/>
      <c r="S393" s="276">
        <f t="shared" si="97"/>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tr">
        <f t="shared" si="93"/>
        <v>Boutique[...]</v>
      </c>
      <c r="B394" s="41" t="s">
        <v>196</v>
      </c>
      <c r="C394" s="312" t="s">
        <v>59</v>
      </c>
      <c r="D394" s="299"/>
      <c r="E394" s="318"/>
      <c r="F394" s="254" cm="1">
        <f t="array" ref="F394">+SUMPRODUCT(('Budget original'!$A$8:$A$501=$A394)*('Budget original'!$C$3:$AO$3=F$2),'Budget original'!$C$8:$AO$501)</f>
        <v>0</v>
      </c>
      <c r="G394" s="300"/>
      <c r="H394" s="318"/>
      <c r="I394" s="254"/>
      <c r="J394" s="246"/>
      <c r="K394" s="318"/>
      <c r="L394" s="256">
        <f>SUMIFS(BV_Data_An_Cour!$N:$N,BV_Data_An_Cour!$Q:$Q,$B394,BV_Data_An_Cour!$R:$R,$C394)</f>
        <v>0</v>
      </c>
      <c r="M394" s="246"/>
      <c r="N394" s="296"/>
      <c r="O394" s="246"/>
      <c r="P394" s="318"/>
      <c r="Q394" s="256" cm="1">
        <f t="array" ref="Q394">+SUMPRODUCT(('Réel 2024'!$A$8:$A$501=$A394)*('Réel 2024'!$C$3:$AO$3=Q$2),'Réel 2024'!$C$8:$AO$501)</f>
        <v>0</v>
      </c>
      <c r="R394" s="246"/>
      <c r="S394" s="296">
        <f t="shared" si="97"/>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thickBo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Top="1" thickBo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612"/>
      <c r="AE399" s="38"/>
      <c r="AF399" s="38"/>
      <c r="AG399" s="38"/>
      <c r="AH399" s="38"/>
      <c r="AI399" s="38"/>
      <c r="AJ399" s="38"/>
      <c r="AK399" s="38"/>
      <c r="AL399" s="38"/>
      <c r="AM399" s="38"/>
      <c r="AN399" s="38"/>
    </row>
    <row r="400" spans="1:40" ht="15.75" customHeight="1">
      <c r="B400" s="3"/>
      <c r="C400" s="11"/>
      <c r="D400" s="297"/>
      <c r="E400" s="41"/>
      <c r="F400" s="319"/>
      <c r="G400" s="297"/>
      <c r="H400" s="41"/>
      <c r="I400" s="319"/>
      <c r="J400" s="11"/>
      <c r="K400" s="11"/>
      <c r="L400" s="319"/>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C401" s="41"/>
      <c r="D401" s="41"/>
      <c r="E401" s="41"/>
      <c r="F401" s="41"/>
      <c r="G401" s="41"/>
      <c r="H401" s="41"/>
      <c r="I401" s="41"/>
      <c r="J401" s="291"/>
      <c r="K401" s="41"/>
      <c r="L401" s="38"/>
      <c r="M401" s="41"/>
      <c r="N401" s="41"/>
      <c r="O401" s="41"/>
      <c r="P401" s="41"/>
      <c r="Q401" s="41"/>
      <c r="R401" s="38"/>
      <c r="S401" s="138"/>
      <c r="T401" s="138"/>
      <c r="U401" s="38"/>
      <c r="V401" s="41"/>
      <c r="W401" s="38"/>
      <c r="X401" s="38"/>
      <c r="Y401" s="38"/>
      <c r="Z401" s="38"/>
      <c r="AA401" s="38"/>
      <c r="AB401" s="38"/>
      <c r="AC401" s="38"/>
      <c r="AD401" s="38"/>
      <c r="AE401" s="38"/>
      <c r="AF401" s="38"/>
      <c r="AG401" s="38"/>
      <c r="AH401" s="38"/>
      <c r="AI401" s="38"/>
      <c r="AJ401" s="38"/>
      <c r="AK401" s="38"/>
      <c r="AL401" s="38"/>
      <c r="AM401" s="38"/>
      <c r="AN401" s="38"/>
    </row>
    <row r="402" spans="1:61" ht="44.25" customHeight="1">
      <c r="B402" s="3"/>
      <c r="C402" s="38"/>
      <c r="D402" s="38"/>
      <c r="E402" s="38"/>
      <c r="F402" s="38"/>
      <c r="G402" s="38"/>
      <c r="H402" s="38"/>
      <c r="I402" s="38"/>
      <c r="J402" s="38"/>
      <c r="K402" s="38"/>
      <c r="L402" s="38"/>
      <c r="M402" s="613"/>
      <c r="N402" s="613"/>
      <c r="O402" s="613"/>
      <c r="P402" s="38"/>
      <c r="Q402" s="614"/>
      <c r="R402" s="38"/>
      <c r="U402" s="615"/>
      <c r="V402" s="947" t="str">
        <f>C1</f>
        <v>Volks</v>
      </c>
      <c r="W402" s="36"/>
      <c r="X402" s="36"/>
      <c r="Y402" s="36"/>
      <c r="Z402" s="36"/>
      <c r="AA402" s="36"/>
      <c r="AB402" s="36"/>
      <c r="AC402" s="36"/>
      <c r="AD402" s="36"/>
      <c r="AE402" s="9" t="s">
        <v>3309</v>
      </c>
      <c r="AF402" s="36"/>
      <c r="AG402" s="36"/>
      <c r="AH402" s="36"/>
      <c r="AI402" s="36"/>
      <c r="AJ402" s="955"/>
      <c r="AK402" s="956"/>
      <c r="AL402" s="957"/>
      <c r="AM402" s="957"/>
      <c r="AN402" s="957"/>
      <c r="AO402" s="959" t="str">
        <f>$S$1</f>
        <v>Réalisé AAJ, Mai 2025</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38"/>
      <c r="D403" s="38"/>
      <c r="E403" s="38"/>
      <c r="F403" s="38"/>
      <c r="G403" s="38"/>
      <c r="H403" s="38"/>
      <c r="I403" s="38"/>
      <c r="J403" s="38"/>
      <c r="K403" s="38"/>
      <c r="L403" s="38"/>
      <c r="M403" s="613"/>
      <c r="N403" s="613"/>
      <c r="O403" s="613"/>
      <c r="P403" s="555"/>
      <c r="Q403" s="614"/>
      <c r="R403" s="38"/>
      <c r="S403" s="616"/>
      <c r="T403" s="616"/>
      <c r="U403" s="615"/>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tr">
        <f t="shared" ref="A404:A439" si="98">+U404&amp;V404</f>
        <v/>
      </c>
      <c r="B404" s="3"/>
      <c r="C404" s="38"/>
      <c r="D404" s="38"/>
      <c r="E404" s="38"/>
      <c r="F404" s="38"/>
      <c r="G404" s="38"/>
      <c r="H404" s="38"/>
      <c r="I404" s="38"/>
      <c r="J404" s="38"/>
      <c r="K404" s="38"/>
      <c r="L404" s="38"/>
      <c r="M404" s="613"/>
      <c r="N404" s="613"/>
      <c r="O404" s="613"/>
      <c r="P404" s="555"/>
      <c r="Q404" s="614"/>
      <c r="R404" s="38"/>
      <c r="S404" s="616"/>
      <c r="T404" s="616"/>
      <c r="U404" s="615"/>
      <c r="V404" s="435"/>
      <c r="W404" s="436"/>
      <c r="X404" s="1227" t="s">
        <v>600</v>
      </c>
      <c r="Y404" s="1225"/>
      <c r="Z404" s="1228"/>
      <c r="AA404" s="1224"/>
      <c r="AB404" s="1225"/>
      <c r="AC404" s="1228"/>
      <c r="AD404" s="1224" t="s">
        <v>344</v>
      </c>
      <c r="AE404" s="1225"/>
      <c r="AF404" s="1228"/>
      <c r="AG404" s="1224" t="s">
        <v>3310</v>
      </c>
      <c r="AH404" s="1225"/>
      <c r="AI404" s="1228"/>
      <c r="AJ404" s="1224" t="s">
        <v>601</v>
      </c>
      <c r="AK404" s="1225"/>
      <c r="AL404" s="1225"/>
      <c r="AM404" s="1224" t="s">
        <v>602</v>
      </c>
      <c r="AN404" s="1225"/>
      <c r="AO404" s="1226"/>
      <c r="AP404" s="38"/>
      <c r="AQ404" s="617" t="s">
        <v>694</v>
      </c>
      <c r="AR404" s="618" t="s">
        <v>695</v>
      </c>
      <c r="AS404" s="38"/>
      <c r="AT404" s="38"/>
      <c r="AU404" s="38"/>
      <c r="AV404" s="38"/>
      <c r="AW404" s="38"/>
      <c r="AX404" s="38"/>
      <c r="AY404" s="38"/>
      <c r="AZ404" s="38"/>
      <c r="BA404" s="38"/>
      <c r="BB404" s="38"/>
      <c r="BC404" s="38"/>
      <c r="BD404" s="38"/>
      <c r="BE404" s="38"/>
      <c r="BF404" s="38"/>
      <c r="BG404" s="38"/>
      <c r="BH404" s="38"/>
      <c r="BI404" s="38"/>
    </row>
    <row r="405" spans="1:61" ht="15.75" customHeight="1">
      <c r="A405" s="5" t="str">
        <f t="shared" si="98"/>
        <v/>
      </c>
      <c r="B405" s="3"/>
      <c r="C405" s="38"/>
      <c r="D405" s="38"/>
      <c r="E405" s="38"/>
      <c r="F405" s="38"/>
      <c r="G405" s="38"/>
      <c r="H405" s="38"/>
      <c r="I405" s="38"/>
      <c r="J405" s="38"/>
      <c r="K405" s="38"/>
      <c r="M405" s="619"/>
      <c r="N405" s="38"/>
      <c r="O405" s="619"/>
      <c r="P405" s="555"/>
      <c r="Q405" s="614"/>
      <c r="R405" s="38"/>
      <c r="S405" s="616"/>
      <c r="T405" s="616"/>
      <c r="U405" s="38"/>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551"/>
      <c r="AR405" s="550"/>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8"/>
        <v>Ventes nettes</v>
      </c>
      <c r="B406" s="3"/>
      <c r="C406" s="38"/>
      <c r="D406" s="38"/>
      <c r="E406" s="38"/>
      <c r="F406" s="38"/>
      <c r="G406" s="38"/>
      <c r="H406" s="38"/>
      <c r="I406" s="38"/>
      <c r="J406" s="613"/>
      <c r="K406" s="615"/>
      <c r="L406" s="38"/>
      <c r="M406" s="613"/>
      <c r="N406" s="612"/>
      <c r="O406" s="612"/>
      <c r="P406" s="555"/>
      <c r="Q406" s="614"/>
      <c r="R406" s="38"/>
      <c r="S406" s="616"/>
      <c r="T406" s="616"/>
      <c r="U406" s="38"/>
      <c r="V406" s="313" t="s">
        <v>96</v>
      </c>
      <c r="W406" s="440"/>
      <c r="X406" s="440"/>
      <c r="Y406" s="440"/>
      <c r="Z406" s="441">
        <f>F5+F93+E194+E250+D314+D362</f>
        <v>26201339.781595774</v>
      </c>
      <c r="AA406" s="440"/>
      <c r="AB406" s="440"/>
      <c r="AC406" s="441"/>
      <c r="AD406" s="442"/>
      <c r="AE406" s="443"/>
      <c r="AF406" s="443">
        <f>L5+L93+K194+K250+J314+J362</f>
        <v>22762673.969999999</v>
      </c>
      <c r="AG406" s="442"/>
      <c r="AH406" s="443"/>
      <c r="AI406" s="444"/>
      <c r="AJ406" s="442"/>
      <c r="AK406" s="443"/>
      <c r="AL406" s="443">
        <f>Q5+Q93+P194+P250+O314+O362</f>
        <v>28645569.619999986</v>
      </c>
      <c r="AM406" s="445"/>
      <c r="AN406" s="443"/>
      <c r="AO406" s="446"/>
      <c r="AP406" s="38"/>
      <c r="AQ406" s="445">
        <v>54204064.640000001</v>
      </c>
      <c r="AR406" s="620">
        <f t="shared" ref="AR406:AR407" si="99">AF406-AQ406</f>
        <v>-31441390.670000002</v>
      </c>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8"/>
        <v>Profit brut</v>
      </c>
      <c r="B407" s="3"/>
      <c r="C407" s="38"/>
      <c r="D407" s="38"/>
      <c r="E407" s="38"/>
      <c r="F407" s="38"/>
      <c r="G407" s="38"/>
      <c r="H407" s="38"/>
      <c r="I407" s="38"/>
      <c r="J407" s="613"/>
      <c r="K407" s="615"/>
      <c r="L407" s="38"/>
      <c r="M407" s="613"/>
      <c r="N407" s="613"/>
      <c r="O407" s="613"/>
      <c r="P407" s="555"/>
      <c r="Q407" s="614"/>
      <c r="R407" s="38"/>
      <c r="U407" s="615"/>
      <c r="V407" s="447" t="s">
        <v>202</v>
      </c>
      <c r="W407" s="448"/>
      <c r="X407" s="475"/>
      <c r="Y407" s="448"/>
      <c r="Z407" s="449">
        <f>F27+F108+F194+F250+F314+F362</f>
        <v>3183623.3218862889</v>
      </c>
      <c r="AA407" s="448"/>
      <c r="AB407" s="448"/>
      <c r="AC407" s="449"/>
      <c r="AD407" s="475">
        <f>AF407/AF$406</f>
        <v>0.13599127563307098</v>
      </c>
      <c r="AE407" s="451"/>
      <c r="AF407" s="451">
        <f>L27+L108+L194+L250+L314+L362</f>
        <v>3095525.07</v>
      </c>
      <c r="AG407" s="450"/>
      <c r="AH407" s="451">
        <f>AF407-Z407</f>
        <v>-88098.251886289101</v>
      </c>
      <c r="AI407" s="452">
        <f>AH407/Z407</f>
        <v>-2.7672322689887542E-2</v>
      </c>
      <c r="AJ407" s="475">
        <f>+AL407/AL406</f>
        <v>0.1048981242077321</v>
      </c>
      <c r="AK407" s="451"/>
      <c r="AL407" s="451">
        <f>Q27+Q108+Q194+Q250+Q314+Q362</f>
        <v>3004866.5199999958</v>
      </c>
      <c r="AM407" s="453"/>
      <c r="AN407" s="451">
        <f>AF407-AL407</f>
        <v>90658.550000004005</v>
      </c>
      <c r="AO407" s="454">
        <f>IF(AL407=0,0,AN407/AL407)</f>
        <v>3.0170574764833192E-2</v>
      </c>
      <c r="AP407" s="94"/>
      <c r="AQ407" s="453">
        <v>7795760.1900000032</v>
      </c>
      <c r="AR407" s="621">
        <f t="shared" si="99"/>
        <v>-4700235.1200000029</v>
      </c>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8"/>
        <v>DÉPENSES</v>
      </c>
      <c r="B408" s="3"/>
      <c r="C408" s="38"/>
      <c r="D408" s="38"/>
      <c r="E408" s="38"/>
      <c r="F408" s="38"/>
      <c r="G408" s="38"/>
      <c r="H408" s="38"/>
      <c r="I408" s="38"/>
      <c r="J408" s="94"/>
      <c r="K408" s="615"/>
      <c r="L408" s="38"/>
      <c r="M408" s="613"/>
      <c r="N408" s="613"/>
      <c r="O408" s="613"/>
      <c r="P408" s="555"/>
      <c r="Q408" s="614"/>
      <c r="R408" s="38"/>
      <c r="S408" s="616"/>
      <c r="T408" s="616"/>
      <c r="U408" s="615"/>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94"/>
      <c r="AQ408" s="461"/>
      <c r="AR408" s="512"/>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8"/>
        <v>Comm. vendeurs</v>
      </c>
      <c r="B409" s="3"/>
      <c r="C409" s="38"/>
      <c r="D409" s="38"/>
      <c r="E409" s="38"/>
      <c r="F409" s="38"/>
      <c r="G409" s="38"/>
      <c r="H409" s="38"/>
      <c r="I409" s="38"/>
      <c r="J409" s="613"/>
      <c r="K409" s="615"/>
      <c r="L409" s="38"/>
      <c r="M409" s="613"/>
      <c r="N409" s="613"/>
      <c r="O409" s="613"/>
      <c r="P409" s="555"/>
      <c r="Q409" s="614"/>
      <c r="R409" s="38"/>
      <c r="S409" s="616"/>
      <c r="T409" s="616"/>
      <c r="U409" s="615"/>
      <c r="V409" s="312" t="s">
        <v>111</v>
      </c>
      <c r="W409" s="463" t="s">
        <v>607</v>
      </c>
      <c r="X409" s="456"/>
      <c r="Y409" s="464">
        <f t="shared" ref="Y409:Y418" si="100">Z409/(D$13+D$97)</f>
        <v>706.51132373947428</v>
      </c>
      <c r="Z409" s="457">
        <f t="shared" ref="Z409:Z418" si="101">+SUMIF($C:$C,$V409,F:F)</f>
        <v>293908.71067562129</v>
      </c>
      <c r="AA409" s="456"/>
      <c r="AB409" s="464"/>
      <c r="AC409" s="457"/>
      <c r="AD409" s="465"/>
      <c r="AE409" s="464">
        <f t="shared" ref="AE409:AE414" si="102">IF(AF409=0,0,AF409/(J$13+J$97))</f>
        <v>654.28125</v>
      </c>
      <c r="AF409" s="457">
        <f t="shared" ref="AF409:AF418" si="103">+SUMIF($C:$C,$V409,L:L)</f>
        <v>240775.5</v>
      </c>
      <c r="AG409" s="458">
        <f t="shared" ref="AG409:AG418" si="104">AE409-Y409</f>
        <v>-52.230073739474278</v>
      </c>
      <c r="AH409" s="459">
        <f t="shared" ref="AH409:AH418" si="105">AF409-Z409</f>
        <v>-53133.210675621289</v>
      </c>
      <c r="AI409" s="460">
        <f t="shared" ref="AI409:AI418" si="106">IF(Z409=0,0,AH409/Z409)</f>
        <v>-0.18078134041512947</v>
      </c>
      <c r="AJ409" s="465"/>
      <c r="AK409" s="459">
        <f t="shared" ref="AK409:AK418" si="107">AL409/(O$13+O$97)</f>
        <v>665.99530201342282</v>
      </c>
      <c r="AL409" s="457">
        <f t="shared" ref="AL409:AL415" si="108">+SUMIF($C:$C,$V409,Q:Q)</f>
        <v>297699.90000000002</v>
      </c>
      <c r="AM409" s="461">
        <f t="shared" ref="AM409:AM418" si="109">AE409-Y409</f>
        <v>-52.230073739474278</v>
      </c>
      <c r="AN409" s="459">
        <f t="shared" ref="AN409:AN431" si="110">AF409-AL409</f>
        <v>-56924.400000000023</v>
      </c>
      <c r="AO409" s="466">
        <f t="shared" ref="AO409:AO431" si="111">IF(AL409=0,0,AN409/AL409)</f>
        <v>-0.19121403802957279</v>
      </c>
      <c r="AP409" s="94"/>
      <c r="AQ409" s="622">
        <v>778277.40999999992</v>
      </c>
      <c r="AR409" s="512">
        <f t="shared" ref="AR409:AR466" si="112">AF409-AQ409</f>
        <v>-537501.90999999992</v>
      </c>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8"/>
        <v>Comm. F&amp;I</v>
      </c>
      <c r="B410" s="3"/>
      <c r="C410" s="38"/>
      <c r="D410" s="38"/>
      <c r="E410" s="38"/>
      <c r="F410" s="38"/>
      <c r="G410" s="38"/>
      <c r="H410" s="38"/>
      <c r="I410" s="38"/>
      <c r="J410" s="613"/>
      <c r="K410" s="615"/>
      <c r="M410" s="619"/>
      <c r="N410" s="619"/>
      <c r="O410" s="619"/>
      <c r="Q410" s="614"/>
      <c r="R410" s="38"/>
      <c r="S410" s="616"/>
      <c r="T410" s="616"/>
      <c r="U410" s="38"/>
      <c r="V410" s="313" t="s">
        <v>112</v>
      </c>
      <c r="W410" s="467" t="s">
        <v>608</v>
      </c>
      <c r="X410" s="440"/>
      <c r="Y410" s="468">
        <f t="shared" si="100"/>
        <v>388.41346153846155</v>
      </c>
      <c r="Z410" s="441">
        <f t="shared" si="101"/>
        <v>161580</v>
      </c>
      <c r="AA410" s="440"/>
      <c r="AB410" s="468"/>
      <c r="AC410" s="441"/>
      <c r="AD410" s="469"/>
      <c r="AE410" s="468">
        <f t="shared" si="102"/>
        <v>375.50274456521743</v>
      </c>
      <c r="AF410" s="441">
        <f t="shared" si="103"/>
        <v>138185.01</v>
      </c>
      <c r="AG410" s="442">
        <f t="shared" si="104"/>
        <v>-12.910716973244121</v>
      </c>
      <c r="AH410" s="443">
        <f t="shared" si="105"/>
        <v>-23394.989999999991</v>
      </c>
      <c r="AI410" s="470">
        <f t="shared" si="106"/>
        <v>-0.14478889714073517</v>
      </c>
      <c r="AJ410" s="469"/>
      <c r="AK410" s="443">
        <f t="shared" si="107"/>
        <v>327.68234899328854</v>
      </c>
      <c r="AL410" s="441">
        <f t="shared" si="108"/>
        <v>146474.00999999998</v>
      </c>
      <c r="AM410" s="445">
        <f t="shared" si="109"/>
        <v>-12.910716973244121</v>
      </c>
      <c r="AN410" s="443">
        <f t="shared" si="110"/>
        <v>-8288.9999999999709</v>
      </c>
      <c r="AO410" s="446">
        <f t="shared" si="111"/>
        <v>-5.6590244235137498E-2</v>
      </c>
      <c r="AP410" s="94"/>
      <c r="AQ410" s="623">
        <v>469053.9</v>
      </c>
      <c r="AR410" s="620">
        <f t="shared" si="112"/>
        <v>-330868.89</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8"/>
        <v>Frais de livraison</v>
      </c>
      <c r="B411" s="3"/>
      <c r="C411" s="38"/>
      <c r="D411" s="38"/>
      <c r="E411" s="38"/>
      <c r="F411" s="38"/>
      <c r="G411" s="38"/>
      <c r="H411" s="38"/>
      <c r="I411" s="38"/>
      <c r="J411" s="613"/>
      <c r="K411" s="38"/>
      <c r="L411" s="38"/>
      <c r="M411" s="619"/>
      <c r="N411" s="612"/>
      <c r="O411" s="612"/>
      <c r="P411" s="555"/>
      <c r="Q411" s="614"/>
      <c r="R411" s="38"/>
      <c r="S411" s="616"/>
      <c r="T411" s="616"/>
      <c r="U411" s="38"/>
      <c r="V411" s="312" t="s">
        <v>113</v>
      </c>
      <c r="W411" s="463" t="s">
        <v>609</v>
      </c>
      <c r="X411" s="456"/>
      <c r="Y411" s="464">
        <f t="shared" si="100"/>
        <v>82.34615384615384</v>
      </c>
      <c r="Z411" s="457">
        <f t="shared" si="101"/>
        <v>34256</v>
      </c>
      <c r="AA411" s="456"/>
      <c r="AB411" s="464"/>
      <c r="AC411" s="457"/>
      <c r="AD411" s="465"/>
      <c r="AE411" s="464">
        <f t="shared" si="102"/>
        <v>51.407663043478252</v>
      </c>
      <c r="AF411" s="457">
        <f t="shared" si="103"/>
        <v>18918.019999999997</v>
      </c>
      <c r="AG411" s="458">
        <f t="shared" si="104"/>
        <v>-30.938490802675588</v>
      </c>
      <c r="AH411" s="459">
        <f t="shared" si="105"/>
        <v>-15337.980000000003</v>
      </c>
      <c r="AI411" s="460">
        <f t="shared" si="106"/>
        <v>-0.4477457963568427</v>
      </c>
      <c r="AJ411" s="465"/>
      <c r="AK411" s="459">
        <f t="shared" si="107"/>
        <v>99.191185682326633</v>
      </c>
      <c r="AL411" s="457">
        <f t="shared" si="108"/>
        <v>44338.460000000006</v>
      </c>
      <c r="AM411" s="461">
        <f t="shared" si="109"/>
        <v>-30.938490802675588</v>
      </c>
      <c r="AN411" s="459">
        <f t="shared" si="110"/>
        <v>-25420.44000000001</v>
      </c>
      <c r="AO411" s="466">
        <f t="shared" si="111"/>
        <v>-0.57332708443189062</v>
      </c>
      <c r="AP411" s="94"/>
      <c r="AQ411" s="622">
        <v>56454.65</v>
      </c>
      <c r="AR411" s="512">
        <f t="shared" si="112"/>
        <v>-37536.630000000005</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8"/>
        <v>Service gratuit 1</v>
      </c>
      <c r="B412" s="3"/>
      <c r="C412" s="38"/>
      <c r="D412" s="38"/>
      <c r="E412" s="38"/>
      <c r="F412" s="38"/>
      <c r="G412" s="38"/>
      <c r="H412" s="38"/>
      <c r="I412" s="38"/>
      <c r="J412" s="38"/>
      <c r="K412" s="38"/>
      <c r="L412" s="38"/>
      <c r="M412" s="613"/>
      <c r="N412" s="613"/>
      <c r="O412" s="613"/>
      <c r="P412" s="555"/>
      <c r="Q412" s="614"/>
      <c r="R412" s="38"/>
      <c r="U412" s="615"/>
      <c r="V412" s="312" t="s">
        <v>114</v>
      </c>
      <c r="W412" s="463" t="s">
        <v>610</v>
      </c>
      <c r="X412" s="456"/>
      <c r="Y412" s="464">
        <f t="shared" si="100"/>
        <v>22.283653846153847</v>
      </c>
      <c r="Z412" s="457">
        <f t="shared" si="101"/>
        <v>9270</v>
      </c>
      <c r="AA412" s="456"/>
      <c r="AB412" s="464"/>
      <c r="AC412" s="457"/>
      <c r="AD412" s="465"/>
      <c r="AE412" s="464">
        <f t="shared" si="102"/>
        <v>22.078831521739129</v>
      </c>
      <c r="AF412" s="457">
        <f t="shared" si="103"/>
        <v>8125.0099999999993</v>
      </c>
      <c r="AG412" s="458">
        <f t="shared" si="104"/>
        <v>-0.20482232441471737</v>
      </c>
      <c r="AH412" s="459">
        <f t="shared" si="105"/>
        <v>-1144.9900000000007</v>
      </c>
      <c r="AI412" s="460">
        <f t="shared" si="106"/>
        <v>-0.12351564185544775</v>
      </c>
      <c r="AJ412" s="465"/>
      <c r="AK412" s="459">
        <f t="shared" si="107"/>
        <v>18.197986577181204</v>
      </c>
      <c r="AL412" s="457">
        <f t="shared" si="108"/>
        <v>8134.4999999999991</v>
      </c>
      <c r="AM412" s="461">
        <f t="shared" si="109"/>
        <v>-0.20482232441471737</v>
      </c>
      <c r="AN412" s="459">
        <f t="shared" si="110"/>
        <v>-9.4899999999997817</v>
      </c>
      <c r="AO412" s="466">
        <f t="shared" si="111"/>
        <v>-1.1666359333701865E-3</v>
      </c>
      <c r="AP412" s="94"/>
      <c r="AQ412" s="622">
        <v>3117.25</v>
      </c>
      <c r="AR412" s="512">
        <f t="shared" si="112"/>
        <v>5007.7599999999993</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8"/>
        <v>Entretien stock</v>
      </c>
      <c r="B413" s="3"/>
      <c r="C413" s="38"/>
      <c r="D413" s="38"/>
      <c r="E413" s="38"/>
      <c r="F413" s="38"/>
      <c r="G413" s="38"/>
      <c r="H413" s="38"/>
      <c r="I413" s="38"/>
      <c r="J413" s="38"/>
      <c r="K413" s="38"/>
      <c r="L413" s="38"/>
      <c r="M413" s="613"/>
      <c r="N413" s="613"/>
      <c r="O413" s="613"/>
      <c r="P413" s="555"/>
      <c r="Q413" s="614"/>
      <c r="R413" s="38"/>
      <c r="S413" s="616"/>
      <c r="T413" s="616"/>
      <c r="U413" s="615"/>
      <c r="V413" s="313" t="s">
        <v>115</v>
      </c>
      <c r="W413" s="467"/>
      <c r="X413" s="440"/>
      <c r="Y413" s="468">
        <f t="shared" si="100"/>
        <v>138.21153846153845</v>
      </c>
      <c r="Z413" s="441">
        <f t="shared" si="101"/>
        <v>57496</v>
      </c>
      <c r="AA413" s="440"/>
      <c r="AB413" s="468"/>
      <c r="AC413" s="441"/>
      <c r="AD413" s="469"/>
      <c r="AE413" s="468">
        <f t="shared" si="102"/>
        <v>156.96948369565217</v>
      </c>
      <c r="AF413" s="441">
        <f t="shared" si="103"/>
        <v>57764.770000000004</v>
      </c>
      <c r="AG413" s="442">
        <f t="shared" si="104"/>
        <v>18.75794523411372</v>
      </c>
      <c r="AH413" s="443">
        <f t="shared" si="105"/>
        <v>268.77000000000407</v>
      </c>
      <c r="AI413" s="470">
        <f t="shared" si="106"/>
        <v>4.6745860581606383E-3</v>
      </c>
      <c r="AJ413" s="469"/>
      <c r="AK413" s="443">
        <f t="shared" si="107"/>
        <v>136.35838926174497</v>
      </c>
      <c r="AL413" s="441">
        <f t="shared" si="108"/>
        <v>60952.200000000004</v>
      </c>
      <c r="AM413" s="445">
        <f t="shared" si="109"/>
        <v>18.75794523411372</v>
      </c>
      <c r="AN413" s="443">
        <f t="shared" si="110"/>
        <v>-3187.4300000000003</v>
      </c>
      <c r="AO413" s="446">
        <f t="shared" si="111"/>
        <v>-5.2293928685100785E-2</v>
      </c>
      <c r="AP413" s="94"/>
      <c r="AQ413" s="623">
        <v>111419.39000000001</v>
      </c>
      <c r="AR413" s="620">
        <f t="shared" si="112"/>
        <v>-53654.62000000001</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8"/>
        <v>Publicité 1</v>
      </c>
      <c r="B414" s="3"/>
      <c r="C414" s="38"/>
      <c r="D414" s="38"/>
      <c r="E414" s="38"/>
      <c r="F414" s="38"/>
      <c r="G414" s="38"/>
      <c r="H414" s="38"/>
      <c r="I414" s="38"/>
      <c r="J414" s="38"/>
      <c r="K414" s="38"/>
      <c r="L414" s="38"/>
      <c r="M414" s="613"/>
      <c r="N414" s="613"/>
      <c r="O414" s="613"/>
      <c r="P414" s="555"/>
      <c r="Q414" s="614"/>
      <c r="R414" s="38"/>
      <c r="S414" s="616"/>
      <c r="T414" s="616"/>
      <c r="U414" s="615"/>
      <c r="V414" s="312" t="s">
        <v>116</v>
      </c>
      <c r="W414" s="463" t="s">
        <v>611</v>
      </c>
      <c r="X414" s="460"/>
      <c r="Y414" s="464">
        <f t="shared" si="100"/>
        <v>246.92307692307693</v>
      </c>
      <c r="Z414" s="457">
        <f t="shared" si="101"/>
        <v>102720</v>
      </c>
      <c r="AA414" s="460"/>
      <c r="AB414" s="464"/>
      <c r="AC414" s="457"/>
      <c r="AD414" s="465"/>
      <c r="AE414" s="464">
        <f t="shared" si="102"/>
        <v>292.67826086956524</v>
      </c>
      <c r="AF414" s="457">
        <f t="shared" si="103"/>
        <v>107705.60000000001</v>
      </c>
      <c r="AG414" s="458">
        <f t="shared" si="104"/>
        <v>45.755183946488302</v>
      </c>
      <c r="AH414" s="459">
        <f t="shared" si="105"/>
        <v>4985.6000000000058</v>
      </c>
      <c r="AI414" s="460">
        <f t="shared" si="106"/>
        <v>4.8535825545171399E-2</v>
      </c>
      <c r="AJ414" s="465"/>
      <c r="AK414" s="459">
        <f t="shared" si="107"/>
        <v>216.71284116331094</v>
      </c>
      <c r="AL414" s="457">
        <f t="shared" si="108"/>
        <v>96870.639999999985</v>
      </c>
      <c r="AM414" s="461">
        <f t="shared" si="109"/>
        <v>45.755183946488302</v>
      </c>
      <c r="AN414" s="459">
        <f t="shared" si="110"/>
        <v>10834.960000000021</v>
      </c>
      <c r="AO414" s="466">
        <f t="shared" si="111"/>
        <v>0.11184978234891421</v>
      </c>
      <c r="AP414" s="94"/>
      <c r="AQ414" s="622">
        <v>186022.03999999998</v>
      </c>
      <c r="AR414" s="512">
        <f t="shared" si="112"/>
        <v>-78316.439999999973</v>
      </c>
      <c r="AS414" s="38"/>
      <c r="AT414" s="38"/>
      <c r="AU414" s="38"/>
      <c r="AV414" s="38"/>
      <c r="AW414" s="38"/>
      <c r="AX414" s="38"/>
      <c r="AY414" s="38"/>
      <c r="AZ414" s="38"/>
      <c r="BA414" s="38"/>
      <c r="BB414" s="38"/>
      <c r="BC414" s="38"/>
      <c r="BD414" s="38"/>
      <c r="BE414" s="38"/>
      <c r="BF414" s="38"/>
      <c r="BG414" s="38"/>
      <c r="BH414" s="38"/>
      <c r="BI414" s="38"/>
    </row>
    <row r="415" spans="1:61" ht="15.75" customHeight="1">
      <c r="A415" s="5" t="str">
        <f t="shared" si="98"/>
        <v>Intérêt de gros</v>
      </c>
      <c r="B415" s="3"/>
      <c r="C415" s="38"/>
      <c r="D415" s="38"/>
      <c r="E415" s="38"/>
      <c r="F415" s="38"/>
      <c r="G415" s="38"/>
      <c r="H415" s="38"/>
      <c r="I415" s="38"/>
      <c r="J415" s="38"/>
      <c r="K415" s="38"/>
      <c r="L415" s="38"/>
      <c r="M415" s="613"/>
      <c r="N415" s="613"/>
      <c r="O415" s="613"/>
      <c r="Q415" s="614"/>
      <c r="R415" s="38"/>
      <c r="S415" s="616"/>
      <c r="T415" s="616"/>
      <c r="U415" s="38"/>
      <c r="V415" s="312" t="s">
        <v>117</v>
      </c>
      <c r="W415" s="463" t="s">
        <v>612</v>
      </c>
      <c r="X415" s="456"/>
      <c r="Y415" s="464">
        <f t="shared" si="100"/>
        <v>520.19594329099812</v>
      </c>
      <c r="Z415" s="457">
        <f t="shared" si="101"/>
        <v>216401.5124090552</v>
      </c>
      <c r="AA415" s="456"/>
      <c r="AB415" s="464"/>
      <c r="AC415" s="457"/>
      <c r="AD415" s="465"/>
      <c r="AE415" s="464">
        <f t="shared" ref="AE415:AE418" si="113">IF(AF415=0,0,AF415/(J$13+J$13))</f>
        <v>129.63525316455696</v>
      </c>
      <c r="AF415" s="457">
        <f t="shared" si="103"/>
        <v>61447.11</v>
      </c>
      <c r="AG415" s="458">
        <f t="shared" si="104"/>
        <v>-390.56069012644116</v>
      </c>
      <c r="AH415" s="459">
        <f t="shared" si="105"/>
        <v>-154954.40240905521</v>
      </c>
      <c r="AI415" s="460">
        <f t="shared" si="106"/>
        <v>-0.71605045955571256</v>
      </c>
      <c r="AJ415" s="465"/>
      <c r="AK415" s="459">
        <f t="shared" si="107"/>
        <v>461.26993288590603</v>
      </c>
      <c r="AL415" s="457">
        <f t="shared" si="108"/>
        <v>206187.66</v>
      </c>
      <c r="AM415" s="461">
        <f t="shared" si="109"/>
        <v>-390.56069012644116</v>
      </c>
      <c r="AN415" s="459">
        <f t="shared" si="110"/>
        <v>-144740.54999999999</v>
      </c>
      <c r="AO415" s="466">
        <f t="shared" si="111"/>
        <v>-0.70198454165491764</v>
      </c>
      <c r="AP415" s="94"/>
      <c r="AQ415" s="622">
        <v>67811.08</v>
      </c>
      <c r="AR415" s="512">
        <f t="shared" si="112"/>
        <v>-6363.9700000000012</v>
      </c>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tr">
        <f t="shared" si="98"/>
        <v>[...]</v>
      </c>
      <c r="B416" s="3"/>
      <c r="C416" s="38"/>
      <c r="D416" s="38"/>
      <c r="E416" s="38"/>
      <c r="F416" s="38"/>
      <c r="G416" s="38"/>
      <c r="H416" s="38"/>
      <c r="I416" s="38"/>
      <c r="J416" s="38"/>
      <c r="K416" s="38"/>
      <c r="L416" s="38"/>
      <c r="M416" s="38"/>
      <c r="N416" s="38"/>
      <c r="O416" s="612"/>
      <c r="P416" s="555"/>
      <c r="Q416" s="614"/>
      <c r="R416" s="38"/>
      <c r="S416" s="616"/>
      <c r="T416" s="616"/>
      <c r="U416" s="38"/>
      <c r="V416" s="312" t="s">
        <v>59</v>
      </c>
      <c r="W416" s="463"/>
      <c r="X416" s="460"/>
      <c r="Y416" s="464">
        <f t="shared" si="100"/>
        <v>0</v>
      </c>
      <c r="Z416" s="457">
        <f t="shared" si="101"/>
        <v>0</v>
      </c>
      <c r="AA416" s="456"/>
      <c r="AB416" s="464"/>
      <c r="AC416" s="457"/>
      <c r="AD416" s="465"/>
      <c r="AE416" s="464">
        <f t="shared" si="113"/>
        <v>0</v>
      </c>
      <c r="AF416" s="457">
        <f t="shared" si="103"/>
        <v>0</v>
      </c>
      <c r="AG416" s="458">
        <f t="shared" si="104"/>
        <v>0</v>
      </c>
      <c r="AH416" s="459">
        <f t="shared" si="105"/>
        <v>0</v>
      </c>
      <c r="AI416" s="460">
        <f t="shared" si="106"/>
        <v>0</v>
      </c>
      <c r="AJ416" s="465"/>
      <c r="AK416" s="459">
        <f t="shared" si="107"/>
        <v>0</v>
      </c>
      <c r="AL416" s="457"/>
      <c r="AM416" s="461">
        <f t="shared" si="109"/>
        <v>0</v>
      </c>
      <c r="AN416" s="459">
        <f t="shared" si="110"/>
        <v>0</v>
      </c>
      <c r="AO416" s="466">
        <f t="shared" si="111"/>
        <v>0</v>
      </c>
      <c r="AP416" s="94"/>
      <c r="AQ416" s="622">
        <v>0</v>
      </c>
      <c r="AR416" s="512">
        <f t="shared" si="112"/>
        <v>0</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8"/>
        <v>[...]</v>
      </c>
      <c r="B417" s="3"/>
      <c r="C417" s="38"/>
      <c r="D417" s="38"/>
      <c r="E417" s="38"/>
      <c r="F417" s="38"/>
      <c r="G417" s="38"/>
      <c r="H417" s="38"/>
      <c r="I417" s="38"/>
      <c r="J417" s="38"/>
      <c r="K417" s="38"/>
      <c r="L417" s="38"/>
      <c r="M417" s="38"/>
      <c r="N417" s="38"/>
      <c r="O417" s="612"/>
      <c r="P417" s="555"/>
      <c r="Q417" s="614"/>
      <c r="R417" s="38"/>
      <c r="S417" s="616"/>
      <c r="T417" s="616"/>
      <c r="U417" s="38"/>
      <c r="V417" s="312" t="s">
        <v>59</v>
      </c>
      <c r="W417" s="463"/>
      <c r="X417" s="460"/>
      <c r="Y417" s="464">
        <f t="shared" si="100"/>
        <v>0</v>
      </c>
      <c r="Z417" s="457">
        <f t="shared" si="101"/>
        <v>0</v>
      </c>
      <c r="AA417" s="456"/>
      <c r="AB417" s="464"/>
      <c r="AC417" s="457"/>
      <c r="AD417" s="465"/>
      <c r="AE417" s="464">
        <f t="shared" si="113"/>
        <v>0</v>
      </c>
      <c r="AF417" s="457">
        <f t="shared" si="103"/>
        <v>0</v>
      </c>
      <c r="AG417" s="458">
        <f t="shared" si="104"/>
        <v>0</v>
      </c>
      <c r="AH417" s="459">
        <f t="shared" si="105"/>
        <v>0</v>
      </c>
      <c r="AI417" s="460">
        <f t="shared" si="106"/>
        <v>0</v>
      </c>
      <c r="AJ417" s="465"/>
      <c r="AK417" s="459">
        <f t="shared" si="107"/>
        <v>0</v>
      </c>
      <c r="AL417" s="457"/>
      <c r="AM417" s="461">
        <f t="shared" si="109"/>
        <v>0</v>
      </c>
      <c r="AN417" s="459">
        <f t="shared" si="110"/>
        <v>0</v>
      </c>
      <c r="AO417" s="466">
        <f t="shared" si="111"/>
        <v>0</v>
      </c>
      <c r="AP417" s="94"/>
      <c r="AQ417" s="622">
        <v>0</v>
      </c>
      <c r="AR417" s="512">
        <f t="shared" si="112"/>
        <v>0</v>
      </c>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tr">
        <f t="shared" si="98"/>
        <v>[...]</v>
      </c>
      <c r="B418" s="3"/>
      <c r="C418" s="38"/>
      <c r="D418" s="38"/>
      <c r="E418" s="38"/>
      <c r="F418" s="38"/>
      <c r="G418" s="38"/>
      <c r="H418" s="38"/>
      <c r="I418" s="38"/>
      <c r="J418" s="38"/>
      <c r="K418" s="38"/>
      <c r="L418" s="38"/>
      <c r="M418" s="38"/>
      <c r="N418" s="38"/>
      <c r="O418" s="612"/>
      <c r="P418" s="555"/>
      <c r="Q418" s="614"/>
      <c r="R418" s="38"/>
      <c r="S418" s="616"/>
      <c r="T418" s="616"/>
      <c r="U418" s="38"/>
      <c r="V418" s="312" t="s">
        <v>59</v>
      </c>
      <c r="W418" s="463" t="s">
        <v>612</v>
      </c>
      <c r="X418" s="456"/>
      <c r="Y418" s="464">
        <f t="shared" si="100"/>
        <v>0</v>
      </c>
      <c r="Z418" s="457">
        <f t="shared" si="101"/>
        <v>0</v>
      </c>
      <c r="AA418" s="456"/>
      <c r="AB418" s="464"/>
      <c r="AC418" s="457"/>
      <c r="AD418" s="465"/>
      <c r="AE418" s="464">
        <f t="shared" si="113"/>
        <v>0</v>
      </c>
      <c r="AF418" s="457">
        <f t="shared" si="103"/>
        <v>0</v>
      </c>
      <c r="AG418" s="458">
        <f t="shared" si="104"/>
        <v>0</v>
      </c>
      <c r="AH418" s="459">
        <f t="shared" si="105"/>
        <v>0</v>
      </c>
      <c r="AI418" s="460">
        <f t="shared" si="106"/>
        <v>0</v>
      </c>
      <c r="AJ418" s="465"/>
      <c r="AK418" s="459">
        <f t="shared" si="107"/>
        <v>0</v>
      </c>
      <c r="AL418" s="457"/>
      <c r="AM418" s="461">
        <f t="shared" si="109"/>
        <v>0</v>
      </c>
      <c r="AN418" s="459">
        <f t="shared" si="110"/>
        <v>0</v>
      </c>
      <c r="AO418" s="466">
        <f t="shared" si="111"/>
        <v>0</v>
      </c>
      <c r="AP418" s="94"/>
      <c r="AQ418" s="622">
        <v>0</v>
      </c>
      <c r="AR418" s="512">
        <f t="shared" si="112"/>
        <v>0</v>
      </c>
      <c r="AS418" s="38"/>
      <c r="AT418" s="38"/>
      <c r="AU418" s="38"/>
      <c r="AV418" s="38"/>
      <c r="AW418" s="38"/>
      <c r="AX418" s="38"/>
      <c r="AY418" s="38"/>
      <c r="AZ418" s="38"/>
      <c r="BA418" s="38"/>
      <c r="BB418" s="38"/>
      <c r="BC418" s="38"/>
      <c r="BD418" s="38"/>
      <c r="BE418" s="38"/>
      <c r="BF418" s="38"/>
      <c r="BG418" s="38"/>
      <c r="BH418" s="38"/>
      <c r="BI418" s="38"/>
    </row>
    <row r="419" spans="1:61" ht="15.75" customHeight="1">
      <c r="A419" s="5" t="str">
        <f t="shared" si="98"/>
        <v>TOTAL VARIABLES</v>
      </c>
      <c r="B419" s="3"/>
      <c r="C419" s="38"/>
      <c r="D419" s="38"/>
      <c r="E419" s="38"/>
      <c r="F419" s="38"/>
      <c r="G419" s="38"/>
      <c r="H419" s="38"/>
      <c r="I419" s="38"/>
      <c r="J419" s="38"/>
      <c r="K419" s="38"/>
      <c r="L419" s="38"/>
      <c r="M419" s="613"/>
      <c r="N419" s="612"/>
      <c r="O419" s="612"/>
      <c r="P419" s="555"/>
      <c r="Q419" s="614"/>
      <c r="R419" s="38"/>
      <c r="S419" s="616"/>
      <c r="T419" s="616"/>
      <c r="U419" s="38"/>
      <c r="V419" s="471" t="s">
        <v>118</v>
      </c>
      <c r="W419" s="472"/>
      <c r="X419" s="473">
        <f>Z419/Z407</f>
        <v>0.27504265880483203</v>
      </c>
      <c r="Y419" s="472"/>
      <c r="Z419" s="474">
        <f>SUM(Z409:Z418)</f>
        <v>875632.22308467655</v>
      </c>
      <c r="AA419" s="473"/>
      <c r="AB419" s="472"/>
      <c r="AC419" s="474"/>
      <c r="AD419" s="475">
        <f>AF419/AF$407</f>
        <v>0.20446321890069527</v>
      </c>
      <c r="AE419" s="472"/>
      <c r="AF419" s="474">
        <f>SUM(AF409:AF418)</f>
        <v>632921.02</v>
      </c>
      <c r="AG419" s="476"/>
      <c r="AH419" s="477">
        <f t="shared" ref="AH419:AH451" si="114">AF419-Z419</f>
        <v>-242711.20308467653</v>
      </c>
      <c r="AI419" s="473">
        <f>AH419/Z419</f>
        <v>-0.27718395541641178</v>
      </c>
      <c r="AJ419" s="475">
        <f>IF($AL$407=0,0,AL419/$AL$407)</f>
        <v>0.28642116522367234</v>
      </c>
      <c r="AK419" s="472"/>
      <c r="AL419" s="474">
        <f>SUM(AL409:AL418)</f>
        <v>860657.37000000011</v>
      </c>
      <c r="AM419" s="478"/>
      <c r="AN419" s="477">
        <f t="shared" si="110"/>
        <v>-227736.35000000009</v>
      </c>
      <c r="AO419" s="454">
        <f t="shared" si="111"/>
        <v>-0.26460744767688454</v>
      </c>
      <c r="AP419" s="94"/>
      <c r="AQ419" s="624">
        <v>1672155.7200000002</v>
      </c>
      <c r="AR419" s="625">
        <f t="shared" si="112"/>
        <v>-1039234.7000000002</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8"/>
        <v>Salaires propriétaire</v>
      </c>
      <c r="B420" s="3"/>
      <c r="C420" s="38"/>
      <c r="D420" s="38"/>
      <c r="E420" s="38"/>
      <c r="F420" s="38"/>
      <c r="G420" s="38"/>
      <c r="H420" s="38"/>
      <c r="I420" s="38"/>
      <c r="J420" s="38"/>
      <c r="K420" s="38"/>
      <c r="L420" s="38"/>
      <c r="M420" s="555"/>
      <c r="N420" s="555"/>
      <c r="O420" s="555"/>
      <c r="P420" s="555"/>
      <c r="Q420" s="614"/>
      <c r="R420" s="38"/>
      <c r="U420" s="615"/>
      <c r="V420" s="312" t="s">
        <v>204</v>
      </c>
      <c r="W420" s="463" t="s">
        <v>613</v>
      </c>
      <c r="X420" s="456"/>
      <c r="Y420" s="456"/>
      <c r="Z420" s="457" cm="1">
        <f t="array" ref="Z420">+SUMPRODUCT(('Budget original'!$A$8:$A$501=$A420)*('Budget original'!$C$3:$AO$3=Z$2),'Budget original'!$C$8:$AO$501)</f>
        <v>78221.10576923078</v>
      </c>
      <c r="AA420" s="456"/>
      <c r="AB420" s="456"/>
      <c r="AC420" s="457"/>
      <c r="AD420" s="465"/>
      <c r="AE420" s="464"/>
      <c r="AF420" s="457">
        <f>SUMIFS(BV_Data_An_Cour!$P:$P,BV_Data_An_Cour!$V:$V,$V420)</f>
        <v>74610.950000000012</v>
      </c>
      <c r="AG420" s="458"/>
      <c r="AH420" s="459">
        <f t="shared" si="114"/>
        <v>-3610.1557692307688</v>
      </c>
      <c r="AI420" s="460">
        <f t="shared" ref="AI420:AI432" si="115">IF(Z420=0,0,AH420/Z420)</f>
        <v>-4.6153218287165503E-2</v>
      </c>
      <c r="AJ420" s="465"/>
      <c r="AK420" s="456"/>
      <c r="AL420" s="457" cm="1">
        <f t="array" ref="AL420">+SUMPRODUCT(('Réel 2024'!$A$8:$A$501=$A420)*('Réel 2024'!$C$3:$AO$3=Z$2),'Réel 2024'!$C$8:$AO$501)</f>
        <v>81232.27</v>
      </c>
      <c r="AM420" s="461"/>
      <c r="AN420" s="459">
        <f t="shared" si="110"/>
        <v>-6621.3199999999924</v>
      </c>
      <c r="AO420" s="466">
        <f t="shared" si="111"/>
        <v>-8.1510956175421326E-2</v>
      </c>
      <c r="AP420" s="94"/>
      <c r="AQ420" s="622">
        <v>196581.69999999998</v>
      </c>
      <c r="AR420" s="512">
        <f t="shared" si="112"/>
        <v>-121970.74999999997</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8"/>
        <v>Salaires cadres</v>
      </c>
      <c r="B421" s="3"/>
      <c r="C421" s="38"/>
      <c r="D421" s="38"/>
      <c r="E421" s="38"/>
      <c r="F421" s="38"/>
      <c r="G421" s="38"/>
      <c r="H421" s="38"/>
      <c r="I421" s="38"/>
      <c r="J421" s="38"/>
      <c r="K421" s="38"/>
      <c r="L421" s="38"/>
      <c r="M421" s="555"/>
      <c r="N421" s="555"/>
      <c r="O421" s="555"/>
      <c r="P421" s="555"/>
      <c r="Q421" s="614"/>
      <c r="R421" s="38"/>
      <c r="S421" s="616"/>
      <c r="T421" s="616"/>
      <c r="U421" s="615"/>
      <c r="V421" s="312" t="s">
        <v>120</v>
      </c>
      <c r="W421" s="463" t="s">
        <v>614</v>
      </c>
      <c r="X421" s="456"/>
      <c r="Y421" s="456"/>
      <c r="Z421" s="457">
        <f t="shared" ref="Z421:Z432" si="116">+SUMIF($C:$C,$V421,F:F)</f>
        <v>301972.4294871795</v>
      </c>
      <c r="AA421" s="456"/>
      <c r="AB421" s="456"/>
      <c r="AC421" s="457"/>
      <c r="AD421" s="465"/>
      <c r="AE421" s="464"/>
      <c r="AF421" s="457">
        <f t="shared" ref="AF421:AF432" si="117">+SUMIF($C:$C,$V421,L:L)</f>
        <v>270559</v>
      </c>
      <c r="AG421" s="458"/>
      <c r="AH421" s="459">
        <f t="shared" si="114"/>
        <v>-31413.429487179499</v>
      </c>
      <c r="AI421" s="460">
        <f t="shared" si="115"/>
        <v>-0.10402747542392171</v>
      </c>
      <c r="AJ421" s="465"/>
      <c r="AK421" s="456"/>
      <c r="AL421" s="457">
        <f t="shared" ref="AL421:AL431" si="118">+SUMIF($C:$C,$V421,Q:Q)</f>
        <v>249561.02</v>
      </c>
      <c r="AM421" s="461"/>
      <c r="AN421" s="459">
        <f t="shared" si="110"/>
        <v>20997.98000000001</v>
      </c>
      <c r="AO421" s="466">
        <f t="shared" si="111"/>
        <v>8.4139662516205499E-2</v>
      </c>
      <c r="AP421" s="94"/>
      <c r="AQ421" s="622">
        <v>480874.87</v>
      </c>
      <c r="AR421" s="512">
        <f t="shared" si="112"/>
        <v>-210315.87</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8"/>
        <v>Salaires commis</v>
      </c>
      <c r="B422" s="3"/>
      <c r="C422" s="38"/>
      <c r="D422" s="38"/>
      <c r="E422" s="38"/>
      <c r="F422" s="38"/>
      <c r="G422" s="38"/>
      <c r="H422" s="38"/>
      <c r="I422" s="38"/>
      <c r="J422" s="38"/>
      <c r="K422" s="38"/>
      <c r="L422" s="38"/>
      <c r="M422" s="555"/>
      <c r="N422" s="555"/>
      <c r="O422" s="555"/>
      <c r="P422" s="555"/>
      <c r="Q422" s="614"/>
      <c r="R422" s="38"/>
      <c r="S422" s="616"/>
      <c r="T422" s="616"/>
      <c r="U422" s="615"/>
      <c r="V422" s="313" t="s">
        <v>121</v>
      </c>
      <c r="W422" s="467" t="s">
        <v>615</v>
      </c>
      <c r="X422" s="440"/>
      <c r="Y422" s="440"/>
      <c r="Z422" s="441">
        <f t="shared" si="116"/>
        <v>339243.41938461538</v>
      </c>
      <c r="AA422" s="440"/>
      <c r="AB422" s="440"/>
      <c r="AC422" s="441"/>
      <c r="AD422" s="469"/>
      <c r="AE422" s="468"/>
      <c r="AF422" s="441">
        <f t="shared" si="117"/>
        <v>280624.77</v>
      </c>
      <c r="AG422" s="442"/>
      <c r="AH422" s="443">
        <f t="shared" si="114"/>
        <v>-58618.649384615361</v>
      </c>
      <c r="AI422" s="470">
        <f t="shared" si="115"/>
        <v>-0.17279229613635272</v>
      </c>
      <c r="AJ422" s="469"/>
      <c r="AK422" s="440"/>
      <c r="AL422" s="441">
        <f t="shared" si="118"/>
        <v>234160.74</v>
      </c>
      <c r="AM422" s="445"/>
      <c r="AN422" s="443">
        <f t="shared" si="110"/>
        <v>46464.030000000028</v>
      </c>
      <c r="AO422" s="446">
        <f t="shared" si="111"/>
        <v>0.19842792604772272</v>
      </c>
      <c r="AP422" s="94"/>
      <c r="AQ422" s="623">
        <v>263830.23</v>
      </c>
      <c r="AR422" s="620">
        <f t="shared" si="112"/>
        <v>16794.540000000037</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8"/>
        <v>Salaires autres</v>
      </c>
      <c r="B423" s="3"/>
      <c r="C423" s="38"/>
      <c r="D423" s="38"/>
      <c r="E423" s="38"/>
      <c r="F423" s="38"/>
      <c r="G423" s="38"/>
      <c r="H423" s="38"/>
      <c r="I423" s="38"/>
      <c r="J423" s="38"/>
      <c r="K423" s="38"/>
      <c r="L423" s="38"/>
      <c r="M423" s="555"/>
      <c r="N423" s="555"/>
      <c r="O423" s="555"/>
      <c r="Q423" s="614"/>
      <c r="R423" s="38"/>
      <c r="S423" s="616"/>
      <c r="T423" s="616"/>
      <c r="U423" s="38"/>
      <c r="V423" s="312" t="s">
        <v>122</v>
      </c>
      <c r="W423" s="463" t="s">
        <v>616</v>
      </c>
      <c r="X423" s="456"/>
      <c r="Y423" s="456"/>
      <c r="Z423" s="457">
        <f t="shared" si="116"/>
        <v>107172.99999999999</v>
      </c>
      <c r="AA423" s="456"/>
      <c r="AB423" s="456"/>
      <c r="AC423" s="457"/>
      <c r="AD423" s="465"/>
      <c r="AE423" s="464"/>
      <c r="AF423" s="457">
        <f t="shared" si="117"/>
        <v>128359.76</v>
      </c>
      <c r="AG423" s="458"/>
      <c r="AH423" s="459">
        <f t="shared" si="114"/>
        <v>21186.760000000009</v>
      </c>
      <c r="AI423" s="460">
        <f t="shared" si="115"/>
        <v>0.19768747725639865</v>
      </c>
      <c r="AJ423" s="465"/>
      <c r="AK423" s="456"/>
      <c r="AL423" s="457">
        <f t="shared" si="118"/>
        <v>142573.39000000004</v>
      </c>
      <c r="AM423" s="461"/>
      <c r="AN423" s="459">
        <f t="shared" si="110"/>
        <v>-14213.630000000048</v>
      </c>
      <c r="AO423" s="466">
        <f t="shared" si="111"/>
        <v>-9.9693428065363701E-2</v>
      </c>
      <c r="AP423" s="94"/>
      <c r="AQ423" s="622">
        <v>653651.56000000006</v>
      </c>
      <c r="AR423" s="512">
        <f t="shared" si="112"/>
        <v>-525291.80000000005</v>
      </c>
      <c r="AS423" s="38"/>
      <c r="AT423" s="38"/>
      <c r="AU423" s="38"/>
      <c r="AV423" s="38"/>
      <c r="AW423" s="38"/>
      <c r="AX423" s="38"/>
      <c r="AY423" s="38"/>
      <c r="AZ423" s="38"/>
      <c r="BA423" s="38"/>
      <c r="BB423" s="38"/>
      <c r="BC423" s="38"/>
      <c r="BD423" s="38"/>
      <c r="BE423" s="38"/>
      <c r="BF423" s="38"/>
      <c r="BG423" s="38"/>
      <c r="BH423" s="38"/>
      <c r="BI423" s="38"/>
    </row>
    <row r="424" spans="1:61" ht="15.75" customHeight="1">
      <c r="A424" s="5" t="str">
        <f t="shared" si="98"/>
        <v>Salaires spécialistes</v>
      </c>
      <c r="B424" s="3"/>
      <c r="C424" s="38"/>
      <c r="D424" s="38"/>
      <c r="E424" s="38"/>
      <c r="F424" s="38"/>
      <c r="G424" s="38"/>
      <c r="H424" s="38"/>
      <c r="I424" s="38"/>
      <c r="J424" s="38"/>
      <c r="K424" s="38"/>
      <c r="L424" s="38"/>
      <c r="M424" s="555"/>
      <c r="N424" s="612"/>
      <c r="O424" s="612"/>
      <c r="P424" s="555"/>
      <c r="Q424" s="614"/>
      <c r="R424" s="38"/>
      <c r="S424" s="616"/>
      <c r="T424" s="616"/>
      <c r="U424" s="38"/>
      <c r="V424" s="312" t="s">
        <v>123</v>
      </c>
      <c r="W424" s="463" t="s">
        <v>617</v>
      </c>
      <c r="X424" s="456"/>
      <c r="Y424" s="456"/>
      <c r="Z424" s="457">
        <f t="shared" si="116"/>
        <v>145799.13351384614</v>
      </c>
      <c r="AA424" s="456"/>
      <c r="AB424" s="456"/>
      <c r="AC424" s="457"/>
      <c r="AD424" s="465"/>
      <c r="AE424" s="464"/>
      <c r="AF424" s="457">
        <f t="shared" si="117"/>
        <v>102394.42</v>
      </c>
      <c r="AG424" s="458"/>
      <c r="AH424" s="459">
        <f t="shared" si="114"/>
        <v>-43404.713513846145</v>
      </c>
      <c r="AI424" s="460">
        <f t="shared" si="115"/>
        <v>-0.29770213627314951</v>
      </c>
      <c r="AJ424" s="465"/>
      <c r="AK424" s="456"/>
      <c r="AL424" s="457">
        <f t="shared" si="118"/>
        <v>145505.44</v>
      </c>
      <c r="AM424" s="461"/>
      <c r="AN424" s="459">
        <f t="shared" si="110"/>
        <v>-43111.020000000004</v>
      </c>
      <c r="AO424" s="466">
        <f t="shared" si="111"/>
        <v>-0.29628459252107692</v>
      </c>
      <c r="AP424" s="94"/>
      <c r="AQ424" s="622">
        <v>399727.32999999996</v>
      </c>
      <c r="AR424" s="512">
        <f t="shared" si="112"/>
        <v>-297332.90999999997</v>
      </c>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tr">
        <f t="shared" si="98"/>
        <v>[...]</v>
      </c>
      <c r="B425" s="3"/>
      <c r="C425" s="38"/>
      <c r="D425" s="38"/>
      <c r="E425" s="38"/>
      <c r="F425" s="38"/>
      <c r="G425" s="38"/>
      <c r="H425" s="38"/>
      <c r="I425" s="38"/>
      <c r="J425" s="38"/>
      <c r="K425" s="38"/>
      <c r="L425" s="38"/>
      <c r="M425" s="555"/>
      <c r="N425" s="94"/>
      <c r="O425" s="612"/>
      <c r="P425" s="555"/>
      <c r="Q425" s="614"/>
      <c r="R425" s="38"/>
      <c r="S425" s="616"/>
      <c r="T425" s="616"/>
      <c r="U425" s="38"/>
      <c r="V425" s="312" t="s">
        <v>59</v>
      </c>
      <c r="W425" s="463"/>
      <c r="X425" s="456"/>
      <c r="Y425" s="456"/>
      <c r="Z425" s="457">
        <f t="shared" si="116"/>
        <v>0</v>
      </c>
      <c r="AA425" s="456"/>
      <c r="AB425" s="456"/>
      <c r="AC425" s="457"/>
      <c r="AD425" s="465"/>
      <c r="AE425" s="464"/>
      <c r="AF425" s="457">
        <f t="shared" si="117"/>
        <v>0</v>
      </c>
      <c r="AG425" s="458"/>
      <c r="AH425" s="459">
        <f t="shared" si="114"/>
        <v>0</v>
      </c>
      <c r="AI425" s="460">
        <f t="shared" si="115"/>
        <v>0</v>
      </c>
      <c r="AJ425" s="465"/>
      <c r="AK425" s="456"/>
      <c r="AL425" s="457"/>
      <c r="AM425" s="461"/>
      <c r="AN425" s="459">
        <f t="shared" si="110"/>
        <v>0</v>
      </c>
      <c r="AO425" s="466">
        <f t="shared" si="111"/>
        <v>0</v>
      </c>
      <c r="AP425" s="94"/>
      <c r="AQ425" s="622">
        <v>0</v>
      </c>
      <c r="AR425" s="512">
        <f t="shared" si="112"/>
        <v>0</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8"/>
        <v>[...]</v>
      </c>
      <c r="B426" s="3"/>
      <c r="C426" s="38"/>
      <c r="D426" s="38"/>
      <c r="E426" s="38"/>
      <c r="F426" s="38"/>
      <c r="G426" s="38"/>
      <c r="H426" s="38"/>
      <c r="I426" s="38"/>
      <c r="J426" s="38"/>
      <c r="K426" s="38"/>
      <c r="L426" s="38"/>
      <c r="M426" s="555"/>
      <c r="N426" s="94"/>
      <c r="O426" s="612"/>
      <c r="P426" s="555"/>
      <c r="Q426" s="614"/>
      <c r="R426" s="38"/>
      <c r="S426" s="616"/>
      <c r="T426" s="616"/>
      <c r="U426" s="38"/>
      <c r="V426" s="312" t="s">
        <v>59</v>
      </c>
      <c r="W426" s="463"/>
      <c r="X426" s="456"/>
      <c r="Y426" s="456"/>
      <c r="Z426" s="457">
        <f t="shared" si="116"/>
        <v>0</v>
      </c>
      <c r="AA426" s="456"/>
      <c r="AB426" s="456"/>
      <c r="AC426" s="457"/>
      <c r="AD426" s="465"/>
      <c r="AE426" s="464"/>
      <c r="AF426" s="457">
        <f t="shared" si="117"/>
        <v>0</v>
      </c>
      <c r="AG426" s="458"/>
      <c r="AH426" s="459">
        <f t="shared" si="114"/>
        <v>0</v>
      </c>
      <c r="AI426" s="460">
        <f t="shared" si="115"/>
        <v>0</v>
      </c>
      <c r="AJ426" s="465"/>
      <c r="AK426" s="456"/>
      <c r="AL426" s="457"/>
      <c r="AM426" s="461"/>
      <c r="AN426" s="459">
        <f t="shared" si="110"/>
        <v>0</v>
      </c>
      <c r="AO426" s="466">
        <f t="shared" si="111"/>
        <v>0</v>
      </c>
      <c r="AP426" s="94"/>
      <c r="AQ426" s="622">
        <v>0</v>
      </c>
      <c r="AR426" s="512">
        <f t="shared" si="112"/>
        <v>0</v>
      </c>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tr">
        <f t="shared" si="98"/>
        <v>[...]</v>
      </c>
      <c r="B427" s="3"/>
      <c r="C427" s="38"/>
      <c r="D427" s="38"/>
      <c r="E427" s="38"/>
      <c r="F427" s="38"/>
      <c r="G427" s="38"/>
      <c r="H427" s="38"/>
      <c r="I427" s="38"/>
      <c r="J427" s="38"/>
      <c r="K427" s="38"/>
      <c r="L427" s="38"/>
      <c r="M427" s="555"/>
      <c r="N427" s="94"/>
      <c r="O427" s="612"/>
      <c r="P427" s="555"/>
      <c r="Q427" s="614"/>
      <c r="R427" s="38"/>
      <c r="S427" s="616"/>
      <c r="T427" s="616"/>
      <c r="U427" s="38"/>
      <c r="V427" s="312" t="s">
        <v>59</v>
      </c>
      <c r="W427" s="463"/>
      <c r="X427" s="456"/>
      <c r="Y427" s="456"/>
      <c r="Z427" s="457">
        <f t="shared" si="116"/>
        <v>0</v>
      </c>
      <c r="AA427" s="456"/>
      <c r="AB427" s="456"/>
      <c r="AC427" s="457"/>
      <c r="AD427" s="465"/>
      <c r="AE427" s="464"/>
      <c r="AF427" s="457">
        <f t="shared" si="117"/>
        <v>0</v>
      </c>
      <c r="AG427" s="458"/>
      <c r="AH427" s="459">
        <f t="shared" si="114"/>
        <v>0</v>
      </c>
      <c r="AI427" s="460">
        <f t="shared" si="115"/>
        <v>0</v>
      </c>
      <c r="AJ427" s="465"/>
      <c r="AK427" s="456"/>
      <c r="AL427" s="457"/>
      <c r="AM427" s="461"/>
      <c r="AN427" s="459">
        <f t="shared" si="110"/>
        <v>0</v>
      </c>
      <c r="AO427" s="466">
        <f t="shared" si="111"/>
        <v>0</v>
      </c>
      <c r="AP427" s="94"/>
      <c r="AQ427" s="622">
        <v>0</v>
      </c>
      <c r="AR427" s="512">
        <f t="shared" si="112"/>
        <v>0</v>
      </c>
      <c r="AS427" s="38"/>
      <c r="AT427" s="38"/>
      <c r="AU427" s="38"/>
      <c r="AV427" s="38"/>
      <c r="AW427" s="38"/>
      <c r="AX427" s="38"/>
      <c r="AY427" s="38"/>
      <c r="AZ427" s="38"/>
      <c r="BA427" s="38"/>
      <c r="BB427" s="38"/>
      <c r="BC427" s="38"/>
      <c r="BD427" s="38"/>
      <c r="BE427" s="38"/>
      <c r="BF427" s="38"/>
      <c r="BG427" s="38"/>
      <c r="BH427" s="38"/>
      <c r="BI427" s="38"/>
    </row>
    <row r="428" spans="1:61" ht="15.75" customHeight="1">
      <c r="A428" s="5" t="str">
        <f t="shared" si="98"/>
        <v>Salaires en absences</v>
      </c>
      <c r="B428" s="3"/>
      <c r="C428" s="38"/>
      <c r="D428" s="38"/>
      <c r="E428" s="38"/>
      <c r="F428" s="38"/>
      <c r="G428" s="38"/>
      <c r="H428" s="38"/>
      <c r="I428" s="38"/>
      <c r="J428" s="38"/>
      <c r="K428" s="38"/>
      <c r="L428" s="38"/>
      <c r="M428" s="555"/>
      <c r="N428" s="94"/>
      <c r="O428" s="612"/>
      <c r="P428" s="555"/>
      <c r="Q428" s="614"/>
      <c r="R428" s="38"/>
      <c r="S428" s="616"/>
      <c r="T428" s="616"/>
      <c r="U428" s="38"/>
      <c r="V428" s="313" t="s">
        <v>124</v>
      </c>
      <c r="W428" s="467" t="s">
        <v>618</v>
      </c>
      <c r="X428" s="440"/>
      <c r="Y428" s="440"/>
      <c r="Z428" s="441">
        <f t="shared" si="116"/>
        <v>212056.68551856774</v>
      </c>
      <c r="AA428" s="440"/>
      <c r="AB428" s="440"/>
      <c r="AC428" s="441"/>
      <c r="AD428" s="469"/>
      <c r="AE428" s="468"/>
      <c r="AF428" s="441">
        <f t="shared" si="117"/>
        <v>203770.03</v>
      </c>
      <c r="AG428" s="442"/>
      <c r="AH428" s="443">
        <f t="shared" si="114"/>
        <v>-8286.6555185677425</v>
      </c>
      <c r="AI428" s="470">
        <f t="shared" si="115"/>
        <v>-3.9077548997351282E-2</v>
      </c>
      <c r="AJ428" s="469"/>
      <c r="AK428" s="440"/>
      <c r="AL428" s="441">
        <f t="shared" si="118"/>
        <v>202263.92</v>
      </c>
      <c r="AM428" s="445"/>
      <c r="AN428" s="443">
        <f t="shared" si="110"/>
        <v>1506.109999999986</v>
      </c>
      <c r="AO428" s="446">
        <f t="shared" si="111"/>
        <v>7.4462613005818632E-3</v>
      </c>
      <c r="AP428" s="94"/>
      <c r="AQ428" s="623">
        <v>484984.30000000005</v>
      </c>
      <c r="AR428" s="620">
        <f t="shared" si="112"/>
        <v>-281214.27</v>
      </c>
      <c r="AS428" s="5" t="s">
        <v>696</v>
      </c>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8"/>
        <v>Déduction à la source</v>
      </c>
      <c r="B429" s="3"/>
      <c r="C429" s="38"/>
      <c r="D429" s="38"/>
      <c r="E429" s="38"/>
      <c r="F429" s="38"/>
      <c r="G429" s="38"/>
      <c r="H429" s="38"/>
      <c r="I429" s="38"/>
      <c r="J429" s="38"/>
      <c r="K429" s="38"/>
      <c r="L429" s="38"/>
      <c r="M429" s="555"/>
      <c r="N429" s="555"/>
      <c r="O429" s="555"/>
      <c r="P429" s="555"/>
      <c r="Q429" s="614"/>
      <c r="R429" s="38"/>
      <c r="U429" s="615"/>
      <c r="V429" s="312" t="s">
        <v>125</v>
      </c>
      <c r="W429" s="463" t="s">
        <v>619</v>
      </c>
      <c r="X429" s="456"/>
      <c r="Y429" s="456"/>
      <c r="Z429" s="457">
        <f t="shared" si="116"/>
        <v>257831.03613711323</v>
      </c>
      <c r="AA429" s="456"/>
      <c r="AB429" s="456"/>
      <c r="AC429" s="457"/>
      <c r="AD429" s="465"/>
      <c r="AE429" s="464"/>
      <c r="AF429" s="457">
        <f t="shared" si="117"/>
        <v>261357.75000000003</v>
      </c>
      <c r="AG429" s="458"/>
      <c r="AH429" s="459">
        <f t="shared" si="114"/>
        <v>3526.7138628867979</v>
      </c>
      <c r="AI429" s="460">
        <f t="shared" si="115"/>
        <v>1.3678391537825995E-2</v>
      </c>
      <c r="AJ429" s="465"/>
      <c r="AK429" s="456"/>
      <c r="AL429" s="457">
        <f t="shared" si="118"/>
        <v>276668.27999999997</v>
      </c>
      <c r="AM429" s="461"/>
      <c r="AN429" s="459">
        <f t="shared" si="110"/>
        <v>-15310.529999999941</v>
      </c>
      <c r="AO429" s="466">
        <f t="shared" si="111"/>
        <v>-5.5338942360866027E-2</v>
      </c>
      <c r="AP429" s="94"/>
      <c r="AQ429" s="622">
        <v>452089.25</v>
      </c>
      <c r="AR429" s="512">
        <f t="shared" si="112"/>
        <v>-190731.49999999997</v>
      </c>
      <c r="AS429" s="5" t="s">
        <v>697</v>
      </c>
      <c r="AT429" s="38"/>
      <c r="AU429" s="38"/>
      <c r="AV429" s="38"/>
      <c r="AW429" s="38"/>
      <c r="AX429" s="38"/>
      <c r="AY429" s="38"/>
      <c r="AZ429" s="38"/>
      <c r="BA429" s="38"/>
      <c r="BB429" s="38"/>
      <c r="BC429" s="38"/>
      <c r="BD429" s="38"/>
      <c r="BE429" s="38"/>
      <c r="BF429" s="38"/>
      <c r="BG429" s="38"/>
      <c r="BH429" s="38"/>
      <c r="BI429" s="38"/>
    </row>
    <row r="430" spans="1:61" ht="20.25" customHeight="1">
      <c r="A430" s="5" t="str">
        <f t="shared" si="98"/>
        <v>Bénéfices marginaux</v>
      </c>
      <c r="B430" s="3"/>
      <c r="C430" s="38"/>
      <c r="D430" s="38"/>
      <c r="E430" s="38"/>
      <c r="F430" s="38"/>
      <c r="G430" s="38"/>
      <c r="H430" s="38"/>
      <c r="I430" s="38"/>
      <c r="J430" s="38"/>
      <c r="K430" s="38"/>
      <c r="L430" s="38"/>
      <c r="M430" s="555"/>
      <c r="N430" s="555"/>
      <c r="O430" s="555"/>
      <c r="P430" s="555"/>
      <c r="Q430" s="614"/>
      <c r="R430" s="38"/>
      <c r="S430" s="616"/>
      <c r="T430" s="616"/>
      <c r="U430" s="615"/>
      <c r="V430" s="312" t="s">
        <v>126</v>
      </c>
      <c r="W430" s="463" t="s">
        <v>620</v>
      </c>
      <c r="X430" s="456"/>
      <c r="Y430" s="456"/>
      <c r="Z430" s="457">
        <f t="shared" si="116"/>
        <v>132839.03383586046</v>
      </c>
      <c r="AA430" s="456"/>
      <c r="AB430" s="456"/>
      <c r="AC430" s="457"/>
      <c r="AD430" s="465"/>
      <c r="AE430" s="464"/>
      <c r="AF430" s="457">
        <f t="shared" si="117"/>
        <v>122019.99</v>
      </c>
      <c r="AG430" s="458"/>
      <c r="AH430" s="459">
        <f t="shared" si="114"/>
        <v>-10819.043835860459</v>
      </c>
      <c r="AI430" s="460">
        <f t="shared" si="115"/>
        <v>-8.1444764565427097E-2</v>
      </c>
      <c r="AJ430" s="465"/>
      <c r="AK430" s="456"/>
      <c r="AL430" s="457">
        <f t="shared" si="118"/>
        <v>109569.45</v>
      </c>
      <c r="AM430" s="461"/>
      <c r="AN430" s="459">
        <f t="shared" si="110"/>
        <v>12450.540000000008</v>
      </c>
      <c r="AO430" s="466">
        <f t="shared" si="111"/>
        <v>0.1136314912596532</v>
      </c>
      <c r="AP430" s="94"/>
      <c r="AQ430" s="622">
        <v>250596.99999999997</v>
      </c>
      <c r="AR430" s="512">
        <f t="shared" si="112"/>
        <v>-128577.00999999997</v>
      </c>
      <c r="AT430" s="38"/>
      <c r="AU430" s="38"/>
      <c r="AV430" s="38"/>
      <c r="AW430" s="38"/>
      <c r="AX430" s="38"/>
      <c r="AY430" s="38"/>
      <c r="AZ430" s="38"/>
      <c r="BA430" s="38"/>
      <c r="BB430" s="38"/>
      <c r="BC430" s="38"/>
      <c r="BD430" s="38"/>
      <c r="BE430" s="38"/>
      <c r="BF430" s="38"/>
      <c r="BG430" s="38"/>
      <c r="BH430" s="38"/>
      <c r="BI430" s="38"/>
    </row>
    <row r="431" spans="1:61" ht="15.75" customHeight="1">
      <c r="A431" s="5" t="str">
        <f t="shared" si="98"/>
        <v>Csst</v>
      </c>
      <c r="B431" s="3"/>
      <c r="C431" s="38"/>
      <c r="D431" s="38"/>
      <c r="E431" s="38"/>
      <c r="F431" s="38"/>
      <c r="G431" s="38"/>
      <c r="H431" s="38"/>
      <c r="I431" s="38"/>
      <c r="J431" s="38"/>
      <c r="K431" s="38"/>
      <c r="L431" s="38"/>
      <c r="M431" s="555"/>
      <c r="N431" s="555"/>
      <c r="O431" s="555"/>
      <c r="P431" s="555"/>
      <c r="Q431" s="614"/>
      <c r="R431" s="38"/>
      <c r="S431" s="616"/>
      <c r="T431" s="616"/>
      <c r="U431" s="615"/>
      <c r="V431" s="312" t="s">
        <v>127</v>
      </c>
      <c r="W431" s="463"/>
      <c r="X431" s="456"/>
      <c r="Y431" s="456"/>
      <c r="Z431" s="457">
        <f t="shared" si="116"/>
        <v>57918.56608877179</v>
      </c>
      <c r="AA431" s="456"/>
      <c r="AB431" s="456"/>
      <c r="AC431" s="457"/>
      <c r="AD431" s="465"/>
      <c r="AE431" s="464"/>
      <c r="AF431" s="457">
        <f t="shared" si="117"/>
        <v>49956.840000000011</v>
      </c>
      <c r="AG431" s="458"/>
      <c r="AH431" s="459">
        <f t="shared" si="114"/>
        <v>-7961.7260887717784</v>
      </c>
      <c r="AI431" s="479">
        <f t="shared" si="115"/>
        <v>-0.13746414364901299</v>
      </c>
      <c r="AJ431" s="465"/>
      <c r="AK431" s="456"/>
      <c r="AL431" s="457">
        <f t="shared" si="118"/>
        <v>47205.05</v>
      </c>
      <c r="AM431" s="461"/>
      <c r="AN431" s="459">
        <f t="shared" si="110"/>
        <v>2751.7900000000081</v>
      </c>
      <c r="AO431" s="466">
        <f t="shared" si="111"/>
        <v>5.8294398586592071E-2</v>
      </c>
      <c r="AP431" s="94"/>
      <c r="AQ431" s="622">
        <v>185602.45</v>
      </c>
      <c r="AR431" s="512">
        <f t="shared" si="112"/>
        <v>-135645.60999999999</v>
      </c>
      <c r="AT431" s="38"/>
      <c r="AU431" s="38"/>
      <c r="AV431" s="38"/>
      <c r="AW431" s="38"/>
      <c r="AX431" s="38"/>
      <c r="AY431" s="38"/>
      <c r="AZ431" s="38"/>
      <c r="BA431" s="38"/>
      <c r="BB431" s="38"/>
      <c r="BC431" s="38"/>
      <c r="BD431" s="38"/>
      <c r="BE431" s="38"/>
      <c r="BF431" s="38"/>
      <c r="BG431" s="38"/>
      <c r="BH431" s="38"/>
      <c r="BI431" s="38"/>
    </row>
    <row r="432" spans="1:61" ht="15.75" hidden="1" customHeight="1">
      <c r="A432" s="5" t="str">
        <f t="shared" si="98"/>
        <v>[...]</v>
      </c>
      <c r="B432" s="3"/>
      <c r="C432" s="38"/>
      <c r="D432" s="38"/>
      <c r="E432" s="38"/>
      <c r="F432" s="38"/>
      <c r="G432" s="38"/>
      <c r="H432" s="38"/>
      <c r="I432" s="38"/>
      <c r="J432" s="38"/>
      <c r="K432" s="38"/>
      <c r="L432" s="38"/>
      <c r="M432" s="38"/>
      <c r="N432" s="38"/>
      <c r="O432" s="38"/>
      <c r="P432" s="555"/>
      <c r="Q432" s="614"/>
      <c r="R432" s="38"/>
      <c r="S432" s="616"/>
      <c r="T432" s="616"/>
      <c r="U432" s="38"/>
      <c r="V432" s="253" t="s">
        <v>59</v>
      </c>
      <c r="W432" s="463"/>
      <c r="X432" s="456"/>
      <c r="Y432" s="464"/>
      <c r="Z432" s="457">
        <f t="shared" si="116"/>
        <v>0</v>
      </c>
      <c r="AA432" s="456"/>
      <c r="AB432" s="464"/>
      <c r="AC432" s="457"/>
      <c r="AD432" s="465"/>
      <c r="AE432" s="464"/>
      <c r="AF432" s="457">
        <f t="shared" si="117"/>
        <v>0</v>
      </c>
      <c r="AG432" s="458"/>
      <c r="AH432" s="459">
        <f t="shared" si="114"/>
        <v>0</v>
      </c>
      <c r="AI432" s="460">
        <f t="shared" si="115"/>
        <v>0</v>
      </c>
      <c r="AJ432" s="465"/>
      <c r="AK432" s="459"/>
      <c r="AL432" s="457"/>
      <c r="AM432" s="461"/>
      <c r="AN432" s="459"/>
      <c r="AO432" s="446"/>
      <c r="AP432" s="94"/>
      <c r="AQ432" s="622">
        <v>0</v>
      </c>
      <c r="AR432" s="512">
        <f t="shared" si="112"/>
        <v>0</v>
      </c>
      <c r="AT432" s="38"/>
      <c r="AU432" s="38"/>
      <c r="AV432" s="38"/>
      <c r="AW432" s="38"/>
      <c r="AX432" s="38"/>
      <c r="AY432" s="38"/>
      <c r="AZ432" s="38"/>
      <c r="BA432" s="38"/>
      <c r="BB432" s="38"/>
      <c r="BC432" s="38"/>
      <c r="BD432" s="38"/>
      <c r="BE432" s="38"/>
      <c r="BF432" s="38"/>
      <c r="BG432" s="38"/>
      <c r="BH432" s="38"/>
      <c r="BI432" s="38"/>
    </row>
    <row r="433" spans="1:62" ht="15.75" customHeight="1">
      <c r="A433" s="5" t="str">
        <f t="shared" si="98"/>
        <v>TOTAL PERSONNEL</v>
      </c>
      <c r="B433" s="3"/>
      <c r="C433" s="38"/>
      <c r="D433" s="38"/>
      <c r="E433" s="38"/>
      <c r="F433" s="38"/>
      <c r="G433" s="38"/>
      <c r="H433" s="38"/>
      <c r="I433" s="38"/>
      <c r="J433" s="38"/>
      <c r="K433" s="38"/>
      <c r="O433" s="147"/>
      <c r="Q433" s="626"/>
      <c r="R433" s="38"/>
      <c r="S433" s="616"/>
      <c r="T433" s="616"/>
      <c r="U433" s="38"/>
      <c r="V433" s="471" t="s">
        <v>128</v>
      </c>
      <c r="W433" s="472"/>
      <c r="X433" s="473">
        <f>Z433/Z407</f>
        <v>0.51295465720096689</v>
      </c>
      <c r="Y433" s="472"/>
      <c r="Z433" s="474">
        <f>SUM(Z420:Z432)</f>
        <v>1633054.4097351849</v>
      </c>
      <c r="AA433" s="473"/>
      <c r="AB433" s="472"/>
      <c r="AC433" s="474"/>
      <c r="AD433" s="475">
        <f>AF433/AF407</f>
        <v>0.48252024332660309</v>
      </c>
      <c r="AE433" s="480"/>
      <c r="AF433" s="474">
        <f>SUM(AF420:AF432)</f>
        <v>1493653.51</v>
      </c>
      <c r="AG433" s="481"/>
      <c r="AH433" s="477">
        <f t="shared" si="114"/>
        <v>-139400.89973518485</v>
      </c>
      <c r="AI433" s="473">
        <f>AH433/Z433</f>
        <v>-8.5362066875524389E-2</v>
      </c>
      <c r="AJ433" s="475">
        <f>IF($AL$407=0,0,AL433/$AL$407)</f>
        <v>0.49544282585969979</v>
      </c>
      <c r="AK433" s="472"/>
      <c r="AL433" s="474">
        <f>SUM(AL420:AL432)</f>
        <v>1488739.56</v>
      </c>
      <c r="AM433" s="482"/>
      <c r="AN433" s="477">
        <f t="shared" ref="AN433:AN451" si="119">AF433-AL433</f>
        <v>4913.9499999999534</v>
      </c>
      <c r="AO433" s="454">
        <f t="shared" ref="AO433:AO461" si="120">IF(AL433=0,0,AN433/AL433)</f>
        <v>3.3007452290714657E-3</v>
      </c>
      <c r="AP433" s="94"/>
      <c r="AQ433" s="624">
        <v>3367938.6900000004</v>
      </c>
      <c r="AR433" s="625">
        <f t="shared" si="112"/>
        <v>-1874285.1800000004</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8"/>
        <v>Publicité 2</v>
      </c>
      <c r="B434" s="3"/>
      <c r="C434" s="38"/>
      <c r="D434" s="38"/>
      <c r="E434" s="38"/>
      <c r="F434" s="38"/>
      <c r="G434" s="38"/>
      <c r="H434" s="38"/>
      <c r="I434" s="38"/>
      <c r="J434" s="38"/>
      <c r="K434" s="38"/>
      <c r="L434" s="38"/>
      <c r="M434" s="147"/>
      <c r="N434" s="612"/>
      <c r="O434" s="627"/>
      <c r="P434" s="555"/>
      <c r="Q434" s="614"/>
      <c r="R434" s="38"/>
      <c r="U434" s="38"/>
      <c r="V434" s="406" t="s">
        <v>129</v>
      </c>
      <c r="W434" s="483" t="s">
        <v>611</v>
      </c>
      <c r="X434" s="484"/>
      <c r="Y434" s="484"/>
      <c r="Z434" s="485">
        <f t="shared" ref="Z434:Z451" si="121">+SUMIF($C:$C,$V434,F:F)</f>
        <v>83172.040959872626</v>
      </c>
      <c r="AA434" s="484"/>
      <c r="AB434" s="484"/>
      <c r="AC434" s="485"/>
      <c r="AD434" s="486"/>
      <c r="AE434" s="487"/>
      <c r="AF434" s="485">
        <f t="shared" ref="AF434:AF447" si="122">+SUMIF($C:$C,$V434,L:L)</f>
        <v>111522.45000000001</v>
      </c>
      <c r="AG434" s="486"/>
      <c r="AH434" s="488">
        <f t="shared" si="114"/>
        <v>28350.409040127386</v>
      </c>
      <c r="AI434" s="489">
        <f t="shared" ref="AI434:AI451" si="123">IF(Z434=0,0,AH434/Z434)</f>
        <v>0.34086465491216439</v>
      </c>
      <c r="AJ434" s="486"/>
      <c r="AK434" s="484"/>
      <c r="AL434" s="485">
        <f t="shared" ref="AL434:AL447" si="124">+SUMIF($C:$C,$V434,Q:Q)</f>
        <v>83022.34</v>
      </c>
      <c r="AM434" s="490"/>
      <c r="AN434" s="488">
        <f t="shared" si="119"/>
        <v>28500.110000000015</v>
      </c>
      <c r="AO434" s="462">
        <f t="shared" si="120"/>
        <v>0.34328242253831942</v>
      </c>
      <c r="AP434" s="94"/>
      <c r="AQ434" s="628">
        <v>176878.05000000002</v>
      </c>
      <c r="AR434" s="506">
        <f t="shared" si="112"/>
        <v>-65355.600000000006</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8"/>
        <v>Service gratuit 2</v>
      </c>
      <c r="B435" s="3"/>
      <c r="C435" s="38"/>
      <c r="D435" s="38"/>
      <c r="E435" s="38"/>
      <c r="F435" s="38"/>
      <c r="G435" s="38"/>
      <c r="H435" s="38"/>
      <c r="I435" s="38"/>
      <c r="J435" s="38"/>
      <c r="K435" s="38"/>
      <c r="L435" s="38"/>
      <c r="M435" s="38"/>
      <c r="O435" s="612"/>
      <c r="P435" s="147"/>
      <c r="Q435" s="614"/>
      <c r="R435" s="38"/>
      <c r="U435" s="38"/>
      <c r="V435" s="312" t="s">
        <v>130</v>
      </c>
      <c r="W435" s="463" t="s">
        <v>621</v>
      </c>
      <c r="X435" s="456"/>
      <c r="Y435" s="456"/>
      <c r="Z435" s="457">
        <f t="shared" si="121"/>
        <v>22726.905814028541</v>
      </c>
      <c r="AA435" s="456"/>
      <c r="AB435" s="456"/>
      <c r="AC435" s="457"/>
      <c r="AD435" s="465"/>
      <c r="AE435" s="464"/>
      <c r="AF435" s="457">
        <f t="shared" si="122"/>
        <v>38573.49</v>
      </c>
      <c r="AG435" s="458"/>
      <c r="AH435" s="459">
        <f t="shared" si="114"/>
        <v>15846.584185971456</v>
      </c>
      <c r="AI435" s="460">
        <f t="shared" si="123"/>
        <v>0.69726096089111711</v>
      </c>
      <c r="AJ435" s="465"/>
      <c r="AK435" s="456"/>
      <c r="AL435" s="457">
        <f t="shared" si="124"/>
        <v>12391.62999999999</v>
      </c>
      <c r="AM435" s="461"/>
      <c r="AN435" s="459">
        <f t="shared" si="119"/>
        <v>26181.860000000008</v>
      </c>
      <c r="AO435" s="466">
        <f t="shared" si="120"/>
        <v>2.1128665074731918</v>
      </c>
      <c r="AP435" s="94"/>
      <c r="AQ435" s="622">
        <v>67659.239999999991</v>
      </c>
      <c r="AR435" s="512">
        <f t="shared" si="112"/>
        <v>-29085.749999999993</v>
      </c>
      <c r="AT435" s="38"/>
      <c r="AU435" s="38"/>
      <c r="AV435" s="38"/>
      <c r="AW435" s="38"/>
      <c r="AX435" s="38"/>
      <c r="AY435" s="38"/>
      <c r="AZ435" s="38"/>
      <c r="BA435" s="38"/>
      <c r="BB435" s="38"/>
      <c r="BC435" s="38"/>
      <c r="BD435" s="38"/>
      <c r="BE435" s="38"/>
      <c r="BF435" s="38"/>
      <c r="BG435" s="38"/>
      <c r="BH435" s="38"/>
      <c r="BI435" s="38"/>
    </row>
    <row r="436" spans="1:62" ht="15.75" customHeight="1">
      <c r="A436" s="5" t="str">
        <f t="shared" si="98"/>
        <v>Frais véhicules de cie</v>
      </c>
      <c r="B436" s="3"/>
      <c r="C436" s="38"/>
      <c r="D436" s="38"/>
      <c r="E436" s="38"/>
      <c r="F436" s="38"/>
      <c r="G436" s="38"/>
      <c r="H436" s="38"/>
      <c r="I436" s="38"/>
      <c r="J436" s="38"/>
      <c r="K436" s="38"/>
      <c r="L436" s="38"/>
      <c r="M436" s="555"/>
      <c r="N436" s="555"/>
      <c r="O436" s="555"/>
      <c r="P436" s="147"/>
      <c r="Q436" s="614"/>
      <c r="R436" s="38"/>
      <c r="U436" s="38"/>
      <c r="V436" s="313" t="s">
        <v>131</v>
      </c>
      <c r="W436" s="467" t="s">
        <v>622</v>
      </c>
      <c r="X436" s="440"/>
      <c r="Y436" s="440"/>
      <c r="Z436" s="441">
        <f t="shared" si="121"/>
        <v>126546.32333333333</v>
      </c>
      <c r="AA436" s="440"/>
      <c r="AB436" s="440"/>
      <c r="AC436" s="441"/>
      <c r="AD436" s="469"/>
      <c r="AE436" s="468"/>
      <c r="AF436" s="441">
        <f t="shared" si="122"/>
        <v>124112.99</v>
      </c>
      <c r="AG436" s="442"/>
      <c r="AH436" s="443">
        <f t="shared" si="114"/>
        <v>-2433.3333333333285</v>
      </c>
      <c r="AI436" s="470">
        <f t="shared" si="123"/>
        <v>-1.9228795189282031E-2</v>
      </c>
      <c r="AJ436" s="469"/>
      <c r="AK436" s="440"/>
      <c r="AL436" s="441">
        <f t="shared" si="124"/>
        <v>105690.64</v>
      </c>
      <c r="AM436" s="445"/>
      <c r="AN436" s="443">
        <f t="shared" si="119"/>
        <v>18422.350000000006</v>
      </c>
      <c r="AO436" s="446">
        <f t="shared" si="120"/>
        <v>0.17430446064098018</v>
      </c>
      <c r="AP436" s="94"/>
      <c r="AQ436" s="623">
        <v>276796.59999999998</v>
      </c>
      <c r="AR436" s="620">
        <f t="shared" si="112"/>
        <v>-152683.60999999999</v>
      </c>
      <c r="AS436" s="5" t="s">
        <v>698</v>
      </c>
      <c r="AT436" s="38"/>
      <c r="AU436" s="38"/>
      <c r="AV436" s="38"/>
      <c r="AW436" s="38"/>
      <c r="AX436" s="38"/>
      <c r="AY436" s="38"/>
      <c r="AZ436" s="38"/>
      <c r="BA436" s="38"/>
      <c r="BB436" s="38"/>
      <c r="BC436" s="38"/>
      <c r="BD436" s="38"/>
      <c r="BE436" s="38"/>
      <c r="BF436" s="38"/>
      <c r="BG436" s="38"/>
      <c r="BH436" s="38"/>
      <c r="BI436" s="38"/>
      <c r="BJ436" s="38"/>
    </row>
    <row r="437" spans="1:62" ht="15.75" customHeight="1">
      <c r="A437" s="5" t="str">
        <f t="shared" si="98"/>
        <v>Informatique</v>
      </c>
      <c r="B437" s="3"/>
      <c r="C437" s="38"/>
      <c r="D437" s="38"/>
      <c r="E437" s="38"/>
      <c r="F437" s="38"/>
      <c r="G437" s="38"/>
      <c r="H437" s="38"/>
      <c r="I437" s="38"/>
      <c r="J437" s="38"/>
      <c r="K437" s="38"/>
      <c r="L437" s="38"/>
      <c r="M437" s="555"/>
      <c r="N437" s="555"/>
      <c r="O437" s="555"/>
      <c r="P437" s="147"/>
      <c r="Q437" s="614"/>
      <c r="R437" s="38"/>
      <c r="U437" s="38"/>
      <c r="V437" s="312" t="s">
        <v>132</v>
      </c>
      <c r="W437" s="463" t="s">
        <v>623</v>
      </c>
      <c r="X437" s="456"/>
      <c r="Y437" s="456"/>
      <c r="Z437" s="457">
        <f t="shared" si="121"/>
        <v>112010.40071888889</v>
      </c>
      <c r="AA437" s="456"/>
      <c r="AB437" s="456"/>
      <c r="AC437" s="457"/>
      <c r="AD437" s="465"/>
      <c r="AE437" s="464"/>
      <c r="AF437" s="457">
        <f t="shared" si="122"/>
        <v>123677.23000000001</v>
      </c>
      <c r="AG437" s="458"/>
      <c r="AH437" s="459">
        <f t="shared" si="114"/>
        <v>11666.829281111117</v>
      </c>
      <c r="AI437" s="460">
        <f t="shared" si="123"/>
        <v>0.10415844605708725</v>
      </c>
      <c r="AJ437" s="465"/>
      <c r="AK437" s="456"/>
      <c r="AL437" s="457">
        <f t="shared" si="124"/>
        <v>109151.6</v>
      </c>
      <c r="AM437" s="461"/>
      <c r="AN437" s="459">
        <f t="shared" si="119"/>
        <v>14525.630000000005</v>
      </c>
      <c r="AO437" s="466">
        <f t="shared" si="120"/>
        <v>0.13307757284364136</v>
      </c>
      <c r="AP437" s="94"/>
      <c r="AQ437" s="622">
        <v>239193.79</v>
      </c>
      <c r="AR437" s="512">
        <f t="shared" si="112"/>
        <v>-115516.56</v>
      </c>
      <c r="AS437" s="38"/>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8"/>
        <v>Frais de déplacement</v>
      </c>
      <c r="B438" s="3"/>
      <c r="C438" s="38"/>
      <c r="D438" s="38"/>
      <c r="E438" s="38"/>
      <c r="F438" s="38"/>
      <c r="G438" s="38"/>
      <c r="H438" s="38"/>
      <c r="I438" s="38"/>
      <c r="J438" s="38"/>
      <c r="K438" s="38"/>
      <c r="L438" s="38"/>
      <c r="M438" s="555"/>
      <c r="N438" s="555"/>
      <c r="O438" s="555"/>
      <c r="P438" s="147"/>
      <c r="Q438" s="614"/>
      <c r="R438" s="38"/>
      <c r="U438" s="38"/>
      <c r="V438" s="312" t="s">
        <v>133</v>
      </c>
      <c r="W438" s="463" t="s">
        <v>624</v>
      </c>
      <c r="X438" s="456"/>
      <c r="Y438" s="456"/>
      <c r="Z438" s="457">
        <f t="shared" si="121"/>
        <v>19527.788162430559</v>
      </c>
      <c r="AA438" s="456"/>
      <c r="AB438" s="456"/>
      <c r="AC438" s="457"/>
      <c r="AD438" s="465"/>
      <c r="AE438" s="464"/>
      <c r="AF438" s="457">
        <f t="shared" si="122"/>
        <v>21818.73</v>
      </c>
      <c r="AG438" s="458"/>
      <c r="AH438" s="459">
        <f t="shared" si="114"/>
        <v>2290.9418375694404</v>
      </c>
      <c r="AI438" s="460">
        <f t="shared" si="123"/>
        <v>0.11731701606518731</v>
      </c>
      <c r="AJ438" s="465"/>
      <c r="AK438" s="456"/>
      <c r="AL438" s="457">
        <f t="shared" si="124"/>
        <v>18164.749999999996</v>
      </c>
      <c r="AM438" s="461"/>
      <c r="AN438" s="459">
        <f t="shared" si="119"/>
        <v>3653.9800000000032</v>
      </c>
      <c r="AO438" s="466">
        <f t="shared" si="120"/>
        <v>0.2011577368254451</v>
      </c>
      <c r="AP438" s="94"/>
      <c r="AQ438" s="622">
        <v>42486.400000000001</v>
      </c>
      <c r="AR438" s="512">
        <f t="shared" si="112"/>
        <v>-20667.670000000002</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tr">
        <f t="shared" si="98"/>
        <v>Services extérieurs</v>
      </c>
      <c r="B439" s="3"/>
      <c r="C439" s="38"/>
      <c r="D439" s="38"/>
      <c r="E439" s="38"/>
      <c r="F439" s="38"/>
      <c r="G439" s="38"/>
      <c r="H439" s="38"/>
      <c r="I439" s="38"/>
      <c r="J439" s="38"/>
      <c r="K439" s="38"/>
      <c r="L439" s="38"/>
      <c r="M439" s="38"/>
      <c r="N439" s="38"/>
      <c r="O439" s="555"/>
      <c r="P439" s="147"/>
      <c r="Q439" s="614"/>
      <c r="R439" s="38"/>
      <c r="U439" s="38"/>
      <c r="V439" s="312" t="s">
        <v>134</v>
      </c>
      <c r="W439" s="463" t="s">
        <v>625</v>
      </c>
      <c r="X439" s="456"/>
      <c r="Y439" s="456"/>
      <c r="Z439" s="457">
        <f t="shared" si="121"/>
        <v>172590.2729880464</v>
      </c>
      <c r="AA439" s="456"/>
      <c r="AB439" s="456"/>
      <c r="AC439" s="457"/>
      <c r="AD439" s="465"/>
      <c r="AE439" s="464"/>
      <c r="AF439" s="457">
        <f t="shared" si="122"/>
        <v>212475.85000000003</v>
      </c>
      <c r="AG439" s="458"/>
      <c r="AH439" s="459">
        <f t="shared" si="114"/>
        <v>39885.577011953632</v>
      </c>
      <c r="AI439" s="460">
        <f t="shared" si="123"/>
        <v>0.23109979676963663</v>
      </c>
      <c r="AJ439" s="465"/>
      <c r="AK439" s="456"/>
      <c r="AL439" s="457">
        <f t="shared" si="124"/>
        <v>161088.20000000001</v>
      </c>
      <c r="AM439" s="461"/>
      <c r="AN439" s="459">
        <f t="shared" si="119"/>
        <v>51387.650000000023</v>
      </c>
      <c r="AO439" s="466">
        <f t="shared" si="120"/>
        <v>0.31900319204013716</v>
      </c>
      <c r="AP439" s="94"/>
      <c r="AQ439" s="622">
        <v>240398.68</v>
      </c>
      <c r="AR439" s="512">
        <f t="shared" si="112"/>
        <v>-27922.829999999958</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
        <v>490</v>
      </c>
      <c r="B440" s="3"/>
      <c r="C440" s="38"/>
      <c r="D440" s="38"/>
      <c r="E440" s="38"/>
      <c r="F440" s="38"/>
      <c r="G440" s="38"/>
      <c r="H440" s="38"/>
      <c r="I440" s="38"/>
      <c r="J440" s="38"/>
      <c r="K440" s="38"/>
      <c r="M440" s="147"/>
      <c r="N440" s="612"/>
      <c r="O440" s="612"/>
      <c r="P440" s="147"/>
      <c r="Q440" s="38"/>
      <c r="R440" s="38"/>
      <c r="U440" s="38"/>
      <c r="V440" s="406" t="s">
        <v>490</v>
      </c>
      <c r="W440" s="483"/>
      <c r="X440" s="484"/>
      <c r="Y440" s="484"/>
      <c r="Z440" s="485">
        <f t="shared" si="121"/>
        <v>0</v>
      </c>
      <c r="AA440" s="484"/>
      <c r="AB440" s="484"/>
      <c r="AC440" s="485"/>
      <c r="AD440" s="486"/>
      <c r="AE440" s="487"/>
      <c r="AF440" s="485">
        <f t="shared" si="122"/>
        <v>0</v>
      </c>
      <c r="AG440" s="492"/>
      <c r="AH440" s="488">
        <f t="shared" si="114"/>
        <v>0</v>
      </c>
      <c r="AI440" s="489">
        <f t="shared" si="123"/>
        <v>0</v>
      </c>
      <c r="AJ440" s="486"/>
      <c r="AK440" s="484"/>
      <c r="AL440" s="485">
        <f t="shared" si="124"/>
        <v>0</v>
      </c>
      <c r="AM440" s="490"/>
      <c r="AN440" s="488">
        <f t="shared" si="119"/>
        <v>0</v>
      </c>
      <c r="AO440" s="462">
        <f t="shared" si="120"/>
        <v>0</v>
      </c>
      <c r="AP440" s="94"/>
      <c r="AQ440" s="628">
        <v>0</v>
      </c>
      <c r="AR440" s="506">
        <f t="shared" si="112"/>
        <v>0</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tr">
        <f t="shared" ref="A441:A498" si="125">+U441&amp;V441</f>
        <v>Fournitures autres</v>
      </c>
      <c r="B441" s="3"/>
      <c r="C441" s="38"/>
      <c r="D441" s="38"/>
      <c r="E441" s="38"/>
      <c r="F441" s="38"/>
      <c r="G441" s="38"/>
      <c r="H441" s="38"/>
      <c r="I441" s="38"/>
      <c r="J441" s="38"/>
      <c r="K441" s="38"/>
      <c r="L441" s="38"/>
      <c r="M441" s="38"/>
      <c r="N441" s="38"/>
      <c r="O441" s="38"/>
      <c r="P441" s="629"/>
      <c r="Q441" s="94"/>
      <c r="R441" s="38"/>
      <c r="S441" s="38"/>
      <c r="T441" s="38"/>
      <c r="U441" s="38"/>
      <c r="V441" s="312" t="s">
        <v>135</v>
      </c>
      <c r="W441" s="463" t="s">
        <v>626</v>
      </c>
      <c r="X441" s="456"/>
      <c r="Y441" s="464"/>
      <c r="Z441" s="457">
        <f t="shared" si="121"/>
        <v>26263.450777777787</v>
      </c>
      <c r="AA441" s="456"/>
      <c r="AB441" s="464"/>
      <c r="AC441" s="457"/>
      <c r="AD441" s="465"/>
      <c r="AE441" s="464"/>
      <c r="AF441" s="457">
        <f t="shared" si="122"/>
        <v>28593.03</v>
      </c>
      <c r="AG441" s="458"/>
      <c r="AH441" s="459">
        <f t="shared" si="114"/>
        <v>2329.5792222222117</v>
      </c>
      <c r="AI441" s="460">
        <f t="shared" si="123"/>
        <v>8.8700424096338909E-2</v>
      </c>
      <c r="AJ441" s="465"/>
      <c r="AK441" s="456"/>
      <c r="AL441" s="457">
        <f t="shared" si="124"/>
        <v>24462.560000000001</v>
      </c>
      <c r="AM441" s="461"/>
      <c r="AN441" s="459">
        <f t="shared" si="119"/>
        <v>4130.4699999999975</v>
      </c>
      <c r="AO441" s="466">
        <f t="shared" si="120"/>
        <v>0.16884864053475995</v>
      </c>
      <c r="AP441" s="94"/>
      <c r="AQ441" s="622">
        <v>30518.469999999998</v>
      </c>
      <c r="AR441" s="512">
        <f t="shared" si="112"/>
        <v>-1925.4399999999987</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si="125"/>
        <v>Uniformes</v>
      </c>
      <c r="B442" s="3"/>
      <c r="C442" s="38"/>
      <c r="D442" s="38"/>
      <c r="E442" s="38"/>
      <c r="F442" s="38"/>
      <c r="G442" s="38"/>
      <c r="H442" s="38"/>
      <c r="I442" s="38"/>
      <c r="J442" s="38"/>
      <c r="K442" s="38"/>
      <c r="L442" s="38"/>
      <c r="M442" s="38"/>
      <c r="N442" s="38"/>
      <c r="O442" s="38"/>
      <c r="Q442" s="94"/>
      <c r="S442" s="38"/>
      <c r="T442" s="38"/>
      <c r="U442" s="38"/>
      <c r="V442" s="312" t="s">
        <v>136</v>
      </c>
      <c r="W442" s="463" t="s">
        <v>627</v>
      </c>
      <c r="X442" s="456"/>
      <c r="Y442" s="456"/>
      <c r="Z442" s="457">
        <f t="shared" si="121"/>
        <v>6668.9937005987531</v>
      </c>
      <c r="AA442" s="456"/>
      <c r="AB442" s="456"/>
      <c r="AC442" s="457"/>
      <c r="AD442" s="465"/>
      <c r="AE442" s="464"/>
      <c r="AF442" s="457">
        <f t="shared" si="122"/>
        <v>4258.43</v>
      </c>
      <c r="AG442" s="458"/>
      <c r="AH442" s="459">
        <f t="shared" si="114"/>
        <v>-2410.5637005987528</v>
      </c>
      <c r="AI442" s="479">
        <f t="shared" si="123"/>
        <v>-0.36145838620035409</v>
      </c>
      <c r="AJ442" s="465"/>
      <c r="AK442" s="456"/>
      <c r="AL442" s="457">
        <f t="shared" si="124"/>
        <v>5422.28</v>
      </c>
      <c r="AM442" s="461"/>
      <c r="AN442" s="459">
        <f t="shared" si="119"/>
        <v>-1163.8499999999995</v>
      </c>
      <c r="AO442" s="466">
        <f t="shared" si="120"/>
        <v>-0.21464218004234373</v>
      </c>
      <c r="AP442" s="94"/>
      <c r="AQ442" s="622">
        <v>14808.84</v>
      </c>
      <c r="AR442" s="512">
        <f t="shared" si="112"/>
        <v>-10550.41</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25"/>
        <v>Papeterie</v>
      </c>
      <c r="B443" s="3"/>
      <c r="C443" s="38"/>
      <c r="D443" s="38"/>
      <c r="E443" s="38"/>
      <c r="F443" s="38"/>
      <c r="G443" s="38"/>
      <c r="H443" s="38"/>
      <c r="I443" s="38"/>
      <c r="J443" s="38"/>
      <c r="K443" s="38"/>
      <c r="L443" s="38"/>
      <c r="M443" s="38"/>
      <c r="N443" s="38"/>
      <c r="O443" s="38"/>
      <c r="P443" s="629"/>
      <c r="Q443" s="94"/>
      <c r="R443" s="38"/>
      <c r="S443" s="38"/>
      <c r="T443" s="38"/>
      <c r="U443" s="38"/>
      <c r="V443" s="312" t="s">
        <v>137</v>
      </c>
      <c r="W443" s="463" t="s">
        <v>628</v>
      </c>
      <c r="X443" s="456"/>
      <c r="Y443" s="456"/>
      <c r="Z443" s="457">
        <f t="shared" si="121"/>
        <v>13803.751927329999</v>
      </c>
      <c r="AA443" s="456"/>
      <c r="AB443" s="456"/>
      <c r="AC443" s="457"/>
      <c r="AD443" s="465"/>
      <c r="AE443" s="464"/>
      <c r="AF443" s="457">
        <f t="shared" si="122"/>
        <v>9838.119999999999</v>
      </c>
      <c r="AG443" s="458"/>
      <c r="AH443" s="459">
        <f t="shared" si="114"/>
        <v>-3965.6319273299996</v>
      </c>
      <c r="AI443" s="460">
        <f t="shared" si="123"/>
        <v>-0.28728652530175214</v>
      </c>
      <c r="AJ443" s="465"/>
      <c r="AK443" s="456"/>
      <c r="AL443" s="457">
        <f t="shared" si="124"/>
        <v>11459.390000000001</v>
      </c>
      <c r="AM443" s="461"/>
      <c r="AN443" s="459">
        <f t="shared" si="119"/>
        <v>-1621.2700000000023</v>
      </c>
      <c r="AO443" s="466">
        <f t="shared" si="120"/>
        <v>-0.14147960755328182</v>
      </c>
      <c r="AP443" s="94"/>
      <c r="AQ443" s="622">
        <v>30323.510000000002</v>
      </c>
      <c r="AR443" s="512">
        <f t="shared" si="112"/>
        <v>-20485.390000000003</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25"/>
        <v>Téléphone</v>
      </c>
      <c r="B444" s="3"/>
      <c r="C444" s="38"/>
      <c r="D444" s="38"/>
      <c r="E444" s="38"/>
      <c r="F444" s="38"/>
      <c r="G444" s="38"/>
      <c r="H444" s="38"/>
      <c r="I444" s="38"/>
      <c r="J444" s="38"/>
      <c r="K444" s="38"/>
      <c r="L444" s="38"/>
      <c r="M444" s="38"/>
      <c r="N444" s="38"/>
      <c r="O444" s="38"/>
      <c r="P444" s="38"/>
      <c r="Q444" s="94"/>
      <c r="S444" s="38"/>
      <c r="T444" s="38"/>
      <c r="U444" s="38"/>
      <c r="V444" s="312" t="s">
        <v>138</v>
      </c>
      <c r="W444" s="463" t="s">
        <v>629</v>
      </c>
      <c r="X444" s="456"/>
      <c r="Y444" s="456"/>
      <c r="Z444" s="457">
        <f t="shared" si="121"/>
        <v>3673.4038018434726</v>
      </c>
      <c r="AA444" s="456"/>
      <c r="AB444" s="456"/>
      <c r="AC444" s="457"/>
      <c r="AD444" s="465"/>
      <c r="AE444" s="464"/>
      <c r="AF444" s="457">
        <f t="shared" si="122"/>
        <v>4378.38</v>
      </c>
      <c r="AG444" s="458"/>
      <c r="AH444" s="459">
        <f t="shared" si="114"/>
        <v>704.97619815652752</v>
      </c>
      <c r="AI444" s="479">
        <f t="shared" si="123"/>
        <v>0.19191361369058857</v>
      </c>
      <c r="AJ444" s="465"/>
      <c r="AK444" s="456"/>
      <c r="AL444" s="457">
        <f t="shared" si="124"/>
        <v>3379.9800000000005</v>
      </c>
      <c r="AM444" s="461"/>
      <c r="AN444" s="459">
        <f t="shared" si="119"/>
        <v>998.39999999999964</v>
      </c>
      <c r="AO444" s="466">
        <f t="shared" si="120"/>
        <v>0.29538636323291839</v>
      </c>
      <c r="AP444" s="94"/>
      <c r="AQ444" s="622">
        <v>8588.4900000000016</v>
      </c>
      <c r="AR444" s="512">
        <f t="shared" si="112"/>
        <v>-4210.1100000000015</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25"/>
        <v>Frais postaux</v>
      </c>
      <c r="B445" s="3"/>
      <c r="C445" s="38"/>
      <c r="D445" s="38"/>
      <c r="E445" s="38"/>
      <c r="F445" s="38"/>
      <c r="G445" s="38"/>
      <c r="H445" s="38"/>
      <c r="I445" s="38"/>
      <c r="J445" s="38"/>
      <c r="K445" s="38"/>
      <c r="L445" s="38"/>
      <c r="M445" s="38"/>
      <c r="N445" s="38"/>
      <c r="O445" s="38"/>
      <c r="P445" s="38"/>
      <c r="Q445" s="94"/>
      <c r="S445" s="38"/>
      <c r="T445" s="38"/>
      <c r="U445" s="38"/>
      <c r="V445" s="312" t="s">
        <v>139</v>
      </c>
      <c r="W445" s="463" t="s">
        <v>630</v>
      </c>
      <c r="X445" s="456"/>
      <c r="Y445" s="456"/>
      <c r="Z445" s="457">
        <f t="shared" si="121"/>
        <v>1176.0578107565275</v>
      </c>
      <c r="AA445" s="456"/>
      <c r="AB445" s="456"/>
      <c r="AC445" s="457"/>
      <c r="AD445" s="465"/>
      <c r="AE445" s="464"/>
      <c r="AF445" s="457">
        <f t="shared" si="122"/>
        <v>4074.4500000000003</v>
      </c>
      <c r="AG445" s="458"/>
      <c r="AH445" s="459">
        <f t="shared" si="114"/>
        <v>2898.3921892434728</v>
      </c>
      <c r="AI445" s="460">
        <f t="shared" si="123"/>
        <v>2.4644980567571011</v>
      </c>
      <c r="AJ445" s="465"/>
      <c r="AK445" s="456"/>
      <c r="AL445" s="457">
        <f t="shared" si="124"/>
        <v>1086.25</v>
      </c>
      <c r="AM445" s="461"/>
      <c r="AN445" s="459">
        <f t="shared" si="119"/>
        <v>2988.2000000000003</v>
      </c>
      <c r="AO445" s="466">
        <f t="shared" si="120"/>
        <v>2.7509321058688148</v>
      </c>
      <c r="AP445" s="94"/>
      <c r="AQ445" s="622">
        <v>3965.16</v>
      </c>
      <c r="AR445" s="512">
        <f t="shared" si="112"/>
        <v>109.29000000000042</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25"/>
        <v>Divers</v>
      </c>
      <c r="B446" s="3"/>
      <c r="C446" s="38"/>
      <c r="D446" s="38"/>
      <c r="E446" s="38"/>
      <c r="F446" s="38"/>
      <c r="G446" s="38"/>
      <c r="H446" s="38"/>
      <c r="I446" s="38"/>
      <c r="J446" s="38"/>
      <c r="K446" s="38"/>
      <c r="L446" s="38"/>
      <c r="M446" s="38"/>
      <c r="N446" s="38"/>
      <c r="O446" s="38"/>
      <c r="P446" s="38"/>
      <c r="Q446" s="94"/>
      <c r="R446" s="38"/>
      <c r="S446" s="38"/>
      <c r="T446" s="38"/>
      <c r="U446" s="38"/>
      <c r="V446" s="312" t="s">
        <v>140</v>
      </c>
      <c r="W446" s="463" t="s">
        <v>631</v>
      </c>
      <c r="X446" s="456"/>
      <c r="Y446" s="464"/>
      <c r="Z446" s="457">
        <f t="shared" si="121"/>
        <v>3601.9459932490281</v>
      </c>
      <c r="AA446" s="456"/>
      <c r="AB446" s="464"/>
      <c r="AC446" s="457"/>
      <c r="AD446" s="465"/>
      <c r="AE446" s="464"/>
      <c r="AF446" s="457">
        <f t="shared" si="122"/>
        <v>1451.88</v>
      </c>
      <c r="AG446" s="458"/>
      <c r="AH446" s="459">
        <f t="shared" si="114"/>
        <v>-2150.065993249028</v>
      </c>
      <c r="AI446" s="479">
        <f t="shared" si="123"/>
        <v>-0.5969178875193587</v>
      </c>
      <c r="AJ446" s="465"/>
      <c r="AK446" s="456"/>
      <c r="AL446" s="457">
        <f t="shared" si="124"/>
        <v>2725.48</v>
      </c>
      <c r="AM446" s="461"/>
      <c r="AN446" s="459">
        <f t="shared" si="119"/>
        <v>-1273.5999999999999</v>
      </c>
      <c r="AO446" s="466">
        <f t="shared" si="120"/>
        <v>-0.46729383448053186</v>
      </c>
      <c r="AP446" s="94"/>
      <c r="AQ446" s="622">
        <v>9676.7800000000007</v>
      </c>
      <c r="AR446" s="512">
        <f t="shared" si="112"/>
        <v>-8224.9000000000015</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25"/>
        <v>Formation</v>
      </c>
      <c r="B447" s="3"/>
      <c r="C447" s="38"/>
      <c r="D447" s="38"/>
      <c r="E447" s="38"/>
      <c r="F447" s="38"/>
      <c r="G447" s="38"/>
      <c r="H447" s="38"/>
      <c r="I447" s="38"/>
      <c r="J447" s="38"/>
      <c r="K447" s="38"/>
      <c r="L447" s="38"/>
      <c r="M447" s="38"/>
      <c r="N447" s="38"/>
      <c r="O447" s="38"/>
      <c r="P447" s="38"/>
      <c r="Q447" s="94"/>
      <c r="R447" s="38"/>
      <c r="S447" s="38"/>
      <c r="T447" s="38"/>
      <c r="U447" s="38"/>
      <c r="V447" s="312" t="s">
        <v>141</v>
      </c>
      <c r="W447" s="463" t="s">
        <v>632</v>
      </c>
      <c r="X447" s="456"/>
      <c r="Y447" s="464"/>
      <c r="Z447" s="457">
        <f t="shared" si="121"/>
        <v>28870.685217753831</v>
      </c>
      <c r="AA447" s="456"/>
      <c r="AB447" s="464"/>
      <c r="AC447" s="457"/>
      <c r="AD447" s="465"/>
      <c r="AE447" s="464"/>
      <c r="AF447" s="457">
        <f t="shared" si="122"/>
        <v>18043.409999999996</v>
      </c>
      <c r="AG447" s="458"/>
      <c r="AH447" s="1015">
        <f t="shared" si="114"/>
        <v>-10827.275217753835</v>
      </c>
      <c r="AI447" s="460">
        <f t="shared" si="123"/>
        <v>-0.37502661042127522</v>
      </c>
      <c r="AJ447" s="465"/>
      <c r="AK447" s="456"/>
      <c r="AL447" s="457">
        <f t="shared" si="124"/>
        <v>20440.34</v>
      </c>
      <c r="AM447" s="461"/>
      <c r="AN447" s="459">
        <f t="shared" si="119"/>
        <v>-2396.9300000000039</v>
      </c>
      <c r="AO447" s="466">
        <f t="shared" si="120"/>
        <v>-0.11726468346416957</v>
      </c>
      <c r="AP447" s="94"/>
      <c r="AQ447" s="622">
        <v>39202.850000000006</v>
      </c>
      <c r="AR447" s="512">
        <f t="shared" si="112"/>
        <v>-21159.44000000001</v>
      </c>
      <c r="AS447" s="38"/>
      <c r="AT447" s="38"/>
      <c r="AU447" s="38"/>
      <c r="AV447" s="38"/>
      <c r="AW447" s="38"/>
      <c r="AX447" s="38"/>
      <c r="AY447" s="38"/>
      <c r="AZ447" s="38"/>
      <c r="BA447" s="38"/>
      <c r="BB447" s="38"/>
      <c r="BC447" s="38"/>
      <c r="BD447" s="38"/>
      <c r="BE447" s="38"/>
      <c r="BF447" s="38"/>
      <c r="BG447" s="38"/>
      <c r="BH447" s="38"/>
      <c r="BI447" s="38"/>
      <c r="BJ447" s="38"/>
    </row>
    <row r="448" spans="1:62" ht="15" customHeight="1">
      <c r="A448" s="5" t="str">
        <f t="shared" si="125"/>
        <v>Frais bancaires</v>
      </c>
      <c r="B448" s="3"/>
      <c r="C448" s="38"/>
      <c r="D448" s="38"/>
      <c r="E448" s="38"/>
      <c r="F448" s="38"/>
      <c r="G448" s="38"/>
      <c r="H448" s="38"/>
      <c r="I448" s="38"/>
      <c r="J448" s="38"/>
      <c r="K448" s="38"/>
      <c r="L448" s="38"/>
      <c r="M448" s="38"/>
      <c r="N448" s="38"/>
      <c r="O448" s="38"/>
      <c r="P448" s="38"/>
      <c r="Q448" s="94"/>
      <c r="R448" s="38"/>
      <c r="S448" s="38"/>
      <c r="T448" s="38"/>
      <c r="U448" s="38"/>
      <c r="V448" s="312" t="s">
        <v>142</v>
      </c>
      <c r="W448" s="463" t="s">
        <v>633</v>
      </c>
      <c r="X448" s="456"/>
      <c r="Y448" s="464"/>
      <c r="Z448" s="457">
        <f t="shared" si="121"/>
        <v>36061.223258875718</v>
      </c>
      <c r="AA448" s="456"/>
      <c r="AB448" s="464"/>
      <c r="AC448" s="457"/>
      <c r="AD448" s="465"/>
      <c r="AE448" s="464"/>
      <c r="AF448" s="441">
        <f>SUMIFS(BV_Data_An_Cour!$P:$P,BV_Data_An_Cour!$V:$V,$V448)</f>
        <v>39735.86</v>
      </c>
      <c r="AG448" s="458"/>
      <c r="AH448" s="962">
        <f t="shared" si="114"/>
        <v>3674.6367411242827</v>
      </c>
      <c r="AI448" s="460">
        <f t="shared" si="123"/>
        <v>0.10189994706349423</v>
      </c>
      <c r="AJ448" s="465"/>
      <c r="AK448" s="456"/>
      <c r="AL448" s="457" cm="1">
        <f t="array" ref="AL448">+SUMPRODUCT(('Réel 2024'!$A$8:$A$501=$A448)*('Réel 2024'!$C$3:$AO$3=Z$2),'Réel 2024'!$C$8:$AO$501)</f>
        <v>39528.149999999994</v>
      </c>
      <c r="AM448" s="461"/>
      <c r="AN448" s="459">
        <f t="shared" si="119"/>
        <v>207.7100000000064</v>
      </c>
      <c r="AO448" s="466">
        <f t="shared" si="120"/>
        <v>5.2547361816833432E-3</v>
      </c>
      <c r="AP448" s="94"/>
      <c r="AQ448" s="623">
        <v>99368.799999999988</v>
      </c>
      <c r="AR448" s="620">
        <f t="shared" si="112"/>
        <v>-59632.939999999988</v>
      </c>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tr">
        <f t="shared" si="125"/>
        <v>[...]</v>
      </c>
      <c r="B449" s="3"/>
      <c r="C449" s="38"/>
      <c r="D449" s="38"/>
      <c r="E449" s="38"/>
      <c r="F449" s="38"/>
      <c r="G449" s="38"/>
      <c r="H449" s="38"/>
      <c r="I449" s="38"/>
      <c r="J449" s="38"/>
      <c r="K449" s="38"/>
      <c r="L449" s="38"/>
      <c r="M449" s="38"/>
      <c r="N449" s="38"/>
      <c r="O449" s="38"/>
      <c r="P449" s="38"/>
      <c r="Q449" s="94"/>
      <c r="R449" s="38"/>
      <c r="S449" s="38"/>
      <c r="T449" s="38"/>
      <c r="U449" s="38"/>
      <c r="V449" s="312" t="s">
        <v>59</v>
      </c>
      <c r="W449" s="463"/>
      <c r="X449" s="456"/>
      <c r="Y449" s="464"/>
      <c r="Z449" s="457">
        <f t="shared" si="121"/>
        <v>0</v>
      </c>
      <c r="AA449" s="456"/>
      <c r="AB449" s="464"/>
      <c r="AC449" s="457"/>
      <c r="AD449" s="465"/>
      <c r="AE449" s="464"/>
      <c r="AF449" s="457">
        <f>+SUMIF($C:$C,$V449,L:L)</f>
        <v>0</v>
      </c>
      <c r="AG449" s="458"/>
      <c r="AH449" s="459">
        <f t="shared" si="114"/>
        <v>0</v>
      </c>
      <c r="AI449" s="460">
        <f t="shared" si="123"/>
        <v>0</v>
      </c>
      <c r="AJ449" s="465"/>
      <c r="AK449" s="456"/>
      <c r="AL449" s="457"/>
      <c r="AM449" s="461"/>
      <c r="AN449" s="459">
        <f t="shared" si="119"/>
        <v>0</v>
      </c>
      <c r="AO449" s="466">
        <f t="shared" si="120"/>
        <v>0</v>
      </c>
      <c r="AP449" s="94"/>
      <c r="AQ449" s="622">
        <v>0</v>
      </c>
      <c r="AR449" s="512">
        <f t="shared" si="112"/>
        <v>0</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25"/>
        <v>[...]</v>
      </c>
      <c r="B450" s="3"/>
      <c r="C450" s="38"/>
      <c r="D450" s="38"/>
      <c r="E450" s="38"/>
      <c r="F450" s="38"/>
      <c r="G450" s="38"/>
      <c r="H450" s="38"/>
      <c r="I450" s="38"/>
      <c r="J450" s="38"/>
      <c r="K450" s="38"/>
      <c r="L450" s="38"/>
      <c r="M450" s="38"/>
      <c r="N450" s="38"/>
      <c r="O450" s="38"/>
      <c r="P450" s="38"/>
      <c r="Q450" s="94"/>
      <c r="R450" s="38"/>
      <c r="S450" s="38"/>
      <c r="T450" s="38"/>
      <c r="U450" s="38"/>
      <c r="V450" s="312" t="s">
        <v>59</v>
      </c>
      <c r="W450" s="463"/>
      <c r="X450" s="456"/>
      <c r="Y450" s="464"/>
      <c r="Z450" s="457">
        <f t="shared" si="121"/>
        <v>0</v>
      </c>
      <c r="AA450" s="456"/>
      <c r="AB450" s="464"/>
      <c r="AC450" s="457"/>
      <c r="AD450" s="465"/>
      <c r="AE450" s="464"/>
      <c r="AF450" s="457">
        <f>+SUMIF($C:$C,$V450,L:L)</f>
        <v>0</v>
      </c>
      <c r="AG450" s="458"/>
      <c r="AH450" s="459">
        <f t="shared" si="114"/>
        <v>0</v>
      </c>
      <c r="AI450" s="460">
        <f t="shared" si="123"/>
        <v>0</v>
      </c>
      <c r="AJ450" s="465"/>
      <c r="AK450" s="456"/>
      <c r="AL450" s="457"/>
      <c r="AM450" s="461"/>
      <c r="AN450" s="459">
        <f t="shared" si="119"/>
        <v>0</v>
      </c>
      <c r="AO450" s="466">
        <f t="shared" si="120"/>
        <v>0</v>
      </c>
      <c r="AP450" s="94"/>
      <c r="AQ450" s="622">
        <v>0</v>
      </c>
      <c r="AR450" s="512">
        <f t="shared" si="112"/>
        <v>0</v>
      </c>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tr">
        <f t="shared" si="125"/>
        <v>[...]</v>
      </c>
      <c r="B451" s="3"/>
      <c r="C451" s="38"/>
      <c r="D451" s="38"/>
      <c r="E451" s="38"/>
      <c r="F451" s="38"/>
      <c r="G451" s="38"/>
      <c r="H451" s="38"/>
      <c r="I451" s="38"/>
      <c r="J451" s="38"/>
      <c r="K451" s="38"/>
      <c r="L451" s="38"/>
      <c r="M451" s="38"/>
      <c r="N451" s="38"/>
      <c r="O451" s="38"/>
      <c r="P451" s="629"/>
      <c r="Q451" s="94"/>
      <c r="R451" s="38"/>
      <c r="S451" s="38"/>
      <c r="T451" s="38"/>
      <c r="U451" s="38"/>
      <c r="V451" s="312" t="s">
        <v>59</v>
      </c>
      <c r="W451" s="463"/>
      <c r="X451" s="456"/>
      <c r="Y451" s="464"/>
      <c r="Z451" s="457">
        <f t="shared" si="121"/>
        <v>0</v>
      </c>
      <c r="AA451" s="456"/>
      <c r="AB451" s="464"/>
      <c r="AC451" s="457"/>
      <c r="AD451" s="465"/>
      <c r="AE451" s="464"/>
      <c r="AF451" s="457">
        <f>+SUMIF($C:$C,$V451,L:L)</f>
        <v>0</v>
      </c>
      <c r="AG451" s="458"/>
      <c r="AH451" s="459">
        <f t="shared" si="114"/>
        <v>0</v>
      </c>
      <c r="AI451" s="460">
        <f t="shared" si="123"/>
        <v>0</v>
      </c>
      <c r="AJ451" s="465"/>
      <c r="AK451" s="456"/>
      <c r="AL451" s="457"/>
      <c r="AM451" s="461"/>
      <c r="AN451" s="459">
        <f t="shared" si="119"/>
        <v>0</v>
      </c>
      <c r="AO451" s="466">
        <f t="shared" si="120"/>
        <v>0</v>
      </c>
      <c r="AP451" s="94"/>
      <c r="AQ451" s="622">
        <v>0</v>
      </c>
      <c r="AR451" s="512">
        <f t="shared" si="112"/>
        <v>0</v>
      </c>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tr">
        <f t="shared" si="125"/>
        <v>TOTAL SEMI-FIXES</v>
      </c>
      <c r="B452" s="3"/>
      <c r="C452" s="38"/>
      <c r="D452" s="38"/>
      <c r="E452" s="38"/>
      <c r="F452" s="38"/>
      <c r="G452" s="38"/>
      <c r="H452" s="38"/>
      <c r="I452" s="38"/>
      <c r="J452" s="38"/>
      <c r="K452" s="38"/>
      <c r="L452" s="38"/>
      <c r="M452" s="38"/>
      <c r="N452" s="38"/>
      <c r="O452" s="38"/>
      <c r="P452" s="38"/>
      <c r="Q452" s="94"/>
      <c r="R452" s="38"/>
      <c r="S452" s="38"/>
      <c r="T452" s="38"/>
      <c r="U452" s="38"/>
      <c r="V452" s="471" t="s">
        <v>143</v>
      </c>
      <c r="W452" s="493"/>
      <c r="X452" s="473">
        <f>Z452/+Z407</f>
        <v>0.20627228100455566</v>
      </c>
      <c r="Y452" s="472"/>
      <c r="Z452" s="474">
        <f>+SUM(Z434:Z451)</f>
        <v>656693.24446478556</v>
      </c>
      <c r="AA452" s="473"/>
      <c r="AB452" s="472"/>
      <c r="AC452" s="474"/>
      <c r="AD452" s="475">
        <f>AF452/AF407</f>
        <v>0.23987991801339217</v>
      </c>
      <c r="AE452" s="472"/>
      <c r="AF452" s="474">
        <f>+SUM(AF434:AF451)</f>
        <v>742554.3</v>
      </c>
      <c r="AG452" s="481"/>
      <c r="AH452" s="1012">
        <f>+SUM(AH434:AH451)</f>
        <v>85861.055535214575</v>
      </c>
      <c r="AI452" s="473">
        <f>AH452/Z452</f>
        <v>0.13074758459742122</v>
      </c>
      <c r="AJ452" s="475">
        <f>IF($AL$407=0,0,AL452/$AL$407)</f>
        <v>0.19901502646447031</v>
      </c>
      <c r="AK452" s="473"/>
      <c r="AL452" s="474">
        <f>+SUM(AL434:AL451)</f>
        <v>598013.59</v>
      </c>
      <c r="AM452" s="482"/>
      <c r="AN452" s="477">
        <f>+SUM(AN434:AN451)</f>
        <v>144540.71000000008</v>
      </c>
      <c r="AO452" s="495">
        <f t="shared" si="120"/>
        <v>0.24170138006395489</v>
      </c>
      <c r="AP452" s="94"/>
      <c r="AQ452" s="624">
        <v>1279865.6600000001</v>
      </c>
      <c r="AR452" s="625">
        <f t="shared" si="112"/>
        <v>-537311.3600000001</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25"/>
        <v>Loyer</v>
      </c>
      <c r="B453" s="3"/>
      <c r="C453" s="38"/>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cm="1">
        <f t="array" ref="Z453">+SUMPRODUCT(('Budget original'!$A$8:$A$501=$A453)*('Budget original'!$C$3:$AO$3=Z$2),'Budget original'!$C$8:$AO$501)</f>
        <v>180000</v>
      </c>
      <c r="AA453" s="456"/>
      <c r="AB453" s="464"/>
      <c r="AC453" s="457"/>
      <c r="AD453" s="465"/>
      <c r="AE453" s="464"/>
      <c r="AF453" s="457">
        <f>SUMIFS(BV_Data_An_Cour!$P:$P,BV_Data_An_Cour!$V:$V,$V453)</f>
        <v>180000</v>
      </c>
      <c r="AG453" s="458"/>
      <c r="AH453" s="459">
        <f t="shared" ref="AH453:AH461" si="126">AF453-Z453</f>
        <v>0</v>
      </c>
      <c r="AI453" s="460">
        <f t="shared" ref="AI453:AI461" si="127">IF(Z453=0,0,AH453/Z453)</f>
        <v>0</v>
      </c>
      <c r="AJ453" s="465"/>
      <c r="AK453" s="456"/>
      <c r="AL453" s="457" cm="1">
        <f t="array" ref="AL453">+SUMPRODUCT(('Réel 2024'!$A$8:$A$501=$A453)*('Réel 2024'!$C$3:$AO$3=Z$2),'Réel 2024'!$C$8:$AO$501)</f>
        <v>180000</v>
      </c>
      <c r="AM453" s="461"/>
      <c r="AN453" s="459">
        <f t="shared" ref="AN453:AN461" si="128">AF453-AL453</f>
        <v>0</v>
      </c>
      <c r="AO453" s="466">
        <f t="shared" si="120"/>
        <v>0</v>
      </c>
      <c r="AP453" s="94"/>
      <c r="AQ453" s="622">
        <v>312000</v>
      </c>
      <c r="AR453" s="512">
        <f t="shared" si="112"/>
        <v>-132000</v>
      </c>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25"/>
        <v>Taxes foncières</v>
      </c>
      <c r="B454" s="3"/>
      <c r="C454" s="38"/>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cm="1">
        <f t="array" ref="Z454">+SUMPRODUCT(('Budget original'!$A$8:$A$501=$A454)*('Budget original'!$C$3:$AO$3=Z$2),'Budget original'!$C$8:$AO$501)</f>
        <v>27117.200000000004</v>
      </c>
      <c r="AA454" s="456"/>
      <c r="AB454" s="464"/>
      <c r="AC454" s="457"/>
      <c r="AD454" s="465"/>
      <c r="AE454" s="464"/>
      <c r="AF454" s="457">
        <f>SUMIFS(BV_Data_An_Cour!$P:$P,BV_Data_An_Cour!$V:$V,$V454)</f>
        <v>27114.999999999996</v>
      </c>
      <c r="AG454" s="458"/>
      <c r="AH454" s="459">
        <f t="shared" si="126"/>
        <v>-2.2000000000080036</v>
      </c>
      <c r="AI454" s="460">
        <f t="shared" si="127"/>
        <v>-8.1129320136592395E-5</v>
      </c>
      <c r="AJ454" s="465"/>
      <c r="AK454" s="456"/>
      <c r="AL454" s="457" cm="1">
        <f t="array" ref="AL454">+SUMPRODUCT(('Réel 2024'!$A$8:$A$501=$A454)*('Réel 2024'!$C$3:$AO$3=Z$2),'Réel 2024'!$C$8:$AO$501)</f>
        <v>25885</v>
      </c>
      <c r="AM454" s="461"/>
      <c r="AN454" s="459">
        <f t="shared" si="128"/>
        <v>1229.9999999999964</v>
      </c>
      <c r="AO454" s="466">
        <f t="shared" si="120"/>
        <v>4.7517867490824664E-2</v>
      </c>
      <c r="AP454" s="94"/>
      <c r="AQ454" s="622">
        <v>59160</v>
      </c>
      <c r="AR454" s="512">
        <f t="shared" si="112"/>
        <v>-32045.000000000004</v>
      </c>
      <c r="AS454" s="38" t="s">
        <v>699</v>
      </c>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25"/>
        <v>Taxes d`affaires</v>
      </c>
      <c r="B455" s="3"/>
      <c r="C455" s="38"/>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cm="1">
        <f t="array" ref="Z455">+SUMPRODUCT(('Budget original'!$A$8:$A$501=$A455)*('Budget original'!$C$3:$AO$3=Z$2),'Budget original'!$C$8:$AO$501)</f>
        <v>18044.400000000001</v>
      </c>
      <c r="AA455" s="440"/>
      <c r="AB455" s="468"/>
      <c r="AC455" s="441"/>
      <c r="AD455" s="469"/>
      <c r="AE455" s="468"/>
      <c r="AF455" s="441">
        <f>SUMIFS(BV_Data_An_Cour!$P:$P,BV_Data_An_Cour!$V:$V,$V455)</f>
        <v>20645</v>
      </c>
      <c r="AG455" s="442"/>
      <c r="AH455" s="443">
        <f t="shared" si="126"/>
        <v>2600.5999999999985</v>
      </c>
      <c r="AI455" s="470">
        <f t="shared" si="127"/>
        <v>0.14412227616324169</v>
      </c>
      <c r="AJ455" s="469"/>
      <c r="AK455" s="440"/>
      <c r="AL455" s="441" cm="1">
        <f t="array" ref="AL455">+SUMPRODUCT(('Réel 2024'!$A$8:$A$501=$A455)*('Réel 2024'!$C$3:$AO$3=Z$2),'Réel 2024'!$C$8:$AO$501)</f>
        <v>17225</v>
      </c>
      <c r="AM455" s="445"/>
      <c r="AN455" s="443">
        <f t="shared" si="128"/>
        <v>3420</v>
      </c>
      <c r="AO455" s="446">
        <f t="shared" si="120"/>
        <v>0.19854862119013061</v>
      </c>
      <c r="AP455" s="94"/>
      <c r="AQ455" s="623">
        <v>39360</v>
      </c>
      <c r="AR455" s="620">
        <f t="shared" si="112"/>
        <v>-18715</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25"/>
        <v>Taxe sur le capital</v>
      </c>
      <c r="B456" s="3"/>
      <c r="C456" s="38"/>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cm="1">
        <f t="array" ref="Z456">+SUMPRODUCT(('Budget original'!$A$8:$A$501=$A456)*('Budget original'!$C$3:$AO$3=Z$2),'Budget original'!$C$8:$AO$501)</f>
        <v>0</v>
      </c>
      <c r="AA456" s="456"/>
      <c r="AB456" s="464"/>
      <c r="AC456" s="457"/>
      <c r="AD456" s="465"/>
      <c r="AE456" s="464"/>
      <c r="AF456" s="457">
        <f>SUMIFS(BV_Data_An_Cour!$P:$P,BV_Data_An_Cour!$V:$V,$V456)</f>
        <v>0</v>
      </c>
      <c r="AG456" s="458"/>
      <c r="AH456" s="459">
        <f t="shared" si="126"/>
        <v>0</v>
      </c>
      <c r="AI456" s="460">
        <f t="shared" si="127"/>
        <v>0</v>
      </c>
      <c r="AJ456" s="465"/>
      <c r="AK456" s="456"/>
      <c r="AL456" s="457" cm="1">
        <f t="array" ref="AL456">+SUMPRODUCT(('Réel 2024'!$A$8:$A$501=$A456)*('Réel 2024'!$C$3:$AO$3=Z$2),'Réel 2024'!$C$8:$AO$501)</f>
        <v>0</v>
      </c>
      <c r="AM456" s="461"/>
      <c r="AN456" s="459">
        <f t="shared" si="128"/>
        <v>0</v>
      </c>
      <c r="AO456" s="466">
        <f t="shared" si="120"/>
        <v>0</v>
      </c>
      <c r="AP456" s="94"/>
      <c r="AQ456" s="622">
        <v>0</v>
      </c>
      <c r="AR456" s="512">
        <f t="shared" si="112"/>
        <v>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25"/>
        <v>Assurances</v>
      </c>
      <c r="B457" s="3"/>
      <c r="C457" s="38"/>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cm="1">
        <f t="array" ref="Z457">+SUMPRODUCT(('Budget original'!$A$8:$A$501=$A457)*('Budget original'!$C$3:$AO$3=Z$2),'Budget original'!$C$8:$AO$501)</f>
        <v>21721.25</v>
      </c>
      <c r="AA457" s="440"/>
      <c r="AB457" s="468"/>
      <c r="AC457" s="441"/>
      <c r="AD457" s="469"/>
      <c r="AE457" s="468"/>
      <c r="AF457" s="441">
        <f>SUMIF(BV_Data_An_Cour!$V:$V,Print_AAD!$V457,BV_Data_An_Cour!$P:$P)</f>
        <v>21721.25</v>
      </c>
      <c r="AG457" s="442"/>
      <c r="AH457" s="443">
        <f t="shared" si="126"/>
        <v>0</v>
      </c>
      <c r="AI457" s="470">
        <f t="shared" si="127"/>
        <v>0</v>
      </c>
      <c r="AJ457" s="469"/>
      <c r="AK457" s="440"/>
      <c r="AL457" s="441" cm="1">
        <f t="array" ref="AL457">+SUMPRODUCT(('Réel 2024'!$A$8:$A$501=$A457)*('Réel 2024'!$C$3:$AO$3=Z$2),'Réel 2024'!$C$8:$AO$501)</f>
        <v>19465.400000000001</v>
      </c>
      <c r="AM457" s="445"/>
      <c r="AN457" s="443">
        <f t="shared" si="128"/>
        <v>2255.8499999999985</v>
      </c>
      <c r="AO457" s="446">
        <f t="shared" si="120"/>
        <v>0.11589024628314848</v>
      </c>
      <c r="AP457" s="94"/>
      <c r="AQ457" s="623">
        <v>51252</v>
      </c>
      <c r="AR457" s="620">
        <f t="shared" si="112"/>
        <v>-29530.75</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25"/>
        <v>Chauffage, éclairage</v>
      </c>
      <c r="B458" s="3"/>
      <c r="C458" s="38"/>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cm="1">
        <f t="array" ref="Z458">+SUMPRODUCT(('Budget original'!$A$8:$A$501=$A458)*('Budget original'!$C$3:$AO$3=Z$2),'Budget original'!$C$8:$AO$501)</f>
        <v>18500</v>
      </c>
      <c r="AA458" s="496"/>
      <c r="AB458" s="497"/>
      <c r="AC458" s="457"/>
      <c r="AD458" s="465"/>
      <c r="AE458" s="464"/>
      <c r="AF458" s="457">
        <f>SUMIFS(BV_Data_An_Cour!$P:$P,BV_Data_An_Cour!$V:$V,$V458)</f>
        <v>38252.090000000004</v>
      </c>
      <c r="AG458" s="458"/>
      <c r="AH458" s="459">
        <f t="shared" si="126"/>
        <v>19752.090000000004</v>
      </c>
      <c r="AI458" s="460">
        <f t="shared" si="127"/>
        <v>1.0676805405405407</v>
      </c>
      <c r="AJ458" s="465"/>
      <c r="AK458" s="456"/>
      <c r="AL458" s="457" cm="1">
        <f t="array" ref="AL458">+SUMPRODUCT(('Réel 2024'!$A$8:$A$501=$A458)*('Réel 2024'!$C$3:$AO$3=Z$2),'Réel 2024'!$C$8:$AO$501)</f>
        <v>23736.589999999989</v>
      </c>
      <c r="AM458" s="461"/>
      <c r="AN458" s="459">
        <f t="shared" si="128"/>
        <v>14515.500000000015</v>
      </c>
      <c r="AO458" s="466">
        <f t="shared" si="120"/>
        <v>0.61152423326181315</v>
      </c>
      <c r="AP458" s="94"/>
      <c r="AQ458" s="622">
        <v>28763.690000000002</v>
      </c>
      <c r="AR458" s="512">
        <f t="shared" si="112"/>
        <v>9488.4000000000015</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25"/>
        <v>Honoraires</v>
      </c>
      <c r="B459" s="3"/>
      <c r="C459" s="38"/>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cm="1">
        <f t="array" ref="Z459">+SUMPRODUCT(('Budget original'!$A$8:$A$501=$A459)*('Budget original'!$C$3:$AO$3=Z$2),'Budget original'!$C$8:$AO$501)</f>
        <v>33920.25</v>
      </c>
      <c r="AA459" s="456"/>
      <c r="AB459" s="464"/>
      <c r="AC459" s="457"/>
      <c r="AD459" s="465"/>
      <c r="AE459" s="464"/>
      <c r="AF459" s="457">
        <f>SUMIFS(BV_Data_An_Cour!$P:$P,BV_Data_An_Cour!$V:$V,$V459)</f>
        <v>34125.85</v>
      </c>
      <c r="AG459" s="458"/>
      <c r="AH459" s="459">
        <f t="shared" si="126"/>
        <v>205.59999999999854</v>
      </c>
      <c r="AI459" s="460">
        <f t="shared" si="127"/>
        <v>6.0612760813967626E-3</v>
      </c>
      <c r="AJ459" s="465"/>
      <c r="AK459" s="456"/>
      <c r="AL459" s="457" cm="1">
        <f t="array" ref="AL459">+SUMPRODUCT(('Réel 2024'!$A$8:$A$501=$A459)*('Réel 2024'!$C$3:$AO$3=Z$2),'Réel 2024'!$C$8:$AO$501)</f>
        <v>33316.649999999951</v>
      </c>
      <c r="AM459" s="461"/>
      <c r="AN459" s="459">
        <f t="shared" si="128"/>
        <v>809.20000000004802</v>
      </c>
      <c r="AO459" s="466">
        <f t="shared" si="120"/>
        <v>2.4288156222190684E-2</v>
      </c>
      <c r="AP459" s="94"/>
      <c r="AQ459" s="622">
        <v>73723.959999999992</v>
      </c>
      <c r="AR459" s="512">
        <f t="shared" si="112"/>
        <v>-39598.109999999993</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25"/>
        <v>Réparation équipement</v>
      </c>
      <c r="B460" s="3"/>
      <c r="C460" s="38"/>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cm="1">
        <f t="array" ref="Z460">+SUMPRODUCT(('Budget original'!$A$8:$A$501=$A460)*('Budget original'!$C$3:$AO$3=Z$2),'Budget original'!$C$8:$AO$501)</f>
        <v>6822.8117038226846</v>
      </c>
      <c r="AA460" s="440"/>
      <c r="AB460" s="468"/>
      <c r="AC460" s="441"/>
      <c r="AD460" s="469"/>
      <c r="AE460" s="468"/>
      <c r="AF460" s="441">
        <f>SUMIFS(BV_Data_An_Cour!$P:$P,BV_Data_An_Cour!$V:$V,$V460)</f>
        <v>3889.05</v>
      </c>
      <c r="AG460" s="442"/>
      <c r="AH460" s="443">
        <f t="shared" si="126"/>
        <v>-2933.7617038226845</v>
      </c>
      <c r="AI460" s="470">
        <f t="shared" si="127"/>
        <v>-0.42999306315004365</v>
      </c>
      <c r="AJ460" s="469"/>
      <c r="AK460" s="440"/>
      <c r="AL460" s="441" cm="1">
        <f t="array" ref="AL460">+SUMPRODUCT(('Réel 2024'!$A$8:$A$501=$A460)*('Réel 2024'!$C$3:$AO$3=Z$2),'Réel 2024'!$C$8:$AO$501)</f>
        <v>2058.1</v>
      </c>
      <c r="AM460" s="445"/>
      <c r="AN460" s="443">
        <f t="shared" si="128"/>
        <v>1830.9500000000003</v>
      </c>
      <c r="AO460" s="446">
        <f t="shared" si="120"/>
        <v>0.8896312132549441</v>
      </c>
      <c r="AP460" s="94"/>
      <c r="AQ460" s="623">
        <v>18683.22</v>
      </c>
      <c r="AR460" s="620">
        <f t="shared" si="112"/>
        <v>-14794.170000000002</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25"/>
        <v>Location équipement</v>
      </c>
      <c r="B461" s="3"/>
      <c r="C461" s="38"/>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cm="1">
        <f t="array" ref="Z461">+SUMPRODUCT(('Budget original'!$A$8:$A$501=$A461)*('Budget original'!$C$3:$AO$3=Z$2),'Budget original'!$C$8:$AO$501)</f>
        <v>5000</v>
      </c>
      <c r="AA461" s="456"/>
      <c r="AB461" s="464"/>
      <c r="AC461" s="457"/>
      <c r="AD461" s="465"/>
      <c r="AE461" s="464"/>
      <c r="AF461" s="457">
        <f>SUMIFS(BV_Data_An_Cour!$P:$P,BV_Data_An_Cour!$V:$V,$V461)</f>
        <v>4946.53</v>
      </c>
      <c r="AG461" s="458"/>
      <c r="AH461" s="459">
        <f t="shared" si="126"/>
        <v>-53.470000000000255</v>
      </c>
      <c r="AI461" s="498">
        <f t="shared" si="127"/>
        <v>-1.0694000000000051E-2</v>
      </c>
      <c r="AJ461" s="456"/>
      <c r="AK461" s="456"/>
      <c r="AL461" s="457" cm="1">
        <f t="array" ref="AL461">+SUMPRODUCT(('Réel 2024'!$A$8:$A$501=$A461)*('Réel 2024'!$C$3:$AO$3=Z$2),'Réel 2024'!$C$8:$AO$501)</f>
        <v>4345.3500000000004</v>
      </c>
      <c r="AM461" s="461"/>
      <c r="AN461" s="459">
        <f t="shared" si="128"/>
        <v>601.17999999999938</v>
      </c>
      <c r="AO461" s="466">
        <f t="shared" si="120"/>
        <v>0.1383501904334517</v>
      </c>
      <c r="AP461" s="94"/>
      <c r="AQ461" s="622">
        <v>0</v>
      </c>
      <c r="AR461" s="512">
        <f t="shared" si="112"/>
        <v>4946.53</v>
      </c>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tr">
        <f t="shared" si="125"/>
        <v>Dons</v>
      </c>
      <c r="B462" s="3"/>
      <c r="C462" s="38"/>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cm="1">
        <f t="array" ref="Z462">+SUMPRODUCT(('Budget original'!$A$8:$A$501=$A462)*('Budget original'!$C$3:$AO$3=Z$2),'Budget original'!$C$8:$AO$501)</f>
        <v>0</v>
      </c>
      <c r="AA462" s="456"/>
      <c r="AB462" s="464"/>
      <c r="AC462" s="457"/>
      <c r="AD462" s="465"/>
      <c r="AE462" s="464"/>
      <c r="AF462" s="457">
        <f>SUMIFS(BV_Data_An_Cour!$P:$P,BV_Data_An_Cour!$V:$V,$V462)</f>
        <v>0</v>
      </c>
      <c r="AG462" s="458"/>
      <c r="AH462" s="459">
        <v>0</v>
      </c>
      <c r="AI462" s="479">
        <v>0</v>
      </c>
      <c r="AJ462" s="456"/>
      <c r="AK462" s="456"/>
      <c r="AL462" s="457" cm="1">
        <f t="array" ref="AL462">+SUMPRODUCT(('Réel 2024'!$A$8:$A$501=$A462)*('Réel 2024'!$C$3:$AO$3=Z$2),'Réel 2024'!$C$8:$AO$501)</f>
        <v>0</v>
      </c>
      <c r="AM462" s="461"/>
      <c r="AN462" s="459">
        <v>0</v>
      </c>
      <c r="AO462" s="466">
        <v>0</v>
      </c>
      <c r="AP462" s="94"/>
      <c r="AQ462" s="622">
        <v>0</v>
      </c>
      <c r="AR462" s="512">
        <f t="shared" si="112"/>
        <v>0</v>
      </c>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tr">
        <f t="shared" si="125"/>
        <v>[...]</v>
      </c>
      <c r="B463" s="3"/>
      <c r="C463" s="38"/>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v>0</v>
      </c>
      <c r="AA463" s="456"/>
      <c r="AB463" s="464"/>
      <c r="AC463" s="457"/>
      <c r="AD463" s="465"/>
      <c r="AE463" s="464"/>
      <c r="AF463" s="457">
        <v>0</v>
      </c>
      <c r="AG463" s="458"/>
      <c r="AH463" s="459">
        <f>AF463-Z463</f>
        <v>0</v>
      </c>
      <c r="AI463" s="479">
        <f>IF(Z463=0,0,AH463/Z463)</f>
        <v>0</v>
      </c>
      <c r="AJ463" s="456"/>
      <c r="AK463" s="456"/>
      <c r="AL463" s="457">
        <v>0</v>
      </c>
      <c r="AM463" s="461"/>
      <c r="AN463" s="459">
        <v>0</v>
      </c>
      <c r="AO463" s="466">
        <v>1</v>
      </c>
      <c r="AP463" s="94"/>
      <c r="AQ463" s="622">
        <v>0</v>
      </c>
      <c r="AR463" s="512">
        <f t="shared" si="112"/>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25"/>
        <v>[...]</v>
      </c>
      <c r="B464" s="3"/>
      <c r="C464" s="38"/>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v>0</v>
      </c>
      <c r="AA464" s="456"/>
      <c r="AB464" s="464"/>
      <c r="AC464" s="457"/>
      <c r="AD464" s="465"/>
      <c r="AE464" s="464"/>
      <c r="AF464" s="457">
        <v>0</v>
      </c>
      <c r="AG464" s="458"/>
      <c r="AH464" s="459">
        <f>AF464-Z464</f>
        <v>0</v>
      </c>
      <c r="AI464" s="479">
        <f>IF(Z464=0,0,AH464/Z464)</f>
        <v>0</v>
      </c>
      <c r="AJ464" s="456"/>
      <c r="AK464" s="456"/>
      <c r="AL464" s="457">
        <v>0</v>
      </c>
      <c r="AM464" s="461"/>
      <c r="AN464" s="459">
        <v>0</v>
      </c>
      <c r="AO464" s="466">
        <v>2</v>
      </c>
      <c r="AP464" s="94"/>
      <c r="AQ464" s="622">
        <v>0</v>
      </c>
      <c r="AR464" s="512">
        <f t="shared" si="112"/>
        <v>0</v>
      </c>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tr">
        <f t="shared" si="125"/>
        <v>[...]</v>
      </c>
      <c r="B465" s="3"/>
      <c r="C465" s="38"/>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v>0</v>
      </c>
      <c r="AA465" s="456"/>
      <c r="AB465" s="464"/>
      <c r="AC465" s="457"/>
      <c r="AD465" s="465"/>
      <c r="AE465" s="464"/>
      <c r="AF465" s="457">
        <v>0</v>
      </c>
      <c r="AG465" s="458"/>
      <c r="AH465" s="459">
        <f>AF465-Z465</f>
        <v>0</v>
      </c>
      <c r="AI465" s="479">
        <f>IF(Z465=0,0,AH465/Z465)</f>
        <v>0</v>
      </c>
      <c r="AJ465" s="456"/>
      <c r="AK465" s="456"/>
      <c r="AL465" s="457">
        <v>0</v>
      </c>
      <c r="AM465" s="461"/>
      <c r="AN465" s="459">
        <v>0</v>
      </c>
      <c r="AO465" s="466">
        <v>3</v>
      </c>
      <c r="AP465" s="94"/>
      <c r="AQ465" s="622">
        <v>0</v>
      </c>
      <c r="AR465" s="512">
        <f t="shared" si="112"/>
        <v>0</v>
      </c>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tr">
        <f t="shared" si="125"/>
        <v>TOTAL DÉPENSES FIXES</v>
      </c>
      <c r="B466" s="3"/>
      <c r="C466" s="38"/>
      <c r="D466" s="38"/>
      <c r="E466" s="38"/>
      <c r="F466" s="38"/>
      <c r="G466" s="38"/>
      <c r="H466" s="38"/>
      <c r="I466" s="38"/>
      <c r="J466" s="38"/>
      <c r="K466" s="38"/>
      <c r="L466" s="38"/>
      <c r="M466" s="38"/>
      <c r="N466" s="38"/>
      <c r="O466" s="38"/>
      <c r="P466" s="38"/>
      <c r="Q466" s="38"/>
      <c r="R466" s="38"/>
      <c r="S466" s="38"/>
      <c r="T466" s="38"/>
      <c r="U466" s="38"/>
      <c r="V466" s="471" t="s">
        <v>215</v>
      </c>
      <c r="W466" s="472"/>
      <c r="X466" s="473">
        <f>Z466/+Z407</f>
        <v>9.7726985967511171E-2</v>
      </c>
      <c r="Y466" s="472"/>
      <c r="Z466" s="474">
        <f>SUM(Z453:Z465)</f>
        <v>311125.91170382267</v>
      </c>
      <c r="AA466" s="473"/>
      <c r="AB466" s="472"/>
      <c r="AC466" s="474"/>
      <c r="AD466" s="475">
        <f>AF466/AF407</f>
        <v>0.10682994403918687</v>
      </c>
      <c r="AE466" s="472"/>
      <c r="AF466" s="474">
        <f>SUM(AF453:AF465)</f>
        <v>330694.77</v>
      </c>
      <c r="AG466" s="481"/>
      <c r="AH466" s="1012">
        <f>SUM(AH453:AH465)</f>
        <v>19568.858296177306</v>
      </c>
      <c r="AI466" s="473">
        <f>IF(Z466=0,0,AH466/Z466)</f>
        <v>6.2896909450621222E-2</v>
      </c>
      <c r="AJ466" s="475">
        <f>IF($AL$407=0,0,AL466/$AL$407)</f>
        <v>0.10184548563574808</v>
      </c>
      <c r="AK466" s="473"/>
      <c r="AL466" s="474">
        <f>SUM(AL453:AL465)</f>
        <v>306032.08999999991</v>
      </c>
      <c r="AM466" s="482"/>
      <c r="AN466" s="477">
        <f>SUM(AN453:AN465)</f>
        <v>24662.680000000058</v>
      </c>
      <c r="AO466" s="495">
        <f t="shared" ref="AO466:AO483" si="129">IF(AL466=0,0,AN466/AL466)</f>
        <v>8.05885422015713E-2</v>
      </c>
      <c r="AP466" s="94"/>
      <c r="AQ466" s="624">
        <v>582942.87</v>
      </c>
      <c r="AR466" s="625">
        <f t="shared" si="112"/>
        <v>-252248.09999999998</v>
      </c>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25"/>
        <v/>
      </c>
      <c r="B467" s="3"/>
      <c r="C467" s="38"/>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30">AF467-Z467</f>
        <v>0</v>
      </c>
      <c r="AI467" s="460"/>
      <c r="AJ467" s="465"/>
      <c r="AK467" s="456"/>
      <c r="AL467" s="499"/>
      <c r="AM467" s="500"/>
      <c r="AN467" s="459">
        <f t="shared" ref="AN467:AN483" si="131">AF467-AL467</f>
        <v>0</v>
      </c>
      <c r="AO467" s="501">
        <f t="shared" si="129"/>
        <v>0</v>
      </c>
      <c r="AP467" s="94"/>
      <c r="AQ467" s="630"/>
      <c r="AR467" s="631"/>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25"/>
        <v>TOTAL DES DÉPENSES</v>
      </c>
      <c r="B468" s="3"/>
      <c r="C468" s="38"/>
      <c r="D468" s="38"/>
      <c r="E468" s="38"/>
      <c r="F468" s="38"/>
      <c r="G468" s="38"/>
      <c r="H468" s="38"/>
      <c r="I468" s="38"/>
      <c r="J468" s="38"/>
      <c r="K468" s="38"/>
      <c r="L468" s="38"/>
      <c r="M468" s="38"/>
      <c r="N468" s="38"/>
      <c r="O468" s="38"/>
      <c r="P468" s="38"/>
      <c r="Q468" s="38"/>
      <c r="R468" s="38"/>
      <c r="S468" s="38"/>
      <c r="T468" s="38"/>
      <c r="U468" s="38"/>
      <c r="V468" s="471" t="s">
        <v>144</v>
      </c>
      <c r="W468" s="472"/>
      <c r="X468" s="473">
        <f>Z468/+Z407</f>
        <v>1.0919965829778657</v>
      </c>
      <c r="Y468" s="472"/>
      <c r="Z468" s="474">
        <f>Z419+Z433+Z452+Z466</f>
        <v>3476505.7889884696</v>
      </c>
      <c r="AA468" s="473"/>
      <c r="AB468" s="472"/>
      <c r="AC468" s="474"/>
      <c r="AD468" s="475">
        <f>AF468/AF407</f>
        <v>1.0336933242798774</v>
      </c>
      <c r="AE468" s="472"/>
      <c r="AF468" s="474">
        <f>AF419+AF433+AF452+AF466</f>
        <v>3199823.6</v>
      </c>
      <c r="AG468" s="481"/>
      <c r="AH468" s="477">
        <f t="shared" si="130"/>
        <v>-276682.18898846954</v>
      </c>
      <c r="AI468" s="473">
        <f>AH468/Z468</f>
        <v>-7.9586287434019631E-2</v>
      </c>
      <c r="AJ468" s="475">
        <f>IF($AL$407=0,0,AL468/$AL$407)</f>
        <v>1.0827245031835904</v>
      </c>
      <c r="AK468" s="473"/>
      <c r="AL468" s="474">
        <f>AL419+AL433+AL452+AL466</f>
        <v>3253442.61</v>
      </c>
      <c r="AM468" s="482"/>
      <c r="AN468" s="477">
        <f t="shared" si="131"/>
        <v>-53619.009999999776</v>
      </c>
      <c r="AO468" s="454">
        <f t="shared" si="129"/>
        <v>-1.6480699501258383E-2</v>
      </c>
      <c r="AP468" s="94"/>
      <c r="AQ468" s="624">
        <v>6902902.9400000004</v>
      </c>
      <c r="AR468" s="625">
        <f t="shared" ref="AR468:AR481" si="132">AF468-AQ468</f>
        <v>-3703079.3400000003</v>
      </c>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25"/>
        <v>Revenus autres</v>
      </c>
      <c r="B469" s="3"/>
      <c r="C469" s="38"/>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cm="1">
        <f t="array" ref="Z469">+SUMPRODUCT(('Budget original'!$A$8:$A$501=$A469)*('Budget original'!$C$3:$AO$3=Z$2),'Budget original'!$C$8:$AO$501)</f>
        <v>30000</v>
      </c>
      <c r="AA469" s="502"/>
      <c r="AB469" s="503"/>
      <c r="AC469" s="485"/>
      <c r="AD469" s="504"/>
      <c r="AE469" s="503"/>
      <c r="AF469" s="457">
        <f>-SUMIFS(BV_Data_An_Cour!$P:$P,BV_Data_An_Cour!$V:$V,$V469)</f>
        <v>75494.509999999995</v>
      </c>
      <c r="AG469" s="505"/>
      <c r="AH469" s="459">
        <f t="shared" si="130"/>
        <v>45494.509999999995</v>
      </c>
      <c r="AI469" s="498">
        <f>IF(AH469=0,0,AH469/Z469)</f>
        <v>1.5164836666666666</v>
      </c>
      <c r="AJ469" s="504"/>
      <c r="AK469" s="502"/>
      <c r="AL469" s="506" cm="1">
        <f t="array" ref="AL469">+SUMPRODUCT(('Réel 2024'!$A$8:$A$501=$A469)*('Réel 2024'!$C$3:$AO$3=Z$2),'Réel 2024'!$C$8:$AO$501)</f>
        <v>71973.41</v>
      </c>
      <c r="AM469" s="507"/>
      <c r="AN469" s="459">
        <f t="shared" si="131"/>
        <v>3521.0999999999913</v>
      </c>
      <c r="AO469" s="466">
        <f t="shared" si="129"/>
        <v>4.8922233919443184E-2</v>
      </c>
      <c r="AP469" s="94"/>
      <c r="AQ469" s="622">
        <v>275258.11</v>
      </c>
      <c r="AR469" s="512">
        <f t="shared" si="132"/>
        <v>-199763.59999999998</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25"/>
        <v>Holdbacks</v>
      </c>
      <c r="B470" s="3"/>
      <c r="C470" s="38"/>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33">+SUMIF($C:$C,$V470,F:F)</f>
        <v>407096.13974815456</v>
      </c>
      <c r="AA470" s="496"/>
      <c r="AB470" s="497"/>
      <c r="AC470" s="457"/>
      <c r="AD470" s="511"/>
      <c r="AE470" s="497"/>
      <c r="AF470" s="457">
        <f t="shared" ref="AF470:AF480" si="134">+SUMIF($C:$C,$V470,L:L)</f>
        <v>347078</v>
      </c>
      <c r="AG470" s="510"/>
      <c r="AH470" s="459">
        <f t="shared" si="130"/>
        <v>-60018.139748154557</v>
      </c>
      <c r="AI470" s="479">
        <f>IF(Z470=0,0,AH470/Z470)</f>
        <v>-0.14742989158601236</v>
      </c>
      <c r="AJ470" s="511"/>
      <c r="AK470" s="496"/>
      <c r="AL470" s="512">
        <f t="shared" ref="AL470:AL476" si="135">+SUMIF($C:$C,$V470,Q:Q)</f>
        <v>432083.4</v>
      </c>
      <c r="AM470" s="508"/>
      <c r="AN470" s="459">
        <f t="shared" si="131"/>
        <v>-85005.400000000023</v>
      </c>
      <c r="AO470" s="466">
        <f t="shared" si="129"/>
        <v>-0.19673377871031383</v>
      </c>
      <c r="AP470" s="94"/>
      <c r="AQ470" s="622">
        <v>693962.92</v>
      </c>
      <c r="AR470" s="512">
        <f t="shared" si="132"/>
        <v>-346884.92000000004</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25"/>
        <v>Programme neuf 1</v>
      </c>
      <c r="B471" s="3"/>
      <c r="C471" s="38"/>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33"/>
        <v>25000</v>
      </c>
      <c r="AA471" s="496"/>
      <c r="AB471" s="497"/>
      <c r="AC471" s="457"/>
      <c r="AD471" s="511"/>
      <c r="AE471" s="497"/>
      <c r="AF471" s="457">
        <f t="shared" si="134"/>
        <v>0</v>
      </c>
      <c r="AG471" s="510"/>
      <c r="AH471" s="459">
        <f t="shared" si="130"/>
        <v>-25000</v>
      </c>
      <c r="AI471" s="479">
        <f t="shared" ref="AI471:AI480" si="136">IF(AH471=0,0,AH471/Z471)</f>
        <v>-1</v>
      </c>
      <c r="AJ471" s="511"/>
      <c r="AK471" s="496"/>
      <c r="AL471" s="512">
        <f t="shared" si="135"/>
        <v>695</v>
      </c>
      <c r="AM471" s="508"/>
      <c r="AN471" s="459">
        <f t="shared" si="131"/>
        <v>-695</v>
      </c>
      <c r="AO471" s="466">
        <f t="shared" si="129"/>
        <v>-1</v>
      </c>
      <c r="AP471" s="94"/>
      <c r="AQ471" s="622">
        <v>43300</v>
      </c>
      <c r="AR471" s="512">
        <f t="shared" si="132"/>
        <v>-43300</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25"/>
        <v>Programme neuf 2</v>
      </c>
      <c r="B472" s="3"/>
      <c r="C472" s="38"/>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33"/>
        <v>0</v>
      </c>
      <c r="AA472" s="496"/>
      <c r="AB472" s="497"/>
      <c r="AC472" s="457"/>
      <c r="AD472" s="511"/>
      <c r="AE472" s="497"/>
      <c r="AF472" s="457">
        <f t="shared" si="134"/>
        <v>0</v>
      </c>
      <c r="AG472" s="510"/>
      <c r="AH472" s="459">
        <f t="shared" si="130"/>
        <v>0</v>
      </c>
      <c r="AI472" s="479">
        <f t="shared" si="136"/>
        <v>0</v>
      </c>
      <c r="AJ472" s="511"/>
      <c r="AK472" s="496"/>
      <c r="AL472" s="512">
        <f t="shared" si="135"/>
        <v>0</v>
      </c>
      <c r="AM472" s="508"/>
      <c r="AN472" s="459">
        <f t="shared" si="131"/>
        <v>0</v>
      </c>
      <c r="AO472" s="466">
        <f t="shared" si="129"/>
        <v>0</v>
      </c>
      <c r="AP472" s="94"/>
      <c r="AQ472" s="622">
        <v>0</v>
      </c>
      <c r="AR472" s="512">
        <f t="shared" si="132"/>
        <v>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25"/>
        <v>Programme neuf 3</v>
      </c>
      <c r="B473" s="3"/>
      <c r="C473" s="38"/>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33"/>
        <v>0</v>
      </c>
      <c r="AA473" s="496"/>
      <c r="AB473" s="497"/>
      <c r="AC473" s="457"/>
      <c r="AD473" s="511"/>
      <c r="AE473" s="497"/>
      <c r="AF473" s="457">
        <f t="shared" si="134"/>
        <v>0</v>
      </c>
      <c r="AG473" s="510"/>
      <c r="AH473" s="459">
        <f t="shared" si="130"/>
        <v>0</v>
      </c>
      <c r="AI473" s="479">
        <f t="shared" si="136"/>
        <v>0</v>
      </c>
      <c r="AJ473" s="511"/>
      <c r="AK473" s="496"/>
      <c r="AL473" s="512">
        <f t="shared" si="135"/>
        <v>0</v>
      </c>
      <c r="AM473" s="508"/>
      <c r="AN473" s="459">
        <f t="shared" si="131"/>
        <v>0</v>
      </c>
      <c r="AO473" s="466">
        <f t="shared" si="129"/>
        <v>0</v>
      </c>
      <c r="AP473" s="94"/>
      <c r="AQ473" s="622">
        <v>0</v>
      </c>
      <c r="AR473" s="512">
        <f t="shared" si="132"/>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25"/>
        <v>Programme used 1</v>
      </c>
      <c r="B474" s="3"/>
      <c r="C474" s="38"/>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33"/>
        <v>0</v>
      </c>
      <c r="AA474" s="496"/>
      <c r="AB474" s="497"/>
      <c r="AC474" s="457"/>
      <c r="AD474" s="511"/>
      <c r="AE474" s="497"/>
      <c r="AF474" s="457">
        <f t="shared" si="134"/>
        <v>0</v>
      </c>
      <c r="AG474" s="510"/>
      <c r="AH474" s="459">
        <f t="shared" si="130"/>
        <v>0</v>
      </c>
      <c r="AI474" s="479">
        <f t="shared" si="136"/>
        <v>0</v>
      </c>
      <c r="AJ474" s="511"/>
      <c r="AK474" s="496"/>
      <c r="AL474" s="512">
        <f t="shared" si="135"/>
        <v>0</v>
      </c>
      <c r="AM474" s="508"/>
      <c r="AN474" s="459">
        <f t="shared" si="131"/>
        <v>0</v>
      </c>
      <c r="AO474" s="466">
        <f t="shared" si="129"/>
        <v>0</v>
      </c>
      <c r="AP474" s="94"/>
      <c r="AQ474" s="622">
        <v>0</v>
      </c>
      <c r="AR474" s="512">
        <f t="shared" si="132"/>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25"/>
        <v>Programme used 2</v>
      </c>
      <c r="B475" s="3"/>
      <c r="C475" s="38"/>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33"/>
        <v>0</v>
      </c>
      <c r="AA475" s="496"/>
      <c r="AB475" s="497"/>
      <c r="AC475" s="457"/>
      <c r="AD475" s="511"/>
      <c r="AE475" s="497"/>
      <c r="AF475" s="457">
        <f t="shared" si="134"/>
        <v>0</v>
      </c>
      <c r="AG475" s="510"/>
      <c r="AH475" s="459">
        <f t="shared" si="130"/>
        <v>0</v>
      </c>
      <c r="AI475" s="479">
        <f t="shared" si="136"/>
        <v>0</v>
      </c>
      <c r="AJ475" s="511"/>
      <c r="AK475" s="496"/>
      <c r="AL475" s="512">
        <f t="shared" si="135"/>
        <v>0</v>
      </c>
      <c r="AM475" s="508"/>
      <c r="AN475" s="459">
        <f t="shared" si="131"/>
        <v>0</v>
      </c>
      <c r="AO475" s="466">
        <f t="shared" si="129"/>
        <v>0</v>
      </c>
      <c r="AP475" s="94"/>
      <c r="AQ475" s="622">
        <v>0</v>
      </c>
      <c r="AR475" s="512">
        <f t="shared" si="132"/>
        <v>0</v>
      </c>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tr">
        <f t="shared" si="125"/>
        <v>Programme used 3</v>
      </c>
      <c r="B476" s="3"/>
      <c r="C476" s="38"/>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33"/>
        <v>0</v>
      </c>
      <c r="AA476" s="496"/>
      <c r="AB476" s="497"/>
      <c r="AC476" s="457"/>
      <c r="AD476" s="511"/>
      <c r="AE476" s="497"/>
      <c r="AF476" s="457">
        <f t="shared" si="134"/>
        <v>0</v>
      </c>
      <c r="AG476" s="510"/>
      <c r="AH476" s="459">
        <f t="shared" si="130"/>
        <v>0</v>
      </c>
      <c r="AI476" s="479">
        <f t="shared" si="136"/>
        <v>0</v>
      </c>
      <c r="AJ476" s="511"/>
      <c r="AK476" s="496"/>
      <c r="AL476" s="512">
        <f t="shared" si="135"/>
        <v>0</v>
      </c>
      <c r="AM476" s="508"/>
      <c r="AN476" s="459">
        <f t="shared" si="131"/>
        <v>0</v>
      </c>
      <c r="AO476" s="466">
        <f t="shared" si="129"/>
        <v>0</v>
      </c>
      <c r="AP476" s="94"/>
      <c r="AQ476" s="622">
        <v>0</v>
      </c>
      <c r="AR476" s="512">
        <f t="shared" si="132"/>
        <v>0</v>
      </c>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tr">
        <f t="shared" si="125"/>
        <v>[...]</v>
      </c>
      <c r="B477" s="3"/>
      <c r="C477" s="38"/>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cm="1">
        <f t="array" ref="Z477">+SUMPRODUCT(('Budget original'!$A$8:$A$501=$A477)*('Budget original'!$C$3:$AO$3=Z$2),'Budget original'!$C$8:$AO$501)</f>
        <v>0</v>
      </c>
      <c r="AA477" s="496"/>
      <c r="AB477" s="497"/>
      <c r="AC477" s="457"/>
      <c r="AD477" s="511"/>
      <c r="AE477" s="497"/>
      <c r="AF477" s="457">
        <f t="shared" si="134"/>
        <v>0</v>
      </c>
      <c r="AG477" s="510"/>
      <c r="AH477" s="459">
        <f t="shared" si="130"/>
        <v>0</v>
      </c>
      <c r="AI477" s="479">
        <f t="shared" si="136"/>
        <v>0</v>
      </c>
      <c r="AJ477" s="511"/>
      <c r="AK477" s="496"/>
      <c r="AL477" s="512"/>
      <c r="AM477" s="508"/>
      <c r="AN477" s="459">
        <f t="shared" si="131"/>
        <v>0</v>
      </c>
      <c r="AO477" s="466">
        <f t="shared" si="129"/>
        <v>0</v>
      </c>
      <c r="AP477" s="94"/>
      <c r="AQ477" s="622">
        <v>0</v>
      </c>
      <c r="AR477" s="512">
        <f t="shared" si="132"/>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25"/>
        <v>[...]</v>
      </c>
      <c r="B478" s="3"/>
      <c r="C478" s="38"/>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+SUMIF($C:$C,$V478,F:F)</f>
        <v>0</v>
      </c>
      <c r="AA478" s="496"/>
      <c r="AB478" s="497"/>
      <c r="AC478" s="457"/>
      <c r="AD478" s="511"/>
      <c r="AE478" s="497"/>
      <c r="AF478" s="457">
        <f t="shared" si="134"/>
        <v>0</v>
      </c>
      <c r="AG478" s="510"/>
      <c r="AH478" s="459">
        <f t="shared" si="130"/>
        <v>0</v>
      </c>
      <c r="AI478" s="479">
        <f t="shared" si="136"/>
        <v>0</v>
      </c>
      <c r="AJ478" s="511"/>
      <c r="AK478" s="496"/>
      <c r="AL478" s="512"/>
      <c r="AM478" s="508"/>
      <c r="AN478" s="459">
        <f t="shared" si="131"/>
        <v>0</v>
      </c>
      <c r="AO478" s="466">
        <f t="shared" si="129"/>
        <v>0</v>
      </c>
      <c r="AP478" s="94"/>
      <c r="AQ478" s="622">
        <v>0</v>
      </c>
      <c r="AR478" s="512">
        <f t="shared" si="132"/>
        <v>0</v>
      </c>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tr">
        <f t="shared" si="125"/>
        <v>[...]</v>
      </c>
      <c r="B479" s="3"/>
      <c r="C479" s="38"/>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+SUMIF($C:$C,$V479,F:F)</f>
        <v>0</v>
      </c>
      <c r="AA479" s="496"/>
      <c r="AB479" s="497"/>
      <c r="AC479" s="457"/>
      <c r="AD479" s="511"/>
      <c r="AE479" s="497"/>
      <c r="AF479" s="457">
        <f t="shared" si="134"/>
        <v>0</v>
      </c>
      <c r="AG479" s="510"/>
      <c r="AH479" s="459">
        <f t="shared" si="130"/>
        <v>0</v>
      </c>
      <c r="AI479" s="479">
        <f t="shared" si="136"/>
        <v>0</v>
      </c>
      <c r="AJ479" s="511"/>
      <c r="AK479" s="496"/>
      <c r="AL479" s="512"/>
      <c r="AM479" s="508"/>
      <c r="AN479" s="459">
        <f t="shared" si="131"/>
        <v>0</v>
      </c>
      <c r="AO479" s="466">
        <f t="shared" si="129"/>
        <v>0</v>
      </c>
      <c r="AP479" s="94"/>
      <c r="AQ479" s="622">
        <v>0</v>
      </c>
      <c r="AR479" s="512">
        <f t="shared" si="132"/>
        <v>0</v>
      </c>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tr">
        <f t="shared" si="125"/>
        <v>Frais administration</v>
      </c>
      <c r="B480" s="3"/>
      <c r="C480" s="38"/>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190351.5</v>
      </c>
      <c r="AA480" s="496"/>
      <c r="AB480" s="497"/>
      <c r="AC480" s="457"/>
      <c r="AD480" s="511"/>
      <c r="AE480" s="497"/>
      <c r="AF480" s="457">
        <f t="shared" si="134"/>
        <v>177108</v>
      </c>
      <c r="AG480" s="510"/>
      <c r="AH480" s="459">
        <f t="shared" si="130"/>
        <v>-13243.5</v>
      </c>
      <c r="AI480" s="479">
        <f t="shared" si="136"/>
        <v>-6.957391982726692E-2</v>
      </c>
      <c r="AJ480" s="511"/>
      <c r="AK480" s="496"/>
      <c r="AL480" s="512" cm="1">
        <f t="array" ref="AL480">+SUMPRODUCT(('Réel 2024'!$A$8:$A$501=$A480)*('Réel 2024'!$C$3:$AO$3=Z$2),'Réel 2024'!$C$8:$AO$501)</f>
        <v>193450</v>
      </c>
      <c r="AM480" s="508"/>
      <c r="AN480" s="459">
        <f t="shared" si="131"/>
        <v>-16342</v>
      </c>
      <c r="AO480" s="466">
        <f t="shared" si="129"/>
        <v>-8.4476608942879297E-2</v>
      </c>
      <c r="AP480" s="94"/>
      <c r="AQ480" s="622">
        <v>331468.49</v>
      </c>
      <c r="AR480" s="512">
        <f t="shared" si="132"/>
        <v>-154360.49</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25"/>
        <v>TOTAL AUTRES REVENUS</v>
      </c>
      <c r="B481" s="3"/>
      <c r="C481" s="38"/>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0.20493870467112327</v>
      </c>
      <c r="Y481" s="493"/>
      <c r="Z481" s="474">
        <f>SUM(Z469:Z480)</f>
        <v>652447.63974815456</v>
      </c>
      <c r="AA481" s="473"/>
      <c r="AB481" s="493"/>
      <c r="AC481" s="474"/>
      <c r="AD481" s="473">
        <f>AF481/+AF407</f>
        <v>0.19372497280404841</v>
      </c>
      <c r="AE481" s="493"/>
      <c r="AF481" s="474">
        <f>SUM(AF469:AF480)</f>
        <v>599680.51</v>
      </c>
      <c r="AG481" s="481"/>
      <c r="AH481" s="477">
        <f t="shared" si="130"/>
        <v>-52767.129748154548</v>
      </c>
      <c r="AI481" s="473">
        <f>AH481/Z481</f>
        <v>-8.087565428012386E-2</v>
      </c>
      <c r="AJ481" s="514"/>
      <c r="AK481" s="515"/>
      <c r="AL481" s="474">
        <f>SUM(AL469:AL480)</f>
        <v>698201.81</v>
      </c>
      <c r="AM481" s="516"/>
      <c r="AN481" s="477">
        <f t="shared" si="131"/>
        <v>-98521.300000000047</v>
      </c>
      <c r="AO481" s="495">
        <f t="shared" si="129"/>
        <v>-0.14110719649953363</v>
      </c>
      <c r="AP481" s="94"/>
      <c r="AQ481" s="624">
        <v>1343989.52</v>
      </c>
      <c r="AR481" s="625">
        <f t="shared" si="132"/>
        <v>-744309.01</v>
      </c>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25"/>
        <v/>
      </c>
      <c r="B482" s="3"/>
      <c r="C482" s="38"/>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31"/>
        <v>0</v>
      </c>
      <c r="AO482" s="529">
        <f t="shared" si="129"/>
        <v>0</v>
      </c>
      <c r="AP482" s="94"/>
      <c r="AQ482" s="528"/>
      <c r="AR482" s="632"/>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tr">
        <f t="shared" si="125"/>
        <v>BAIIA OPÉRATIONNEL</v>
      </c>
      <c r="B483" s="3"/>
      <c r="C483" s="38"/>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1.3723159794238384E-2</v>
      </c>
      <c r="Z483" s="534">
        <f>Z407-Z468+Z481</f>
        <v>359565.17264597386</v>
      </c>
      <c r="AA483" s="532"/>
      <c r="AB483" s="533"/>
      <c r="AC483" s="534"/>
      <c r="AD483" s="532" t="s">
        <v>219</v>
      </c>
      <c r="AE483" s="533">
        <f>AF483/AF406</f>
        <v>2.1762908024465271E-2</v>
      </c>
      <c r="AF483" s="535">
        <f>AF407-AF468+AF481</f>
        <v>495381.97999999975</v>
      </c>
      <c r="AG483" s="536"/>
      <c r="AH483" s="536">
        <f>AF483-Z483</f>
        <v>135816.80735402589</v>
      </c>
      <c r="AI483" s="537">
        <f>AH483/Z483</f>
        <v>0.37772514605509488</v>
      </c>
      <c r="AJ483" s="538" t="s">
        <v>219</v>
      </c>
      <c r="AK483" s="533">
        <f>IF($AL$406=0,0,AL483/$AL$406)</f>
        <v>1.5696169633368815E-2</v>
      </c>
      <c r="AL483" s="535">
        <f>AL407-AL468+AL481</f>
        <v>449625.71999999601</v>
      </c>
      <c r="AM483" s="539"/>
      <c r="AN483" s="535">
        <f t="shared" si="131"/>
        <v>45756.260000003735</v>
      </c>
      <c r="AO483" s="540">
        <f t="shared" si="129"/>
        <v>0.10176521930285513</v>
      </c>
      <c r="AP483" s="94"/>
      <c r="AQ483" s="539">
        <v>2236846.7700000028</v>
      </c>
      <c r="AR483" s="543">
        <f>AF483-AQ483</f>
        <v>-1741464.7900000031</v>
      </c>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tr">
        <f t="shared" si="125"/>
        <v/>
      </c>
      <c r="B484" s="3"/>
      <c r="C484" s="38"/>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94"/>
      <c r="AQ484" s="633"/>
      <c r="AR484" s="634"/>
      <c r="AS484" s="38"/>
      <c r="AT484" s="38"/>
      <c r="AU484" s="38"/>
      <c r="AV484" s="38"/>
      <c r="AW484" s="38"/>
      <c r="AX484" s="38"/>
      <c r="AY484" s="38"/>
      <c r="AZ484" s="38"/>
      <c r="BA484" s="38"/>
      <c r="BB484" s="38"/>
      <c r="BC484" s="38"/>
      <c r="BD484" s="38"/>
      <c r="BE484" s="38"/>
      <c r="BF484" s="38"/>
      <c r="BG484" s="38"/>
      <c r="BH484" s="38"/>
      <c r="BI484" s="38"/>
      <c r="BJ484" s="38"/>
    </row>
    <row r="485" spans="1:62" ht="35.25" customHeight="1">
      <c r="A485" s="5" t="str">
        <f t="shared" si="125"/>
        <v>Volks</v>
      </c>
      <c r="B485" s="3"/>
      <c r="C485" s="38"/>
      <c r="D485" s="38"/>
      <c r="E485" s="38"/>
      <c r="F485" s="38"/>
      <c r="G485" s="38"/>
      <c r="H485" s="38"/>
      <c r="I485" s="38"/>
      <c r="J485" s="38"/>
      <c r="K485" s="38"/>
      <c r="L485" s="38"/>
      <c r="M485" s="38"/>
      <c r="N485" s="38"/>
      <c r="O485" s="38"/>
      <c r="P485" s="38"/>
      <c r="Q485" s="38"/>
      <c r="R485" s="38"/>
      <c r="S485" s="38"/>
      <c r="T485" s="38"/>
      <c r="U485" s="38"/>
      <c r="V485" s="36" t="str">
        <f>C1</f>
        <v>Volks</v>
      </c>
      <c r="W485" s="36"/>
      <c r="X485" s="36"/>
      <c r="Y485" s="36"/>
      <c r="Z485" s="36"/>
      <c r="AA485" s="36"/>
      <c r="AB485" s="36"/>
      <c r="AC485" s="36"/>
      <c r="AD485" s="36"/>
      <c r="AE485" s="9" t="s">
        <v>220</v>
      </c>
      <c r="AF485" s="36"/>
      <c r="AG485" s="36"/>
      <c r="AH485" s="36"/>
      <c r="AI485" s="36"/>
      <c r="AJ485" s="542"/>
      <c r="AK485" s="232"/>
      <c r="AL485" s="36"/>
      <c r="AM485" s="36"/>
      <c r="AN485" s="36"/>
      <c r="AO485" s="10" t="str">
        <f>$S$1</f>
        <v>Réalisé AAJ, Mai 2025</v>
      </c>
      <c r="AP485" s="94"/>
      <c r="AQ485" s="635"/>
      <c r="AR485" s="636"/>
      <c r="AS485" s="38"/>
      <c r="AT485" s="38"/>
      <c r="AU485" s="38"/>
      <c r="AV485" s="38"/>
      <c r="AW485" s="38"/>
      <c r="AX485" s="38"/>
      <c r="AY485" s="38"/>
      <c r="AZ485" s="38"/>
      <c r="BA485" s="38"/>
      <c r="BB485" s="38"/>
      <c r="BC485" s="38"/>
      <c r="BD485" s="38"/>
      <c r="BE485" s="38"/>
      <c r="BF485" s="38"/>
      <c r="BG485" s="38"/>
      <c r="BH485" s="38"/>
      <c r="BI485" s="38"/>
      <c r="BJ485" s="38"/>
    </row>
    <row r="486" spans="1:62" ht="15.75" customHeight="1">
      <c r="A486" s="5" t="str">
        <f t="shared" si="125"/>
        <v/>
      </c>
      <c r="B486" s="3"/>
      <c r="C486" s="38"/>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94"/>
      <c r="AQ486" s="633"/>
      <c r="AR486" s="634"/>
      <c r="AS486" s="38"/>
      <c r="AT486" s="38"/>
      <c r="AU486" s="38"/>
      <c r="AV486" s="38"/>
      <c r="AW486" s="38"/>
      <c r="AX486" s="38"/>
      <c r="AY486" s="38"/>
      <c r="AZ486" s="38"/>
      <c r="BA486" s="38"/>
      <c r="BB486" s="38"/>
      <c r="BC486" s="38"/>
      <c r="BD486" s="38"/>
      <c r="BE486" s="38"/>
      <c r="BF486" s="38"/>
      <c r="BG486" s="38"/>
      <c r="BH486" s="38"/>
      <c r="BI486" s="38"/>
      <c r="BJ486" s="38"/>
    </row>
    <row r="487" spans="1:62" ht="15.75" customHeight="1" thickBot="1">
      <c r="A487" s="5" t="str">
        <f t="shared" si="125"/>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94"/>
      <c r="AQ487" s="633"/>
      <c r="AR487" s="634"/>
      <c r="AS487" s="38"/>
      <c r="AT487" s="38"/>
      <c r="AU487" s="38"/>
      <c r="AV487" s="38"/>
      <c r="AW487" s="38"/>
      <c r="AX487" s="38"/>
      <c r="AY487" s="38"/>
      <c r="AZ487" s="38"/>
      <c r="BA487" s="38"/>
      <c r="BB487" s="38"/>
      <c r="BC487" s="38"/>
      <c r="BD487" s="38"/>
      <c r="BE487" s="38"/>
      <c r="BF487" s="38"/>
      <c r="BG487" s="38"/>
      <c r="BH487" s="38"/>
      <c r="BI487" s="38"/>
      <c r="BJ487" s="38"/>
    </row>
    <row r="488" spans="1:62" ht="19.5" thickTop="1" thickBot="1">
      <c r="A488" s="5" t="e">
        <f>+U488&amp;#REF!</f>
        <v>#REF!</v>
      </c>
      <c r="B488" s="3"/>
      <c r="C488" s="38"/>
      <c r="D488" s="38"/>
      <c r="E488" s="38"/>
      <c r="F488" s="38"/>
      <c r="G488" s="38"/>
      <c r="H488" s="38"/>
      <c r="I488" s="38"/>
      <c r="J488" s="38"/>
      <c r="K488" s="38"/>
      <c r="L488" s="38"/>
      <c r="M488" s="38"/>
      <c r="N488" s="38"/>
      <c r="O488" s="38"/>
      <c r="P488" s="38"/>
      <c r="Q488" s="38"/>
      <c r="R488" s="38"/>
      <c r="S488" s="38"/>
      <c r="T488" s="38"/>
      <c r="U488" s="38"/>
      <c r="V488" s="1182" t="s">
        <v>3915</v>
      </c>
      <c r="W488" s="1183"/>
      <c r="X488" s="1184" t="s">
        <v>219</v>
      </c>
      <c r="Y488" s="1185">
        <f>Z488/Z406</f>
        <v>2.198233715741502E-2</v>
      </c>
      <c r="Z488" s="1186">
        <f>Z489+Z415</f>
        <v>575966.68505502911</v>
      </c>
      <c r="AA488" s="1184"/>
      <c r="AB488" s="1185"/>
      <c r="AC488" s="534"/>
      <c r="AD488" s="1184" t="s">
        <v>219</v>
      </c>
      <c r="AE488" s="1185">
        <f>AF488/AF406</f>
        <v>2.446237602549995E-2</v>
      </c>
      <c r="AF488" s="1186">
        <f>AF489+AF415</f>
        <v>556829.08999999973</v>
      </c>
      <c r="AG488" s="536"/>
      <c r="AH488" s="536">
        <f t="shared" ref="AH488" si="137">AF488-Z488</f>
        <v>-19137.595055029378</v>
      </c>
      <c r="AI488" s="537">
        <f>AH488/Z488</f>
        <v>-3.3226913208011209E-2</v>
      </c>
      <c r="AJ488" s="1184" t="s">
        <v>219</v>
      </c>
      <c r="AK488" s="1185">
        <f>IF($AL$406=0,0,AL488/$AL$406)</f>
        <v>2.2894059664364821E-2</v>
      </c>
      <c r="AL488" s="1186">
        <f>AL489+AL415</f>
        <v>655813.37999999605</v>
      </c>
      <c r="AM488" s="539"/>
      <c r="AN488" s="1186">
        <f t="shared" ref="AN488" si="138">AF488-AL488</f>
        <v>-98984.289999996312</v>
      </c>
      <c r="AO488" s="1187">
        <f t="shared" ref="AO488" si="139">IF(AL488=0,0,AN488/AL488)</f>
        <v>-0.15093362383060394</v>
      </c>
      <c r="AP488" s="94"/>
      <c r="AQ488" s="633"/>
      <c r="AR488" s="634"/>
      <c r="AS488" s="38"/>
      <c r="AT488" s="38"/>
      <c r="AU488" s="38"/>
      <c r="AV488" s="38"/>
      <c r="AW488" s="38"/>
      <c r="AX488" s="38"/>
      <c r="AY488" s="38"/>
      <c r="AZ488" s="38"/>
      <c r="BA488" s="38"/>
      <c r="BB488" s="38"/>
      <c r="BC488" s="38"/>
      <c r="BD488" s="38"/>
      <c r="BE488" s="38"/>
      <c r="BF488" s="38"/>
      <c r="BG488" s="38"/>
      <c r="BH488" s="38"/>
      <c r="BI488" s="38"/>
      <c r="BJ488" s="38"/>
    </row>
    <row r="489" spans="1:62" ht="19.5" thickTop="1" thickBot="1">
      <c r="A489" s="5" t="str">
        <f t="shared" si="125"/>
        <v>BAIIA OPÉRATIONNEL</v>
      </c>
      <c r="B489" s="3"/>
      <c r="C489" s="38"/>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1.3723159794238384E-2</v>
      </c>
      <c r="Z489" s="534">
        <f>Z483</f>
        <v>359565.17264597386</v>
      </c>
      <c r="AA489" s="532"/>
      <c r="AB489" s="533"/>
      <c r="AC489" s="534"/>
      <c r="AD489" s="532" t="s">
        <v>219</v>
      </c>
      <c r="AE489" s="533">
        <f>AF489/AF406</f>
        <v>2.1762908024465271E-2</v>
      </c>
      <c r="AF489" s="534">
        <f>AF483</f>
        <v>495381.97999999975</v>
      </c>
      <c r="AG489" s="535"/>
      <c r="AH489" s="536">
        <f>AF489-Z489</f>
        <v>135816.80735402589</v>
      </c>
      <c r="AI489" s="537">
        <f>AH489/Z489</f>
        <v>0.37772514605509488</v>
      </c>
      <c r="AJ489" s="532" t="s">
        <v>219</v>
      </c>
      <c r="AK489" s="533">
        <f>IF($AL$406=0,0,AL489/$AL$406)</f>
        <v>1.5696169633368815E-2</v>
      </c>
      <c r="AL489" s="543">
        <f>AL483</f>
        <v>449625.71999999601</v>
      </c>
      <c r="AM489" s="544"/>
      <c r="AN489" s="545">
        <f>AF489-AL489</f>
        <v>45756.260000003735</v>
      </c>
      <c r="AO489" s="546">
        <f>IF(AL489=0,0,AN489/AL489)</f>
        <v>0.10176521930285513</v>
      </c>
      <c r="AP489" s="94"/>
      <c r="AQ489" s="637">
        <v>2236846.7700000028</v>
      </c>
      <c r="AR489" s="543">
        <f>AF489-AQ489</f>
        <v>-1741464.7900000031</v>
      </c>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tr">
        <f t="shared" si="125"/>
        <v/>
      </c>
      <c r="B490" s="3"/>
      <c r="C490" s="38"/>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94"/>
      <c r="AQ490" s="638"/>
      <c r="AR490" s="550"/>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tr">
        <f t="shared" si="125"/>
        <v>Amortissement</v>
      </c>
      <c r="B491" s="3"/>
      <c r="C491" s="38"/>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cm="1">
        <f t="array" ref="Z491">+SUMPRODUCT(('Budget original'!$A$8:$A$501=$A491)*('Budget original'!$C$3:$AO$3=Z$2),'Budget original'!$C$8:$AO$501)</f>
        <v>213240</v>
      </c>
      <c r="AA491" s="456"/>
      <c r="AB491" s="464"/>
      <c r="AC491" s="457"/>
      <c r="AD491" s="456"/>
      <c r="AE491" s="464"/>
      <c r="AF491" s="457">
        <f>SUMIFS(BV_Data_An_Cour!$P:$P,BV_Data_An_Cour!$V:$V,$V491)</f>
        <v>213240</v>
      </c>
      <c r="AG491" s="456"/>
      <c r="AH491" s="459">
        <f t="shared" ref="AH491:AH498" si="140">AF491-Z491</f>
        <v>0</v>
      </c>
      <c r="AI491" s="479">
        <f t="shared" ref="AI491:AI497" si="141">IF(Z491=0,0,AH491/Z491)</f>
        <v>0</v>
      </c>
      <c r="AJ491" s="456"/>
      <c r="AK491" s="456"/>
      <c r="AL491" s="457" cm="1">
        <f t="array" ref="AL491">+SUMPRODUCT(('Réel 2024'!$A$8:$A$501=$A491)*('Réel 2024'!$C$3:$AO$3=Z$2),'Réel 2024'!$C$8:$AO$501)</f>
        <v>31575</v>
      </c>
      <c r="AM491" s="461"/>
      <c r="AN491" s="459">
        <f t="shared" ref="AN491:AN498" si="142">AF491-AL491</f>
        <v>181665</v>
      </c>
      <c r="AO491" s="466">
        <f t="shared" ref="AO491:AO498" si="143">IF(AL491=0,0,AN491/AL491)</f>
        <v>5.7534441805225649</v>
      </c>
      <c r="AP491" s="94"/>
      <c r="AQ491" s="622">
        <v>51774</v>
      </c>
      <c r="AR491" s="512">
        <f t="shared" ref="AR491:AR493" si="144">AF491-AQ491</f>
        <v>161466</v>
      </c>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25"/>
        <v>Intérêts sur marge</v>
      </c>
      <c r="B492" s="3"/>
      <c r="C492" s="38"/>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cm="1">
        <f t="array" ref="Z492">+SUMPRODUCT(('Budget original'!$A$8:$A$501=$A492)*('Budget original'!$C$3:$AO$3=Z$2),'Budget original'!$C$8:$AO$501)</f>
        <v>0</v>
      </c>
      <c r="AA492" s="38"/>
      <c r="AB492" s="38"/>
      <c r="AC492" s="457"/>
      <c r="AD492" s="38"/>
      <c r="AE492" s="41"/>
      <c r="AF492" s="457">
        <f>SUMIFS(BV_Data_An_Cour!$P:$P,BV_Data_An_Cour!$V:$V,$V492)</f>
        <v>0</v>
      </c>
      <c r="AG492" s="38"/>
      <c r="AH492" s="459">
        <f t="shared" si="140"/>
        <v>0</v>
      </c>
      <c r="AI492" s="479">
        <f t="shared" si="141"/>
        <v>0</v>
      </c>
      <c r="AJ492" s="38"/>
      <c r="AK492" s="38"/>
      <c r="AL492" s="457" cm="1">
        <f t="array" ref="AL492">+SUMPRODUCT(('Réel 2024'!$A$8:$A$501=$A492)*('Réel 2024'!$C$3:$AO$3=Z$2),'Réel 2024'!$C$8:$AO$501)</f>
        <v>0</v>
      </c>
      <c r="AM492" s="551"/>
      <c r="AN492" s="459">
        <f t="shared" si="142"/>
        <v>0</v>
      </c>
      <c r="AO492" s="466">
        <f t="shared" si="143"/>
        <v>0</v>
      </c>
      <c r="AP492" s="94"/>
      <c r="AQ492" s="622">
        <v>0</v>
      </c>
      <c r="AR492" s="512">
        <f t="shared" si="144"/>
        <v>0</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25"/>
        <v>Intérêts sur prêt</v>
      </c>
      <c r="B493" s="3"/>
      <c r="C493" s="38"/>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cm="1">
        <f t="array" ref="Z493">+SUMPRODUCT(('Budget original'!$A$8:$A$501=$A493)*('Budget original'!$C$3:$AO$3=Z$2),'Budget original'!$C$8:$AO$501)</f>
        <v>0</v>
      </c>
      <c r="AA493" s="38"/>
      <c r="AB493" s="38"/>
      <c r="AC493" s="457"/>
      <c r="AD493" s="38"/>
      <c r="AE493" s="41"/>
      <c r="AF493" s="457">
        <f>SUMIFS(BV_Data_An_Cour!$P:$P,BV_Data_An_Cour!$V:$V,$V493)</f>
        <v>0</v>
      </c>
      <c r="AG493" s="38"/>
      <c r="AH493" s="459">
        <f t="shared" si="140"/>
        <v>0</v>
      </c>
      <c r="AI493" s="479">
        <f t="shared" si="141"/>
        <v>0</v>
      </c>
      <c r="AJ493" s="38"/>
      <c r="AK493" s="38"/>
      <c r="AL493" s="457" cm="1">
        <f t="array" ref="AL493">+SUMPRODUCT(('Réel 2024'!$A$8:$A$501=$A493)*('Réel 2024'!$C$3:$AO$3=Z$2),'Réel 2024'!$C$8:$AO$501)</f>
        <v>-917.02</v>
      </c>
      <c r="AM493" s="551"/>
      <c r="AN493" s="459">
        <f t="shared" si="142"/>
        <v>917.02</v>
      </c>
      <c r="AO493" s="466">
        <f t="shared" si="143"/>
        <v>-1</v>
      </c>
      <c r="AP493" s="94"/>
      <c r="AQ493" s="622">
        <v>5121.4799999999996</v>
      </c>
      <c r="AR493" s="512">
        <f t="shared" si="144"/>
        <v>-5121.4799999999996</v>
      </c>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tr">
        <f t="shared" si="125"/>
        <v>Intérêts sur avance</v>
      </c>
      <c r="B494" s="3"/>
      <c r="C494" s="38"/>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cm="1">
        <f t="array" ref="Z494">+SUMPRODUCT(('Budget original'!$A$8:$A$501=$A494)*('Budget original'!$C$3:$AO$3=Z$2),'Budget original'!$C$8:$AO$501)</f>
        <v>0</v>
      </c>
      <c r="AA494" s="38"/>
      <c r="AB494" s="38"/>
      <c r="AC494" s="457"/>
      <c r="AD494" s="38"/>
      <c r="AE494" s="41"/>
      <c r="AF494" s="457">
        <f>SUMIFS(BV_Data_An_Cour!$P:$P,BV_Data_An_Cour!$V:$V,$V494)</f>
        <v>0</v>
      </c>
      <c r="AG494" s="38"/>
      <c r="AH494" s="459">
        <f t="shared" si="140"/>
        <v>0</v>
      </c>
      <c r="AI494" s="479">
        <f t="shared" si="141"/>
        <v>0</v>
      </c>
      <c r="AJ494" s="38"/>
      <c r="AK494" s="38"/>
      <c r="AL494" s="457" cm="1">
        <f t="array" ref="AL494">+SUMPRODUCT(('Réel 2024'!$A$8:$A$501=$A494)*('Réel 2024'!$C$3:$AO$3=Z$2),'Réel 2024'!$C$8:$AO$501)</f>
        <v>0</v>
      </c>
      <c r="AM494" s="551"/>
      <c r="AN494" s="459">
        <f t="shared" si="142"/>
        <v>0</v>
      </c>
      <c r="AO494" s="466">
        <f t="shared" si="143"/>
        <v>0</v>
      </c>
      <c r="AP494" s="94"/>
      <c r="AQ494" s="622">
        <v>0</v>
      </c>
      <c r="AR494" s="512"/>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tr">
        <f t="shared" si="125"/>
        <v>[...]</v>
      </c>
      <c r="B495" s="3"/>
      <c r="C495" s="38"/>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cm="1">
        <f t="array" ref="Z495">+SUMPRODUCT(('Budget original'!$A$8:$A$501=$A495)*('Budget original'!$C$3:$AO$3=Z$2),'Budget original'!$C$8:$AO$501)</f>
        <v>0</v>
      </c>
      <c r="AA495" s="38"/>
      <c r="AB495" s="38"/>
      <c r="AC495" s="457"/>
      <c r="AD495" s="38"/>
      <c r="AE495" s="41"/>
      <c r="AF495" s="457">
        <f>SUMIFS(BV_Data_An_Cour!$P:$P,BV_Data_An_Cour!$V:$V,$V495)</f>
        <v>0</v>
      </c>
      <c r="AG495" s="38"/>
      <c r="AH495" s="459">
        <f t="shared" si="140"/>
        <v>0</v>
      </c>
      <c r="AI495" s="479">
        <f t="shared" si="141"/>
        <v>0</v>
      </c>
      <c r="AJ495" s="38"/>
      <c r="AK495" s="38"/>
      <c r="AL495" s="457"/>
      <c r="AM495" s="551"/>
      <c r="AN495" s="459">
        <f t="shared" si="142"/>
        <v>0</v>
      </c>
      <c r="AO495" s="466">
        <f t="shared" si="143"/>
        <v>0</v>
      </c>
      <c r="AP495" s="94"/>
      <c r="AQ495" s="622">
        <v>0</v>
      </c>
      <c r="AR495" s="550"/>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5" t="str">
        <f t="shared" si="125"/>
        <v>Revenus d'intérêts floor plan</v>
      </c>
      <c r="B496" s="3"/>
      <c r="C496" s="38"/>
      <c r="D496" s="38"/>
      <c r="E496" s="38"/>
      <c r="F496" s="94"/>
      <c r="G496" s="38"/>
      <c r="H496" s="38"/>
      <c r="I496" s="94"/>
      <c r="J496" s="38"/>
      <c r="K496" s="38"/>
      <c r="L496" s="38"/>
      <c r="M496" s="94"/>
      <c r="N496" s="38"/>
      <c r="O496" s="38"/>
      <c r="P496" s="38"/>
      <c r="Q496" s="94"/>
      <c r="R496" s="94"/>
      <c r="S496" s="94"/>
      <c r="T496" s="38"/>
      <c r="U496" s="38"/>
      <c r="V496" s="312" t="s">
        <v>3861</v>
      </c>
      <c r="W496" s="41"/>
      <c r="X496" s="41"/>
      <c r="Y496" s="41"/>
      <c r="Z496" s="457" cm="1">
        <f t="array" ref="Z496">+SUMPRODUCT(('Budget original'!$A$8:$A$501=$A496)*('Budget original'!$C$3:$AO$3=Z$2),'Budget original'!$C$8:$AO$501)</f>
        <v>-5395.8333333333339</v>
      </c>
      <c r="AA496" s="38"/>
      <c r="AB496" s="38"/>
      <c r="AC496" s="457"/>
      <c r="AD496" s="38"/>
      <c r="AE496" s="41"/>
      <c r="AF496" s="457">
        <f>SUMIFS(BV_Data_An_Cour!$P:$P,BV_Data_An_Cour!$V:$V,$V496)</f>
        <v>-5395</v>
      </c>
      <c r="AG496" s="38"/>
      <c r="AH496" s="459">
        <f t="shared" si="140"/>
        <v>0.83333333333393966</v>
      </c>
      <c r="AI496" s="479">
        <f t="shared" si="141"/>
        <v>-1.544401544402668E-4</v>
      </c>
      <c r="AJ496" s="38"/>
      <c r="AK496" s="38"/>
      <c r="AL496" s="457" cm="1">
        <f t="array" ref="AL496">+SUMPRODUCT(('Réel 2024'!$A$8:$A$501=$A496)*('Réel 2024'!$C$3:$AO$3=Z$2),'Réel 2024'!$C$8:$AO$501)</f>
        <v>-24774.410000000003</v>
      </c>
      <c r="AM496" s="551"/>
      <c r="AN496" s="459">
        <f t="shared" si="142"/>
        <v>19379.410000000003</v>
      </c>
      <c r="AO496" s="466">
        <f t="shared" si="143"/>
        <v>-0.78223497552514876</v>
      </c>
      <c r="AP496" s="94"/>
      <c r="AQ496" s="622">
        <v>0</v>
      </c>
      <c r="AR496" s="550"/>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tr">
        <f t="shared" si="125"/>
        <v>[...]</v>
      </c>
      <c r="B497" s="3"/>
      <c r="C497" s="38"/>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 t="array" ref="Z497">+INDEX('Budget original'!$A$2:$AO$501,MATCH($A497,'Budget original'!$A$2:$A$501,0),MATCH(F$2,'Budget original'!$A$2:$AO$2,0))</f>
        <v>0</v>
      </c>
      <c r="AA497" s="38"/>
      <c r="AB497" s="38"/>
      <c r="AC497" s="457"/>
      <c r="AD497" s="38"/>
      <c r="AE497" s="41"/>
      <c r="AF497" s="457">
        <f>SUMIFS(BV_Data_An_Cour!$P:$P,BV_Data_An_Cour!$V:$V,$V497)</f>
        <v>0</v>
      </c>
      <c r="AG497" s="38"/>
      <c r="AH497" s="459">
        <f t="shared" si="140"/>
        <v>0</v>
      </c>
      <c r="AI497" s="479">
        <f t="shared" si="141"/>
        <v>0</v>
      </c>
      <c r="AJ497" s="38"/>
      <c r="AK497" s="38"/>
      <c r="AL497" s="457"/>
      <c r="AM497" s="551"/>
      <c r="AN497" s="459">
        <f t="shared" si="142"/>
        <v>0</v>
      </c>
      <c r="AO497" s="466">
        <f t="shared" si="143"/>
        <v>0</v>
      </c>
      <c r="AP497" s="94"/>
      <c r="AQ497" s="622">
        <v>0</v>
      </c>
      <c r="AR497" s="550"/>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tr">
        <f t="shared" si="125"/>
        <v>Profit Net</v>
      </c>
      <c r="B498" s="3"/>
      <c r="C498" s="38"/>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5.7905819795474114E-3</v>
      </c>
      <c r="Z498" s="534">
        <f>Z489-Z491-Z492-Z493-Z497-Z496</f>
        <v>151721.0059793072</v>
      </c>
      <c r="AA498" s="532"/>
      <c r="AB498" s="533"/>
      <c r="AC498" s="534"/>
      <c r="AD498" s="532" t="s">
        <v>219</v>
      </c>
      <c r="AE498" s="533">
        <f>AF498/AF406</f>
        <v>1.2631950902559088E-2</v>
      </c>
      <c r="AF498" s="535">
        <f>AF489-AF491-AF492-AF493-AF497-AF496</f>
        <v>287536.97999999975</v>
      </c>
      <c r="AG498" s="536"/>
      <c r="AH498" s="536">
        <f t="shared" si="140"/>
        <v>135815.97402069255</v>
      </c>
      <c r="AI498" s="537">
        <f>AH498/Z498</f>
        <v>0.89516921631284274</v>
      </c>
      <c r="AJ498" s="538" t="s">
        <v>219</v>
      </c>
      <c r="AK498" s="533">
        <f>IF($AL$406=0,0,AL498/$AL$406)</f>
        <v>1.5490777662531825E-2</v>
      </c>
      <c r="AL498" s="535">
        <f>AL489-AL491-AL492-AL493-AL497-AL496</f>
        <v>443742.14999999607</v>
      </c>
      <c r="AM498" s="539"/>
      <c r="AN498" s="535">
        <f t="shared" si="142"/>
        <v>-156205.16999999632</v>
      </c>
      <c r="AO498" s="553">
        <f t="shared" si="143"/>
        <v>-0.35201787795006112</v>
      </c>
      <c r="AP498" s="94"/>
      <c r="AQ498" s="544">
        <v>2179951.2900000028</v>
      </c>
      <c r="AR498" s="639">
        <f>AF498-AQ498</f>
        <v>-1892414.3100000031</v>
      </c>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tr">
        <f>+U499&amp;V488</f>
        <v>BAIIA Corpo</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D500" s="38"/>
      <c r="E500" s="38"/>
      <c r="F500" s="94"/>
      <c r="G500" s="38"/>
      <c r="H500" s="38"/>
      <c r="I500" s="94"/>
      <c r="J500" s="38"/>
      <c r="K500" s="38"/>
      <c r="L500" s="38"/>
      <c r="M500" s="94"/>
      <c r="N500" s="38"/>
      <c r="O500" s="38"/>
      <c r="P500" s="38"/>
      <c r="Q500" s="94"/>
      <c r="R500" s="94"/>
      <c r="S500" s="94"/>
      <c r="T500" s="38"/>
      <c r="U500" s="38"/>
      <c r="V500" s="38"/>
      <c r="W500" s="38"/>
      <c r="X500" s="38"/>
      <c r="Y500" s="38"/>
      <c r="Z500" s="94">
        <f>Z498</f>
        <v>151721.0059793072</v>
      </c>
      <c r="AA500" s="38"/>
      <c r="AB500" s="38"/>
      <c r="AC500" s="94"/>
      <c r="AD500" s="38"/>
      <c r="AE500" s="960"/>
      <c r="AF500" s="960"/>
      <c r="AG500" s="960"/>
      <c r="AH500" s="960"/>
      <c r="AI500" s="38"/>
      <c r="AJ500" s="38"/>
      <c r="AK500" s="554"/>
      <c r="AL500" s="1003"/>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80"/>
      <c r="U501" s="80"/>
      <c r="V501" s="38"/>
      <c r="W501" s="38"/>
      <c r="X501" s="38"/>
      <c r="Y501" s="38"/>
      <c r="Z501" s="640">
        <f>+Z498-Z500</f>
        <v>0</v>
      </c>
      <c r="AA501" s="38"/>
      <c r="AB501" s="38"/>
      <c r="AC501" s="640"/>
      <c r="AD501" s="38"/>
      <c r="AE501" s="960"/>
      <c r="AF501" s="960"/>
      <c r="AG501" s="960"/>
      <c r="AH501" s="960"/>
      <c r="AI501" s="38"/>
      <c r="AJ501" s="38"/>
      <c r="AK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94"/>
      <c r="AA502" s="38"/>
      <c r="AB502" s="38"/>
      <c r="AC502" s="38"/>
      <c r="AD502" s="38"/>
      <c r="AE502" s="960"/>
      <c r="AF502" s="960"/>
      <c r="AG502" s="960"/>
      <c r="AH502" s="960"/>
      <c r="AI502" s="38"/>
      <c r="AJ502" s="38"/>
      <c r="AK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38"/>
      <c r="AA503" s="38"/>
      <c r="AB503" s="38"/>
      <c r="AC503" s="38"/>
      <c r="AD503" s="38"/>
      <c r="AE503" s="960"/>
      <c r="AF503" s="960"/>
      <c r="AG503" s="960"/>
      <c r="AH503" s="960"/>
      <c r="AI503" s="38"/>
      <c r="AJ503" s="38"/>
      <c r="AK503" s="1002"/>
      <c r="AL503" s="1003"/>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960"/>
      <c r="AF504" s="960"/>
      <c r="AG504" s="960"/>
      <c r="AH504" s="960"/>
      <c r="AI504" s="38"/>
      <c r="AJ504" s="38"/>
      <c r="AK504" s="1002"/>
      <c r="AL504" s="1003"/>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38"/>
      <c r="AF505" s="960"/>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1074"/>
      <c r="AG506" s="38"/>
      <c r="AH506" s="38"/>
      <c r="AI506" s="38"/>
      <c r="AJ506" s="38"/>
      <c r="AK506" s="1002"/>
      <c r="AL506" s="1003"/>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38"/>
      <c r="X507" s="38"/>
      <c r="Y507" s="38"/>
      <c r="Z507" s="38"/>
      <c r="AA507" s="38"/>
      <c r="AB507" s="38"/>
      <c r="AC507" s="38"/>
      <c r="AD507" s="38"/>
      <c r="AE507" s="38"/>
      <c r="AF507" s="960"/>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38"/>
      <c r="X508" s="38"/>
      <c r="Y508" s="38"/>
      <c r="Z508" s="38"/>
      <c r="AA508" s="38"/>
      <c r="AB508" s="38"/>
      <c r="AC508" s="38"/>
      <c r="AD508" s="38"/>
      <c r="AE508" s="38"/>
      <c r="AF508" s="1074"/>
      <c r="AG508" s="1075"/>
      <c r="AH508" s="1073"/>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80"/>
      <c r="X509" s="80"/>
      <c r="Y509" s="38"/>
      <c r="Z509" s="38"/>
      <c r="AA509" s="38"/>
      <c r="AB509" s="38"/>
      <c r="AC509" s="38"/>
      <c r="AD509" s="38"/>
      <c r="AE509" s="38"/>
      <c r="AF509" s="960"/>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960"/>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960"/>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38"/>
      <c r="W512" s="80"/>
      <c r="X512" s="80"/>
      <c r="Y512" s="38"/>
      <c r="Z512" s="38"/>
      <c r="AA512" s="38"/>
      <c r="AB512" s="38"/>
      <c r="AC512" s="38"/>
      <c r="AD512" s="38"/>
      <c r="AE512" s="38"/>
      <c r="AF512" s="960"/>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38"/>
      <c r="D513" s="38"/>
      <c r="E513" s="38"/>
      <c r="F513" s="94"/>
      <c r="G513" s="38"/>
      <c r="H513" s="38"/>
      <c r="I513" s="94"/>
      <c r="J513" s="38"/>
      <c r="K513" s="38"/>
      <c r="L513" s="38"/>
      <c r="M513" s="94"/>
      <c r="N513" s="38"/>
      <c r="O513" s="38"/>
      <c r="P513" s="38"/>
      <c r="Q513" s="94"/>
      <c r="R513" s="94"/>
      <c r="S513" s="94"/>
      <c r="T513" s="80"/>
      <c r="U513" s="80"/>
      <c r="V513" s="38"/>
      <c r="W513" s="80"/>
      <c r="X513" s="80"/>
      <c r="Y513" s="38"/>
      <c r="Z513" s="38"/>
      <c r="AA513" s="38"/>
      <c r="AB513" s="38"/>
      <c r="AC513" s="38"/>
      <c r="AD513" s="38"/>
      <c r="AE513" s="38"/>
      <c r="AF513" s="960"/>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38"/>
      <c r="D514" s="38"/>
      <c r="E514" s="38"/>
      <c r="F514" s="94"/>
      <c r="G514" s="38"/>
      <c r="H514" s="38"/>
      <c r="I514" s="94"/>
      <c r="J514" s="38"/>
      <c r="K514" s="38"/>
      <c r="L514" s="38"/>
      <c r="M514" s="94"/>
      <c r="N514" s="38"/>
      <c r="O514" s="38"/>
      <c r="P514" s="38"/>
      <c r="Q514" s="94"/>
      <c r="R514" s="94"/>
      <c r="S514" s="94"/>
      <c r="T514" s="80"/>
      <c r="U514" s="80"/>
      <c r="V514" s="80"/>
      <c r="W514" s="80"/>
      <c r="X514" s="80"/>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79"/>
      <c r="D515" s="80"/>
      <c r="E515" s="80"/>
      <c r="F515" s="88"/>
      <c r="G515" s="80"/>
      <c r="H515" s="80"/>
      <c r="I515" s="88"/>
      <c r="J515" s="80"/>
      <c r="K515" s="80"/>
      <c r="L515" s="80"/>
      <c r="M515" s="88"/>
      <c r="N515" s="80"/>
      <c r="O515" s="80"/>
      <c r="P515" s="80"/>
      <c r="Q515" s="88"/>
      <c r="R515" s="88"/>
      <c r="S515" s="88"/>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81"/>
      <c r="D516" s="80"/>
      <c r="E516" s="80"/>
      <c r="F516" s="88"/>
      <c r="G516" s="80"/>
      <c r="H516" s="80"/>
      <c r="I516" s="88"/>
      <c r="J516" s="80"/>
      <c r="K516" s="80"/>
      <c r="L516" s="80"/>
      <c r="M516" s="88"/>
      <c r="N516" s="80"/>
      <c r="O516" s="80"/>
      <c r="P516" s="80"/>
      <c r="Q516" s="88"/>
      <c r="R516" s="88"/>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0"/>
      <c r="D517" s="80"/>
      <c r="E517" s="80"/>
      <c r="F517" s="88"/>
      <c r="G517" s="80"/>
      <c r="H517" s="80"/>
      <c r="I517" s="88"/>
      <c r="J517" s="80"/>
      <c r="K517" s="80"/>
      <c r="L517" s="80"/>
      <c r="M517" s="88"/>
      <c r="N517" s="80"/>
      <c r="O517" s="80"/>
      <c r="P517" s="80"/>
      <c r="Q517" s="88"/>
      <c r="R517" s="88"/>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0"/>
      <c r="G518" s="80"/>
      <c r="H518" s="80"/>
      <c r="I518" s="80"/>
      <c r="J518" s="79"/>
      <c r="K518" s="79"/>
      <c r="L518" s="79"/>
      <c r="M518" s="88"/>
      <c r="N518" s="80"/>
      <c r="O518" s="80"/>
      <c r="P518" s="80"/>
      <c r="Q518" s="80"/>
      <c r="R518" s="80"/>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80"/>
      <c r="K519" s="80"/>
      <c r="L519" s="80"/>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8"/>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80"/>
      <c r="K521" s="80"/>
      <c r="L521" s="80"/>
      <c r="M521" s="88"/>
      <c r="N521" s="80"/>
      <c r="O521" s="80"/>
      <c r="P521" s="80"/>
      <c r="Q521" s="80"/>
      <c r="R521" s="80"/>
      <c r="S521" s="88"/>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8"/>
      <c r="N522" s="80"/>
      <c r="O522" s="80"/>
      <c r="P522" s="80"/>
      <c r="Q522" s="80"/>
      <c r="R522" s="80"/>
      <c r="S522" s="80"/>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79"/>
      <c r="K523" s="79"/>
      <c r="L523" s="79"/>
      <c r="M523" s="90"/>
      <c r="N523" s="79"/>
      <c r="O523" s="79"/>
      <c r="P523" s="79"/>
      <c r="Q523" s="80"/>
      <c r="R523" s="80"/>
      <c r="S523" s="79"/>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80"/>
      <c r="K524" s="80"/>
      <c r="L524" s="80"/>
      <c r="M524" s="80"/>
      <c r="N524" s="80"/>
      <c r="O524" s="80"/>
      <c r="P524" s="80"/>
      <c r="Q524" s="80"/>
      <c r="R524" s="80"/>
      <c r="S524" s="80"/>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0"/>
      <c r="D525" s="80"/>
      <c r="E525" s="80"/>
      <c r="F525" s="80"/>
      <c r="G525" s="80"/>
      <c r="H525" s="80"/>
      <c r="I525" s="80"/>
      <c r="J525" s="80"/>
      <c r="K525" s="80"/>
      <c r="L525" s="80"/>
      <c r="M525" s="80"/>
      <c r="N525" s="80"/>
      <c r="O525" s="80"/>
      <c r="P525" s="80"/>
      <c r="Q525" s="80"/>
      <c r="R525" s="80"/>
      <c r="S525" s="80"/>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80"/>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2"/>
      <c r="D527" s="83"/>
      <c r="E527" s="83"/>
      <c r="F527" s="83"/>
      <c r="G527" s="83"/>
      <c r="H527" s="83"/>
      <c r="I527" s="83"/>
      <c r="J527" s="83"/>
      <c r="K527" s="83"/>
      <c r="L527" s="83"/>
      <c r="M527" s="83"/>
      <c r="N527" s="83"/>
      <c r="O527" s="83"/>
      <c r="P527" s="83"/>
      <c r="Q527" s="83"/>
      <c r="R527" s="83"/>
      <c r="S527" s="83"/>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0"/>
      <c r="D528" s="80"/>
      <c r="E528" s="80"/>
      <c r="F528" s="80"/>
      <c r="G528" s="80"/>
      <c r="H528" s="80"/>
      <c r="I528" s="80"/>
      <c r="J528" s="80"/>
      <c r="K528" s="80"/>
      <c r="L528" s="80"/>
      <c r="M528" s="80"/>
      <c r="N528" s="80"/>
      <c r="O528" s="80"/>
      <c r="P528" s="80"/>
      <c r="Q528" s="641"/>
      <c r="R528" s="80"/>
      <c r="S528" s="80"/>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80"/>
      <c r="E529" s="80"/>
      <c r="F529" s="80"/>
      <c r="G529" s="80"/>
      <c r="H529" s="80"/>
      <c r="I529" s="80"/>
      <c r="J529" s="80"/>
      <c r="K529" s="80"/>
      <c r="L529" s="84"/>
      <c r="M529" s="85"/>
      <c r="N529" s="85"/>
      <c r="O529" s="80"/>
      <c r="P529" s="84"/>
      <c r="Q529" s="85"/>
      <c r="R529" s="85"/>
      <c r="S529" s="84"/>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80"/>
      <c r="D530" s="80"/>
      <c r="E530" s="84"/>
      <c r="F530" s="86"/>
      <c r="G530" s="80"/>
      <c r="H530" s="84"/>
      <c r="I530" s="86"/>
      <c r="J530" s="85"/>
      <c r="K530" s="79"/>
      <c r="L530" s="84"/>
      <c r="M530" s="85"/>
      <c r="N530" s="85"/>
      <c r="O530" s="79"/>
      <c r="P530" s="84"/>
      <c r="Q530" s="85"/>
      <c r="R530" s="85"/>
      <c r="S530" s="84"/>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642"/>
      <c r="E531" s="86"/>
      <c r="F531" s="86"/>
      <c r="G531" s="642"/>
      <c r="H531" s="86"/>
      <c r="I531" s="86"/>
      <c r="J531" s="86"/>
      <c r="K531" s="86"/>
      <c r="L531" s="86"/>
      <c r="M531" s="86"/>
      <c r="N531" s="86"/>
      <c r="O531" s="86"/>
      <c r="P531" s="86"/>
      <c r="Q531" s="86"/>
      <c r="R531" s="86"/>
      <c r="S531" s="86"/>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79"/>
      <c r="D532" s="80"/>
      <c r="E532" s="80"/>
      <c r="F532" s="80"/>
      <c r="G532" s="80"/>
      <c r="H532" s="80"/>
      <c r="I532" s="80"/>
      <c r="J532" s="80"/>
      <c r="K532" s="80"/>
      <c r="L532" s="80"/>
      <c r="M532" s="80"/>
      <c r="N532" s="80"/>
      <c r="O532" s="80"/>
      <c r="P532" s="80"/>
      <c r="Q532" s="80"/>
      <c r="R532" s="80"/>
      <c r="S532" s="80"/>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80"/>
      <c r="D533" s="80"/>
      <c r="E533" s="80"/>
      <c r="F533" s="80"/>
      <c r="G533" s="80"/>
      <c r="H533" s="80"/>
      <c r="I533" s="80"/>
      <c r="J533" s="80"/>
      <c r="K533" s="80"/>
      <c r="L533" s="80"/>
      <c r="M533" s="80"/>
      <c r="N533" s="80"/>
      <c r="O533" s="80"/>
      <c r="P533" s="80"/>
      <c r="Q533" s="80"/>
      <c r="R533" s="80"/>
      <c r="S533" s="80"/>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8"/>
      <c r="F534" s="87"/>
      <c r="G534" s="80"/>
      <c r="H534" s="88"/>
      <c r="I534" s="87"/>
      <c r="J534" s="87"/>
      <c r="K534" s="88"/>
      <c r="L534" s="87"/>
      <c r="M534" s="88"/>
      <c r="N534" s="87"/>
      <c r="O534" s="88"/>
      <c r="P534" s="87"/>
      <c r="Q534" s="88"/>
      <c r="R534" s="88"/>
      <c r="S534" s="88"/>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8"/>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87"/>
      <c r="G538" s="80"/>
      <c r="H538" s="88"/>
      <c r="I538" s="87"/>
      <c r="J538" s="87"/>
      <c r="K538" s="88"/>
      <c r="L538" s="87"/>
      <c r="M538" s="88"/>
      <c r="N538" s="87"/>
      <c r="O538" s="88"/>
      <c r="P538" s="87"/>
      <c r="Q538" s="88"/>
      <c r="R538" s="88"/>
      <c r="S538" s="80"/>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80"/>
      <c r="D539" s="80"/>
      <c r="E539" s="88"/>
      <c r="F539" s="87"/>
      <c r="G539" s="80"/>
      <c r="H539" s="88"/>
      <c r="I539" s="87"/>
      <c r="J539" s="87"/>
      <c r="K539" s="88"/>
      <c r="L539" s="87"/>
      <c r="M539" s="88"/>
      <c r="N539" s="87"/>
      <c r="O539" s="88"/>
      <c r="P539" s="87"/>
      <c r="Q539" s="88"/>
      <c r="R539" s="88"/>
      <c r="S539" s="88"/>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643"/>
      <c r="G540" s="80"/>
      <c r="H540" s="88"/>
      <c r="I540" s="643"/>
      <c r="J540" s="87"/>
      <c r="K540" s="88"/>
      <c r="L540" s="87"/>
      <c r="M540" s="88"/>
      <c r="N540" s="87"/>
      <c r="O540" s="88"/>
      <c r="P540" s="80"/>
      <c r="Q540" s="80"/>
      <c r="R540" s="88"/>
      <c r="S540" s="88"/>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79"/>
      <c r="D541" s="79"/>
      <c r="E541" s="90"/>
      <c r="F541" s="89"/>
      <c r="G541" s="79"/>
      <c r="H541" s="90"/>
      <c r="I541" s="89"/>
      <c r="J541" s="89"/>
      <c r="K541" s="90"/>
      <c r="L541" s="89"/>
      <c r="M541" s="90"/>
      <c r="N541" s="89"/>
      <c r="O541" s="90"/>
      <c r="P541" s="89"/>
      <c r="Q541" s="90"/>
      <c r="R541" s="90"/>
      <c r="S541" s="79"/>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80"/>
      <c r="D542" s="80"/>
      <c r="E542" s="88"/>
      <c r="F542" s="80"/>
      <c r="G542" s="80"/>
      <c r="H542" s="88"/>
      <c r="I542" s="80"/>
      <c r="J542" s="87"/>
      <c r="K542" s="88"/>
      <c r="L542" s="87"/>
      <c r="M542" s="88"/>
      <c r="N542" s="87"/>
      <c r="O542" s="88"/>
      <c r="P542" s="79"/>
      <c r="Q542" s="89"/>
      <c r="R542" s="89"/>
      <c r="S542" s="80"/>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8"/>
      <c r="F543" s="80"/>
      <c r="G543" s="80"/>
      <c r="H543" s="88"/>
      <c r="I543" s="80"/>
      <c r="J543" s="87"/>
      <c r="K543" s="88"/>
      <c r="L543" s="87"/>
      <c r="M543" s="88"/>
      <c r="N543" s="87"/>
      <c r="O543" s="88"/>
      <c r="P543" s="80"/>
      <c r="Q543" s="80"/>
      <c r="R543" s="88"/>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79"/>
      <c r="D544" s="80"/>
      <c r="E544" s="88"/>
      <c r="F544" s="80"/>
      <c r="G544" s="80"/>
      <c r="H544" s="88"/>
      <c r="I544" s="80"/>
      <c r="J544" s="87"/>
      <c r="K544" s="88"/>
      <c r="L544" s="87"/>
      <c r="M544" s="88"/>
      <c r="N544" s="87"/>
      <c r="O544" s="88"/>
      <c r="P544" s="80"/>
      <c r="Q544" s="80"/>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80"/>
      <c r="D545" s="80"/>
      <c r="E545" s="80"/>
      <c r="F545" s="80"/>
      <c r="G545" s="80"/>
      <c r="H545" s="80"/>
      <c r="I545" s="80"/>
      <c r="J545" s="80"/>
      <c r="K545" s="80"/>
      <c r="L545" s="80"/>
      <c r="M545" s="80"/>
      <c r="N545" s="80"/>
      <c r="O545" s="80"/>
      <c r="P545" s="80"/>
      <c r="Q545" s="80"/>
      <c r="R545" s="80"/>
      <c r="S545" s="80"/>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8"/>
      <c r="F546" s="87"/>
      <c r="G546" s="80"/>
      <c r="H546" s="88"/>
      <c r="I546" s="87"/>
      <c r="J546" s="87"/>
      <c r="K546" s="80"/>
      <c r="L546" s="87"/>
      <c r="M546" s="80"/>
      <c r="N546" s="87"/>
      <c r="O546" s="80"/>
      <c r="P546" s="87"/>
      <c r="Q546" s="88"/>
      <c r="R546" s="88"/>
      <c r="S546" s="80"/>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643"/>
      <c r="G547" s="80"/>
      <c r="H547" s="88"/>
      <c r="I547" s="643"/>
      <c r="J547" s="87"/>
      <c r="K547" s="88"/>
      <c r="L547" s="87"/>
      <c r="M547" s="88"/>
      <c r="N547" s="87"/>
      <c r="O547" s="88"/>
      <c r="P547" s="80"/>
      <c r="Q547" s="87"/>
      <c r="R547" s="87"/>
      <c r="S547" s="88"/>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80"/>
      <c r="D548" s="80"/>
      <c r="E548" s="88"/>
      <c r="F548" s="643"/>
      <c r="G548" s="80"/>
      <c r="H548" s="88"/>
      <c r="I548" s="643"/>
      <c r="J548" s="87"/>
      <c r="K548" s="88"/>
      <c r="L548" s="87"/>
      <c r="M548" s="88"/>
      <c r="N548" s="87"/>
      <c r="O548" s="88"/>
      <c r="P548" s="80"/>
      <c r="Q548" s="80"/>
      <c r="R548" s="88"/>
      <c r="S548" s="88"/>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8"/>
      <c r="F549" s="87"/>
      <c r="G549" s="80"/>
      <c r="H549" s="88"/>
      <c r="I549" s="87"/>
      <c r="J549" s="87"/>
      <c r="K549" s="88"/>
      <c r="L549" s="87"/>
      <c r="M549" s="88"/>
      <c r="N549" s="87"/>
      <c r="O549" s="88"/>
      <c r="P549" s="80"/>
      <c r="Q549" s="80"/>
      <c r="R549" s="88"/>
      <c r="S549" s="80"/>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79"/>
      <c r="D550" s="79"/>
      <c r="E550" s="90"/>
      <c r="F550" s="89"/>
      <c r="G550" s="79"/>
      <c r="H550" s="90"/>
      <c r="I550" s="89"/>
      <c r="J550" s="89"/>
      <c r="K550" s="90"/>
      <c r="L550" s="89"/>
      <c r="M550" s="90"/>
      <c r="N550" s="89"/>
      <c r="O550" s="90"/>
      <c r="P550" s="89"/>
      <c r="Q550" s="79"/>
      <c r="R550" s="90"/>
      <c r="S550" s="79"/>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80"/>
      <c r="D551" s="80"/>
      <c r="E551" s="80"/>
      <c r="F551" s="80"/>
      <c r="G551" s="80"/>
      <c r="H551" s="80"/>
      <c r="I551" s="80"/>
      <c r="J551" s="80"/>
      <c r="K551" s="80"/>
      <c r="L551" s="80"/>
      <c r="M551" s="80"/>
      <c r="N551" s="80"/>
      <c r="O551" s="80"/>
      <c r="P551" s="79"/>
      <c r="Q551" s="89"/>
      <c r="R551" s="89"/>
      <c r="S551" s="80"/>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8"/>
      <c r="F552" s="87"/>
      <c r="G552" s="80"/>
      <c r="H552" s="88"/>
      <c r="I552" s="87"/>
      <c r="J552" s="87"/>
      <c r="K552" s="88"/>
      <c r="L552" s="87"/>
      <c r="M552" s="88"/>
      <c r="N552" s="87"/>
      <c r="O552" s="88"/>
      <c r="P552" s="80"/>
      <c r="Q552" s="80"/>
      <c r="R552" s="88"/>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79"/>
      <c r="D553" s="80"/>
      <c r="E553" s="88"/>
      <c r="F553" s="87"/>
      <c r="G553" s="80"/>
      <c r="H553" s="88"/>
      <c r="I553" s="87"/>
      <c r="J553" s="87"/>
      <c r="K553" s="88"/>
      <c r="L553" s="87"/>
      <c r="M553" s="88"/>
      <c r="N553" s="87"/>
      <c r="O553" s="88"/>
      <c r="P553" s="80"/>
      <c r="Q553" s="80"/>
      <c r="R553" s="88"/>
      <c r="S553" s="80"/>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80"/>
      <c r="D554" s="80"/>
      <c r="E554" s="88"/>
      <c r="F554" s="87"/>
      <c r="G554" s="80"/>
      <c r="H554" s="88"/>
      <c r="I554" s="87"/>
      <c r="J554" s="87"/>
      <c r="K554" s="88"/>
      <c r="L554" s="87"/>
      <c r="M554" s="88"/>
      <c r="N554" s="87"/>
      <c r="O554" s="88"/>
      <c r="P554" s="80"/>
      <c r="Q554" s="80"/>
      <c r="R554" s="88"/>
      <c r="S554" s="80"/>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0"/>
      <c r="F555" s="80"/>
      <c r="G555" s="80"/>
      <c r="H555" s="80"/>
      <c r="I555" s="80"/>
      <c r="J555" s="80"/>
      <c r="K555" s="80"/>
      <c r="L555" s="80"/>
      <c r="M555" s="80"/>
      <c r="N555" s="80"/>
      <c r="O555" s="80"/>
      <c r="P555" s="87"/>
      <c r="Q555" s="88"/>
      <c r="R555" s="80"/>
      <c r="S555" s="88"/>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80"/>
      <c r="D561" s="80"/>
      <c r="E561" s="80"/>
      <c r="F561" s="80"/>
      <c r="G561" s="80"/>
      <c r="H561" s="80"/>
      <c r="I561" s="80"/>
      <c r="J561" s="80"/>
      <c r="K561" s="80"/>
      <c r="L561" s="80"/>
      <c r="M561" s="80"/>
      <c r="N561" s="80"/>
      <c r="O561" s="80"/>
      <c r="P561" s="87"/>
      <c r="Q561" s="88"/>
      <c r="R561" s="80"/>
      <c r="S561" s="88"/>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7"/>
      <c r="Q562" s="88"/>
      <c r="R562" s="80"/>
      <c r="S562" s="88"/>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79"/>
      <c r="D563" s="79"/>
      <c r="E563" s="80"/>
      <c r="F563" s="80"/>
      <c r="G563" s="79"/>
      <c r="H563" s="80"/>
      <c r="I563" s="80"/>
      <c r="J563" s="80"/>
      <c r="K563" s="80"/>
      <c r="L563" s="80"/>
      <c r="M563" s="80"/>
      <c r="N563" s="80"/>
      <c r="O563" s="80"/>
      <c r="P563" s="89"/>
      <c r="Q563" s="90"/>
      <c r="R563" s="80"/>
      <c r="S563" s="90"/>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80"/>
      <c r="D564" s="80"/>
      <c r="E564" s="80"/>
      <c r="F564" s="80"/>
      <c r="G564" s="80"/>
      <c r="H564" s="80"/>
      <c r="I564" s="80"/>
      <c r="J564" s="80"/>
      <c r="K564" s="80"/>
      <c r="L564" s="80"/>
      <c r="M564" s="80"/>
      <c r="N564" s="80"/>
      <c r="O564" s="80"/>
      <c r="P564" s="89"/>
      <c r="Q564" s="89"/>
      <c r="R564" s="80"/>
      <c r="S564" s="80"/>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80"/>
      <c r="D565" s="80"/>
      <c r="E565" s="80"/>
      <c r="F565" s="80"/>
      <c r="G565" s="80"/>
      <c r="H565" s="80"/>
      <c r="I565" s="80"/>
      <c r="J565" s="80"/>
      <c r="K565" s="80"/>
      <c r="L565" s="80"/>
      <c r="M565" s="80"/>
      <c r="N565" s="80"/>
      <c r="O565" s="80"/>
      <c r="P565" s="87"/>
      <c r="Q565" s="88"/>
      <c r="R565" s="80"/>
      <c r="S565" s="88"/>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7"/>
      <c r="Q566" s="88"/>
      <c r="R566" s="80"/>
      <c r="S566" s="88"/>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79"/>
      <c r="D567" s="80"/>
      <c r="E567" s="80"/>
      <c r="F567" s="80"/>
      <c r="G567" s="80"/>
      <c r="H567" s="80"/>
      <c r="I567" s="80"/>
      <c r="J567" s="80"/>
      <c r="K567" s="80"/>
      <c r="L567" s="80"/>
      <c r="M567" s="80"/>
      <c r="N567" s="80"/>
      <c r="O567" s="80"/>
      <c r="P567" s="89"/>
      <c r="Q567" s="90"/>
      <c r="R567" s="80"/>
      <c r="S567" s="90"/>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80"/>
      <c r="D568" s="80"/>
      <c r="E568" s="80"/>
      <c r="F568" s="80"/>
      <c r="G568" s="80"/>
      <c r="H568" s="80"/>
      <c r="I568" s="80"/>
      <c r="J568" s="80"/>
      <c r="K568" s="80"/>
      <c r="L568" s="80"/>
      <c r="M568" s="80"/>
      <c r="N568" s="80"/>
      <c r="O568" s="80"/>
      <c r="P568" s="89"/>
      <c r="Q568" s="89"/>
      <c r="R568" s="80"/>
      <c r="S568" s="8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7"/>
      <c r="Q569" s="88"/>
      <c r="R569" s="80"/>
      <c r="S569" s="88"/>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79"/>
      <c r="D570" s="79"/>
      <c r="E570" s="80"/>
      <c r="F570" s="80"/>
      <c r="G570" s="79"/>
      <c r="H570" s="80"/>
      <c r="I570" s="80"/>
      <c r="J570" s="80"/>
      <c r="K570" s="80"/>
      <c r="L570" s="80"/>
      <c r="M570" s="80"/>
      <c r="N570" s="80"/>
      <c r="O570" s="80"/>
      <c r="P570" s="89"/>
      <c r="Q570" s="90"/>
      <c r="R570" s="80"/>
      <c r="S570" s="90"/>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80"/>
      <c r="D571" s="80"/>
      <c r="E571" s="80"/>
      <c r="F571" s="80"/>
      <c r="G571" s="80"/>
      <c r="H571" s="80"/>
      <c r="I571" s="80"/>
      <c r="J571" s="80"/>
      <c r="K571" s="80"/>
      <c r="L571" s="80"/>
      <c r="M571" s="80"/>
      <c r="N571" s="80"/>
      <c r="O571" s="80"/>
      <c r="P571" s="89"/>
      <c r="Q571" s="89"/>
      <c r="R571" s="80"/>
      <c r="S571" s="8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8"/>
      <c r="F572" s="87"/>
      <c r="G572" s="80"/>
      <c r="H572" s="88"/>
      <c r="I572" s="87"/>
      <c r="J572" s="87"/>
      <c r="K572" s="88"/>
      <c r="L572" s="87"/>
      <c r="M572" s="88"/>
      <c r="N572" s="87"/>
      <c r="O572" s="88"/>
      <c r="P572" s="87"/>
      <c r="Q572" s="88"/>
      <c r="R572" s="88"/>
      <c r="S572" s="80"/>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79"/>
      <c r="D573" s="79"/>
      <c r="E573" s="90"/>
      <c r="F573" s="89"/>
      <c r="G573" s="79"/>
      <c r="H573" s="90"/>
      <c r="I573" s="89"/>
      <c r="J573" s="89"/>
      <c r="K573" s="90"/>
      <c r="L573" s="89"/>
      <c r="M573" s="90"/>
      <c r="N573" s="89"/>
      <c r="O573" s="90"/>
      <c r="P573" s="89"/>
      <c r="Q573" s="90"/>
      <c r="R573" s="90"/>
      <c r="S573" s="90"/>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80"/>
      <c r="D574" s="80"/>
      <c r="E574" s="88"/>
      <c r="F574" s="87"/>
      <c r="G574" s="80"/>
      <c r="H574" s="88"/>
      <c r="I574" s="87"/>
      <c r="J574" s="88"/>
      <c r="K574" s="87"/>
      <c r="L574" s="88"/>
      <c r="M574" s="80"/>
      <c r="N574" s="88"/>
      <c r="O574" s="87"/>
      <c r="P574" s="90"/>
      <c r="Q574" s="89"/>
      <c r="R574" s="89"/>
      <c r="S574" s="88"/>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88"/>
      <c r="Q575" s="80"/>
      <c r="R575" s="87"/>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0"/>
      <c r="F576" s="80"/>
      <c r="G576" s="80"/>
      <c r="H576" s="80"/>
      <c r="I576" s="80"/>
      <c r="J576" s="80"/>
      <c r="K576" s="80"/>
      <c r="L576" s="80"/>
      <c r="M576" s="80"/>
      <c r="N576" s="80"/>
      <c r="O576" s="80"/>
      <c r="P576" s="80"/>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8"/>
      <c r="F577" s="87"/>
      <c r="G577" s="80"/>
      <c r="H577" s="88"/>
      <c r="I577" s="87"/>
      <c r="J577" s="88"/>
      <c r="K577" s="87"/>
      <c r="L577" s="88"/>
      <c r="M577" s="80"/>
      <c r="N577" s="88"/>
      <c r="O577" s="87"/>
      <c r="P577" s="88"/>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8"/>
      <c r="F582" s="87"/>
      <c r="G582" s="80"/>
      <c r="H582" s="88"/>
      <c r="I582" s="87"/>
      <c r="J582" s="88"/>
      <c r="K582" s="87"/>
      <c r="L582" s="88"/>
      <c r="M582" s="80"/>
      <c r="N582" s="88"/>
      <c r="O582" s="87"/>
      <c r="P582" s="88"/>
      <c r="Q582" s="80"/>
      <c r="R582" s="87"/>
      <c r="S582" s="88"/>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8"/>
      <c r="F583" s="87"/>
      <c r="G583" s="80"/>
      <c r="H583" s="88"/>
      <c r="I583" s="87"/>
      <c r="J583" s="88"/>
      <c r="K583" s="87"/>
      <c r="L583" s="88"/>
      <c r="M583" s="80"/>
      <c r="N583" s="88"/>
      <c r="O583" s="87"/>
      <c r="P583" s="88"/>
      <c r="Q583" s="80"/>
      <c r="R583" s="87"/>
      <c r="S583" s="88"/>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0"/>
      <c r="F584" s="80"/>
      <c r="G584" s="80"/>
      <c r="H584" s="80"/>
      <c r="I584" s="80"/>
      <c r="J584" s="80"/>
      <c r="K584" s="80"/>
      <c r="L584" s="80"/>
      <c r="M584" s="80"/>
      <c r="N584" s="80"/>
      <c r="O584" s="80"/>
      <c r="P584" s="80"/>
      <c r="Q584" s="80"/>
      <c r="R584" s="80"/>
      <c r="S584" s="80"/>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80"/>
      <c r="D645" s="80"/>
      <c r="E645" s="80"/>
      <c r="F645" s="80"/>
      <c r="G645" s="80"/>
      <c r="H645" s="80"/>
      <c r="I645" s="80"/>
      <c r="J645" s="80"/>
      <c r="K645" s="80"/>
      <c r="L645" s="80"/>
      <c r="M645" s="80"/>
      <c r="N645" s="80"/>
      <c r="O645" s="8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0"/>
      <c r="D646" s="80"/>
      <c r="E646" s="80"/>
      <c r="F646" s="80"/>
      <c r="G646" s="80"/>
      <c r="H646" s="80"/>
      <c r="I646" s="80"/>
      <c r="J646" s="80"/>
      <c r="K646" s="80"/>
      <c r="L646" s="80"/>
      <c r="M646" s="80"/>
      <c r="N646" s="80"/>
      <c r="O646" s="80"/>
      <c r="P646" s="80"/>
      <c r="Q646" s="80"/>
      <c r="R646" s="80"/>
      <c r="S646" s="80"/>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91"/>
      <c r="D647" s="80"/>
      <c r="E647" s="80"/>
      <c r="F647" s="80"/>
      <c r="G647" s="80"/>
      <c r="H647" s="80"/>
      <c r="I647" s="80"/>
      <c r="J647" s="80"/>
      <c r="K647" s="80"/>
      <c r="L647" s="80"/>
      <c r="M647" s="80"/>
      <c r="N647" s="80"/>
      <c r="O647" s="644"/>
      <c r="P647" s="80"/>
      <c r="Q647" s="80"/>
      <c r="R647" s="80"/>
      <c r="S647" s="80"/>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82"/>
      <c r="D648" s="85"/>
      <c r="E648" s="85"/>
      <c r="F648" s="85"/>
      <c r="G648" s="85"/>
      <c r="H648" s="85"/>
      <c r="I648" s="85"/>
      <c r="J648" s="85"/>
      <c r="K648" s="85"/>
      <c r="L648" s="85"/>
      <c r="M648" s="85"/>
      <c r="N648" s="85"/>
      <c r="O648" s="85"/>
      <c r="P648" s="85"/>
      <c r="Q648" s="645"/>
      <c r="R648" s="85"/>
      <c r="S648" s="85"/>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0"/>
      <c r="D649" s="83"/>
      <c r="E649" s="83"/>
      <c r="F649" s="646"/>
      <c r="G649" s="83"/>
      <c r="H649" s="83"/>
      <c r="I649" s="646"/>
      <c r="J649" s="86"/>
      <c r="K649" s="86"/>
      <c r="L649" s="92"/>
      <c r="M649" s="86"/>
      <c r="N649" s="86"/>
      <c r="O649" s="86"/>
      <c r="P649" s="86"/>
      <c r="Q649" s="641"/>
      <c r="R649" s="83"/>
      <c r="S649" s="646"/>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93"/>
      <c r="D650" s="80"/>
      <c r="E650" s="80"/>
      <c r="F650" s="85"/>
      <c r="G650" s="80"/>
      <c r="H650" s="80"/>
      <c r="I650" s="85"/>
      <c r="J650" s="85"/>
      <c r="K650" s="85"/>
      <c r="L650" s="80"/>
      <c r="M650" s="85"/>
      <c r="N650" s="85"/>
      <c r="O650" s="80"/>
      <c r="P650" s="85"/>
      <c r="Q650" s="85"/>
      <c r="R650" s="80"/>
      <c r="S650" s="85"/>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80"/>
      <c r="D651" s="80"/>
      <c r="E651" s="80"/>
      <c r="F651" s="88"/>
      <c r="G651" s="80"/>
      <c r="H651" s="80"/>
      <c r="I651" s="88"/>
      <c r="J651" s="88"/>
      <c r="K651" s="88"/>
      <c r="L651" s="88"/>
      <c r="M651" s="88"/>
      <c r="N651" s="88"/>
      <c r="O651" s="88"/>
      <c r="P651" s="88"/>
      <c r="Q651" s="88"/>
      <c r="R651" s="88"/>
      <c r="S651" s="88"/>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79"/>
      <c r="D652" s="79"/>
      <c r="E652" s="79"/>
      <c r="F652" s="90"/>
      <c r="G652" s="79"/>
      <c r="H652" s="79"/>
      <c r="I652" s="90"/>
      <c r="J652" s="90"/>
      <c r="K652" s="90"/>
      <c r="L652" s="90"/>
      <c r="M652" s="90"/>
      <c r="N652" s="90"/>
      <c r="O652" s="90"/>
      <c r="P652" s="90"/>
      <c r="Q652" s="90"/>
      <c r="R652" s="90"/>
      <c r="S652" s="90"/>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80"/>
      <c r="D653" s="80"/>
      <c r="E653" s="80"/>
      <c r="F653" s="80"/>
      <c r="G653" s="80"/>
      <c r="H653" s="80"/>
      <c r="I653" s="80"/>
      <c r="J653" s="88"/>
      <c r="K653" s="88"/>
      <c r="L653" s="88"/>
      <c r="M653" s="88"/>
      <c r="N653" s="88"/>
      <c r="O653" s="88"/>
      <c r="P653" s="88"/>
      <c r="Q653" s="88"/>
      <c r="R653" s="88"/>
      <c r="S653" s="88"/>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0"/>
      <c r="K654" s="88"/>
      <c r="L654" s="88"/>
      <c r="M654" s="80"/>
      <c r="N654" s="88"/>
      <c r="O654" s="88"/>
      <c r="P654" s="80"/>
      <c r="Q654" s="88"/>
      <c r="R654" s="88"/>
      <c r="S654" s="80"/>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88"/>
      <c r="M657" s="80"/>
      <c r="N657" s="88"/>
      <c r="O657" s="88"/>
      <c r="P657" s="80"/>
      <c r="Q657" s="88"/>
      <c r="R657" s="88"/>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8"/>
      <c r="L659" s="90"/>
      <c r="M659" s="80"/>
      <c r="N659" s="88"/>
      <c r="O659" s="88"/>
      <c r="P659" s="80"/>
      <c r="Q659" s="88"/>
      <c r="R659" s="90"/>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88"/>
      <c r="L660" s="88"/>
      <c r="M660" s="80"/>
      <c r="N660" s="88"/>
      <c r="O660" s="88"/>
      <c r="P660" s="80"/>
      <c r="Q660" s="88"/>
      <c r="R660" s="88"/>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0"/>
      <c r="L661" s="80"/>
      <c r="M661" s="80"/>
      <c r="N661" s="90"/>
      <c r="O661" s="90"/>
      <c r="P661" s="80"/>
      <c r="Q661" s="90"/>
      <c r="R661" s="80"/>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90"/>
      <c r="L662" s="90"/>
      <c r="M662" s="80"/>
      <c r="N662" s="88"/>
      <c r="O662" s="88"/>
      <c r="P662" s="80"/>
      <c r="Q662" s="88"/>
      <c r="R662" s="90"/>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88"/>
      <c r="L663" s="88"/>
      <c r="M663" s="80"/>
      <c r="N663" s="88"/>
      <c r="O663" s="88"/>
      <c r="P663" s="80"/>
      <c r="Q663" s="88"/>
      <c r="R663" s="88"/>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88"/>
      <c r="O669" s="88"/>
      <c r="P669" s="80"/>
      <c r="Q669" s="88"/>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88"/>
      <c r="L670" s="88"/>
      <c r="M670" s="80"/>
      <c r="N670" s="88"/>
      <c r="O670" s="88"/>
      <c r="P670" s="80"/>
      <c r="Q670" s="88"/>
      <c r="R670" s="88"/>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90"/>
      <c r="O671" s="90"/>
      <c r="P671" s="80"/>
      <c r="Q671" s="90"/>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90"/>
      <c r="L672" s="90"/>
      <c r="M672" s="80"/>
      <c r="N672" s="88"/>
      <c r="O672" s="88"/>
      <c r="P672" s="80"/>
      <c r="Q672" s="88"/>
      <c r="R672" s="90"/>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88"/>
      <c r="L673" s="88"/>
      <c r="M673" s="80"/>
      <c r="N673" s="88"/>
      <c r="O673" s="88"/>
      <c r="P673" s="80"/>
      <c r="Q673" s="88"/>
      <c r="R673" s="88"/>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8"/>
      <c r="O684" s="88"/>
      <c r="P684" s="80"/>
      <c r="Q684" s="88"/>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88"/>
      <c r="O685" s="88"/>
      <c r="P685" s="80"/>
      <c r="Q685" s="88"/>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8"/>
      <c r="L686" s="88"/>
      <c r="M686" s="80"/>
      <c r="N686" s="80"/>
      <c r="O686" s="80"/>
      <c r="P686" s="80"/>
      <c r="Q686" s="80"/>
      <c r="R686" s="88"/>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88"/>
      <c r="L687" s="88"/>
      <c r="M687" s="80"/>
      <c r="N687" s="90"/>
      <c r="O687" s="90"/>
      <c r="P687" s="80"/>
      <c r="Q687" s="90"/>
      <c r="R687" s="88"/>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0"/>
      <c r="L688" s="80"/>
      <c r="M688" s="80"/>
      <c r="N688" s="88"/>
      <c r="O688" s="88"/>
      <c r="P688" s="80"/>
      <c r="Q688" s="88"/>
      <c r="R688" s="80"/>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90"/>
      <c r="L689" s="90"/>
      <c r="M689" s="80"/>
      <c r="N689" s="88"/>
      <c r="O689" s="88"/>
      <c r="P689" s="80"/>
      <c r="Q689" s="88"/>
      <c r="R689" s="90"/>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88"/>
      <c r="L690" s="88"/>
      <c r="M690" s="80"/>
      <c r="N690" s="88"/>
      <c r="O690" s="88"/>
      <c r="P690" s="80"/>
      <c r="Q690" s="88"/>
      <c r="R690" s="88"/>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88"/>
      <c r="M694" s="80"/>
      <c r="N694" s="88"/>
      <c r="O694" s="88"/>
      <c r="P694" s="80"/>
      <c r="Q694" s="88"/>
      <c r="R694" s="88"/>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90"/>
      <c r="M696" s="80"/>
      <c r="N696" s="88"/>
      <c r="O696" s="88"/>
      <c r="P696" s="80"/>
      <c r="Q696" s="88"/>
      <c r="R696" s="90"/>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88"/>
      <c r="M697" s="80"/>
      <c r="N697" s="88"/>
      <c r="O697" s="88"/>
      <c r="P697" s="80"/>
      <c r="Q697" s="88"/>
      <c r="R697" s="88"/>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row r="698" spans="2:62" ht="15.75" customHeight="1">
      <c r="B698" s="3"/>
      <c r="C698" s="80"/>
      <c r="D698" s="80"/>
      <c r="E698" s="80"/>
      <c r="F698" s="80"/>
      <c r="G698" s="80"/>
      <c r="H698" s="80"/>
      <c r="I698" s="80"/>
      <c r="J698" s="80"/>
      <c r="K698" s="88"/>
      <c r="L698" s="88"/>
      <c r="M698" s="80"/>
      <c r="N698" s="88"/>
      <c r="O698" s="88"/>
      <c r="P698" s="80"/>
      <c r="Q698" s="88"/>
      <c r="R698" s="88"/>
      <c r="S698" s="80"/>
      <c r="T698" s="80"/>
      <c r="U698" s="80"/>
      <c r="V698" s="80"/>
      <c r="W698" s="80"/>
      <c r="X698" s="80"/>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row>
    <row r="699" spans="2:62" ht="15.75" customHeight="1">
      <c r="B699" s="3"/>
      <c r="C699" s="80"/>
      <c r="D699" s="80"/>
      <c r="E699" s="80"/>
      <c r="F699" s="80"/>
      <c r="G699" s="80"/>
      <c r="H699" s="80"/>
      <c r="I699" s="80"/>
      <c r="J699" s="80"/>
      <c r="K699" s="88"/>
      <c r="L699" s="88"/>
      <c r="M699" s="80"/>
      <c r="N699" s="90"/>
      <c r="O699" s="90"/>
      <c r="P699" s="80"/>
      <c r="Q699" s="90"/>
      <c r="R699" s="88"/>
      <c r="S699" s="80"/>
      <c r="T699" s="80"/>
      <c r="U699" s="80"/>
      <c r="V699" s="80"/>
      <c r="W699" s="80"/>
      <c r="X699" s="80"/>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row>
  </sheetData>
  <mergeCells count="42">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 ref="O238:Q238"/>
    <mergeCell ref="R238:S238"/>
    <mergeCell ref="G358:I358"/>
    <mergeCell ref="J358:L358"/>
    <mergeCell ref="M358:N358"/>
    <mergeCell ref="O358:Q358"/>
    <mergeCell ref="D238:F238"/>
    <mergeCell ref="G238:I238"/>
    <mergeCell ref="J238:L238"/>
    <mergeCell ref="M238:N238"/>
    <mergeCell ref="G170:I170"/>
    <mergeCell ref="J170:L170"/>
    <mergeCell ref="M170:N170"/>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s>
  <conditionalFormatting sqref="F5">
    <cfRule type="expression" dxfId="49" priority="159" stopIfTrue="1">
      <formula>"esterreur(reference)"</formula>
    </cfRule>
  </conditionalFormatting>
  <conditionalFormatting sqref="F184">
    <cfRule type="expression" dxfId="48" priority="146" stopIfTrue="1">
      <formula>"esterreur(reference)"</formula>
    </cfRule>
  </conditionalFormatting>
  <conditionalFormatting sqref="G185">
    <cfRule type="expression" dxfId="47" priority="344" stopIfTrue="1">
      <formula>"esterreur(reference)"</formula>
    </cfRule>
  </conditionalFormatting>
  <conditionalFormatting sqref="H360 J360:L360">
    <cfRule type="expression" dxfId="46" priority="328" stopIfTrue="1">
      <formula>"esterreur(reference)"</formula>
    </cfRule>
  </conditionalFormatting>
  <conditionalFormatting sqref="H197:L197">
    <cfRule type="expression" dxfId="45" priority="16" stopIfTrue="1">
      <formula>"esterreur(reference)"</formula>
    </cfRule>
  </conditionalFormatting>
  <conditionalFormatting sqref="H361:L364 H365:H376 J365:L376 H400 J400:K400">
    <cfRule type="expression" dxfId="44" priority="323" stopIfTrue="1">
      <formula>"esterreur(reference)"</formula>
    </cfRule>
  </conditionalFormatting>
  <conditionalFormatting sqref="H396:L399">
    <cfRule type="expression" dxfId="43" priority="325" stopIfTrue="1">
      <formula>"esterreur(reference)"</formula>
    </cfRule>
  </conditionalFormatting>
  <conditionalFormatting sqref="I377:L377 J378:L394 H378:H395">
    <cfRule type="expression" dxfId="42" priority="326" stopIfTrue="1">
      <formula>"esterreur(reference)"</formula>
    </cfRule>
  </conditionalFormatting>
  <conditionalFormatting sqref="J3 L6:L14 I13:J14 I16:J16 L16:L24 I17 I18:J18 J19 I20:J20 J21:J23 I24:J24 H25:L26 I27:J27 L27 H28:K28 H29:L30 J31:K48 H31:H72 J49:L72 F83:F85 H83:L85 H86:K88 L86:L90 H90:I90 K90 J90:J91 K93:L96 H97:L98 K99:L100 I101:L101 H101:H104 O101:Q153 J102:L104 I105:L108 H106:H134 I109:K109 I110:L111 J112:L121 I122:L122 J123:L134 H135:L135 H136:H152 J136:L152 H153:L153 H156:H157 J156:K157 H164:L164 H165 J165:K165 H166:K167 L166:L169 H169:I169 K169 J169:J196 H171:I171 K171:L173 H173:I174 L174 K175:L182 H176:I177 H179:I180 H182:I183 L183 K183:K184 H185:I187 K185:L196 H189:I190 H192:I196 H198:H229 J198:K229 H232:L232 H233 J233:K233 H234:K235 L234:L237 H237:I237 K237 J237:J240 H239:I240 K239:L241 H243:L243 H252:L253 H254:H284 J254:K284 L267:L284 H285:L285 H288:L288 H289 J289:K289 H290:K290 L290:L292 H292:I292 K292 J292:J293 H294:L294 J295:L303 H304:L306 J307:L308 H309:L311 J312:M312 H313:L313 H314:K315 H316:L317 L318:L329 H318:H348 J318:K348 H349:L349 H352:L352 H353:H355 J353:K355">
    <cfRule type="expression" dxfId="41" priority="1" stopIfTrue="1">
      <formula>"esterreur(reference)"</formula>
    </cfRule>
  </conditionalFormatting>
  <conditionalFormatting sqref="K287">
    <cfRule type="expression" dxfId="40" priority="148" stopIfTrue="1">
      <formula>"esterreur(reference)"</formula>
    </cfRule>
  </conditionalFormatting>
  <conditionalFormatting sqref="K395">
    <cfRule type="expression" dxfId="39" priority="329" stopIfTrue="1">
      <formula>"esterreur(reference)"</formula>
    </cfRule>
  </conditionalFormatting>
  <conditionalFormatting sqref="K5:L5">
    <cfRule type="expression" dxfId="38" priority="127" stopIfTrue="1">
      <formula>"esterreur(reference)"</formula>
    </cfRule>
  </conditionalFormatting>
  <conditionalFormatting sqref="K244:L244">
    <cfRule type="expression" dxfId="37" priority="101" stopIfTrue="1">
      <formula>"esterreur(reference)"</formula>
    </cfRule>
  </conditionalFormatting>
  <conditionalFormatting sqref="K247:L247">
    <cfRule type="expression" dxfId="36" priority="102" stopIfTrue="1">
      <formula>"esterreur(reference)"</formula>
    </cfRule>
  </conditionalFormatting>
  <conditionalFormatting sqref="L42:L48">
    <cfRule type="expression" dxfId="35" priority="30" stopIfTrue="1">
      <formula>"esterreur(reference)"</formula>
    </cfRule>
  </conditionalFormatting>
  <conditionalFormatting sqref="L75:L82">
    <cfRule type="expression" dxfId="34" priority="8" stopIfTrue="1">
      <formula>"esterreur(reference)"</formula>
    </cfRule>
  </conditionalFormatting>
  <conditionalFormatting sqref="L156:L162">
    <cfRule type="expression" dxfId="33" priority="80" stopIfTrue="1">
      <formula>"esterreur(reference)"</formula>
    </cfRule>
  </conditionalFormatting>
  <conditionalFormatting sqref="L198:L209">
    <cfRule type="expression" dxfId="32" priority="57" stopIfTrue="1">
      <formula>"esterreur(reference)"</formula>
    </cfRule>
  </conditionalFormatting>
  <conditionalFormatting sqref="L211:L228">
    <cfRule type="expression" dxfId="31" priority="59" stopIfTrue="1">
      <formula>"esterreur(reference)"</formula>
    </cfRule>
  </conditionalFormatting>
  <conditionalFormatting sqref="L254:L265">
    <cfRule type="expression" dxfId="30" priority="103" stopIfTrue="1">
      <formula>"esterreur(reference)"</formula>
    </cfRule>
  </conditionalFormatting>
  <conditionalFormatting sqref="L331:L348">
    <cfRule type="expression" dxfId="29" priority="23" stopIfTrue="1">
      <formula>"esterreur(reference)"</formula>
    </cfRule>
  </conditionalFormatting>
  <conditionalFormatting sqref="L356:L357 H357:I357 K357 J357:J358 H359:L359">
    <cfRule type="expression" dxfId="28" priority="324" stopIfTrue="1">
      <formula>"esterreur(reference)"</formula>
    </cfRule>
  </conditionalFormatting>
  <conditionalFormatting sqref="M95:M97">
    <cfRule type="expression" dxfId="27" priority="2" stopIfTrue="1">
      <formula>"esterreur(reference)"</formula>
    </cfRule>
  </conditionalFormatting>
  <conditionalFormatting sqref="O197:Q197">
    <cfRule type="expression" dxfId="26" priority="235" stopIfTrue="1">
      <formula>"esterreur(reference)"</formula>
    </cfRule>
  </conditionalFormatting>
  <conditionalFormatting sqref="O243:Q243 O252:Q253 O254:P284 Q267:Q284 O285:Q285 O288:Q288 O289:P289">
    <cfRule type="expression" dxfId="25" priority="263" stopIfTrue="1">
      <formula>"esterreur(reference)"</formula>
    </cfRule>
  </conditionalFormatting>
  <conditionalFormatting sqref="O295:Q317 Q318:Q329 O318:P348 O349:Q349 O352:Q352 O353:P353">
    <cfRule type="expression" dxfId="24" priority="292" stopIfTrue="1">
      <formula>"esterreur(reference)"</formula>
    </cfRule>
  </conditionalFormatting>
  <conditionalFormatting sqref="O359:Q394">
    <cfRule type="expression" dxfId="23" priority="333" stopIfTrue="1">
      <formula>"esterreur(reference)"</formula>
    </cfRule>
  </conditionalFormatting>
  <conditionalFormatting sqref="O396:Q399">
    <cfRule type="expression" dxfId="22" priority="336" stopIfTrue="1">
      <formula>"esterreur(reference)"</formula>
    </cfRule>
  </conditionalFormatting>
  <conditionalFormatting sqref="P5">
    <cfRule type="expression" dxfId="21" priority="161" stopIfTrue="1">
      <formula>"esterreur(reference)"</formula>
    </cfRule>
  </conditionalFormatting>
  <conditionalFormatting sqref="P175">
    <cfRule type="expression" dxfId="20" priority="257" stopIfTrue="1">
      <formula>"esterreur(reference)"</formula>
    </cfRule>
  </conditionalFormatting>
  <conditionalFormatting sqref="P287">
    <cfRule type="expression" dxfId="19" priority="290" stopIfTrue="1">
      <formula>"esterreur(reference)"</formula>
    </cfRule>
  </conditionalFormatting>
  <conditionalFormatting sqref="P395">
    <cfRule type="expression" dxfId="18" priority="338" stopIfTrue="1">
      <formula>"esterreur(reference)"</formula>
    </cfRule>
  </conditionalFormatting>
  <conditionalFormatting sqref="P93:Q96 O97:Q98 O156:P157 O164:Q164 O165:P165">
    <cfRule type="expression" dxfId="17" priority="193" stopIfTrue="1">
      <formula>"esterreur(reference)"</formula>
    </cfRule>
  </conditionalFormatting>
  <conditionalFormatting sqref="P99:Q100">
    <cfRule type="expression" dxfId="16" priority="191" stopIfTrue="1">
      <formula>"esterreur(reference)"</formula>
    </cfRule>
  </conditionalFormatting>
  <conditionalFormatting sqref="P172:Q173 O172:O196 Q174:Q175 P176:Q182 Q183 P183:P184 P185:Q196 O198:P229 O232:Q232 O233:P233">
    <cfRule type="expression" dxfId="15" priority="233" stopIfTrue="1">
      <formula>"esterreur(reference)"</formula>
    </cfRule>
  </conditionalFormatting>
  <conditionalFormatting sqref="P241:Q241">
    <cfRule type="expression" dxfId="14" priority="286" stopIfTrue="1">
      <formula>"esterreur(reference)"</formula>
    </cfRule>
  </conditionalFormatting>
  <conditionalFormatting sqref="P244:Q244">
    <cfRule type="expression" dxfId="13" priority="268" stopIfTrue="1">
      <formula>"esterreur(reference)"</formula>
    </cfRule>
  </conditionalFormatting>
  <conditionalFormatting sqref="P247:Q247">
    <cfRule type="expression" dxfId="12" priority="269" stopIfTrue="1">
      <formula>"esterreur(reference)"</formula>
    </cfRule>
  </conditionalFormatting>
  <conditionalFormatting sqref="Q5:Q14 O13:O14 O16 Q16:Q24 O18:O24 O25:Q26 O27 Q27 O28:Q72 O83:Q85">
    <cfRule type="expression" dxfId="11" priority="160" stopIfTrue="1">
      <formula>"esterreur(reference)"</formula>
    </cfRule>
  </conditionalFormatting>
  <conditionalFormatting sqref="Q75:Q82">
    <cfRule type="expression" dxfId="10" priority="186" stopIfTrue="1">
      <formula>"esterreur(reference)"</formula>
    </cfRule>
  </conditionalFormatting>
  <conditionalFormatting sqref="Q156:Q162">
    <cfRule type="expression" dxfId="9" priority="227" stopIfTrue="1">
      <formula>"esterreur(reference)"</formula>
    </cfRule>
  </conditionalFormatting>
  <conditionalFormatting sqref="Q198:Q209">
    <cfRule type="expression" dxfId="8" priority="236" stopIfTrue="1">
      <formula>"esterreur(reference)"</formula>
    </cfRule>
  </conditionalFormatting>
  <conditionalFormatting sqref="Q211:Q228">
    <cfRule type="expression" dxfId="7" priority="237" stopIfTrue="1">
      <formula>"esterreur(reference)"</formula>
    </cfRule>
  </conditionalFormatting>
  <conditionalFormatting sqref="Q254:Q265">
    <cfRule type="expression" dxfId="6" priority="270" stopIfTrue="1">
      <formula>"esterreur(reference)"</formula>
    </cfRule>
  </conditionalFormatting>
  <conditionalFormatting sqref="Q331:Q348">
    <cfRule type="expression" dxfId="5" priority="294" stopIfTrue="1">
      <formula>"esterreur(reference)"</formula>
    </cfRule>
  </conditionalFormatting>
  <conditionalFormatting sqref="R312">
    <cfRule type="expression" dxfId="4" priority="10" stopIfTrue="1">
      <formula>"esterreur(reference)"</formula>
    </cfRule>
  </conditionalFormatting>
  <conditionalFormatting sqref="S186">
    <cfRule type="expression" dxfId="3" priority="147" stopIfTrue="1">
      <formula>"esterreur(reference)"</formula>
    </cfRule>
  </conditionalFormatting>
  <conditionalFormatting sqref="AG409:AI418 AH420:AI431 AG432:AI432 AH433:AI451 AH453:AI460 AH461:AH465 AH467:AI468 AH491:AI497">
    <cfRule type="cellIs" dxfId="2" priority="11" operator="greaterThan">
      <formula>0</formula>
    </cfRule>
  </conditionalFormatting>
  <conditionalFormatting sqref="AH469:AI480">
    <cfRule type="cellIs" dxfId="1" priority="12" operator="lessThan">
      <formula>0</formula>
    </cfRule>
  </conditionalFormatting>
  <conditionalFormatting sqref="AO409:AO418">
    <cfRule type="cellIs" dxfId="0" priority="149" operator="greaterThan">
      <formula>0</formula>
    </cfRule>
  </conditionalFormatting>
  <printOptions horizontalCentered="1"/>
  <pageMargins left="0.23622047244094491" right="0.23622047244094491" top="0.23622047244094491" bottom="0.31496062992125984" header="0" footer="0.23622047244094491"/>
  <pageSetup scale="43" orientation="landscape" r:id="rId1"/>
  <headerFooter>
    <oddFooter>&amp;L&amp;F&amp;CPage &amp;P de &amp;RImprimé le &amp;D @ &amp;T</oddFooter>
  </headerFooter>
  <rowBreaks count="14" manualBreakCount="14">
    <brk id="87" min="2" max="18" man="1"/>
    <brk id="167" min="2" max="18" man="1"/>
    <brk id="235" min="2" max="18" man="1"/>
    <brk id="290" min="2" max="18" man="1"/>
    <brk id="353" man="1"/>
    <brk id="290" man="1"/>
    <brk id="483" man="1"/>
    <brk id="355" man="1"/>
    <brk id="484" man="1"/>
    <brk id="85" man="1"/>
    <brk id="167" man="1"/>
    <brk id="88" man="1"/>
    <brk id="235" man="1"/>
    <brk id="399" man="1"/>
  </rowBreak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sheetViews>
  <sheetFormatPr baseColWidth="10" defaultColWidth="12.625" defaultRowHeight="15" customHeight="1"/>
  <cols>
    <col min="1" max="1" width="19.875" customWidth="1"/>
    <col min="2" max="4" width="11" customWidth="1"/>
    <col min="5" max="5" width="2" customWidth="1"/>
    <col min="6" max="8" width="11" customWidth="1"/>
    <col min="9" max="9" width="2" customWidth="1"/>
    <col min="10" max="10" width="9.625" customWidth="1"/>
    <col min="11" max="11" width="2" customWidth="1"/>
    <col min="12" max="12" width="9.625" customWidth="1"/>
    <col min="13" max="13" width="2" customWidth="1"/>
    <col min="14" max="14" width="9.625" customWidth="1"/>
    <col min="15" max="15" width="6.875" customWidth="1"/>
    <col min="16" max="26" width="11" customWidth="1"/>
  </cols>
  <sheetData>
    <row r="1" spans="1:26">
      <c r="A1" s="3"/>
      <c r="B1" s="3"/>
      <c r="C1" s="3"/>
      <c r="D1" s="3"/>
      <c r="E1" s="3"/>
      <c r="F1" s="3"/>
      <c r="G1" s="3"/>
      <c r="H1" s="3"/>
      <c r="I1" s="3"/>
      <c r="J1" s="3"/>
      <c r="K1" s="3"/>
      <c r="L1" s="3"/>
      <c r="M1" s="3"/>
      <c r="N1" s="3"/>
      <c r="O1" s="3"/>
      <c r="P1" s="3"/>
      <c r="Q1" s="3"/>
      <c r="R1" s="3"/>
      <c r="S1" s="3"/>
      <c r="T1" s="3"/>
      <c r="U1" s="3"/>
      <c r="V1" s="3"/>
      <c r="W1" s="3"/>
      <c r="X1" s="3"/>
      <c r="Y1" s="3"/>
      <c r="Z1" s="3"/>
    </row>
    <row r="2" spans="1:26">
      <c r="A2" s="556" t="s">
        <v>180</v>
      </c>
      <c r="B2" s="1250" t="s">
        <v>682</v>
      </c>
      <c r="C2" s="1251"/>
      <c r="D2" s="1252"/>
      <c r="E2" s="3"/>
      <c r="F2" s="1250" t="s">
        <v>683</v>
      </c>
      <c r="G2" s="1251"/>
      <c r="H2" s="1252"/>
      <c r="I2" s="3"/>
      <c r="J2" s="589" t="s">
        <v>655</v>
      </c>
      <c r="K2" s="3"/>
      <c r="L2" s="589" t="s">
        <v>684</v>
      </c>
      <c r="M2" s="3"/>
      <c r="N2" s="589" t="s">
        <v>685</v>
      </c>
      <c r="O2" s="3"/>
      <c r="P2" s="1250" t="s">
        <v>686</v>
      </c>
      <c r="Q2" s="1252"/>
      <c r="R2" s="3"/>
      <c r="S2" s="3"/>
      <c r="T2" s="3"/>
      <c r="U2" s="3"/>
      <c r="V2" s="3"/>
      <c r="W2" s="3"/>
      <c r="X2" s="3"/>
      <c r="Y2" s="3"/>
      <c r="Z2" s="3"/>
    </row>
    <row r="3" spans="1:26">
      <c r="A3" s="3"/>
      <c r="B3" s="557" t="s">
        <v>163</v>
      </c>
      <c r="C3" s="557" t="s">
        <v>181</v>
      </c>
      <c r="D3" s="557" t="s">
        <v>95</v>
      </c>
      <c r="E3" s="3"/>
      <c r="F3" s="557" t="s">
        <v>163</v>
      </c>
      <c r="G3" s="557" t="s">
        <v>181</v>
      </c>
      <c r="H3" s="557" t="s">
        <v>95</v>
      </c>
      <c r="I3" s="3"/>
      <c r="J3" s="205"/>
      <c r="K3" s="3"/>
      <c r="L3" s="205"/>
      <c r="M3" s="3"/>
      <c r="N3" s="205"/>
      <c r="O3" s="3"/>
      <c r="P3" s="557" t="s">
        <v>530</v>
      </c>
      <c r="Q3" s="557" t="s">
        <v>687</v>
      </c>
      <c r="R3" s="3"/>
      <c r="S3" s="3"/>
      <c r="T3" s="3"/>
      <c r="U3" s="3"/>
      <c r="V3" s="3"/>
      <c r="W3" s="3"/>
      <c r="X3" s="3"/>
      <c r="Y3" s="3"/>
      <c r="Z3" s="3"/>
    </row>
    <row r="4" spans="1:26">
      <c r="A4" s="3" t="s">
        <v>182</v>
      </c>
      <c r="B4" s="565">
        <f>+Print_Mois!J295</f>
        <v>118021.43</v>
      </c>
      <c r="C4" s="590">
        <f t="shared" ref="C4:C9" si="0">D4/B4</f>
        <v>0.31805825433567442</v>
      </c>
      <c r="D4" s="565">
        <f>+Print_Mois!L295</f>
        <v>37537.689999999995</v>
      </c>
      <c r="E4" s="3"/>
      <c r="F4" s="565">
        <f>+Print_Mois!G295</f>
        <v>0</v>
      </c>
      <c r="G4" s="590" t="e">
        <f t="shared" ref="G4:G9" si="1">H4/F4</f>
        <v>#DIV/0!</v>
      </c>
      <c r="H4" s="565">
        <f>+Print_Mois!I295</f>
        <v>0</v>
      </c>
      <c r="I4" s="3"/>
      <c r="J4" s="566">
        <f t="shared" ref="J4:J11" si="2">+D4-H4</f>
        <v>37537.689999999995</v>
      </c>
      <c r="K4" s="3"/>
      <c r="L4" s="566" t="e">
        <f t="shared" ref="L4:L9" si="3">(B4-F4)*G4</f>
        <v>#DIV/0!</v>
      </c>
      <c r="M4" s="3"/>
      <c r="N4" s="566" t="e">
        <f t="shared" ref="N4:N9" si="4">B4*(C4-G4)</f>
        <v>#DIV/0!</v>
      </c>
      <c r="O4" s="3"/>
      <c r="P4" s="567" t="e">
        <f t="shared" ref="P4:P9" si="5">+B4/F4</f>
        <v>#DIV/0!</v>
      </c>
      <c r="Q4" s="567" t="e">
        <f t="shared" ref="Q4:Q10" si="6">+D4/H4</f>
        <v>#DIV/0!</v>
      </c>
      <c r="R4" s="3"/>
      <c r="S4" s="3"/>
      <c r="T4" s="3"/>
      <c r="U4" s="3"/>
      <c r="V4" s="3"/>
      <c r="W4" s="3"/>
      <c r="X4" s="3"/>
      <c r="Y4" s="3"/>
      <c r="Z4" s="3"/>
    </row>
    <row r="5" spans="1:26">
      <c r="A5" s="3" t="s">
        <v>183</v>
      </c>
      <c r="B5" s="565">
        <f>+Print_Mois!J296</f>
        <v>1379.61</v>
      </c>
      <c r="C5" s="590">
        <f t="shared" si="0"/>
        <v>0.2307898609027188</v>
      </c>
      <c r="D5" s="565">
        <f>+Print_Mois!L296</f>
        <v>318.39999999999986</v>
      </c>
      <c r="E5" s="3"/>
      <c r="F5" s="565">
        <f>+Print_Mois!G296</f>
        <v>0</v>
      </c>
      <c r="G5" s="590" t="e">
        <f t="shared" si="1"/>
        <v>#DIV/0!</v>
      </c>
      <c r="H5" s="565">
        <f>+Print_Mois!I296</f>
        <v>0</v>
      </c>
      <c r="I5" s="3"/>
      <c r="J5" s="566">
        <f t="shared" si="2"/>
        <v>318.39999999999986</v>
      </c>
      <c r="K5" s="3"/>
      <c r="L5" s="566" t="e">
        <f t="shared" si="3"/>
        <v>#DIV/0!</v>
      </c>
      <c r="M5" s="3"/>
      <c r="N5" s="566" t="e">
        <f t="shared" si="4"/>
        <v>#DIV/0!</v>
      </c>
      <c r="O5" s="3"/>
      <c r="P5" s="567" t="e">
        <f t="shared" si="5"/>
        <v>#DIV/0!</v>
      </c>
      <c r="Q5" s="567" t="e">
        <f t="shared" si="6"/>
        <v>#DIV/0!</v>
      </c>
      <c r="R5" s="3"/>
      <c r="S5" s="3"/>
      <c r="T5" s="3"/>
      <c r="U5" s="3"/>
      <c r="V5" s="3"/>
      <c r="W5" s="3"/>
      <c r="X5" s="3"/>
      <c r="Y5" s="3"/>
      <c r="Z5" s="3"/>
    </row>
    <row r="6" spans="1:26">
      <c r="A6" s="3" t="s">
        <v>184</v>
      </c>
      <c r="B6" s="565">
        <f>+Print_Mois!J297</f>
        <v>85718.31</v>
      </c>
      <c r="C6" s="590">
        <f t="shared" si="0"/>
        <v>0.2366525891609389</v>
      </c>
      <c r="D6" s="565">
        <f>+Print_Mois!L297</f>
        <v>20285.46</v>
      </c>
      <c r="E6" s="3"/>
      <c r="F6" s="565">
        <f>+Print_Mois!G297</f>
        <v>0</v>
      </c>
      <c r="G6" s="590" t="e">
        <f t="shared" si="1"/>
        <v>#DIV/0!</v>
      </c>
      <c r="H6" s="565">
        <f>+Print_Mois!I297</f>
        <v>0</v>
      </c>
      <c r="I6" s="3"/>
      <c r="J6" s="566">
        <f t="shared" si="2"/>
        <v>20285.46</v>
      </c>
      <c r="K6" s="3"/>
      <c r="L6" s="566" t="e">
        <f t="shared" si="3"/>
        <v>#DIV/0!</v>
      </c>
      <c r="M6" s="3"/>
      <c r="N6" s="566" t="e">
        <f t="shared" si="4"/>
        <v>#DIV/0!</v>
      </c>
      <c r="O6" s="3"/>
      <c r="P6" s="567" t="e">
        <f t="shared" si="5"/>
        <v>#DIV/0!</v>
      </c>
      <c r="Q6" s="567" t="e">
        <f t="shared" si="6"/>
        <v>#DIV/0!</v>
      </c>
      <c r="R6" s="3"/>
      <c r="S6" s="3"/>
      <c r="T6" s="3"/>
      <c r="U6" s="3"/>
      <c r="V6" s="3"/>
      <c r="W6" s="3"/>
      <c r="X6" s="3"/>
      <c r="Y6" s="3"/>
      <c r="Z6" s="3"/>
    </row>
    <row r="7" spans="1:26">
      <c r="A7" s="3" t="s">
        <v>185</v>
      </c>
      <c r="B7" s="565">
        <f>+Print_Mois!J298</f>
        <v>56839.72</v>
      </c>
      <c r="C7" s="590">
        <f t="shared" si="0"/>
        <v>0.28767435870549679</v>
      </c>
      <c r="D7" s="565">
        <f>+Print_Mois!L298</f>
        <v>16351.330000000002</v>
      </c>
      <c r="E7" s="3"/>
      <c r="F7" s="565">
        <f>+Print_Mois!G298</f>
        <v>0</v>
      </c>
      <c r="G7" s="590" t="e">
        <f t="shared" si="1"/>
        <v>#DIV/0!</v>
      </c>
      <c r="H7" s="565">
        <f>+Print_Mois!I298</f>
        <v>0</v>
      </c>
      <c r="I7" s="3"/>
      <c r="J7" s="566">
        <f t="shared" si="2"/>
        <v>16351.330000000002</v>
      </c>
      <c r="K7" s="3"/>
      <c r="L7" s="566" t="e">
        <f t="shared" si="3"/>
        <v>#DIV/0!</v>
      </c>
      <c r="M7" s="3"/>
      <c r="N7" s="566" t="e">
        <f t="shared" si="4"/>
        <v>#DIV/0!</v>
      </c>
      <c r="O7" s="3"/>
      <c r="P7" s="567" t="e">
        <f t="shared" si="5"/>
        <v>#DIV/0!</v>
      </c>
      <c r="Q7" s="567" t="e">
        <f t="shared" si="6"/>
        <v>#DIV/0!</v>
      </c>
      <c r="R7" s="3"/>
      <c r="S7" s="3"/>
      <c r="T7" s="3"/>
      <c r="U7" s="3"/>
      <c r="V7" s="3"/>
      <c r="W7" s="3"/>
      <c r="X7" s="3"/>
      <c r="Y7" s="3"/>
      <c r="Z7" s="3"/>
    </row>
    <row r="8" spans="1:26">
      <c r="A8" s="3" t="s">
        <v>186</v>
      </c>
      <c r="B8" s="565">
        <f>+Print_Mois!J299</f>
        <v>22502.2</v>
      </c>
      <c r="C8" s="590">
        <f t="shared" si="0"/>
        <v>0.24628525210868266</v>
      </c>
      <c r="D8" s="565">
        <f>+Print_Mois!L299</f>
        <v>5541.9599999999991</v>
      </c>
      <c r="E8" s="3"/>
      <c r="F8" s="565">
        <f>+Print_Mois!G299</f>
        <v>0</v>
      </c>
      <c r="G8" s="590" t="e">
        <f t="shared" si="1"/>
        <v>#DIV/0!</v>
      </c>
      <c r="H8" s="565">
        <f>+Print_Mois!I299</f>
        <v>0</v>
      </c>
      <c r="I8" s="3"/>
      <c r="J8" s="566">
        <f t="shared" si="2"/>
        <v>5541.9599999999991</v>
      </c>
      <c r="K8" s="3"/>
      <c r="L8" s="566" t="e">
        <f t="shared" si="3"/>
        <v>#DIV/0!</v>
      </c>
      <c r="M8" s="3"/>
      <c r="N8" s="566" t="e">
        <f t="shared" si="4"/>
        <v>#DIV/0!</v>
      </c>
      <c r="O8" s="3"/>
      <c r="P8" s="567" t="e">
        <f t="shared" si="5"/>
        <v>#DIV/0!</v>
      </c>
      <c r="Q8" s="567" t="e">
        <f t="shared" si="6"/>
        <v>#DIV/0!</v>
      </c>
      <c r="R8" s="3"/>
      <c r="S8" s="3"/>
      <c r="T8" s="3"/>
      <c r="U8" s="3"/>
      <c r="V8" s="3"/>
      <c r="W8" s="3"/>
      <c r="X8" s="3"/>
      <c r="Y8" s="3"/>
      <c r="Z8" s="3"/>
    </row>
    <row r="9" spans="1:26">
      <c r="A9" s="3" t="s">
        <v>187</v>
      </c>
      <c r="B9" s="565">
        <f>+Print_Mois!J300</f>
        <v>196342.46</v>
      </c>
      <c r="C9" s="590">
        <f t="shared" si="0"/>
        <v>0.13329399051025437</v>
      </c>
      <c r="D9" s="565">
        <f>+Print_Mois!L300</f>
        <v>26171.269999999997</v>
      </c>
      <c r="E9" s="3"/>
      <c r="F9" s="565">
        <f>+Print_Mois!G300</f>
        <v>0</v>
      </c>
      <c r="G9" s="590" t="e">
        <f t="shared" si="1"/>
        <v>#DIV/0!</v>
      </c>
      <c r="H9" s="565">
        <f>+Print_Mois!I300</f>
        <v>0</v>
      </c>
      <c r="I9" s="3"/>
      <c r="J9" s="566">
        <f t="shared" si="2"/>
        <v>26171.269999999997</v>
      </c>
      <c r="K9" s="3"/>
      <c r="L9" s="566" t="e">
        <f t="shared" si="3"/>
        <v>#DIV/0!</v>
      </c>
      <c r="M9" s="3"/>
      <c r="N9" s="566" t="e">
        <f t="shared" si="4"/>
        <v>#DIV/0!</v>
      </c>
      <c r="O9" s="3"/>
      <c r="P9" s="567" t="e">
        <f t="shared" si="5"/>
        <v>#DIV/0!</v>
      </c>
      <c r="Q9" s="567" t="e">
        <f t="shared" si="6"/>
        <v>#DIV/0!</v>
      </c>
      <c r="R9" s="3"/>
      <c r="S9" s="3"/>
      <c r="T9" s="3"/>
      <c r="U9" s="3"/>
      <c r="V9" s="3"/>
      <c r="W9" s="3"/>
      <c r="X9" s="3"/>
      <c r="Y9" s="3"/>
      <c r="Z9" s="3"/>
    </row>
    <row r="10" spans="1:26">
      <c r="A10" s="3" t="s">
        <v>188</v>
      </c>
      <c r="B10" s="565"/>
      <c r="C10" s="590"/>
      <c r="D10" s="565">
        <f>+Print_Mois!L302</f>
        <v>3743.16</v>
      </c>
      <c r="E10" s="3"/>
      <c r="F10" s="565"/>
      <c r="G10" s="590"/>
      <c r="H10" s="565">
        <f>+Print_Mois!I302</f>
        <v>0</v>
      </c>
      <c r="I10" s="3"/>
      <c r="J10" s="566">
        <f t="shared" si="2"/>
        <v>3743.16</v>
      </c>
      <c r="K10" s="3"/>
      <c r="L10" s="566" t="e">
        <f>(H10/(H4+H5+H6+H7+H8+H9)*(D4+D5+D6+D7+D8+D9))-D10</f>
        <v>#DIV/0!</v>
      </c>
      <c r="M10" s="3"/>
      <c r="N10" s="566" t="e">
        <f t="shared" ref="N10:N11" si="7">+J10-L10</f>
        <v>#DIV/0!</v>
      </c>
      <c r="O10" s="3"/>
      <c r="P10" s="567"/>
      <c r="Q10" s="567" t="e">
        <f t="shared" si="6"/>
        <v>#DIV/0!</v>
      </c>
      <c r="R10" s="3"/>
      <c r="S10" s="3"/>
      <c r="T10" s="3"/>
      <c r="U10" s="3"/>
      <c r="V10" s="3"/>
      <c r="W10" s="3"/>
      <c r="X10" s="3"/>
      <c r="Y10" s="3"/>
      <c r="Z10" s="3"/>
    </row>
    <row r="11" spans="1:26">
      <c r="A11" s="3" t="s">
        <v>189</v>
      </c>
      <c r="B11" s="565"/>
      <c r="C11" s="590"/>
      <c r="D11" s="565"/>
      <c r="E11" s="3"/>
      <c r="F11" s="565"/>
      <c r="G11" s="590"/>
      <c r="H11" s="565"/>
      <c r="I11" s="3"/>
      <c r="J11" s="566">
        <f t="shared" si="2"/>
        <v>0</v>
      </c>
      <c r="K11" s="3"/>
      <c r="L11" s="566">
        <f>(B11-F11)*G11</f>
        <v>0</v>
      </c>
      <c r="M11" s="3"/>
      <c r="N11" s="566">
        <f t="shared" si="7"/>
        <v>0</v>
      </c>
      <c r="O11" s="3"/>
      <c r="P11" s="33"/>
      <c r="Q11" s="33"/>
      <c r="R11" s="3"/>
      <c r="S11" s="3"/>
      <c r="T11" s="3"/>
      <c r="U11" s="3"/>
      <c r="V11" s="3"/>
      <c r="W11" s="3"/>
      <c r="X11" s="3"/>
      <c r="Y11" s="3"/>
      <c r="Z11" s="3"/>
    </row>
    <row r="12" spans="1:26">
      <c r="A12" s="3" t="s">
        <v>190</v>
      </c>
      <c r="B12" s="591">
        <f>SUM(B4:B11)</f>
        <v>480803.73</v>
      </c>
      <c r="C12" s="592">
        <f>+D12/B12</f>
        <v>0.2286780720274362</v>
      </c>
      <c r="D12" s="591">
        <f>SUM(D4:D11)</f>
        <v>109949.26999999999</v>
      </c>
      <c r="E12" s="3"/>
      <c r="F12" s="591">
        <f>SUM(F4:F11)</f>
        <v>0</v>
      </c>
      <c r="G12" s="592" t="e">
        <f>+H12/F12</f>
        <v>#DIV/0!</v>
      </c>
      <c r="H12" s="591">
        <f>SUM(H4:H11)</f>
        <v>0</v>
      </c>
      <c r="I12" s="3"/>
      <c r="J12" s="591">
        <f>SUM(J4:J11)</f>
        <v>109949.26999999999</v>
      </c>
      <c r="K12" s="3"/>
      <c r="L12" s="591" t="e">
        <f>SUM(L4:L11)</f>
        <v>#DIV/0!</v>
      </c>
      <c r="M12" s="3"/>
      <c r="N12" s="591" t="e">
        <f>SUM(N4:N11)</f>
        <v>#DIV/0!</v>
      </c>
      <c r="O12" s="3"/>
      <c r="P12" s="592" t="e">
        <f>+B12/F12</f>
        <v>#DIV/0!</v>
      </c>
      <c r="Q12" s="592" t="e">
        <f>+D12/H12</f>
        <v>#DIV/0!</v>
      </c>
      <c r="R12" s="3"/>
      <c r="S12" s="3"/>
      <c r="T12" s="3"/>
      <c r="U12" s="3"/>
      <c r="V12" s="3"/>
      <c r="W12" s="3"/>
      <c r="X12" s="3"/>
      <c r="Y12" s="3"/>
      <c r="Z12" s="3"/>
    </row>
    <row r="13" spans="1:26">
      <c r="A13" s="3"/>
      <c r="B13" s="566"/>
      <c r="C13" s="567"/>
      <c r="D13" s="566"/>
      <c r="E13" s="3"/>
      <c r="F13" s="566"/>
      <c r="G13" s="567"/>
      <c r="H13" s="566"/>
      <c r="I13" s="3"/>
      <c r="J13" s="566"/>
      <c r="K13" s="3"/>
      <c r="L13" s="566"/>
      <c r="M13" s="3"/>
      <c r="N13" s="566"/>
      <c r="O13" s="3"/>
      <c r="P13" s="33"/>
      <c r="Q13" s="33"/>
      <c r="R13" s="3"/>
      <c r="S13" s="3"/>
      <c r="T13" s="3"/>
      <c r="U13" s="3"/>
      <c r="V13" s="3"/>
      <c r="W13" s="3"/>
      <c r="X13" s="3"/>
      <c r="Y13" s="3"/>
      <c r="Z13" s="3"/>
    </row>
    <row r="14" spans="1:26">
      <c r="A14" s="3" t="s">
        <v>191</v>
      </c>
      <c r="B14" s="565">
        <f>+Print_Mois!J307</f>
        <v>41058.479999999996</v>
      </c>
      <c r="C14" s="590">
        <f t="shared" ref="C14:C15" si="8">D14/B14</f>
        <v>0.16683398898351812</v>
      </c>
      <c r="D14" s="565">
        <f>+Print_Mois!L307</f>
        <v>6849.949999999998</v>
      </c>
      <c r="E14" s="3"/>
      <c r="F14" s="565">
        <f>+Print_Mois!G307</f>
        <v>0</v>
      </c>
      <c r="G14" s="590" t="e">
        <f t="shared" ref="G14:G15" si="9">H14/F14</f>
        <v>#DIV/0!</v>
      </c>
      <c r="H14" s="565">
        <f>+Print_Mois!I307</f>
        <v>0</v>
      </c>
      <c r="I14" s="3"/>
      <c r="J14" s="566">
        <f t="shared" ref="J14:J15" si="10">+D14-H14</f>
        <v>6849.949999999998</v>
      </c>
      <c r="K14" s="3"/>
      <c r="L14" s="566" t="e">
        <f t="shared" ref="L14:L15" si="11">(B14-F14)*G14</f>
        <v>#DIV/0!</v>
      </c>
      <c r="M14" s="3"/>
      <c r="N14" s="566" t="e">
        <f t="shared" ref="N14:N15" si="12">B14*(C14-G14)</f>
        <v>#DIV/0!</v>
      </c>
      <c r="O14" s="3"/>
      <c r="P14" s="567" t="e">
        <f t="shared" ref="P14:P16" si="13">+B14/F14</f>
        <v>#DIV/0!</v>
      </c>
      <c r="Q14" s="567" t="e">
        <f t="shared" ref="Q14:Q16" si="14">+D14/H14</f>
        <v>#DIV/0!</v>
      </c>
      <c r="R14" s="3"/>
      <c r="S14" s="3"/>
      <c r="T14" s="3"/>
      <c r="U14" s="3"/>
      <c r="V14" s="3"/>
      <c r="W14" s="3"/>
      <c r="X14" s="3"/>
      <c r="Y14" s="3"/>
      <c r="Z14" s="3"/>
    </row>
    <row r="15" spans="1:26">
      <c r="A15" s="3" t="s">
        <v>192</v>
      </c>
      <c r="B15" s="565">
        <f>+Print_Mois!J308</f>
        <v>30042.26</v>
      </c>
      <c r="C15" s="590">
        <f t="shared" si="8"/>
        <v>0.26962452225631489</v>
      </c>
      <c r="D15" s="565">
        <f>+Print_Mois!L308</f>
        <v>8100.1299999999974</v>
      </c>
      <c r="E15" s="3"/>
      <c r="F15" s="565">
        <f>+Print_Mois!G308</f>
        <v>0</v>
      </c>
      <c r="G15" s="590" t="e">
        <f t="shared" si="9"/>
        <v>#DIV/0!</v>
      </c>
      <c r="H15" s="565">
        <f>+Print_Mois!I308</f>
        <v>0</v>
      </c>
      <c r="I15" s="3"/>
      <c r="J15" s="566">
        <f t="shared" si="10"/>
        <v>8100.1299999999974</v>
      </c>
      <c r="K15" s="3"/>
      <c r="L15" s="566" t="e">
        <f t="shared" si="11"/>
        <v>#DIV/0!</v>
      </c>
      <c r="M15" s="3"/>
      <c r="N15" s="566" t="e">
        <f t="shared" si="12"/>
        <v>#DIV/0!</v>
      </c>
      <c r="O15" s="3"/>
      <c r="P15" s="567" t="e">
        <f t="shared" si="13"/>
        <v>#DIV/0!</v>
      </c>
      <c r="Q15" s="567" t="e">
        <f t="shared" si="14"/>
        <v>#DIV/0!</v>
      </c>
      <c r="R15" s="3"/>
      <c r="S15" s="3"/>
      <c r="T15" s="3"/>
      <c r="U15" s="3"/>
      <c r="V15" s="3"/>
      <c r="W15" s="3"/>
      <c r="X15" s="3"/>
      <c r="Y15" s="3"/>
      <c r="Z15" s="3"/>
    </row>
    <row r="16" spans="1:26">
      <c r="A16" s="3" t="s">
        <v>193</v>
      </c>
      <c r="B16" s="593">
        <f>SUM(B14:B15)</f>
        <v>71100.739999999991</v>
      </c>
      <c r="C16" s="594">
        <f>+D16/B16</f>
        <v>0.21026616600614842</v>
      </c>
      <c r="D16" s="593">
        <f>SUM(D14:D15)</f>
        <v>14950.079999999994</v>
      </c>
      <c r="E16" s="3"/>
      <c r="F16" s="593">
        <f>SUM(F14:F15)</f>
        <v>0</v>
      </c>
      <c r="G16" s="594" t="e">
        <f>+H16/F16</f>
        <v>#DIV/0!</v>
      </c>
      <c r="H16" s="593">
        <f>SUM(H14:H15)</f>
        <v>0</v>
      </c>
      <c r="I16" s="3"/>
      <c r="J16" s="593">
        <f>SUM(J14:J15)</f>
        <v>14950.079999999994</v>
      </c>
      <c r="K16" s="3"/>
      <c r="L16" s="593" t="e">
        <f>SUM(L14:L15)</f>
        <v>#DIV/0!</v>
      </c>
      <c r="M16" s="3"/>
      <c r="N16" s="593" t="e">
        <f>SUM(N14:N15)</f>
        <v>#DIV/0!</v>
      </c>
      <c r="O16" s="3"/>
      <c r="P16" s="594" t="e">
        <f t="shared" si="13"/>
        <v>#DIV/0!</v>
      </c>
      <c r="Q16" s="594" t="e">
        <f t="shared" si="14"/>
        <v>#DIV/0!</v>
      </c>
      <c r="R16" s="3"/>
      <c r="S16" s="3"/>
      <c r="T16" s="3"/>
      <c r="U16" s="3"/>
      <c r="V16" s="3"/>
      <c r="W16" s="3"/>
      <c r="X16" s="3"/>
      <c r="Y16" s="3"/>
      <c r="Z16" s="3"/>
    </row>
    <row r="17" spans="1:26">
      <c r="A17" s="3"/>
      <c r="B17" s="566"/>
      <c r="C17" s="567"/>
      <c r="D17" s="566"/>
      <c r="E17" s="3"/>
      <c r="F17" s="566"/>
      <c r="G17" s="567"/>
      <c r="H17" s="566"/>
      <c r="I17" s="3"/>
      <c r="J17" s="566"/>
      <c r="K17" s="3"/>
      <c r="L17" s="566"/>
      <c r="M17" s="3"/>
      <c r="N17" s="566"/>
      <c r="O17" s="3"/>
      <c r="P17" s="567"/>
      <c r="Q17" s="567"/>
      <c r="R17" s="3"/>
      <c r="S17" s="3"/>
      <c r="T17" s="3"/>
      <c r="U17" s="3"/>
      <c r="V17" s="3"/>
      <c r="W17" s="3"/>
      <c r="X17" s="3"/>
      <c r="Y17" s="3"/>
      <c r="Z17" s="3"/>
    </row>
    <row r="18" spans="1:26">
      <c r="A18" s="3" t="s">
        <v>688</v>
      </c>
      <c r="B18" s="595">
        <f>+B12+B16</f>
        <v>551904.47</v>
      </c>
      <c r="C18" s="596">
        <f>+D18/B18</f>
        <v>0.22630610330081216</v>
      </c>
      <c r="D18" s="595">
        <f>+D12+D16</f>
        <v>124899.34999999998</v>
      </c>
      <c r="E18" s="3"/>
      <c r="F18" s="595">
        <f>+F12+F16</f>
        <v>0</v>
      </c>
      <c r="G18" s="596" t="e">
        <f>+H18/F18</f>
        <v>#DIV/0!</v>
      </c>
      <c r="H18" s="595">
        <f>+H12+H16</f>
        <v>0</v>
      </c>
      <c r="I18" s="3"/>
      <c r="J18" s="595">
        <f>+J12+J16</f>
        <v>124899.34999999998</v>
      </c>
      <c r="K18" s="3"/>
      <c r="L18" s="595" t="e">
        <f>+L12+L16</f>
        <v>#DIV/0!</v>
      </c>
      <c r="M18" s="3"/>
      <c r="N18" s="595" t="e">
        <f>+N12+N16</f>
        <v>#DIV/0!</v>
      </c>
      <c r="O18" s="3"/>
      <c r="P18" s="596" t="e">
        <f>+B18/F18</f>
        <v>#DIV/0!</v>
      </c>
      <c r="Q18" s="596" t="e">
        <f>+D18/H18</f>
        <v>#DIV/0!</v>
      </c>
      <c r="R18" s="3"/>
      <c r="S18" s="3"/>
      <c r="T18" s="3"/>
      <c r="U18" s="3"/>
      <c r="V18" s="3"/>
      <c r="W18" s="3"/>
      <c r="X18" s="3"/>
      <c r="Y18" s="3"/>
      <c r="Z18" s="3"/>
    </row>
    <row r="19" spans="1:26">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c r="A20" s="3"/>
      <c r="B20" s="3"/>
      <c r="C20" s="3"/>
      <c r="D20" s="597"/>
      <c r="E20" s="126" t="s">
        <v>689</v>
      </c>
      <c r="F20" s="595">
        <f>+B18-F18</f>
        <v>551904.47</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598"/>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598"/>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598"/>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B2:D2"/>
    <mergeCell ref="F2:H2"/>
    <mergeCell ref="P2:Q2"/>
  </mergeCells>
  <pageMargins left="0.7" right="0.7" top="0.75" bottom="0.75" header="0" footer="0"/>
  <pageSetup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Z1000"/>
  <sheetViews>
    <sheetView workbookViewId="0"/>
  </sheetViews>
  <sheetFormatPr baseColWidth="10" defaultColWidth="12.625" defaultRowHeight="15" customHeight="1"/>
  <cols>
    <col min="1" max="1" width="3.25" customWidth="1"/>
    <col min="2" max="2" width="16.375" customWidth="1"/>
    <col min="3" max="5" width="11.125" customWidth="1"/>
    <col min="6" max="6" width="3.25" customWidth="1"/>
    <col min="7" max="7" width="16.375" customWidth="1"/>
    <col min="8" max="10" width="11.125" customWidth="1"/>
    <col min="11" max="11" width="3.25" customWidth="1"/>
    <col min="12" max="12" width="16.375" customWidth="1"/>
    <col min="13" max="15" width="11.125" customWidth="1"/>
    <col min="16" max="16" width="3.25" customWidth="1"/>
    <col min="17" max="17" width="16.375" customWidth="1"/>
    <col min="18" max="20" width="11.125" customWidth="1"/>
    <col min="21" max="26" width="11" customWidth="1"/>
  </cols>
  <sheetData>
    <row r="1" spans="1:26">
      <c r="A1" s="3"/>
      <c r="B1" s="1247" t="s">
        <v>700</v>
      </c>
      <c r="C1" s="1248"/>
      <c r="D1" s="1248"/>
      <c r="E1" s="1248"/>
      <c r="F1" s="1248"/>
      <c r="G1" s="1248"/>
      <c r="H1" s="1248"/>
      <c r="I1" s="1248"/>
      <c r="J1" s="1248"/>
      <c r="K1" s="1248"/>
      <c r="L1" s="1248"/>
      <c r="M1" s="1248"/>
      <c r="N1" s="1248"/>
      <c r="O1" s="1248"/>
      <c r="P1" s="1248"/>
      <c r="Q1" s="1248"/>
      <c r="R1" s="1248"/>
      <c r="S1" s="1248"/>
      <c r="T1" s="1249"/>
      <c r="U1" s="3"/>
      <c r="V1" s="3"/>
      <c r="W1" s="3"/>
      <c r="X1" s="3"/>
      <c r="Y1" s="3"/>
      <c r="Z1" s="3"/>
    </row>
    <row r="2" spans="1:26">
      <c r="A2" s="3"/>
      <c r="B2" s="3"/>
      <c r="C2" s="3"/>
      <c r="D2" s="3"/>
      <c r="E2" s="3"/>
      <c r="F2" s="3"/>
      <c r="G2" s="3"/>
      <c r="H2" s="3"/>
      <c r="I2" s="3"/>
      <c r="J2" s="3"/>
      <c r="K2" s="3"/>
      <c r="L2" s="3"/>
      <c r="M2" s="3"/>
      <c r="N2" s="3"/>
      <c r="O2" s="3"/>
      <c r="P2" s="3"/>
      <c r="Q2" s="3"/>
      <c r="R2" s="3"/>
      <c r="S2" s="3"/>
      <c r="T2" s="3"/>
      <c r="U2" s="3"/>
      <c r="V2" s="3"/>
      <c r="W2" s="3"/>
      <c r="X2" s="3"/>
      <c r="Y2" s="3"/>
      <c r="Z2" s="3"/>
    </row>
    <row r="3" spans="1:26">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c r="A5" s="3"/>
      <c r="B5" s="231" t="s">
        <v>656</v>
      </c>
      <c r="C5" s="559">
        <f>Print_AAD!J27</f>
        <v>264</v>
      </c>
      <c r="D5" s="560">
        <f>Print_AAD!L27/Print_AAD!J27</f>
        <v>3327.5910984848492</v>
      </c>
      <c r="E5" s="561">
        <f t="shared" ref="E5:E6" si="0">+C5*D5</f>
        <v>878484.05000000016</v>
      </c>
      <c r="F5" s="3"/>
      <c r="G5" s="231" t="s">
        <v>656</v>
      </c>
      <c r="H5" s="559">
        <f>Print_AAD!J108</f>
        <v>214</v>
      </c>
      <c r="I5" s="560">
        <f>Print_AAD!L108/Print_AAD!J108</f>
        <v>2283.4741121495335</v>
      </c>
      <c r="J5" s="561">
        <f t="shared" ref="J5:J6" si="1">+H5*I5</f>
        <v>488663.4600000002</v>
      </c>
      <c r="K5" s="3"/>
      <c r="L5" s="231" t="s">
        <v>656</v>
      </c>
      <c r="M5" s="560">
        <f>Print_AAD!K194</f>
        <v>1599879.3399999999</v>
      </c>
      <c r="N5" s="562">
        <f t="shared" ref="N5:N6" si="2">O5/M5</f>
        <v>0.71197279789862167</v>
      </c>
      <c r="O5" s="560">
        <f>Print_AAD!L194</f>
        <v>1139070.57</v>
      </c>
      <c r="P5" s="3"/>
      <c r="Q5" s="231" t="s">
        <v>656</v>
      </c>
      <c r="R5" s="563">
        <f>Print_AAD!J185</f>
        <v>4530</v>
      </c>
      <c r="S5" s="560">
        <f>Print_AAD!K185/Print_AAD!J185</f>
        <v>322.6873333333333</v>
      </c>
      <c r="T5" s="561">
        <f t="shared" ref="T5:T6" si="3">+R5*S5</f>
        <v>1461773.6199999999</v>
      </c>
      <c r="U5" s="3"/>
      <c r="V5" s="3"/>
      <c r="W5" s="3"/>
      <c r="X5" s="3"/>
      <c r="Y5" s="3"/>
      <c r="Z5" s="3"/>
    </row>
    <row r="6" spans="1:26">
      <c r="A6" s="3"/>
      <c r="B6" s="133" t="s">
        <v>286</v>
      </c>
      <c r="C6" s="564">
        <f>Print_AAD!G27</f>
        <v>0</v>
      </c>
      <c r="D6" s="565" t="e">
        <f>Print_AAD!I27/Print_AAD!G27</f>
        <v>#DIV/0!</v>
      </c>
      <c r="E6" s="566" t="e">
        <f t="shared" si="0"/>
        <v>#DIV/0!</v>
      </c>
      <c r="F6" s="3"/>
      <c r="G6" s="133" t="s">
        <v>286</v>
      </c>
      <c r="H6" s="564">
        <f>Print_AAD!G108</f>
        <v>0</v>
      </c>
      <c r="I6" s="565" t="e">
        <f>Print_AAD!I108/Print_AAD!G108</f>
        <v>#DIV/0!</v>
      </c>
      <c r="J6" s="566" t="e">
        <f t="shared" si="1"/>
        <v>#DIV/0!</v>
      </c>
      <c r="K6" s="3"/>
      <c r="L6" s="133" t="s">
        <v>286</v>
      </c>
      <c r="M6" s="565">
        <f>Print_AAD!H194</f>
        <v>0</v>
      </c>
      <c r="N6" s="567" t="e">
        <f t="shared" si="2"/>
        <v>#DIV/0!</v>
      </c>
      <c r="O6" s="565">
        <f>Print_AAD!I194</f>
        <v>0</v>
      </c>
      <c r="P6" s="3"/>
      <c r="Q6" s="133" t="s">
        <v>286</v>
      </c>
      <c r="R6" s="568">
        <f>Print_AAD!G185</f>
        <v>0</v>
      </c>
      <c r="S6" s="565" t="e">
        <f>Print_AAD!H185/Print_AAD!G185</f>
        <v>#DIV/0!</v>
      </c>
      <c r="T6" s="566" t="e">
        <f t="shared" si="3"/>
        <v>#DIV/0!</v>
      </c>
      <c r="U6" s="3"/>
      <c r="V6" s="3"/>
      <c r="W6" s="3"/>
      <c r="X6" s="3"/>
      <c r="Y6" s="3"/>
      <c r="Z6" s="3"/>
    </row>
    <row r="7" spans="1:26">
      <c r="A7" s="3"/>
      <c r="B7" s="133" t="s">
        <v>655</v>
      </c>
      <c r="C7" s="569">
        <f t="shared" ref="C7:E7" si="4">+C5-C6</f>
        <v>264</v>
      </c>
      <c r="D7" s="570" t="e">
        <f t="shared" si="4"/>
        <v>#DIV/0!</v>
      </c>
      <c r="E7" s="571" t="e">
        <f t="shared" si="4"/>
        <v>#DIV/0!</v>
      </c>
      <c r="F7" s="3"/>
      <c r="G7" s="133" t="s">
        <v>655</v>
      </c>
      <c r="H7" s="569">
        <f t="shared" ref="H7:J7" si="5">+H5-H6</f>
        <v>214</v>
      </c>
      <c r="I7" s="570" t="e">
        <f t="shared" si="5"/>
        <v>#DIV/0!</v>
      </c>
      <c r="J7" s="571" t="e">
        <f t="shared" si="5"/>
        <v>#DIV/0!</v>
      </c>
      <c r="K7" s="3"/>
      <c r="L7" s="133" t="s">
        <v>655</v>
      </c>
      <c r="M7" s="570">
        <f t="shared" ref="M7:O7" si="6">+M5-M6</f>
        <v>1599879.3399999999</v>
      </c>
      <c r="N7" s="572" t="e">
        <f t="shared" si="6"/>
        <v>#DIV/0!</v>
      </c>
      <c r="O7" s="571">
        <f t="shared" si="6"/>
        <v>1139070.57</v>
      </c>
      <c r="P7" s="3"/>
      <c r="Q7" s="133" t="s">
        <v>655</v>
      </c>
      <c r="R7" s="573">
        <f t="shared" ref="R7:T7" si="7">+R5-R6</f>
        <v>4530</v>
      </c>
      <c r="S7" s="570" t="e">
        <f t="shared" si="7"/>
        <v>#DIV/0!</v>
      </c>
      <c r="T7" s="574" t="e">
        <f t="shared" si="7"/>
        <v>#DIV/0!</v>
      </c>
      <c r="U7" s="3"/>
      <c r="V7" s="3"/>
      <c r="W7" s="3"/>
      <c r="X7" s="3"/>
      <c r="Y7" s="3"/>
      <c r="Z7" s="3"/>
    </row>
    <row r="8" spans="1:26">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c r="A10" s="3"/>
      <c r="B10" s="133" t="s">
        <v>701</v>
      </c>
      <c r="C10" s="577">
        <f t="shared" ref="C10:D10" si="12">+C5</f>
        <v>264</v>
      </c>
      <c r="D10" s="561">
        <f t="shared" si="12"/>
        <v>3327.5910984848492</v>
      </c>
      <c r="E10" s="566">
        <f>+C10*D10</f>
        <v>878484.05000000016</v>
      </c>
      <c r="F10" s="3"/>
      <c r="G10" s="133" t="s">
        <v>702</v>
      </c>
      <c r="H10" s="577">
        <f t="shared" ref="H10:I10" si="13">+H5</f>
        <v>214</v>
      </c>
      <c r="I10" s="561">
        <f t="shared" si="13"/>
        <v>2283.4741121495335</v>
      </c>
      <c r="J10" s="566">
        <f>+H10*I10</f>
        <v>488663.4600000002</v>
      </c>
      <c r="K10" s="3"/>
      <c r="L10" s="133" t="s">
        <v>703</v>
      </c>
      <c r="M10" s="561">
        <f t="shared" ref="M10:N10" si="14">+M5</f>
        <v>1599879.3399999999</v>
      </c>
      <c r="N10" s="562">
        <f t="shared" si="14"/>
        <v>0.71197279789862167</v>
      </c>
      <c r="O10" s="566">
        <f>+M10*N10</f>
        <v>1139070.57</v>
      </c>
      <c r="P10" s="3"/>
      <c r="Q10" s="133" t="s">
        <v>704</v>
      </c>
      <c r="R10" s="578">
        <f t="shared" ref="R10:S10" si="15">+R5</f>
        <v>4530</v>
      </c>
      <c r="S10" s="561">
        <f t="shared" si="15"/>
        <v>322.6873333333333</v>
      </c>
      <c r="T10" s="566">
        <f>+R10*S10</f>
        <v>1461773.6199999999</v>
      </c>
      <c r="U10" s="3"/>
      <c r="V10" s="3"/>
      <c r="W10" s="3"/>
      <c r="X10" s="3"/>
      <c r="Y10" s="3"/>
      <c r="Z10" s="3"/>
    </row>
    <row r="11" spans="1:26">
      <c r="A11" s="3"/>
      <c r="B11" s="133" t="s">
        <v>663</v>
      </c>
      <c r="C11" s="577">
        <f>+C5</f>
        <v>264</v>
      </c>
      <c r="D11" s="566" t="e">
        <f>+D6</f>
        <v>#DIV/0!</v>
      </c>
      <c r="E11" s="566" t="e">
        <f>C11*D11</f>
        <v>#DIV/0!</v>
      </c>
      <c r="F11" s="3"/>
      <c r="G11" s="133" t="s">
        <v>663</v>
      </c>
      <c r="H11" s="577">
        <f>+H5</f>
        <v>214</v>
      </c>
      <c r="I11" s="566" t="e">
        <f>+I6</f>
        <v>#DIV/0!</v>
      </c>
      <c r="J11" s="566" t="e">
        <f>H11*I11</f>
        <v>#DIV/0!</v>
      </c>
      <c r="K11" s="3"/>
      <c r="L11" s="133" t="s">
        <v>663</v>
      </c>
      <c r="M11" s="561">
        <f>+M5</f>
        <v>1599879.3399999999</v>
      </c>
      <c r="N11" s="567" t="e">
        <f>+N6</f>
        <v>#DIV/0!</v>
      </c>
      <c r="O11" s="566" t="e">
        <f>M11*N11</f>
        <v>#DIV/0!</v>
      </c>
      <c r="P11" s="3"/>
      <c r="Q11" s="133" t="s">
        <v>664</v>
      </c>
      <c r="R11" s="578">
        <f>+R5</f>
        <v>4530</v>
      </c>
      <c r="S11" s="566" t="e">
        <f>+S6</f>
        <v>#DIV/0!</v>
      </c>
      <c r="T11" s="566" t="e">
        <f>R11*S11</f>
        <v>#DIV/0!</v>
      </c>
      <c r="U11" s="3"/>
      <c r="V11" s="3"/>
      <c r="W11" s="3"/>
      <c r="X11" s="3"/>
      <c r="Y11" s="3"/>
      <c r="Z11" s="3"/>
    </row>
    <row r="12" spans="1:26">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c r="A15" s="3"/>
      <c r="B15" s="133" t="s">
        <v>705</v>
      </c>
      <c r="C15" s="577">
        <f t="shared" ref="C15:C16" si="20">+C5</f>
        <v>264</v>
      </c>
      <c r="D15" s="566" t="e">
        <f>+D6</f>
        <v>#DIV/0!</v>
      </c>
      <c r="E15" s="566" t="e">
        <f>+C15*D15</f>
        <v>#DIV/0!</v>
      </c>
      <c r="F15" s="3"/>
      <c r="G15" s="133" t="s">
        <v>706</v>
      </c>
      <c r="H15" s="577">
        <f t="shared" ref="H15:H16" si="21">+H5</f>
        <v>214</v>
      </c>
      <c r="I15" s="566" t="e">
        <f>+I6</f>
        <v>#DIV/0!</v>
      </c>
      <c r="J15" s="566" t="e">
        <f>+H15*I15</f>
        <v>#DIV/0!</v>
      </c>
      <c r="K15" s="3"/>
      <c r="L15" s="133" t="s">
        <v>707</v>
      </c>
      <c r="M15" s="561">
        <f t="shared" ref="M15:M16" si="22">+M5</f>
        <v>1599879.3399999999</v>
      </c>
      <c r="N15" s="567" t="e">
        <f>+N6</f>
        <v>#DIV/0!</v>
      </c>
      <c r="O15" s="566" t="e">
        <f>+M15*N15</f>
        <v>#DIV/0!</v>
      </c>
      <c r="P15" s="3"/>
      <c r="Q15" s="133" t="s">
        <v>708</v>
      </c>
      <c r="R15" s="578">
        <f t="shared" ref="R15:R16" si="23">+R5</f>
        <v>4530</v>
      </c>
      <c r="S15" s="566" t="e">
        <f>+S6</f>
        <v>#DIV/0!</v>
      </c>
      <c r="T15" s="566" t="e">
        <f>+R15*S15</f>
        <v>#DIV/0!</v>
      </c>
      <c r="U15" s="3"/>
      <c r="V15" s="3"/>
      <c r="W15" s="3"/>
      <c r="X15" s="3"/>
      <c r="Y15" s="3"/>
      <c r="Z15" s="3"/>
    </row>
    <row r="16" spans="1:26">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c r="A17" s="3"/>
      <c r="B17" s="133" t="s">
        <v>665</v>
      </c>
      <c r="C17" s="569">
        <f t="shared" ref="C17:E17" si="24">+C15-C16</f>
        <v>264</v>
      </c>
      <c r="D17" s="570" t="e">
        <f t="shared" si="24"/>
        <v>#DIV/0!</v>
      </c>
      <c r="E17" s="571" t="e">
        <f t="shared" si="24"/>
        <v>#DIV/0!</v>
      </c>
      <c r="F17" s="3"/>
      <c r="G17" s="133" t="s">
        <v>665</v>
      </c>
      <c r="H17" s="569">
        <f t="shared" ref="H17:J17" si="25">+H15-H16</f>
        <v>214</v>
      </c>
      <c r="I17" s="570" t="e">
        <f t="shared" si="25"/>
        <v>#DIV/0!</v>
      </c>
      <c r="J17" s="571" t="e">
        <f t="shared" si="25"/>
        <v>#DIV/0!</v>
      </c>
      <c r="K17" s="3"/>
      <c r="L17" s="133" t="s">
        <v>665</v>
      </c>
      <c r="M17" s="570">
        <f t="shared" ref="M17:O17" si="26">+M15-M16</f>
        <v>1599879.3399999999</v>
      </c>
      <c r="N17" s="572" t="e">
        <f t="shared" si="26"/>
        <v>#DIV/0!</v>
      </c>
      <c r="O17" s="571" t="e">
        <f t="shared" si="26"/>
        <v>#DIV/0!</v>
      </c>
      <c r="P17" s="3"/>
      <c r="Q17" s="133" t="s">
        <v>665</v>
      </c>
      <c r="R17" s="573">
        <f t="shared" ref="R17:T17" si="27">+R15-R16</f>
        <v>4530</v>
      </c>
      <c r="S17" s="570" t="e">
        <f t="shared" si="27"/>
        <v>#DIV/0!</v>
      </c>
      <c r="T17" s="574" t="e">
        <f t="shared" si="27"/>
        <v>#DIV/0!</v>
      </c>
      <c r="U17" s="3"/>
      <c r="V17" s="3"/>
      <c r="W17" s="3"/>
      <c r="X17" s="3"/>
      <c r="Y17" s="3"/>
      <c r="Z17" s="3"/>
    </row>
    <row r="18" spans="1:26">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c r="A20" s="3"/>
      <c r="B20" s="133" t="s">
        <v>672</v>
      </c>
      <c r="C20" s="579">
        <f t="shared" ref="C20:D20" si="28">MAX(C5:C6)</f>
        <v>264</v>
      </c>
      <c r="D20" s="566" t="e">
        <f t="shared" si="28"/>
        <v>#DIV/0!</v>
      </c>
      <c r="E20" s="566" t="e">
        <f>+C20*D20</f>
        <v>#DIV/0!</v>
      </c>
      <c r="F20" s="3"/>
      <c r="G20" s="133" t="s">
        <v>672</v>
      </c>
      <c r="H20" s="579">
        <f t="shared" ref="H20:I20" si="29">MAX(H5:H6)</f>
        <v>214</v>
      </c>
      <c r="I20" s="566" t="e">
        <f t="shared" si="29"/>
        <v>#DIV/0!</v>
      </c>
      <c r="J20" s="566" t="e">
        <f>+H20*I20</f>
        <v>#DIV/0!</v>
      </c>
      <c r="K20" s="3"/>
      <c r="L20" s="133" t="s">
        <v>672</v>
      </c>
      <c r="M20" s="566">
        <f t="shared" ref="M20:N20" si="30">MAX(M5:M6)</f>
        <v>1599879.3399999999</v>
      </c>
      <c r="N20" s="567" t="e">
        <f t="shared" si="30"/>
        <v>#DIV/0!</v>
      </c>
      <c r="O20" s="566" t="e">
        <f>+M20*N20</f>
        <v>#DIV/0!</v>
      </c>
      <c r="P20" s="3"/>
      <c r="Q20" s="133" t="s">
        <v>672</v>
      </c>
      <c r="R20" s="580">
        <f t="shared" ref="R20:S20" si="31">MAX(R5:R6)</f>
        <v>4530</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264</v>
      </c>
      <c r="D23" s="570" t="e">
        <f t="shared" si="36"/>
        <v>#DIV/0!</v>
      </c>
      <c r="E23" s="570" t="e">
        <f t="shared" si="36"/>
        <v>#DIV/0!</v>
      </c>
      <c r="F23" s="3"/>
      <c r="G23" s="133" t="s">
        <v>674</v>
      </c>
      <c r="H23" s="569">
        <f t="shared" ref="H23:J23" si="37">+H20-H22</f>
        <v>214</v>
      </c>
      <c r="I23" s="570" t="e">
        <f t="shared" si="37"/>
        <v>#DIV/0!</v>
      </c>
      <c r="J23" s="570" t="e">
        <f t="shared" si="37"/>
        <v>#DIV/0!</v>
      </c>
      <c r="K23" s="3"/>
      <c r="L23" s="133" t="s">
        <v>674</v>
      </c>
      <c r="M23" s="570">
        <f t="shared" ref="M23:O23" si="38">+M20-M22</f>
        <v>1599879.3399999999</v>
      </c>
      <c r="N23" s="572" t="e">
        <f t="shared" si="38"/>
        <v>#DIV/0!</v>
      </c>
      <c r="O23" s="570" t="e">
        <f t="shared" si="38"/>
        <v>#DIV/0!</v>
      </c>
      <c r="P23" s="3"/>
      <c r="Q23" s="133" t="s">
        <v>674</v>
      </c>
      <c r="R23" s="573">
        <f t="shared" ref="R23:T23" si="39">+R20-R22</f>
        <v>4530</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264</v>
      </c>
      <c r="D32" s="566">
        <f t="shared" ref="D32:D33" si="40">+E32/C32</f>
        <v>-227.34143843997938</v>
      </c>
      <c r="E32" s="566">
        <f>+Print_AAD!N78</f>
        <v>-60018.139748154557</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264</v>
      </c>
      <c r="D33" s="566">
        <f t="shared" si="40"/>
        <v>-81.270454545454527</v>
      </c>
      <c r="E33" s="566">
        <f>+Print_AAD!N82</f>
        <v>-21455.399999999994</v>
      </c>
      <c r="F33" s="3"/>
      <c r="G33" s="133" t="s">
        <v>681</v>
      </c>
      <c r="H33" s="588">
        <f>+H17</f>
        <v>214</v>
      </c>
      <c r="I33" s="566">
        <f>+J33/H33</f>
        <v>38.373364485981313</v>
      </c>
      <c r="J33" s="566">
        <f>+Print_AAD!N159</f>
        <v>8211.9000000000015</v>
      </c>
      <c r="K33" s="3"/>
      <c r="L33" s="3"/>
      <c r="M33" s="3"/>
      <c r="N33" s="3"/>
      <c r="O33" s="3"/>
      <c r="P33" s="3"/>
      <c r="Q33" s="3"/>
      <c r="R33" s="3"/>
      <c r="S33" s="3"/>
      <c r="T33" s="3"/>
      <c r="U33" s="3"/>
      <c r="V33" s="3"/>
      <c r="W33" s="3"/>
      <c r="X33" s="3"/>
      <c r="Y33" s="3"/>
      <c r="Z33" s="3"/>
    </row>
    <row r="34" spans="1:26" ht="15.75" customHeight="1">
      <c r="A34" s="3"/>
      <c r="B34" s="3"/>
      <c r="C34" s="3"/>
      <c r="D34" s="3"/>
      <c r="E34" s="570">
        <f>SUM(E32:E33)</f>
        <v>-81473.539748154551</v>
      </c>
      <c r="F34" s="3"/>
      <c r="G34" s="3"/>
      <c r="H34" s="3"/>
      <c r="I34" s="3"/>
      <c r="J34" s="570">
        <f>SUM(J32:J33)</f>
        <v>8211.9000000000015</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47244094488188981" bottom="0.47244094488188981" header="0" footer="0"/>
  <pageSetup scale="58" fitToHeight="0" orientation="landscape" r:id="rId1"/>
  <headerFooter>
    <oddFooter>&amp;L&amp;F // &amp;A</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workbookViewId="0"/>
  </sheetViews>
  <sheetFormatPr baseColWidth="10" defaultColWidth="12.625" defaultRowHeight="15" customHeight="1"/>
  <cols>
    <col min="1" max="1" width="19.875" customWidth="1"/>
    <col min="2" max="4" width="11" customWidth="1"/>
    <col min="5" max="5" width="2" customWidth="1"/>
    <col min="6" max="8" width="11" customWidth="1"/>
    <col min="9" max="9" width="2" customWidth="1"/>
    <col min="10" max="10" width="9.625" customWidth="1"/>
    <col min="11" max="11" width="2" customWidth="1"/>
    <col min="12" max="12" width="9.625" customWidth="1"/>
    <col min="13" max="13" width="2" customWidth="1"/>
    <col min="14" max="14" width="9.625" customWidth="1"/>
    <col min="15" max="26" width="11" customWidth="1"/>
  </cols>
  <sheetData>
    <row r="1" spans="1:26">
      <c r="A1" s="3"/>
      <c r="B1" s="3"/>
      <c r="C1" s="3"/>
      <c r="D1" s="3"/>
      <c r="E1" s="3"/>
      <c r="F1" s="3"/>
      <c r="G1" s="3"/>
      <c r="H1" s="3"/>
      <c r="I1" s="3"/>
      <c r="J1" s="3"/>
      <c r="K1" s="3"/>
      <c r="L1" s="3"/>
      <c r="M1" s="3"/>
      <c r="N1" s="3"/>
      <c r="O1" s="3"/>
      <c r="P1" s="3"/>
      <c r="Q1" s="3"/>
      <c r="R1" s="3"/>
      <c r="S1" s="3"/>
      <c r="T1" s="3"/>
      <c r="U1" s="3"/>
      <c r="V1" s="3"/>
      <c r="W1" s="3"/>
      <c r="X1" s="3"/>
      <c r="Y1" s="3"/>
      <c r="Z1" s="3"/>
    </row>
    <row r="2" spans="1:26">
      <c r="A2" s="556" t="s">
        <v>180</v>
      </c>
      <c r="B2" s="1250" t="s">
        <v>682</v>
      </c>
      <c r="C2" s="1251"/>
      <c r="D2" s="1252"/>
      <c r="E2" s="3"/>
      <c r="F2" s="1250" t="s">
        <v>683</v>
      </c>
      <c r="G2" s="1251"/>
      <c r="H2" s="1252"/>
      <c r="I2" s="3"/>
      <c r="J2" s="589" t="s">
        <v>655</v>
      </c>
      <c r="K2" s="3"/>
      <c r="L2" s="589" t="s">
        <v>684</v>
      </c>
      <c r="M2" s="3"/>
      <c r="N2" s="589" t="s">
        <v>685</v>
      </c>
      <c r="O2" s="3"/>
      <c r="P2" s="3"/>
      <c r="Q2" s="3"/>
      <c r="R2" s="3"/>
      <c r="S2" s="3"/>
      <c r="T2" s="3"/>
      <c r="U2" s="3"/>
      <c r="V2" s="3"/>
      <c r="W2" s="3"/>
      <c r="X2" s="3"/>
      <c r="Y2" s="3"/>
      <c r="Z2" s="3"/>
    </row>
    <row r="3" spans="1:26">
      <c r="A3" s="3"/>
      <c r="B3" s="557" t="s">
        <v>163</v>
      </c>
      <c r="C3" s="557" t="s">
        <v>181</v>
      </c>
      <c r="D3" s="557" t="s">
        <v>95</v>
      </c>
      <c r="E3" s="3"/>
      <c r="F3" s="557" t="s">
        <v>163</v>
      </c>
      <c r="G3" s="557" t="s">
        <v>181</v>
      </c>
      <c r="H3" s="557" t="s">
        <v>95</v>
      </c>
      <c r="I3" s="3"/>
      <c r="J3" s="205"/>
      <c r="K3" s="3"/>
      <c r="L3" s="205"/>
      <c r="M3" s="3"/>
      <c r="N3" s="205"/>
      <c r="O3" s="3"/>
      <c r="P3" s="3"/>
      <c r="Q3" s="3"/>
      <c r="R3" s="3"/>
      <c r="S3" s="3"/>
      <c r="T3" s="3"/>
      <c r="U3" s="3"/>
      <c r="V3" s="3"/>
      <c r="W3" s="3"/>
      <c r="X3" s="3"/>
      <c r="Y3" s="3"/>
      <c r="Z3" s="3"/>
    </row>
    <row r="4" spans="1:26">
      <c r="A4" s="3" t="s">
        <v>182</v>
      </c>
      <c r="B4" s="565">
        <f>+Print_AAD!J295</f>
        <v>401918.36</v>
      </c>
      <c r="C4" s="590">
        <f t="shared" ref="C4:C9" si="0">D4/B4</f>
        <v>0.31402738108306366</v>
      </c>
      <c r="D4" s="565">
        <f>+Print_AAD!L295</f>
        <v>126213.36999999997</v>
      </c>
      <c r="E4" s="3"/>
      <c r="F4" s="565">
        <f>+Print_AAD!G295</f>
        <v>0</v>
      </c>
      <c r="G4" s="590" t="e">
        <f t="shared" ref="G4:G9" si="1">H4/F4</f>
        <v>#DIV/0!</v>
      </c>
      <c r="H4" s="565">
        <f>+Print_AAD!I295</f>
        <v>0</v>
      </c>
      <c r="I4" s="3"/>
      <c r="J4" s="566">
        <f t="shared" ref="J4:J11" si="2">+D4-H4</f>
        <v>126213.36999999997</v>
      </c>
      <c r="K4" s="3"/>
      <c r="L4" s="566" t="e">
        <f t="shared" ref="L4:L9" si="3">(B4-F4)*G4</f>
        <v>#DIV/0!</v>
      </c>
      <c r="M4" s="3"/>
      <c r="N4" s="566" t="e">
        <f t="shared" ref="N4:N9" si="4">B4*(C4-G4)</f>
        <v>#DIV/0!</v>
      </c>
      <c r="O4" s="3"/>
      <c r="P4" s="3"/>
      <c r="Q4" s="3"/>
      <c r="R4" s="3"/>
      <c r="S4" s="3"/>
      <c r="T4" s="3"/>
      <c r="U4" s="3"/>
      <c r="V4" s="3"/>
      <c r="W4" s="3"/>
      <c r="X4" s="3"/>
      <c r="Y4" s="3"/>
      <c r="Z4" s="3"/>
    </row>
    <row r="5" spans="1:26">
      <c r="A5" s="3" t="s">
        <v>183</v>
      </c>
      <c r="B5" s="565">
        <f>+Print_AAD!J296</f>
        <v>24999.530000000002</v>
      </c>
      <c r="C5" s="590">
        <f t="shared" si="0"/>
        <v>0.23716605872190391</v>
      </c>
      <c r="D5" s="565">
        <f>+Print_AAD!L296</f>
        <v>5929.0399999999991</v>
      </c>
      <c r="E5" s="3"/>
      <c r="F5" s="565">
        <f>+Print_AAD!G296</f>
        <v>0</v>
      </c>
      <c r="G5" s="590" t="e">
        <f t="shared" si="1"/>
        <v>#DIV/0!</v>
      </c>
      <c r="H5" s="565">
        <f>+Print_AAD!I296</f>
        <v>0</v>
      </c>
      <c r="I5" s="3"/>
      <c r="J5" s="566">
        <f t="shared" si="2"/>
        <v>5929.0399999999991</v>
      </c>
      <c r="K5" s="3"/>
      <c r="L5" s="566" t="e">
        <f t="shared" si="3"/>
        <v>#DIV/0!</v>
      </c>
      <c r="M5" s="3"/>
      <c r="N5" s="566" t="e">
        <f t="shared" si="4"/>
        <v>#DIV/0!</v>
      </c>
      <c r="O5" s="3"/>
      <c r="P5" s="3"/>
      <c r="Q5" s="3"/>
      <c r="R5" s="3"/>
      <c r="S5" s="3"/>
      <c r="T5" s="3"/>
      <c r="U5" s="3"/>
      <c r="V5" s="3"/>
      <c r="W5" s="3"/>
      <c r="X5" s="3"/>
      <c r="Y5" s="3"/>
      <c r="Z5" s="3"/>
    </row>
    <row r="6" spans="1:26">
      <c r="A6" s="3" t="s">
        <v>184</v>
      </c>
      <c r="B6" s="565">
        <f>+Print_AAD!J297</f>
        <v>445833.91</v>
      </c>
      <c r="C6" s="590">
        <f t="shared" si="0"/>
        <v>0.23357429227399948</v>
      </c>
      <c r="D6" s="565">
        <f>+Print_AAD!L297</f>
        <v>104135.33999999997</v>
      </c>
      <c r="E6" s="3"/>
      <c r="F6" s="565">
        <f>+Print_AAD!G297</f>
        <v>0</v>
      </c>
      <c r="G6" s="590" t="e">
        <f t="shared" si="1"/>
        <v>#DIV/0!</v>
      </c>
      <c r="H6" s="565">
        <f>+Print_AAD!I297</f>
        <v>0</v>
      </c>
      <c r="I6" s="3"/>
      <c r="J6" s="566">
        <f t="shared" si="2"/>
        <v>104135.33999999997</v>
      </c>
      <c r="K6" s="3"/>
      <c r="L6" s="566" t="e">
        <f t="shared" si="3"/>
        <v>#DIV/0!</v>
      </c>
      <c r="M6" s="3"/>
      <c r="N6" s="566" t="e">
        <f t="shared" si="4"/>
        <v>#DIV/0!</v>
      </c>
      <c r="O6" s="3"/>
      <c r="P6" s="3"/>
      <c r="Q6" s="3"/>
      <c r="R6" s="3"/>
      <c r="S6" s="3"/>
      <c r="T6" s="3"/>
      <c r="U6" s="3"/>
      <c r="V6" s="3"/>
      <c r="W6" s="3"/>
      <c r="X6" s="3"/>
      <c r="Y6" s="3"/>
      <c r="Z6" s="3"/>
    </row>
    <row r="7" spans="1:26">
      <c r="A7" s="3" t="s">
        <v>185</v>
      </c>
      <c r="B7" s="565">
        <f>+Print_AAD!J298</f>
        <v>299909.28999999998</v>
      </c>
      <c r="C7" s="590">
        <f t="shared" si="0"/>
        <v>0.28160844900803172</v>
      </c>
      <c r="D7" s="565">
        <f>+Print_AAD!L298</f>
        <v>84456.989999999991</v>
      </c>
      <c r="E7" s="3"/>
      <c r="F7" s="565">
        <f>+Print_AAD!G298</f>
        <v>0</v>
      </c>
      <c r="G7" s="590" t="e">
        <f t="shared" si="1"/>
        <v>#DIV/0!</v>
      </c>
      <c r="H7" s="565">
        <f>+Print_AAD!I298</f>
        <v>0</v>
      </c>
      <c r="I7" s="3"/>
      <c r="J7" s="566">
        <f t="shared" si="2"/>
        <v>84456.989999999991</v>
      </c>
      <c r="K7" s="3"/>
      <c r="L7" s="566" t="e">
        <f t="shared" si="3"/>
        <v>#DIV/0!</v>
      </c>
      <c r="M7" s="3"/>
      <c r="N7" s="566" t="e">
        <f t="shared" si="4"/>
        <v>#DIV/0!</v>
      </c>
      <c r="O7" s="3"/>
      <c r="P7" s="3"/>
      <c r="Q7" s="3"/>
      <c r="R7" s="3"/>
      <c r="S7" s="3"/>
      <c r="T7" s="3"/>
      <c r="U7" s="3"/>
      <c r="V7" s="3"/>
      <c r="W7" s="3"/>
      <c r="X7" s="3"/>
      <c r="Y7" s="3"/>
      <c r="Z7" s="3"/>
    </row>
    <row r="8" spans="1:26">
      <c r="A8" s="3" t="s">
        <v>186</v>
      </c>
      <c r="B8" s="565">
        <f>+Print_AAD!J299</f>
        <v>85480.06</v>
      </c>
      <c r="C8" s="590">
        <f t="shared" si="0"/>
        <v>0.28576208299339051</v>
      </c>
      <c r="D8" s="565">
        <f>+Print_AAD!L299</f>
        <v>24426.959999999999</v>
      </c>
      <c r="E8" s="3"/>
      <c r="F8" s="565">
        <f>+Print_AAD!G299</f>
        <v>0</v>
      </c>
      <c r="G8" s="590" t="e">
        <f t="shared" si="1"/>
        <v>#DIV/0!</v>
      </c>
      <c r="H8" s="565">
        <f>+Print_AAD!I299</f>
        <v>0</v>
      </c>
      <c r="I8" s="3"/>
      <c r="J8" s="566">
        <f t="shared" si="2"/>
        <v>24426.959999999999</v>
      </c>
      <c r="K8" s="3"/>
      <c r="L8" s="566" t="e">
        <f t="shared" si="3"/>
        <v>#DIV/0!</v>
      </c>
      <c r="M8" s="3"/>
      <c r="N8" s="566" t="e">
        <f t="shared" si="4"/>
        <v>#DIV/0!</v>
      </c>
      <c r="O8" s="3"/>
      <c r="P8" s="3"/>
      <c r="Q8" s="3"/>
      <c r="R8" s="3"/>
      <c r="S8" s="3"/>
      <c r="T8" s="3"/>
      <c r="U8" s="3"/>
      <c r="V8" s="3"/>
      <c r="W8" s="3"/>
      <c r="X8" s="3"/>
      <c r="Y8" s="3"/>
      <c r="Z8" s="3"/>
    </row>
    <row r="9" spans="1:26">
      <c r="A9" s="3" t="s">
        <v>187</v>
      </c>
      <c r="B9" s="565">
        <f>+Print_AAD!J300</f>
        <v>997948.9</v>
      </c>
      <c r="C9" s="590">
        <f t="shared" si="0"/>
        <v>0.13651585767567856</v>
      </c>
      <c r="D9" s="565">
        <f>+Print_AAD!L300</f>
        <v>136235.84999999998</v>
      </c>
      <c r="E9" s="3"/>
      <c r="F9" s="565">
        <f>+Print_AAD!G300</f>
        <v>0</v>
      </c>
      <c r="G9" s="590" t="e">
        <f t="shared" si="1"/>
        <v>#DIV/0!</v>
      </c>
      <c r="H9" s="565">
        <f>+Print_AAD!I300</f>
        <v>0</v>
      </c>
      <c r="I9" s="3"/>
      <c r="J9" s="566">
        <f t="shared" si="2"/>
        <v>136235.84999999998</v>
      </c>
      <c r="K9" s="3"/>
      <c r="L9" s="566" t="e">
        <f t="shared" si="3"/>
        <v>#DIV/0!</v>
      </c>
      <c r="M9" s="3"/>
      <c r="N9" s="566" t="e">
        <f t="shared" si="4"/>
        <v>#DIV/0!</v>
      </c>
      <c r="O9" s="3"/>
      <c r="P9" s="3"/>
      <c r="Q9" s="3"/>
      <c r="R9" s="3"/>
      <c r="S9" s="3"/>
      <c r="T9" s="3"/>
      <c r="U9" s="3"/>
      <c r="V9" s="3"/>
      <c r="W9" s="3"/>
      <c r="X9" s="3"/>
      <c r="Y9" s="3"/>
      <c r="Z9" s="3"/>
    </row>
    <row r="10" spans="1:26">
      <c r="A10" s="3" t="s">
        <v>188</v>
      </c>
      <c r="B10" s="565"/>
      <c r="C10" s="590"/>
      <c r="D10" s="565">
        <f>+Print_AAD!L302</f>
        <v>29116.44</v>
      </c>
      <c r="E10" s="3"/>
      <c r="F10" s="565"/>
      <c r="G10" s="590"/>
      <c r="H10" s="565">
        <f>+Print_AAD!I302</f>
        <v>0</v>
      </c>
      <c r="I10" s="3"/>
      <c r="J10" s="566">
        <f t="shared" si="2"/>
        <v>29116.44</v>
      </c>
      <c r="K10" s="3"/>
      <c r="L10" s="566" t="e">
        <f>(H10/(H4+H5+H6+H7+H8+H9)*(D4+D5+D6+D7+D8+D9))-D10</f>
        <v>#DIV/0!</v>
      </c>
      <c r="M10" s="3"/>
      <c r="N10" s="566" t="e">
        <f t="shared" ref="N10:N11" si="5">+J10-L10</f>
        <v>#DIV/0!</v>
      </c>
      <c r="O10" s="3"/>
      <c r="P10" s="3"/>
      <c r="Q10" s="3"/>
      <c r="R10" s="3"/>
      <c r="S10" s="3"/>
      <c r="T10" s="3"/>
      <c r="U10" s="3"/>
      <c r="V10" s="3"/>
      <c r="W10" s="3"/>
      <c r="X10" s="3"/>
      <c r="Y10" s="3"/>
      <c r="Z10" s="3"/>
    </row>
    <row r="11" spans="1:26">
      <c r="A11" s="3" t="s">
        <v>189</v>
      </c>
      <c r="B11" s="565"/>
      <c r="C11" s="590"/>
      <c r="D11" s="565"/>
      <c r="E11" s="3"/>
      <c r="F11" s="565"/>
      <c r="G11" s="590"/>
      <c r="H11" s="565"/>
      <c r="I11" s="3"/>
      <c r="J11" s="566">
        <f t="shared" si="2"/>
        <v>0</v>
      </c>
      <c r="K11" s="3"/>
      <c r="L11" s="566">
        <f>(B11-F11)*G11</f>
        <v>0</v>
      </c>
      <c r="M11" s="3"/>
      <c r="N11" s="566">
        <f t="shared" si="5"/>
        <v>0</v>
      </c>
      <c r="O11" s="3"/>
      <c r="P11" s="3"/>
      <c r="Q11" s="3"/>
      <c r="R11" s="3"/>
      <c r="S11" s="3"/>
      <c r="T11" s="3"/>
      <c r="U11" s="3"/>
      <c r="V11" s="3"/>
      <c r="W11" s="3"/>
      <c r="X11" s="3"/>
      <c r="Y11" s="3"/>
      <c r="Z11" s="3"/>
    </row>
    <row r="12" spans="1:26">
      <c r="A12" s="3" t="s">
        <v>190</v>
      </c>
      <c r="B12" s="591">
        <f>SUM(B4:B11)</f>
        <v>2256090.0500000003</v>
      </c>
      <c r="C12" s="592">
        <f>+D12/B12</f>
        <v>0.22628262998633406</v>
      </c>
      <c r="D12" s="591">
        <f>SUM(D4:D11)</f>
        <v>510513.98999999993</v>
      </c>
      <c r="E12" s="3"/>
      <c r="F12" s="591">
        <f>SUM(F4:F11)</f>
        <v>0</v>
      </c>
      <c r="G12" s="592" t="e">
        <f>+H12/F12</f>
        <v>#DIV/0!</v>
      </c>
      <c r="H12" s="591">
        <f>SUM(H4:H11)</f>
        <v>0</v>
      </c>
      <c r="I12" s="3"/>
      <c r="J12" s="591">
        <f>SUM(J4:J11)</f>
        <v>510513.98999999993</v>
      </c>
      <c r="K12" s="3"/>
      <c r="L12" s="591" t="e">
        <f>SUM(L4:L11)</f>
        <v>#DIV/0!</v>
      </c>
      <c r="M12" s="3"/>
      <c r="N12" s="591" t="e">
        <f>SUM(N4:N11)</f>
        <v>#DIV/0!</v>
      </c>
      <c r="O12" s="3"/>
      <c r="P12" s="3"/>
      <c r="Q12" s="3"/>
      <c r="R12" s="3"/>
      <c r="S12" s="3"/>
      <c r="T12" s="3"/>
      <c r="U12" s="3"/>
      <c r="V12" s="3"/>
      <c r="W12" s="3"/>
      <c r="X12" s="3"/>
      <c r="Y12" s="3"/>
      <c r="Z12" s="3"/>
    </row>
    <row r="13" spans="1:26">
      <c r="A13" s="3"/>
      <c r="B13" s="566"/>
      <c r="C13" s="567"/>
      <c r="D13" s="566"/>
      <c r="E13" s="3"/>
      <c r="F13" s="566"/>
      <c r="G13" s="567"/>
      <c r="H13" s="566"/>
      <c r="I13" s="3"/>
      <c r="J13" s="566"/>
      <c r="K13" s="3"/>
      <c r="L13" s="566"/>
      <c r="M13" s="3"/>
      <c r="N13" s="566"/>
      <c r="O13" s="3"/>
      <c r="P13" s="3"/>
      <c r="Q13" s="3"/>
      <c r="R13" s="3"/>
      <c r="S13" s="3"/>
      <c r="T13" s="3"/>
      <c r="U13" s="3"/>
      <c r="V13" s="3"/>
      <c r="W13" s="3"/>
      <c r="X13" s="3"/>
      <c r="Y13" s="3"/>
      <c r="Z13" s="3"/>
    </row>
    <row r="14" spans="1:26">
      <c r="A14" s="3" t="s">
        <v>191</v>
      </c>
      <c r="B14" s="565">
        <f>+Print_AAD!J307</f>
        <v>214980.9</v>
      </c>
      <c r="C14" s="590">
        <f t="shared" ref="C14:C15" si="6">D14/B14</f>
        <v>0.16106365728304234</v>
      </c>
      <c r="D14" s="565">
        <f>+Print_AAD!L307</f>
        <v>34625.609999999993</v>
      </c>
      <c r="E14" s="3"/>
      <c r="F14" s="565">
        <f>+Print_AAD!G307</f>
        <v>0</v>
      </c>
      <c r="G14" s="590" t="e">
        <f t="shared" ref="G14:G15" si="7">H14/F14</f>
        <v>#DIV/0!</v>
      </c>
      <c r="H14" s="565">
        <f>+Print_AAD!I307</f>
        <v>0</v>
      </c>
      <c r="I14" s="3"/>
      <c r="J14" s="566">
        <f t="shared" ref="J14:J15" si="8">+D14-H14</f>
        <v>34625.609999999993</v>
      </c>
      <c r="K14" s="3"/>
      <c r="L14" s="566" t="e">
        <f t="shared" ref="L14:L15" si="9">(B14-F14)*G14</f>
        <v>#DIV/0!</v>
      </c>
      <c r="M14" s="3"/>
      <c r="N14" s="566" t="e">
        <f t="shared" ref="N14:N15" si="10">B14*(C14-G14)</f>
        <v>#DIV/0!</v>
      </c>
      <c r="O14" s="3"/>
      <c r="P14" s="3"/>
      <c r="Q14" s="3"/>
      <c r="R14" s="3"/>
      <c r="S14" s="3"/>
      <c r="T14" s="3"/>
      <c r="U14" s="3"/>
      <c r="V14" s="3"/>
      <c r="W14" s="3"/>
      <c r="X14" s="3"/>
      <c r="Y14" s="3"/>
      <c r="Z14" s="3"/>
    </row>
    <row r="15" spans="1:26">
      <c r="A15" s="3" t="s">
        <v>192</v>
      </c>
      <c r="B15" s="565">
        <f>+Print_AAD!J308</f>
        <v>106765.79</v>
      </c>
      <c r="C15" s="590">
        <f t="shared" si="6"/>
        <v>0.26126823957374357</v>
      </c>
      <c r="D15" s="565">
        <f>+Print_AAD!L308</f>
        <v>27894.509999999995</v>
      </c>
      <c r="E15" s="3"/>
      <c r="F15" s="565">
        <f>+Print_AAD!G308</f>
        <v>0</v>
      </c>
      <c r="G15" s="590" t="e">
        <f t="shared" si="7"/>
        <v>#DIV/0!</v>
      </c>
      <c r="H15" s="565">
        <f>+Print_AAD!I308</f>
        <v>0</v>
      </c>
      <c r="I15" s="3"/>
      <c r="J15" s="566">
        <f t="shared" si="8"/>
        <v>27894.509999999995</v>
      </c>
      <c r="K15" s="3"/>
      <c r="L15" s="566" t="e">
        <f t="shared" si="9"/>
        <v>#DIV/0!</v>
      </c>
      <c r="M15" s="3"/>
      <c r="N15" s="566" t="e">
        <f t="shared" si="10"/>
        <v>#DIV/0!</v>
      </c>
      <c r="O15" s="3"/>
      <c r="P15" s="3"/>
      <c r="Q15" s="3"/>
      <c r="R15" s="3"/>
      <c r="S15" s="3"/>
      <c r="T15" s="3"/>
      <c r="U15" s="3"/>
      <c r="V15" s="3"/>
      <c r="W15" s="3"/>
      <c r="X15" s="3"/>
      <c r="Y15" s="3"/>
      <c r="Z15" s="3"/>
    </row>
    <row r="16" spans="1:26">
      <c r="A16" s="3" t="s">
        <v>193</v>
      </c>
      <c r="B16" s="593">
        <f>SUM(B14:B15)</f>
        <v>321746.69</v>
      </c>
      <c r="C16" s="594">
        <f>+D16/B16</f>
        <v>0.19431472628358659</v>
      </c>
      <c r="D16" s="593">
        <f>SUM(D14:D15)</f>
        <v>62520.119999999988</v>
      </c>
      <c r="E16" s="3"/>
      <c r="F16" s="593">
        <f>SUM(F14:F15)</f>
        <v>0</v>
      </c>
      <c r="G16" s="594" t="e">
        <f>+H16/F16</f>
        <v>#DIV/0!</v>
      </c>
      <c r="H16" s="593">
        <f>SUM(H14:H15)</f>
        <v>0</v>
      </c>
      <c r="I16" s="3"/>
      <c r="J16" s="593">
        <f>SUM(J14:J15)</f>
        <v>62520.119999999988</v>
      </c>
      <c r="K16" s="3"/>
      <c r="L16" s="593" t="e">
        <f>SUM(L14:L15)</f>
        <v>#DIV/0!</v>
      </c>
      <c r="M16" s="3"/>
      <c r="N16" s="593" t="e">
        <f>SUM(N14:N15)</f>
        <v>#DIV/0!</v>
      </c>
      <c r="O16" s="3"/>
      <c r="P16" s="3"/>
      <c r="Q16" s="3"/>
      <c r="R16" s="3"/>
      <c r="S16" s="3"/>
      <c r="T16" s="3"/>
      <c r="U16" s="3"/>
      <c r="V16" s="3"/>
      <c r="W16" s="3"/>
      <c r="X16" s="3"/>
      <c r="Y16" s="3"/>
      <c r="Z16" s="3"/>
    </row>
    <row r="17" spans="1:26">
      <c r="A17" s="3"/>
      <c r="B17" s="566"/>
      <c r="C17" s="567"/>
      <c r="D17" s="566"/>
      <c r="E17" s="3"/>
      <c r="F17" s="566"/>
      <c r="G17" s="567"/>
      <c r="H17" s="566"/>
      <c r="I17" s="3"/>
      <c r="J17" s="566"/>
      <c r="K17" s="3"/>
      <c r="L17" s="566"/>
      <c r="M17" s="3"/>
      <c r="N17" s="566"/>
      <c r="O17" s="3"/>
      <c r="P17" s="3"/>
      <c r="Q17" s="3"/>
      <c r="R17" s="3"/>
      <c r="S17" s="3"/>
      <c r="T17" s="3"/>
      <c r="U17" s="3"/>
      <c r="V17" s="3"/>
      <c r="W17" s="3"/>
      <c r="X17" s="3"/>
      <c r="Y17" s="3"/>
      <c r="Z17" s="3"/>
    </row>
    <row r="18" spans="1:26">
      <c r="A18" s="3" t="s">
        <v>688</v>
      </c>
      <c r="B18" s="595">
        <f>+B12+B16</f>
        <v>2577836.7400000002</v>
      </c>
      <c r="C18" s="596">
        <f>+D18/B18</f>
        <v>0.22229263052554671</v>
      </c>
      <c r="D18" s="595">
        <f>+D12+D16</f>
        <v>573034.10999999987</v>
      </c>
      <c r="E18" s="3"/>
      <c r="F18" s="595">
        <f>+F12+F16</f>
        <v>0</v>
      </c>
      <c r="G18" s="596" t="e">
        <f>+H18/F18</f>
        <v>#DIV/0!</v>
      </c>
      <c r="H18" s="595">
        <f>+H12+H16</f>
        <v>0</v>
      </c>
      <c r="I18" s="3"/>
      <c r="J18" s="595">
        <f>+J12+J16</f>
        <v>573034.10999999987</v>
      </c>
      <c r="K18" s="3"/>
      <c r="L18" s="595" t="e">
        <f>+L12+L16</f>
        <v>#DIV/0!</v>
      </c>
      <c r="M18" s="3"/>
      <c r="N18" s="595" t="e">
        <f>+N12+N16</f>
        <v>#DIV/0!</v>
      </c>
      <c r="O18" s="3"/>
      <c r="P18" s="3"/>
      <c r="Q18" s="3"/>
      <c r="R18" s="3"/>
      <c r="S18" s="3"/>
      <c r="T18" s="3"/>
      <c r="U18" s="3"/>
      <c r="V18" s="3"/>
      <c r="W18" s="3"/>
      <c r="X18" s="3"/>
      <c r="Y18" s="3"/>
      <c r="Z18" s="3"/>
    </row>
    <row r="19" spans="1:26">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c r="A20" s="3"/>
      <c r="B20" s="3"/>
      <c r="C20" s="3"/>
      <c r="D20" s="597"/>
      <c r="E20" s="126" t="s">
        <v>689</v>
      </c>
      <c r="F20" s="595">
        <f>+B18-F18</f>
        <v>2577836.7400000002</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B2:D2"/>
    <mergeCell ref="F2:H2"/>
  </mergeCells>
  <pageMargins left="0.7" right="0.7" top="0.75" bottom="0.75" header="0" footer="0"/>
  <pageSetup orientation="portrait"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outlinePr summaryBelow="0"/>
  </sheetPr>
  <dimension ref="A1:Z578"/>
  <sheetViews>
    <sheetView topLeftCell="A455" zoomScale="80" zoomScaleNormal="80" workbookViewId="0">
      <selection activeCell="I488" sqref="I488"/>
    </sheetView>
  </sheetViews>
  <sheetFormatPr baseColWidth="10" defaultColWidth="12.625" defaultRowHeight="15" customHeight="1"/>
  <cols>
    <col min="1" max="1" width="37" style="1022" customWidth="1"/>
    <col min="2" max="2" width="31.25" style="1022" customWidth="1"/>
    <col min="3" max="3" width="14.625" style="1022" customWidth="1"/>
    <col min="4" max="4" width="12.875" style="1022" customWidth="1"/>
    <col min="5" max="5" width="13.625" style="1022" bestFit="1" customWidth="1"/>
    <col min="6" max="8" width="12.875" style="1022" customWidth="1"/>
    <col min="9" max="9" width="25.625" style="1022" bestFit="1" customWidth="1"/>
    <col min="10" max="10" width="12.875" style="1022" customWidth="1"/>
    <col min="11" max="11" width="23.125" style="1022" bestFit="1" customWidth="1"/>
    <col min="12"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 min="26" max="26" width="15.125" customWidth="1"/>
  </cols>
  <sheetData>
    <row r="1" spans="1:26" ht="30" customHeight="1">
      <c r="A1" s="1253" t="s">
        <v>251</v>
      </c>
      <c r="B1" s="1253" t="s">
        <v>709</v>
      </c>
      <c r="C1" s="1254" t="s">
        <v>713</v>
      </c>
      <c r="D1" s="1254" t="s">
        <v>714</v>
      </c>
      <c r="E1" s="1254" t="s">
        <v>715</v>
      </c>
      <c r="F1" s="1253" t="s">
        <v>710</v>
      </c>
      <c r="G1" s="1253" t="s">
        <v>711</v>
      </c>
      <c r="H1" s="1253" t="s">
        <v>712</v>
      </c>
      <c r="I1" s="1254" t="s">
        <v>3412</v>
      </c>
      <c r="J1" s="1254" t="s">
        <v>3413</v>
      </c>
      <c r="K1" s="1254" t="s">
        <v>3414</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c r="Z1" s="4"/>
    </row>
    <row r="2" spans="1:26" ht="15" customHeight="1">
      <c r="A2" s="1255" t="s">
        <v>720</v>
      </c>
      <c r="B2" s="1255" t="s">
        <v>1438</v>
      </c>
      <c r="C2" s="1256"/>
      <c r="D2" s="1256"/>
      <c r="E2" s="1256"/>
      <c r="F2" s="1255" t="s">
        <v>2</v>
      </c>
      <c r="G2" s="1255" t="s">
        <v>3322</v>
      </c>
      <c r="H2" s="1255" t="s">
        <v>3950</v>
      </c>
      <c r="I2" s="1257">
        <v>-3669.18</v>
      </c>
      <c r="J2" s="1257">
        <v>0</v>
      </c>
      <c r="K2" s="1257">
        <v>-3669.18</v>
      </c>
      <c r="L2" s="653" t="str">
        <f>TEXT(B2,0)</f>
        <v>10</v>
      </c>
      <c r="M2" s="654" t="str">
        <f t="shared" ref="M2:M179" si="0">+A2</f>
        <v>PROFIT/PERTES JANVIER</v>
      </c>
      <c r="N2" s="655">
        <f>+IF(OR($Q2=Parametres!$G$2,$Q2=Parametres!$G$3),I2,C2)</f>
        <v>-3669.18</v>
      </c>
      <c r="O2" s="655">
        <f>+IF(OR($Q2=Parametres!$G$2,$Q2=Parametres!$G$3),J2,D2)</f>
        <v>0</v>
      </c>
      <c r="P2" s="655">
        <f>+IF(OR($Q2=Parametres!$G$2,$Q2=Parametres!$G$3),K2,E2)</f>
        <v>-3669.18</v>
      </c>
      <c r="Q2" s="654" t="str">
        <f t="shared" ref="Q2:S2" si="1">+F2</f>
        <v>1-Mémo</v>
      </c>
      <c r="R2" s="653" t="str">
        <f t="shared" si="1"/>
        <v>1</v>
      </c>
      <c r="S2" s="654" t="str">
        <f t="shared" si="1"/>
        <v>_</v>
      </c>
      <c r="T2" s="656" t="str">
        <f>+VLOOKUP($L2,Data_Validation!$A:$D,1,0)</f>
        <v>10</v>
      </c>
      <c r="U2" s="656">
        <f>+VLOOKUP($L2,Data_Validation!$A:$D,3,0)</f>
        <v>0</v>
      </c>
      <c r="V2" s="656">
        <f>+VLOOKUP($L2,Data_Validation!$A:$D,4,0)</f>
        <v>0</v>
      </c>
      <c r="W2" s="656">
        <f>+VLOOKUP($L2,Data_Validation!$A:$E,5,0)</f>
        <v>0</v>
      </c>
      <c r="X2" s="656">
        <f>+VLOOKUP($L2,Data_Validation!$A:$F,6,0)</f>
        <v>0</v>
      </c>
      <c r="Z2" s="657"/>
    </row>
    <row r="3" spans="1:26" ht="15" customHeight="1">
      <c r="A3" s="1255" t="s">
        <v>721</v>
      </c>
      <c r="B3" s="1255" t="s">
        <v>1638</v>
      </c>
      <c r="C3" s="1256"/>
      <c r="D3" s="1256"/>
      <c r="E3" s="1256"/>
      <c r="F3" s="1255" t="s">
        <v>2</v>
      </c>
      <c r="G3" s="1255" t="s">
        <v>3322</v>
      </c>
      <c r="H3" s="1255" t="s">
        <v>3950</v>
      </c>
      <c r="I3" s="1257">
        <v>-795.17</v>
      </c>
      <c r="J3" s="1257">
        <v>0</v>
      </c>
      <c r="K3" s="1257">
        <v>-795.17</v>
      </c>
      <c r="L3" s="653" t="str">
        <f t="shared" ref="L3:L66" si="2">TEXT(B3,0)</f>
        <v>20</v>
      </c>
      <c r="M3" s="654" t="str">
        <f t="shared" si="0"/>
        <v>PROFIT/PERTES FEVRIER</v>
      </c>
      <c r="N3" s="655">
        <f>+IF(OR($Q3=Parametres!$G$2,$Q3=Parametres!$G$3),I3,C3)</f>
        <v>-795.17</v>
      </c>
      <c r="O3" s="655">
        <f>+IF(OR($Q3=Parametres!$G$2,$Q3=Parametres!$G$3),J3,D3)</f>
        <v>0</v>
      </c>
      <c r="P3" s="655">
        <f>+IF(OR($Q3=Parametres!$G$2,$Q3=Parametres!$G$3),K3,E3)</f>
        <v>-795.17</v>
      </c>
      <c r="Q3" s="654" t="str">
        <f t="shared" ref="Q3:S3" si="3">+F3</f>
        <v>1-Mémo</v>
      </c>
      <c r="R3" s="653" t="str">
        <f t="shared" si="3"/>
        <v>1</v>
      </c>
      <c r="S3" s="654" t="str">
        <f t="shared" si="3"/>
        <v>_</v>
      </c>
      <c r="T3" s="656" t="str">
        <f>+VLOOKUP($L3,Data_Validation!$A:$D,1,0)</f>
        <v>20</v>
      </c>
      <c r="U3" s="656">
        <f>+VLOOKUP($L3,Data_Validation!$A:$D,3,0)</f>
        <v>0</v>
      </c>
      <c r="V3" s="656">
        <f>+VLOOKUP($L3,Data_Validation!$A:$D,4,0)</f>
        <v>0</v>
      </c>
      <c r="W3" s="656">
        <f>+VLOOKUP($L3,Data_Validation!$A:$E,5,0)</f>
        <v>0</v>
      </c>
      <c r="X3" s="656">
        <f>+VLOOKUP($L3,Data_Validation!$A:$F,6,0)</f>
        <v>0</v>
      </c>
      <c r="Z3" s="658"/>
    </row>
    <row r="4" spans="1:26" ht="15" customHeight="1">
      <c r="A4" s="1255" t="s">
        <v>722</v>
      </c>
      <c r="B4" s="1255" t="s">
        <v>748</v>
      </c>
      <c r="C4" s="1256"/>
      <c r="D4" s="1256"/>
      <c r="E4" s="1256"/>
      <c r="F4" s="1255" t="s">
        <v>2</v>
      </c>
      <c r="G4" s="1255" t="s">
        <v>3322</v>
      </c>
      <c r="H4" s="1255" t="s">
        <v>3950</v>
      </c>
      <c r="I4" s="1257">
        <v>80421.77</v>
      </c>
      <c r="J4" s="1257">
        <v>0</v>
      </c>
      <c r="K4" s="1257">
        <v>80421.77</v>
      </c>
      <c r="L4" s="653" t="str">
        <f t="shared" si="2"/>
        <v>30</v>
      </c>
      <c r="M4" s="654" t="str">
        <f t="shared" si="0"/>
        <v>PROFIT/PERTES MARS</v>
      </c>
      <c r="N4" s="655">
        <f>+IF(OR($Q4=Parametres!$G$2,$Q4=Parametres!$G$3),I4,C4)</f>
        <v>80421.77</v>
      </c>
      <c r="O4" s="655">
        <f>+IF(OR($Q4=Parametres!$G$2,$Q4=Parametres!$G$3),J4,D4)</f>
        <v>0</v>
      </c>
      <c r="P4" s="655">
        <f>+IF(OR($Q4=Parametres!$G$2,$Q4=Parametres!$G$3),K4,E4)</f>
        <v>80421.77</v>
      </c>
      <c r="Q4" s="654" t="str">
        <f t="shared" ref="Q4:S4" si="4">+F4</f>
        <v>1-Mémo</v>
      </c>
      <c r="R4" s="653" t="str">
        <f t="shared" si="4"/>
        <v>1</v>
      </c>
      <c r="S4" s="654" t="str">
        <f t="shared" si="4"/>
        <v>_</v>
      </c>
      <c r="T4" s="656" t="str">
        <f>+VLOOKUP($L4,Data_Validation!$A:$D,1,0)</f>
        <v>30</v>
      </c>
      <c r="U4" s="656">
        <f>+VLOOKUP($L4,Data_Validation!$A:$D,3,0)</f>
        <v>0</v>
      </c>
      <c r="V4" s="656">
        <f>+VLOOKUP($L4,Data_Validation!$A:$D,4,0)</f>
        <v>0</v>
      </c>
      <c r="W4" s="656">
        <f>+VLOOKUP($L4,Data_Validation!$A:$E,5,0)</f>
        <v>0</v>
      </c>
      <c r="X4" s="656">
        <f>+VLOOKUP($L4,Data_Validation!$A:$F,6,0)</f>
        <v>0</v>
      </c>
      <c r="Z4" s="4"/>
    </row>
    <row r="5" spans="1:26" ht="15.75" customHeight="1">
      <c r="A5" s="1255" t="s">
        <v>723</v>
      </c>
      <c r="B5" s="1255" t="s">
        <v>761</v>
      </c>
      <c r="C5" s="1256"/>
      <c r="D5" s="1256"/>
      <c r="E5" s="1256"/>
      <c r="F5" s="1255" t="s">
        <v>2</v>
      </c>
      <c r="G5" s="1255" t="s">
        <v>3322</v>
      </c>
      <c r="H5" s="1255" t="s">
        <v>3950</v>
      </c>
      <c r="I5" s="1257">
        <v>113419.51</v>
      </c>
      <c r="J5" s="1257">
        <v>0</v>
      </c>
      <c r="K5" s="1257">
        <v>113419.51</v>
      </c>
      <c r="L5" s="653" t="str">
        <f t="shared" si="2"/>
        <v>40</v>
      </c>
      <c r="M5" s="654" t="str">
        <f t="shared" si="0"/>
        <v>PROFIT/PERTES AVRIL</v>
      </c>
      <c r="N5" s="655">
        <f>+IF(OR($Q5=Parametres!$G$2,$Q5=Parametres!$G$3),I5,C5)</f>
        <v>113419.51</v>
      </c>
      <c r="O5" s="655">
        <f>+IF(OR($Q5=Parametres!$G$2,$Q5=Parametres!$G$3),J5,D5)</f>
        <v>0</v>
      </c>
      <c r="P5" s="655">
        <f>+IF(OR($Q5=Parametres!$G$2,$Q5=Parametres!$G$3),K5,E5)</f>
        <v>113419.51</v>
      </c>
      <c r="Q5" s="654" t="str">
        <f t="shared" ref="Q5:S5" si="5">+F5</f>
        <v>1-Mémo</v>
      </c>
      <c r="R5" s="653" t="str">
        <f t="shared" si="5"/>
        <v>1</v>
      </c>
      <c r="S5" s="654" t="str">
        <f t="shared" si="5"/>
        <v>_</v>
      </c>
      <c r="T5" s="656" t="str">
        <f>+VLOOKUP($L5,Data_Validation!$A:$D,1,0)</f>
        <v>40</v>
      </c>
      <c r="U5" s="656">
        <f>+VLOOKUP($L5,Data_Validation!$A:$D,3,0)</f>
        <v>0</v>
      </c>
      <c r="V5" s="656">
        <f>+VLOOKUP($L5,Data_Validation!$A:$D,4,0)</f>
        <v>0</v>
      </c>
      <c r="W5" s="656">
        <f>+VLOOKUP($L5,Data_Validation!$A:$E,5,0)</f>
        <v>0</v>
      </c>
      <c r="X5" s="656">
        <f>+VLOOKUP($L5,Data_Validation!$A:$F,6,0)</f>
        <v>0</v>
      </c>
      <c r="Z5" s="4"/>
    </row>
    <row r="6" spans="1:26" ht="15.75" customHeight="1">
      <c r="A6" s="1255" t="s">
        <v>732</v>
      </c>
      <c r="B6" s="1255" t="s">
        <v>1674</v>
      </c>
      <c r="C6" s="1256"/>
      <c r="D6" s="1256"/>
      <c r="E6" s="1256"/>
      <c r="F6" s="1255" t="s">
        <v>2</v>
      </c>
      <c r="G6" s="1255" t="s">
        <v>3323</v>
      </c>
      <c r="H6" s="1255" t="s">
        <v>3950</v>
      </c>
      <c r="I6" s="1257">
        <v>0.38</v>
      </c>
      <c r="J6" s="1257">
        <v>0</v>
      </c>
      <c r="K6" s="1257">
        <v>0.38</v>
      </c>
      <c r="L6" s="653" t="str">
        <f t="shared" si="2"/>
        <v>229</v>
      </c>
      <c r="M6" s="654" t="str">
        <f t="shared" si="0"/>
        <v>CUMUL. VIS. CARR. VW</v>
      </c>
      <c r="N6" s="655">
        <f>+IF(OR($Q6=Parametres!$G$2,$Q6=Parametres!$G$3),I6,C6)</f>
        <v>0.38</v>
      </c>
      <c r="O6" s="655">
        <f>+IF(OR($Q6=Parametres!$G$2,$Q6=Parametres!$G$3),J6,D6)</f>
        <v>0</v>
      </c>
      <c r="P6" s="655">
        <f>+IF(OR($Q6=Parametres!$G$2,$Q6=Parametres!$G$3),K6,E6)</f>
        <v>0.38</v>
      </c>
      <c r="Q6" s="654" t="str">
        <f t="shared" ref="Q6:S6" si="6">+F6</f>
        <v>1-Mémo</v>
      </c>
      <c r="R6" s="653" t="str">
        <f t="shared" si="6"/>
        <v>23</v>
      </c>
      <c r="S6" s="654" t="str">
        <f t="shared" si="6"/>
        <v>_</v>
      </c>
      <c r="T6" s="656" t="str">
        <f>+VLOOKUP($L6,Data_Validation!$A:$D,1,0)</f>
        <v>229</v>
      </c>
      <c r="U6" s="656">
        <f>+VLOOKUP($L6,Data_Validation!$A:$D,3,0)</f>
        <v>0</v>
      </c>
      <c r="V6" s="656">
        <f>+VLOOKUP($L6,Data_Validation!$A:$D,4,0)</f>
        <v>0</v>
      </c>
      <c r="W6" s="656">
        <f>+VLOOKUP($L6,Data_Validation!$A:$E,5,0)</f>
        <v>0</v>
      </c>
      <c r="X6" s="656">
        <f>+VLOOKUP($L6,Data_Validation!$A:$F,6,0)</f>
        <v>0</v>
      </c>
      <c r="Z6" s="138"/>
    </row>
    <row r="7" spans="1:26" ht="15" customHeight="1">
      <c r="A7" s="1255" t="s">
        <v>733</v>
      </c>
      <c r="B7" s="1255" t="s">
        <v>1690</v>
      </c>
      <c r="C7" s="1256"/>
      <c r="D7" s="1256"/>
      <c r="E7" s="1256"/>
      <c r="F7" s="1255" t="s">
        <v>2</v>
      </c>
      <c r="G7" s="1255" t="s">
        <v>3323</v>
      </c>
      <c r="H7" s="1255" t="s">
        <v>3950</v>
      </c>
      <c r="I7" s="1257">
        <v>34.729999999999997</v>
      </c>
      <c r="J7" s="1257">
        <v>0</v>
      </c>
      <c r="K7" s="1257">
        <v>34.729999999999997</v>
      </c>
      <c r="L7" s="653" t="str">
        <f t="shared" si="2"/>
        <v>230</v>
      </c>
      <c r="M7" s="654" t="str">
        <f t="shared" si="0"/>
        <v>CUMUL. VIS. VEH. SERV. VW</v>
      </c>
      <c r="N7" s="655">
        <f>+IF(OR($Q7=Parametres!$G$2,$Q7=Parametres!$G$3),I7,C7)</f>
        <v>34.729999999999997</v>
      </c>
      <c r="O7" s="655">
        <f>+IF(OR($Q7=Parametres!$G$2,$Q7=Parametres!$G$3),J7,D7)</f>
        <v>0</v>
      </c>
      <c r="P7" s="655">
        <f>+IF(OR($Q7=Parametres!$G$2,$Q7=Parametres!$G$3),K7,E7)</f>
        <v>34.729999999999997</v>
      </c>
      <c r="Q7" s="654" t="str">
        <f t="shared" ref="Q7:S7" si="7">+F7</f>
        <v>1-Mémo</v>
      </c>
      <c r="R7" s="653" t="str">
        <f t="shared" si="7"/>
        <v>23</v>
      </c>
      <c r="S7" s="654" t="str">
        <f t="shared" si="7"/>
        <v>_</v>
      </c>
      <c r="T7" s="656" t="str">
        <f>+VLOOKUP($L7,Data_Validation!$A:$D,1,0)</f>
        <v>230</v>
      </c>
      <c r="U7" s="656">
        <f>+VLOOKUP($L7,Data_Validation!$A:$D,3,0)</f>
        <v>0</v>
      </c>
      <c r="V7" s="656">
        <f>+VLOOKUP($L7,Data_Validation!$A:$D,4,0)</f>
        <v>0</v>
      </c>
      <c r="W7" s="656" t="str">
        <f>+VLOOKUP($L7,Data_Validation!$A:$E,5,0)</f>
        <v>$</v>
      </c>
      <c r="X7" s="656">
        <f>+VLOOKUP($L7,Data_Validation!$A:$F,6,0)</f>
        <v>0</v>
      </c>
    </row>
    <row r="8" spans="1:26" ht="15" customHeight="1">
      <c r="A8" s="1255" t="s">
        <v>734</v>
      </c>
      <c r="B8" s="1255" t="s">
        <v>1698</v>
      </c>
      <c r="C8" s="1256"/>
      <c r="D8" s="1256"/>
      <c r="E8" s="1256"/>
      <c r="F8" s="1255" t="s">
        <v>2</v>
      </c>
      <c r="G8" s="1255" t="s">
        <v>3323</v>
      </c>
      <c r="H8" s="1255" t="s">
        <v>3950</v>
      </c>
      <c r="I8" s="1257">
        <v>82.83</v>
      </c>
      <c r="J8" s="1257">
        <v>0</v>
      </c>
      <c r="K8" s="1257">
        <v>82.83</v>
      </c>
      <c r="L8" s="653" t="str">
        <f t="shared" si="2"/>
        <v>234</v>
      </c>
      <c r="M8" s="654" t="str">
        <f t="shared" si="0"/>
        <v>TOTAL HRES PROD. SERVICE</v>
      </c>
      <c r="N8" s="655">
        <f>+IF(OR($Q8=Parametres!$G$2,$Q8=Parametres!$G$3),I8,C8)</f>
        <v>82.83</v>
      </c>
      <c r="O8" s="655">
        <f>+IF(OR($Q8=Parametres!$G$2,$Q8=Parametres!$G$3),J8,D8)</f>
        <v>0</v>
      </c>
      <c r="P8" s="655">
        <f>+IF(OR($Q8=Parametres!$G$2,$Q8=Parametres!$G$3),K8,E8)</f>
        <v>82.83</v>
      </c>
      <c r="Q8" s="654" t="str">
        <f t="shared" ref="Q8:S8" si="8">+F8</f>
        <v>1-Mémo</v>
      </c>
      <c r="R8" s="653" t="str">
        <f t="shared" si="8"/>
        <v>23</v>
      </c>
      <c r="S8" s="654" t="str">
        <f t="shared" si="8"/>
        <v>_</v>
      </c>
      <c r="T8" s="656" t="str">
        <f>+VLOOKUP($L8,Data_Validation!$A:$D,1,0)</f>
        <v>234</v>
      </c>
      <c r="U8" s="656">
        <f>+VLOOKUP($L8,Data_Validation!$A:$D,3,0)</f>
        <v>0</v>
      </c>
      <c r="V8" s="656">
        <f>+VLOOKUP($L8,Data_Validation!$A:$D,4,0)</f>
        <v>0</v>
      </c>
      <c r="W8" s="656">
        <f>+VLOOKUP($L8,Data_Validation!$A:$E,5,0)</f>
        <v>0</v>
      </c>
      <c r="X8" s="656">
        <f>+VLOOKUP($L8,Data_Validation!$A:$F,6,0)</f>
        <v>0</v>
      </c>
    </row>
    <row r="9" spans="1:26" ht="15" customHeight="1">
      <c r="A9" s="1255" t="s">
        <v>735</v>
      </c>
      <c r="B9" s="1255" t="s">
        <v>1710</v>
      </c>
      <c r="C9" s="1256"/>
      <c r="D9" s="1256"/>
      <c r="E9" s="1256"/>
      <c r="F9" s="1255" t="s">
        <v>2</v>
      </c>
      <c r="G9" s="1255" t="s">
        <v>3323</v>
      </c>
      <c r="H9" s="1255" t="s">
        <v>3950</v>
      </c>
      <c r="I9" s="1257">
        <v>84.61</v>
      </c>
      <c r="J9" s="1257">
        <v>0</v>
      </c>
      <c r="K9" s="1257">
        <v>84.61</v>
      </c>
      <c r="L9" s="653" t="str">
        <f t="shared" si="2"/>
        <v>236</v>
      </c>
      <c r="M9" s="654" t="str">
        <f t="shared" si="0"/>
        <v>HEURES VENDU VW - SERVICE</v>
      </c>
      <c r="N9" s="655">
        <f>+IF(OR($Q9=Parametres!$G$2,$Q9=Parametres!$G$3),I9,C9)</f>
        <v>84.61</v>
      </c>
      <c r="O9" s="659">
        <f>+IF(OR($Q9=Parametres!$G$2,$Q9=Parametres!$G$3),J9,D9)</f>
        <v>0</v>
      </c>
      <c r="P9" s="655">
        <f>+IF(OR($Q9=Parametres!$G$2,$Q9=Parametres!$G$3),K9,E9)</f>
        <v>84.61</v>
      </c>
      <c r="Q9" s="654" t="str">
        <f t="shared" ref="Q9:S9" si="9">+F9</f>
        <v>1-Mémo</v>
      </c>
      <c r="R9" s="653" t="str">
        <f t="shared" si="9"/>
        <v>23</v>
      </c>
      <c r="S9" s="654" t="str">
        <f t="shared" si="9"/>
        <v>_</v>
      </c>
      <c r="T9" s="656" t="str">
        <f>+VLOOKUP($L9,Data_Validation!$A:$D,1,0)</f>
        <v>236</v>
      </c>
      <c r="U9" s="656">
        <f>+VLOOKUP($L9,Data_Validation!$A:$D,3,0)</f>
        <v>0</v>
      </c>
      <c r="V9" s="656">
        <f>+VLOOKUP($L9,Data_Validation!$A:$D,4,0)</f>
        <v>0</v>
      </c>
      <c r="W9" s="656">
        <f>+VLOOKUP($L9,Data_Validation!$A:$E,5,0)</f>
        <v>0</v>
      </c>
      <c r="X9" s="656">
        <f>+VLOOKUP($L9,Data_Validation!$A:$F,6,0)</f>
        <v>0</v>
      </c>
    </row>
    <row r="10" spans="1:26" ht="15" customHeight="1">
      <c r="A10" s="1255" t="s">
        <v>736</v>
      </c>
      <c r="B10" s="1255" t="s">
        <v>1713</v>
      </c>
      <c r="C10" s="1256"/>
      <c r="D10" s="1256"/>
      <c r="E10" s="1256"/>
      <c r="F10" s="1255" t="s">
        <v>2</v>
      </c>
      <c r="G10" s="1255" t="s">
        <v>3323</v>
      </c>
      <c r="H10" s="1255" t="s">
        <v>3950</v>
      </c>
      <c r="I10" s="1257">
        <v>95.56</v>
      </c>
      <c r="J10" s="1257">
        <v>0</v>
      </c>
      <c r="K10" s="1257">
        <v>95.56</v>
      </c>
      <c r="L10" s="653" t="str">
        <f t="shared" si="2"/>
        <v>238</v>
      </c>
      <c r="M10" s="654" t="str">
        <f t="shared" si="0"/>
        <v>TOT. HEURES DISP. SERVICE</v>
      </c>
      <c r="N10" s="655">
        <f>+IF(OR($Q10=Parametres!$G$2,$Q10=Parametres!$G$3),I10,C10)</f>
        <v>95.56</v>
      </c>
      <c r="O10" s="659">
        <f>+IF(OR($Q10=Parametres!$G$2,$Q10=Parametres!$G$3),J10,D10)</f>
        <v>0</v>
      </c>
      <c r="P10" s="655">
        <f>+IF(OR($Q10=Parametres!$G$2,$Q10=Parametres!$G$3),K10,E10)</f>
        <v>95.56</v>
      </c>
      <c r="Q10" s="654" t="str">
        <f t="shared" ref="Q10:S10" si="10">+F10</f>
        <v>1-Mémo</v>
      </c>
      <c r="R10" s="653" t="str">
        <f t="shared" si="10"/>
        <v>23</v>
      </c>
      <c r="S10" s="654" t="str">
        <f t="shared" si="10"/>
        <v>_</v>
      </c>
      <c r="T10" s="656" t="str">
        <f>+VLOOKUP($L10,Data_Validation!$A:$D,1,0)</f>
        <v>238</v>
      </c>
      <c r="U10" s="656">
        <f>+VLOOKUP($L10,Data_Validation!$A:$D,3,0)</f>
        <v>0</v>
      </c>
      <c r="V10" s="656">
        <f>+VLOOKUP($L10,Data_Validation!$A:$D,4,0)</f>
        <v>0</v>
      </c>
      <c r="W10" s="656">
        <f>+VLOOKUP($L10,Data_Validation!$A:$E,5,0)</f>
        <v>0</v>
      </c>
      <c r="X10" s="656">
        <f>+VLOOKUP($L10,Data_Validation!$A:$F,6,0)</f>
        <v>0</v>
      </c>
    </row>
    <row r="11" spans="1:26" ht="15" customHeight="1">
      <c r="A11" s="1255" t="s">
        <v>3658</v>
      </c>
      <c r="B11" s="1255" t="s">
        <v>1718</v>
      </c>
      <c r="C11" s="1256"/>
      <c r="D11" s="1256"/>
      <c r="E11" s="1256"/>
      <c r="F11" s="1255" t="s">
        <v>2</v>
      </c>
      <c r="G11" s="1255" t="s">
        <v>3324</v>
      </c>
      <c r="H11" s="1255" t="s">
        <v>3950</v>
      </c>
      <c r="I11" s="1257">
        <v>154.94999999999999</v>
      </c>
      <c r="J11" s="1257">
        <v>0</v>
      </c>
      <c r="K11" s="1257">
        <v>154.94999999999999</v>
      </c>
      <c r="L11" s="653" t="str">
        <f t="shared" si="2"/>
        <v>243</v>
      </c>
      <c r="M11" s="654" t="str">
        <f t="shared" si="0"/>
        <v>TAUX MAIN D'OEUVRE - VW - MCI - CLIENT</v>
      </c>
      <c r="N11" s="655">
        <f>+IF(OR($Q11=Parametres!$G$2,$Q11=Parametres!$G$3),I11,C11)</f>
        <v>154.94999999999999</v>
      </c>
      <c r="O11" s="659">
        <f>+IF(OR($Q11=Parametres!$G$2,$Q11=Parametres!$G$3),J11,D11)</f>
        <v>0</v>
      </c>
      <c r="P11" s="655">
        <f>+IF(OR($Q11=Parametres!$G$2,$Q11=Parametres!$G$3),K11,E11)</f>
        <v>154.94999999999999</v>
      </c>
      <c r="Q11" s="654" t="str">
        <f t="shared" ref="Q11:S11" si="11">+F11</f>
        <v>1-Mémo</v>
      </c>
      <c r="R11" s="653" t="str">
        <f t="shared" si="11"/>
        <v>24</v>
      </c>
      <c r="S11" s="654" t="str">
        <f t="shared" si="11"/>
        <v>_</v>
      </c>
      <c r="T11" s="656" t="str">
        <f>+VLOOKUP($L11,Data_Validation!$A:$D,1,0)</f>
        <v>243</v>
      </c>
      <c r="U11" s="656">
        <f>+VLOOKUP($L11,Data_Validation!$A:$D,3,0)</f>
        <v>0</v>
      </c>
      <c r="V11" s="656">
        <f>+VLOOKUP($L11,Data_Validation!$A:$D,4,0)</f>
        <v>0</v>
      </c>
      <c r="W11" s="656">
        <f>+VLOOKUP($L11,Data_Validation!$A:$E,5,0)</f>
        <v>0</v>
      </c>
      <c r="X11" s="656">
        <f>+VLOOKUP($L11,Data_Validation!$A:$F,6,0)</f>
        <v>0</v>
      </c>
    </row>
    <row r="12" spans="1:26" ht="15" customHeight="1">
      <c r="A12" s="1255" t="s">
        <v>3659</v>
      </c>
      <c r="B12" s="1255" t="s">
        <v>1721</v>
      </c>
      <c r="C12" s="1256"/>
      <c r="D12" s="1256"/>
      <c r="E12" s="1256"/>
      <c r="F12" s="1255" t="s">
        <v>2</v>
      </c>
      <c r="G12" s="1255" t="s">
        <v>3324</v>
      </c>
      <c r="H12" s="1255" t="s">
        <v>3950</v>
      </c>
      <c r="I12" s="1257">
        <v>142.97</v>
      </c>
      <c r="J12" s="1257">
        <v>0</v>
      </c>
      <c r="K12" s="1257">
        <v>142.97</v>
      </c>
      <c r="L12" s="653" t="str">
        <f t="shared" si="2"/>
        <v>244</v>
      </c>
      <c r="M12" s="654" t="str">
        <f t="shared" si="0"/>
        <v>TAUX MAIN D'OEUVRE - VW - MCI - GARANTIE</v>
      </c>
      <c r="N12" s="655">
        <f>+IF(OR($Q12=Parametres!$G$2,$Q12=Parametres!$G$3),I12,C12)</f>
        <v>142.97</v>
      </c>
      <c r="O12" s="655">
        <f>+IF(OR($Q12=Parametres!$G$2,$Q12=Parametres!$G$3),J12,D12)</f>
        <v>0</v>
      </c>
      <c r="P12" s="655">
        <f>+IF(OR($Q12=Parametres!$G$2,$Q12=Parametres!$G$3),K12,E12)</f>
        <v>142.97</v>
      </c>
      <c r="Q12" s="654" t="str">
        <f t="shared" ref="Q12:S12" si="12">+F12</f>
        <v>1-Mémo</v>
      </c>
      <c r="R12" s="653" t="str">
        <f t="shared" si="12"/>
        <v>24</v>
      </c>
      <c r="S12" s="654" t="str">
        <f t="shared" si="12"/>
        <v>_</v>
      </c>
      <c r="T12" s="656" t="str">
        <f>+VLOOKUP($L12,Data_Validation!$A:$D,1,0)</f>
        <v>244</v>
      </c>
      <c r="U12" s="656">
        <f>+VLOOKUP($L12,Data_Validation!$A:$D,3,0)</f>
        <v>0</v>
      </c>
      <c r="V12" s="656">
        <f>+VLOOKUP($L12,Data_Validation!$A:$D,4,0)</f>
        <v>0</v>
      </c>
      <c r="W12" s="656">
        <f>+VLOOKUP($L12,Data_Validation!$A:$E,5,0)</f>
        <v>0</v>
      </c>
      <c r="X12" s="656">
        <f>+VLOOKUP($L12,Data_Validation!$A:$F,6,0)</f>
        <v>0</v>
      </c>
    </row>
    <row r="13" spans="1:26" ht="15" customHeight="1">
      <c r="A13" s="1255" t="s">
        <v>3660</v>
      </c>
      <c r="B13" s="1255" t="s">
        <v>1724</v>
      </c>
      <c r="C13" s="1256"/>
      <c r="D13" s="1256"/>
      <c r="E13" s="1256"/>
      <c r="F13" s="1255" t="s">
        <v>2</v>
      </c>
      <c r="G13" s="1255" t="s">
        <v>3324</v>
      </c>
      <c r="H13" s="1255" t="s">
        <v>3950</v>
      </c>
      <c r="I13" s="1257">
        <v>154.94999999999999</v>
      </c>
      <c r="J13" s="1257">
        <v>0</v>
      </c>
      <c r="K13" s="1257">
        <v>154.94999999999999</v>
      </c>
      <c r="L13" s="653" t="str">
        <f t="shared" si="2"/>
        <v>245</v>
      </c>
      <c r="M13" s="654" t="str">
        <f t="shared" si="0"/>
        <v>TAUX MAIN D'OEUVRE - VW - MCI - INTERNE</v>
      </c>
      <c r="N13" s="655">
        <f>+IF(OR($Q13=Parametres!$G$2,$Q13=Parametres!$G$3),I13,C13)</f>
        <v>154.94999999999999</v>
      </c>
      <c r="O13" s="655">
        <f>+IF(OR($Q13=Parametres!$G$2,$Q13=Parametres!$G$3),J13,D13)</f>
        <v>0</v>
      </c>
      <c r="P13" s="655">
        <f>+IF(OR($Q13=Parametres!$G$2,$Q13=Parametres!$G$3),K13,E13)</f>
        <v>154.94999999999999</v>
      </c>
      <c r="Q13" s="654" t="str">
        <f t="shared" ref="Q13:S13" si="13">+F13</f>
        <v>1-Mémo</v>
      </c>
      <c r="R13" s="653" t="str">
        <f t="shared" si="13"/>
        <v>24</v>
      </c>
      <c r="S13" s="654" t="str">
        <f t="shared" si="13"/>
        <v>_</v>
      </c>
      <c r="T13" s="656" t="str">
        <f>+VLOOKUP($L13,Data_Validation!$A:$D,1,0)</f>
        <v>245</v>
      </c>
      <c r="U13" s="656">
        <f>+VLOOKUP($L13,Data_Validation!$A:$D,3,0)</f>
        <v>0</v>
      </c>
      <c r="V13" s="656">
        <f>+VLOOKUP($L13,Data_Validation!$A:$D,4,0)</f>
        <v>0</v>
      </c>
      <c r="W13" s="656">
        <f>+VLOOKUP($L13,Data_Validation!$A:$E,5,0)</f>
        <v>0</v>
      </c>
      <c r="X13" s="656">
        <f>+VLOOKUP($L13,Data_Validation!$A:$F,6,0)</f>
        <v>0</v>
      </c>
    </row>
    <row r="14" spans="1:26" ht="15" customHeight="1">
      <c r="A14" s="1255" t="s">
        <v>3661</v>
      </c>
      <c r="B14" s="1255" t="s">
        <v>1727</v>
      </c>
      <c r="C14" s="1256"/>
      <c r="D14" s="1256"/>
      <c r="E14" s="1256"/>
      <c r="F14" s="1255" t="s">
        <v>2</v>
      </c>
      <c r="G14" s="1255" t="s">
        <v>3324</v>
      </c>
      <c r="H14" s="1255" t="s">
        <v>3950</v>
      </c>
      <c r="I14" s="1257">
        <v>75</v>
      </c>
      <c r="J14" s="1257">
        <v>0</v>
      </c>
      <c r="K14" s="1257">
        <v>75</v>
      </c>
      <c r="L14" s="653" t="str">
        <f t="shared" si="2"/>
        <v>246</v>
      </c>
      <c r="M14" s="654" t="str">
        <f t="shared" si="0"/>
        <v>TAUX MAIN D'OEUVRE - VW - MCI - CARROSSERIE</v>
      </c>
      <c r="N14" s="655">
        <f>+IF(OR($Q14=Parametres!$G$2,$Q14=Parametres!$G$3),I14,C14)</f>
        <v>75</v>
      </c>
      <c r="O14" s="655">
        <f>+IF(OR($Q14=Parametres!$G$2,$Q14=Parametres!$G$3),J14,D14)</f>
        <v>0</v>
      </c>
      <c r="P14" s="655">
        <f>+IF(OR($Q14=Parametres!$G$2,$Q14=Parametres!$G$3),K14,E14)</f>
        <v>75</v>
      </c>
      <c r="Q14" s="654" t="str">
        <f t="shared" ref="Q14:S14" si="14">+F14</f>
        <v>1-Mémo</v>
      </c>
      <c r="R14" s="653" t="str">
        <f t="shared" si="14"/>
        <v>24</v>
      </c>
      <c r="S14" s="654" t="str">
        <f t="shared" si="14"/>
        <v>_</v>
      </c>
      <c r="T14" s="656" t="str">
        <f>+VLOOKUP($L14,Data_Validation!$A:$D,1,0)</f>
        <v>246</v>
      </c>
      <c r="U14" s="656">
        <f>+VLOOKUP($L14,Data_Validation!$A:$D,3,0)</f>
        <v>0</v>
      </c>
      <c r="V14" s="656">
        <f>+VLOOKUP($L14,Data_Validation!$A:$D,4,0)</f>
        <v>0</v>
      </c>
      <c r="W14" s="656">
        <f>+VLOOKUP($L14,Data_Validation!$A:$E,5,0)</f>
        <v>0</v>
      </c>
      <c r="X14" s="656">
        <f>+VLOOKUP($L14,Data_Validation!$A:$F,6,0)</f>
        <v>0</v>
      </c>
    </row>
    <row r="15" spans="1:26" ht="15" customHeight="1">
      <c r="A15" s="1255" t="s">
        <v>741</v>
      </c>
      <c r="B15" s="1255" t="s">
        <v>742</v>
      </c>
      <c r="C15" s="1256"/>
      <c r="D15" s="1256"/>
      <c r="E15" s="1256"/>
      <c r="F15" s="1255" t="s">
        <v>2</v>
      </c>
      <c r="G15" s="1255" t="s">
        <v>742</v>
      </c>
      <c r="H15" s="1255" t="s">
        <v>3950</v>
      </c>
      <c r="I15" s="1257">
        <v>0.14000000000000001</v>
      </c>
      <c r="J15" s="1257">
        <v>0</v>
      </c>
      <c r="K15" s="1257">
        <v>0.14000000000000001</v>
      </c>
      <c r="L15" s="653" t="str">
        <f t="shared" si="2"/>
        <v>255</v>
      </c>
      <c r="M15" s="654" t="str">
        <f t="shared" si="0"/>
        <v>BAIES TRAVAIL PRODUCTIVES - SERVICE VW</v>
      </c>
      <c r="N15" s="655">
        <f>+IF(OR($Q15=Parametres!$G$2,$Q15=Parametres!$G$3),I15,C15)</f>
        <v>0.14000000000000001</v>
      </c>
      <c r="O15" s="655">
        <f>+IF(OR($Q15=Parametres!$G$2,$Q15=Parametres!$G$3),J15,D15)</f>
        <v>0</v>
      </c>
      <c r="P15" s="655">
        <f>+IF(OR($Q15=Parametres!$G$2,$Q15=Parametres!$G$3),K15,E15)</f>
        <v>0.14000000000000001</v>
      </c>
      <c r="Q15" s="654" t="str">
        <f t="shared" ref="Q15:S15" si="15">+F15</f>
        <v>1-Mémo</v>
      </c>
      <c r="R15" s="653" t="str">
        <f t="shared" si="15"/>
        <v>255</v>
      </c>
      <c r="S15" s="654" t="str">
        <f t="shared" si="15"/>
        <v>_</v>
      </c>
      <c r="T15" s="656" t="str">
        <f>+VLOOKUP($L15,Data_Validation!$A:$D,1,0)</f>
        <v>255</v>
      </c>
      <c r="U15" s="656">
        <f>+VLOOKUP($L15,Data_Validation!$A:$D,3,0)</f>
        <v>0</v>
      </c>
      <c r="V15" s="656">
        <f>+VLOOKUP($L15,Data_Validation!$A:$D,4,0)</f>
        <v>0</v>
      </c>
      <c r="W15" s="656">
        <f>+VLOOKUP($L15,Data_Validation!$A:$E,5,0)</f>
        <v>0</v>
      </c>
      <c r="X15" s="656">
        <f>+VLOOKUP($L15,Data_Validation!$A:$F,6,0)</f>
        <v>0</v>
      </c>
    </row>
    <row r="16" spans="1:26" ht="15" customHeight="1">
      <c r="A16" s="1255" t="s">
        <v>3662</v>
      </c>
      <c r="B16" s="1255" t="s">
        <v>744</v>
      </c>
      <c r="C16" s="1256"/>
      <c r="D16" s="1256"/>
      <c r="E16" s="1256"/>
      <c r="F16" s="1255" t="s">
        <v>2</v>
      </c>
      <c r="G16" s="1255" t="s">
        <v>744</v>
      </c>
      <c r="H16" s="1255" t="s">
        <v>3950</v>
      </c>
      <c r="I16" s="1257">
        <v>4090.94</v>
      </c>
      <c r="J16" s="1257">
        <v>0</v>
      </c>
      <c r="K16" s="1257">
        <v>4090.94</v>
      </c>
      <c r="L16" s="653" t="str">
        <f t="shared" si="2"/>
        <v>257</v>
      </c>
      <c r="M16" s="654" t="str">
        <f t="shared" si="0"/>
        <v>HEURES VENDUES - SVC - VW - MCI - CLIENT</v>
      </c>
      <c r="N16" s="655">
        <f>+IF(OR($Q16=Parametres!$G$2,$Q16=Parametres!$G$3),I16,C16)</f>
        <v>4090.94</v>
      </c>
      <c r="O16" s="655">
        <f>+IF(OR($Q16=Parametres!$G$2,$Q16=Parametres!$G$3),J16,D16)</f>
        <v>0</v>
      </c>
      <c r="P16" s="655">
        <f>+IF(OR($Q16=Parametres!$G$2,$Q16=Parametres!$G$3),K16,E16)</f>
        <v>4090.94</v>
      </c>
      <c r="Q16" s="654" t="str">
        <f t="shared" ref="Q16:S16" si="16">+F16</f>
        <v>1-Mémo</v>
      </c>
      <c r="R16" s="653" t="str">
        <f t="shared" si="16"/>
        <v>257</v>
      </c>
      <c r="S16" s="654" t="str">
        <f t="shared" si="16"/>
        <v>_</v>
      </c>
      <c r="T16" s="656" t="str">
        <f>+VLOOKUP($L16,Data_Validation!$A:$D,1,0)</f>
        <v>257</v>
      </c>
      <c r="U16" s="656">
        <f>+VLOOKUP($L16,Data_Validation!$A:$D,3,0)</f>
        <v>0</v>
      </c>
      <c r="V16" s="656">
        <f>+VLOOKUP($L16,Data_Validation!$A:$D,4,0)</f>
        <v>0</v>
      </c>
      <c r="W16" s="656">
        <f>+VLOOKUP($L16,Data_Validation!$A:$E,5,0)</f>
        <v>0</v>
      </c>
      <c r="X16" s="656">
        <f>+VLOOKUP($L16,Data_Validation!$A:$F,6,0)</f>
        <v>0</v>
      </c>
    </row>
    <row r="17" spans="1:24" ht="15" customHeight="1">
      <c r="A17" s="1255" t="s">
        <v>3663</v>
      </c>
      <c r="B17" s="1255" t="s">
        <v>1750</v>
      </c>
      <c r="C17" s="1256"/>
      <c r="D17" s="1256"/>
      <c r="E17" s="1256"/>
      <c r="F17" s="1255" t="s">
        <v>2</v>
      </c>
      <c r="G17" s="1255" t="s">
        <v>744</v>
      </c>
      <c r="H17" s="1255" t="s">
        <v>3950</v>
      </c>
      <c r="I17" s="1257">
        <v>2361.06</v>
      </c>
      <c r="J17" s="1257">
        <v>0</v>
      </c>
      <c r="K17" s="1257">
        <v>2361.06</v>
      </c>
      <c r="L17" s="653" t="str">
        <f t="shared" si="2"/>
        <v>258</v>
      </c>
      <c r="M17" s="654" t="str">
        <f t="shared" si="0"/>
        <v>HEURES VENDUES - SVC - VW - MCI - GARANTIE</v>
      </c>
      <c r="N17" s="655">
        <f>+IF(OR($Q17=Parametres!$G$2,$Q17=Parametres!$G$3),I17,C17)</f>
        <v>2361.06</v>
      </c>
      <c r="O17" s="655">
        <f>+IF(OR($Q17=Parametres!$G$2,$Q17=Parametres!$G$3),J17,D17)</f>
        <v>0</v>
      </c>
      <c r="P17" s="655">
        <f>+IF(OR($Q17=Parametres!$G$2,$Q17=Parametres!$G$3),K17,E17)</f>
        <v>2361.06</v>
      </c>
      <c r="Q17" s="654" t="str">
        <f t="shared" ref="Q17:S17" si="17">+F17</f>
        <v>1-Mémo</v>
      </c>
      <c r="R17" s="653" t="str">
        <f t="shared" si="17"/>
        <v>257</v>
      </c>
      <c r="S17" s="654" t="str">
        <f t="shared" si="17"/>
        <v>_</v>
      </c>
      <c r="T17" s="656" t="str">
        <f>+VLOOKUP($L17,Data_Validation!$A:$D,1,0)</f>
        <v>258</v>
      </c>
      <c r="U17" s="656">
        <f>+VLOOKUP($L17,Data_Validation!$A:$D,3,0)</f>
        <v>0</v>
      </c>
      <c r="V17" s="656">
        <f>+VLOOKUP($L17,Data_Validation!$A:$D,4,0)</f>
        <v>0</v>
      </c>
      <c r="W17" s="656">
        <f>+VLOOKUP($L17,Data_Validation!$A:$E,5,0)</f>
        <v>0</v>
      </c>
      <c r="X17" s="656">
        <f>+VLOOKUP($L17,Data_Validation!$A:$F,6,0)</f>
        <v>0</v>
      </c>
    </row>
    <row r="18" spans="1:24" ht="15" customHeight="1">
      <c r="A18" s="1255" t="s">
        <v>3664</v>
      </c>
      <c r="B18" s="1255" t="s">
        <v>1753</v>
      </c>
      <c r="C18" s="1256"/>
      <c r="D18" s="1256"/>
      <c r="E18" s="1256"/>
      <c r="F18" s="1255" t="s">
        <v>2</v>
      </c>
      <c r="G18" s="1255" t="s">
        <v>744</v>
      </c>
      <c r="H18" s="1255" t="s">
        <v>3950</v>
      </c>
      <c r="I18" s="1257">
        <v>2009.11</v>
      </c>
      <c r="J18" s="1257">
        <v>0</v>
      </c>
      <c r="K18" s="1257">
        <v>2009.11</v>
      </c>
      <c r="L18" s="653" t="str">
        <f t="shared" si="2"/>
        <v>259</v>
      </c>
      <c r="M18" s="654" t="str">
        <f t="shared" si="0"/>
        <v>HEURES VENDUES - SVC - VW - MCI - INTERNE</v>
      </c>
      <c r="N18" s="655">
        <f>+IF(OR($Q18=Parametres!$G$2,$Q18=Parametres!$G$3),I18,C18)</f>
        <v>2009.11</v>
      </c>
      <c r="O18" s="655">
        <f>+IF(OR($Q18=Parametres!$G$2,$Q18=Parametres!$G$3),J18,D18)</f>
        <v>0</v>
      </c>
      <c r="P18" s="655">
        <f>+IF(OR($Q18=Parametres!$G$2,$Q18=Parametres!$G$3),K18,E18)</f>
        <v>2009.11</v>
      </c>
      <c r="Q18" s="654" t="str">
        <f t="shared" ref="Q18:S18" si="18">+F18</f>
        <v>1-Mémo</v>
      </c>
      <c r="R18" s="653" t="str">
        <f t="shared" si="18"/>
        <v>257</v>
      </c>
      <c r="S18" s="654" t="str">
        <f t="shared" si="18"/>
        <v>_</v>
      </c>
      <c r="T18" s="656" t="str">
        <f>+VLOOKUP($L18,Data_Validation!$A:$D,1,0)</f>
        <v>259</v>
      </c>
      <c r="U18" s="656">
        <f>+VLOOKUP($L18,Data_Validation!$A:$D,3,0)</f>
        <v>0</v>
      </c>
      <c r="V18" s="656">
        <f>+VLOOKUP($L18,Data_Validation!$A:$D,4,0)</f>
        <v>0</v>
      </c>
      <c r="W18" s="656">
        <f>+VLOOKUP($L18,Data_Validation!$A:$E,5,0)</f>
        <v>0</v>
      </c>
      <c r="X18" s="656">
        <f>+VLOOKUP($L18,Data_Validation!$A:$F,6,0)</f>
        <v>0</v>
      </c>
    </row>
    <row r="19" spans="1:24" ht="15" customHeight="1">
      <c r="A19" s="1255" t="s">
        <v>3940</v>
      </c>
      <c r="B19" s="1255" t="s">
        <v>3941</v>
      </c>
      <c r="C19" s="1256"/>
      <c r="D19" s="1256"/>
      <c r="E19" s="1256"/>
      <c r="F19" s="1255" t="s">
        <v>2</v>
      </c>
      <c r="G19" s="1255" t="s">
        <v>3942</v>
      </c>
      <c r="H19" s="1255" t="s">
        <v>3950</v>
      </c>
      <c r="I19" s="1257">
        <v>154.94999999999999</v>
      </c>
      <c r="J19" s="1257">
        <v>0</v>
      </c>
      <c r="K19" s="1257">
        <v>154.94999999999999</v>
      </c>
      <c r="L19" s="653" t="str">
        <f t="shared" si="2"/>
        <v>266</v>
      </c>
      <c r="M19" s="654" t="str">
        <f t="shared" si="0"/>
        <v>TAUX MAIN D'OEUVRE - CLIENT - VW - VEB</v>
      </c>
      <c r="N19" s="655">
        <f>+IF(OR($Q19=Parametres!$G$2,$Q19=Parametres!$G$3),I19,C19)</f>
        <v>154.94999999999999</v>
      </c>
      <c r="O19" s="659">
        <f>+IF(OR($Q19=Parametres!$G$2,$Q19=Parametres!$G$3),J19,D19)</f>
        <v>0</v>
      </c>
      <c r="P19" s="655">
        <f>+IF(OR($Q19=Parametres!$G$2,$Q19=Parametres!$G$3),K19,E19)</f>
        <v>154.94999999999999</v>
      </c>
      <c r="Q19" s="654" t="str">
        <f t="shared" ref="Q19:S19" si="19">+F19</f>
        <v>1-Mémo</v>
      </c>
      <c r="R19" s="653" t="str">
        <f t="shared" si="19"/>
        <v>26</v>
      </c>
      <c r="S19" s="654" t="str">
        <f t="shared" si="19"/>
        <v>_</v>
      </c>
      <c r="T19" s="656" t="e">
        <f>+VLOOKUP($L19,Data_Validation!$A:$D,1,0)</f>
        <v>#N/A</v>
      </c>
      <c r="U19" s="656" t="e">
        <f>+VLOOKUP($L19,Data_Validation!$A:$D,3,0)</f>
        <v>#N/A</v>
      </c>
      <c r="V19" s="656" t="e">
        <f>+VLOOKUP($L19,Data_Validation!$A:$D,4,0)</f>
        <v>#N/A</v>
      </c>
      <c r="W19" s="656" t="e">
        <f>+VLOOKUP($L19,Data_Validation!$A:$E,5,0)</f>
        <v>#N/A</v>
      </c>
      <c r="X19" s="656" t="e">
        <f>+VLOOKUP($L19,Data_Validation!$A:$F,6,0)</f>
        <v>#N/A</v>
      </c>
    </row>
    <row r="20" spans="1:24" ht="15" customHeight="1">
      <c r="A20" s="1255" t="s">
        <v>3943</v>
      </c>
      <c r="B20" s="1255" t="s">
        <v>3944</v>
      </c>
      <c r="C20" s="1256"/>
      <c r="D20" s="1256"/>
      <c r="E20" s="1256"/>
      <c r="F20" s="1255" t="s">
        <v>2</v>
      </c>
      <c r="G20" s="1255" t="s">
        <v>3942</v>
      </c>
      <c r="H20" s="1255" t="s">
        <v>3950</v>
      </c>
      <c r="I20" s="1257">
        <v>142.97</v>
      </c>
      <c r="J20" s="1257">
        <v>0</v>
      </c>
      <c r="K20" s="1257">
        <v>142.97</v>
      </c>
      <c r="L20" s="653" t="str">
        <f t="shared" si="2"/>
        <v>267</v>
      </c>
      <c r="M20" s="654" t="str">
        <f t="shared" si="0"/>
        <v>TAUX MAIN D'OEUVRE - GARANTIE - VW - VEB</v>
      </c>
      <c r="N20" s="655">
        <f>+IF(OR($Q20=Parametres!$G$2,$Q20=Parametres!$G$3),I20,C20)</f>
        <v>142.97</v>
      </c>
      <c r="O20" s="655">
        <f>+IF(OR($Q20=Parametres!$G$2,$Q20=Parametres!$G$3),J20,D20)</f>
        <v>0</v>
      </c>
      <c r="P20" s="655">
        <f>+IF(OR($Q20=Parametres!$G$2,$Q20=Parametres!$G$3),K20,E20)</f>
        <v>142.97</v>
      </c>
      <c r="Q20" s="654" t="str">
        <f t="shared" ref="Q20:S20" si="20">+F20</f>
        <v>1-Mémo</v>
      </c>
      <c r="R20" s="653" t="str">
        <f t="shared" si="20"/>
        <v>26</v>
      </c>
      <c r="S20" s="654" t="str">
        <f t="shared" si="20"/>
        <v>_</v>
      </c>
      <c r="T20" s="656" t="e">
        <f>+VLOOKUP($L20,Data_Validation!$A:$D,1,0)</f>
        <v>#N/A</v>
      </c>
      <c r="U20" s="656" t="e">
        <f>+VLOOKUP($L20,Data_Validation!$A:$D,3,0)</f>
        <v>#N/A</v>
      </c>
      <c r="V20" s="656" t="e">
        <f>+VLOOKUP($L20,Data_Validation!$A:$D,4,0)</f>
        <v>#N/A</v>
      </c>
      <c r="W20" s="656" t="e">
        <f>+VLOOKUP($L20,Data_Validation!$A:$E,5,0)</f>
        <v>#N/A</v>
      </c>
      <c r="X20" s="656" t="e">
        <f>+VLOOKUP($L20,Data_Validation!$A:$F,6,0)</f>
        <v>#N/A</v>
      </c>
    </row>
    <row r="21" spans="1:24" ht="15" customHeight="1">
      <c r="A21" s="1255" t="s">
        <v>3945</v>
      </c>
      <c r="B21" s="1255" t="s">
        <v>3946</v>
      </c>
      <c r="C21" s="1256"/>
      <c r="D21" s="1256"/>
      <c r="E21" s="1256"/>
      <c r="F21" s="1255" t="s">
        <v>2</v>
      </c>
      <c r="G21" s="1255" t="s">
        <v>3942</v>
      </c>
      <c r="H21" s="1255" t="s">
        <v>3950</v>
      </c>
      <c r="I21" s="1257">
        <v>154.94999999999999</v>
      </c>
      <c r="J21" s="1257">
        <v>0</v>
      </c>
      <c r="K21" s="1257">
        <v>154.94999999999999</v>
      </c>
      <c r="L21" s="653" t="str">
        <f t="shared" si="2"/>
        <v>268</v>
      </c>
      <c r="M21" s="654" t="str">
        <f t="shared" si="0"/>
        <v>TAUX MAIN D'OEUVRE - INTERNE - VW - VEB</v>
      </c>
      <c r="N21" s="655">
        <f>+IF(OR($Q21=Parametres!$G$2,$Q21=Parametres!$G$3),I21,C21)</f>
        <v>154.94999999999999</v>
      </c>
      <c r="O21" s="655">
        <f>+IF(OR($Q21=Parametres!$G$2,$Q21=Parametres!$G$3),J21,D21)</f>
        <v>0</v>
      </c>
      <c r="P21" s="655">
        <f>+IF(OR($Q21=Parametres!$G$2,$Q21=Parametres!$G$3),K21,E21)</f>
        <v>154.94999999999999</v>
      </c>
      <c r="Q21" s="654" t="str">
        <f t="shared" ref="Q21:S21" si="21">+F21</f>
        <v>1-Mémo</v>
      </c>
      <c r="R21" s="653" t="str">
        <f t="shared" si="21"/>
        <v>26</v>
      </c>
      <c r="S21" s="654" t="str">
        <f t="shared" si="21"/>
        <v>_</v>
      </c>
      <c r="T21" s="656" t="e">
        <f>+VLOOKUP($L21,Data_Validation!$A:$D,1,0)</f>
        <v>#N/A</v>
      </c>
      <c r="U21" s="656" t="e">
        <f>+VLOOKUP($L21,Data_Validation!$A:$D,3,0)</f>
        <v>#N/A</v>
      </c>
      <c r="V21" s="656" t="e">
        <f>+VLOOKUP($L21,Data_Validation!$A:$D,4,0)</f>
        <v>#N/A</v>
      </c>
      <c r="W21" s="656" t="e">
        <f>+VLOOKUP($L21,Data_Validation!$A:$E,5,0)</f>
        <v>#N/A</v>
      </c>
      <c r="X21" s="656" t="e">
        <f>+VLOOKUP($L21,Data_Validation!$A:$F,6,0)</f>
        <v>#N/A</v>
      </c>
    </row>
    <row r="22" spans="1:24" ht="15" customHeight="1">
      <c r="A22" s="1255" t="s">
        <v>3947</v>
      </c>
      <c r="B22" s="1255" t="s">
        <v>3948</v>
      </c>
      <c r="C22" s="1256"/>
      <c r="D22" s="1256"/>
      <c r="E22" s="1256"/>
      <c r="F22" s="1255" t="s">
        <v>2</v>
      </c>
      <c r="G22" s="1255" t="s">
        <v>3942</v>
      </c>
      <c r="H22" s="1255" t="s">
        <v>3950</v>
      </c>
      <c r="I22" s="1257">
        <v>75</v>
      </c>
      <c r="J22" s="1257">
        <v>0</v>
      </c>
      <c r="K22" s="1257">
        <v>75</v>
      </c>
      <c r="L22" s="653" t="str">
        <f t="shared" si="2"/>
        <v>269</v>
      </c>
      <c r="M22" s="654" t="str">
        <f t="shared" si="0"/>
        <v>TAUX MAIN D'OEUVRE - BODY - VW - VEB</v>
      </c>
      <c r="N22" s="655">
        <f>+IF(OR($Q22=Parametres!$G$2,$Q22=Parametres!$G$3),I22,C22)</f>
        <v>75</v>
      </c>
      <c r="O22" s="655">
        <f>+IF(OR($Q22=Parametres!$G$2,$Q22=Parametres!$G$3),J22,D22)</f>
        <v>0</v>
      </c>
      <c r="P22" s="655">
        <f>+IF(OR($Q22=Parametres!$G$2,$Q22=Parametres!$G$3),K22,E22)</f>
        <v>75</v>
      </c>
      <c r="Q22" s="654" t="str">
        <f t="shared" ref="Q22:S22" si="22">+F22</f>
        <v>1-Mémo</v>
      </c>
      <c r="R22" s="653" t="str">
        <f t="shared" si="22"/>
        <v>26</v>
      </c>
      <c r="S22" s="654" t="str">
        <f t="shared" si="22"/>
        <v>_</v>
      </c>
      <c r="T22" s="656" t="e">
        <f>+VLOOKUP($L22,Data_Validation!$A:$D,1,0)</f>
        <v>#N/A</v>
      </c>
      <c r="U22" s="656" t="e">
        <f>+VLOOKUP($L22,Data_Validation!$A:$D,3,0)</f>
        <v>#N/A</v>
      </c>
      <c r="V22" s="656" t="e">
        <f>+VLOOKUP($L22,Data_Validation!$A:$D,4,0)</f>
        <v>#N/A</v>
      </c>
      <c r="W22" s="656" t="e">
        <f>+VLOOKUP($L22,Data_Validation!$A:$E,5,0)</f>
        <v>#N/A</v>
      </c>
      <c r="X22" s="656" t="e">
        <f>+VLOOKUP($L22,Data_Validation!$A:$F,6,0)</f>
        <v>#N/A</v>
      </c>
    </row>
    <row r="23" spans="1:24" ht="15" customHeight="1">
      <c r="A23" s="1255" t="s">
        <v>747</v>
      </c>
      <c r="B23" s="1255" t="s">
        <v>1763</v>
      </c>
      <c r="C23" s="1256"/>
      <c r="D23" s="1256"/>
      <c r="E23" s="1256"/>
      <c r="F23" s="1255" t="s">
        <v>2</v>
      </c>
      <c r="G23" s="1255" t="s">
        <v>748</v>
      </c>
      <c r="H23" s="1255" t="s">
        <v>3950</v>
      </c>
      <c r="I23" s="1257">
        <v>97118.37</v>
      </c>
      <c r="J23" s="1257">
        <v>0</v>
      </c>
      <c r="K23" s="1257">
        <v>97118.37</v>
      </c>
      <c r="L23" s="653" t="str">
        <f t="shared" si="2"/>
        <v>300</v>
      </c>
      <c r="M23" s="654" t="str">
        <f t="shared" si="0"/>
        <v>REC VEH PASSE DU 30-60</v>
      </c>
      <c r="N23" s="655">
        <f>+IF(OR($Q23=Parametres!$G$2,$Q23=Parametres!$G$3),I23,C23)</f>
        <v>97118.37</v>
      </c>
      <c r="O23" s="655">
        <f>+IF(OR($Q23=Parametres!$G$2,$Q23=Parametres!$G$3),J23,D23)</f>
        <v>0</v>
      </c>
      <c r="P23" s="655">
        <f>+IF(OR($Q23=Parametres!$G$2,$Q23=Parametres!$G$3),K23,E23)</f>
        <v>97118.37</v>
      </c>
      <c r="Q23" s="654" t="str">
        <f t="shared" ref="Q23:S23" si="23">+F23</f>
        <v>1-Mémo</v>
      </c>
      <c r="R23" s="653" t="str">
        <f t="shared" si="23"/>
        <v>30</v>
      </c>
      <c r="S23" s="654" t="str">
        <f t="shared" si="23"/>
        <v>_</v>
      </c>
      <c r="T23" s="656" t="str">
        <f>+VLOOKUP($L23,Data_Validation!$A:$D,1,0)</f>
        <v>300</v>
      </c>
      <c r="U23" s="656">
        <f>+VLOOKUP($L23,Data_Validation!$A:$D,3,0)</f>
        <v>0</v>
      </c>
      <c r="V23" s="656">
        <f>+VLOOKUP($L23,Data_Validation!$A:$D,4,0)</f>
        <v>0</v>
      </c>
      <c r="W23" s="656">
        <f>+VLOOKUP($L23,Data_Validation!$A:$E,5,0)</f>
        <v>0</v>
      </c>
      <c r="X23" s="656">
        <f>+VLOOKUP($L23,Data_Validation!$A:$F,6,0)</f>
        <v>0</v>
      </c>
    </row>
    <row r="24" spans="1:24" ht="15" customHeight="1">
      <c r="A24" s="1255" t="s">
        <v>749</v>
      </c>
      <c r="B24" s="1255" t="s">
        <v>1774</v>
      </c>
      <c r="C24" s="1256"/>
      <c r="D24" s="1256"/>
      <c r="E24" s="1256"/>
      <c r="F24" s="1255" t="s">
        <v>2</v>
      </c>
      <c r="G24" s="1255" t="s">
        <v>748</v>
      </c>
      <c r="H24" s="1255" t="s">
        <v>3950</v>
      </c>
      <c r="I24" s="1257">
        <v>142682.70000000001</v>
      </c>
      <c r="J24" s="1257">
        <v>0</v>
      </c>
      <c r="K24" s="1257">
        <v>142682.70000000001</v>
      </c>
      <c r="L24" s="653" t="str">
        <f t="shared" si="2"/>
        <v>301</v>
      </c>
      <c r="M24" s="654" t="str">
        <f t="shared" si="0"/>
        <v>CLIENT S P ET A PASSE DU 30-60</v>
      </c>
      <c r="N24" s="655">
        <f>+IF(OR($Q24=Parametres!$G$2,$Q24=Parametres!$G$3),I24,C24)</f>
        <v>142682.70000000001</v>
      </c>
      <c r="O24" s="655">
        <f>+IF(OR($Q24=Parametres!$G$2,$Q24=Parametres!$G$3),J24,D24)</f>
        <v>0</v>
      </c>
      <c r="P24" s="655">
        <f>+IF(OR($Q24=Parametres!$G$2,$Q24=Parametres!$G$3),K24,E24)</f>
        <v>142682.70000000001</v>
      </c>
      <c r="Q24" s="654" t="str">
        <f t="shared" ref="Q24:S24" si="24">+F24</f>
        <v>1-Mémo</v>
      </c>
      <c r="R24" s="653" t="str">
        <f t="shared" si="24"/>
        <v>30</v>
      </c>
      <c r="S24" s="654" t="str">
        <f t="shared" si="24"/>
        <v>_</v>
      </c>
      <c r="T24" s="656" t="str">
        <f>+VLOOKUP($L24,Data_Validation!$A:$D,1,0)</f>
        <v>301</v>
      </c>
      <c r="U24" s="656">
        <f>+VLOOKUP($L24,Data_Validation!$A:$D,3,0)</f>
        <v>0</v>
      </c>
      <c r="V24" s="656">
        <f>+VLOOKUP($L24,Data_Validation!$A:$D,4,0)</f>
        <v>0</v>
      </c>
      <c r="W24" s="656">
        <f>+VLOOKUP($L24,Data_Validation!$A:$E,5,0)</f>
        <v>0</v>
      </c>
      <c r="X24" s="656">
        <f>+VLOOKUP($L24,Data_Validation!$A:$F,6,0)</f>
        <v>0</v>
      </c>
    </row>
    <row r="25" spans="1:24" ht="15" customHeight="1">
      <c r="A25" s="1255" t="s">
        <v>750</v>
      </c>
      <c r="B25" s="1255" t="s">
        <v>1777</v>
      </c>
      <c r="C25" s="1256"/>
      <c r="D25" s="1256"/>
      <c r="E25" s="1256"/>
      <c r="F25" s="1255" t="s">
        <v>2</v>
      </c>
      <c r="G25" s="1255" t="s">
        <v>748</v>
      </c>
      <c r="H25" s="1255" t="s">
        <v>3950</v>
      </c>
      <c r="I25" s="1257">
        <v>35850.71</v>
      </c>
      <c r="J25" s="1257">
        <v>0</v>
      </c>
      <c r="K25" s="1257">
        <v>35850.71</v>
      </c>
      <c r="L25" s="653" t="str">
        <f t="shared" si="2"/>
        <v>302</v>
      </c>
      <c r="M25" s="654" t="str">
        <f t="shared" si="0"/>
        <v>RECLAM GARANTIE VW PASSE DU 30-60</v>
      </c>
      <c r="N25" s="655">
        <f>+IF(OR($Q25=Parametres!$G$2,$Q25=Parametres!$G$3),I25,C25)</f>
        <v>35850.71</v>
      </c>
      <c r="O25" s="655">
        <f>+IF(OR($Q25=Parametres!$G$2,$Q25=Parametres!$G$3),J25,D25)</f>
        <v>0</v>
      </c>
      <c r="P25" s="655">
        <f>+IF(OR($Q25=Parametres!$G$2,$Q25=Parametres!$G$3),K25,E25)</f>
        <v>35850.71</v>
      </c>
      <c r="Q25" s="654" t="str">
        <f t="shared" ref="Q25:S25" si="25">+F25</f>
        <v>1-Mémo</v>
      </c>
      <c r="R25" s="653" t="str">
        <f t="shared" si="25"/>
        <v>30</v>
      </c>
      <c r="S25" s="654" t="str">
        <f t="shared" si="25"/>
        <v>_</v>
      </c>
      <c r="T25" s="656" t="str">
        <f>+VLOOKUP($L25,Data_Validation!$A:$D,1,0)</f>
        <v>302</v>
      </c>
      <c r="U25" s="656">
        <f>+VLOOKUP($L25,Data_Validation!$A:$D,3,0)</f>
        <v>0</v>
      </c>
      <c r="V25" s="656">
        <f>+VLOOKUP($L25,Data_Validation!$A:$D,4,0)</f>
        <v>0</v>
      </c>
      <c r="W25" s="656">
        <f>+VLOOKUP($L25,Data_Validation!$A:$E,5,0)</f>
        <v>0</v>
      </c>
      <c r="X25" s="656">
        <f>+VLOOKUP($L25,Data_Validation!$A:$F,6,0)</f>
        <v>0</v>
      </c>
    </row>
    <row r="26" spans="1:24" ht="15.75" customHeight="1">
      <c r="A26" s="1255" t="s">
        <v>751</v>
      </c>
      <c r="B26" s="1255" t="s">
        <v>1780</v>
      </c>
      <c r="C26" s="1256"/>
      <c r="D26" s="1256"/>
      <c r="E26" s="1256"/>
      <c r="F26" s="1255" t="s">
        <v>2</v>
      </c>
      <c r="G26" s="1255" t="s">
        <v>748</v>
      </c>
      <c r="H26" s="1255" t="s">
        <v>3950</v>
      </c>
      <c r="I26" s="1257">
        <v>293738</v>
      </c>
      <c r="J26" s="1257">
        <v>0</v>
      </c>
      <c r="K26" s="1257">
        <v>293738</v>
      </c>
      <c r="L26" s="653" t="str">
        <f t="shared" si="2"/>
        <v>307</v>
      </c>
      <c r="M26" s="654" t="str">
        <f t="shared" si="0"/>
        <v>AUTRE REC MANUFACTURIER VW PASSE DU 30-60</v>
      </c>
      <c r="N26" s="655">
        <f>+IF(OR($Q26=Parametres!$G$2,$Q26=Parametres!$G$3),I26,C26)</f>
        <v>293738</v>
      </c>
      <c r="O26" s="655">
        <f>+IF(OR($Q26=Parametres!$G$2,$Q26=Parametres!$G$3),J26,D26)</f>
        <v>0</v>
      </c>
      <c r="P26" s="655">
        <f>+IF(OR($Q26=Parametres!$G$2,$Q26=Parametres!$G$3),K26,E26)</f>
        <v>293738</v>
      </c>
      <c r="Q26" s="654" t="str">
        <f t="shared" ref="Q26:S26" si="26">+F26</f>
        <v>1-Mémo</v>
      </c>
      <c r="R26" s="653" t="str">
        <f t="shared" si="26"/>
        <v>30</v>
      </c>
      <c r="S26" s="654" t="str">
        <f t="shared" si="26"/>
        <v>_</v>
      </c>
      <c r="T26" s="656" t="str">
        <f>+VLOOKUP($L26,Data_Validation!$A:$D,1,0)</f>
        <v>307</v>
      </c>
      <c r="U26" s="656">
        <f>+VLOOKUP($L26,Data_Validation!$A:$D,3,0)</f>
        <v>0</v>
      </c>
      <c r="V26" s="656">
        <f>+VLOOKUP($L26,Data_Validation!$A:$D,4,0)</f>
        <v>0</v>
      </c>
      <c r="W26" s="656">
        <f>+VLOOKUP($L26,Data_Validation!$A:$E,5,0)</f>
        <v>0</v>
      </c>
      <c r="X26" s="656">
        <f>+VLOOKUP($L26,Data_Validation!$A:$F,6,0)</f>
        <v>0</v>
      </c>
    </row>
    <row r="27" spans="1:24" ht="15" customHeight="1">
      <c r="A27" s="1255" t="s">
        <v>752</v>
      </c>
      <c r="B27" s="1255" t="s">
        <v>1783</v>
      </c>
      <c r="C27" s="1256"/>
      <c r="D27" s="1256"/>
      <c r="E27" s="1256"/>
      <c r="F27" s="1255" t="s">
        <v>2</v>
      </c>
      <c r="G27" s="1255" t="s">
        <v>3325</v>
      </c>
      <c r="H27" s="1255" t="s">
        <v>3950</v>
      </c>
      <c r="I27" s="1257">
        <v>18042.12</v>
      </c>
      <c r="J27" s="1257">
        <v>0</v>
      </c>
      <c r="K27" s="1257">
        <v>18042.12</v>
      </c>
      <c r="L27" s="653" t="str">
        <f t="shared" si="2"/>
        <v>311</v>
      </c>
      <c r="M27" s="654" t="str">
        <f t="shared" si="0"/>
        <v>CLIENT VEH PLUS DE 60</v>
      </c>
      <c r="N27" s="655">
        <f>+IF(OR($Q27=Parametres!$G$2,$Q27=Parametres!$G$3),I27,C27)</f>
        <v>18042.12</v>
      </c>
      <c r="O27" s="655">
        <f>+IF(OR($Q27=Parametres!$G$2,$Q27=Parametres!$G$3),J27,D27)</f>
        <v>0</v>
      </c>
      <c r="P27" s="655">
        <f>+IF(OR($Q27=Parametres!$G$2,$Q27=Parametres!$G$3),K27,E27)</f>
        <v>18042.12</v>
      </c>
      <c r="Q27" s="654" t="str">
        <f t="shared" ref="Q27:S27" si="27">+F27</f>
        <v>1-Mémo</v>
      </c>
      <c r="R27" s="653" t="str">
        <f t="shared" si="27"/>
        <v>31</v>
      </c>
      <c r="S27" s="654" t="str">
        <f t="shared" si="27"/>
        <v>_</v>
      </c>
      <c r="T27" s="656" t="str">
        <f>+VLOOKUP($L27,Data_Validation!$A:$D,1,0)</f>
        <v>311</v>
      </c>
      <c r="U27" s="656">
        <f>+VLOOKUP($L27,Data_Validation!$A:$D,3,0)</f>
        <v>0</v>
      </c>
      <c r="V27" s="656">
        <f>+VLOOKUP($L27,Data_Validation!$A:$D,4,0)</f>
        <v>0</v>
      </c>
      <c r="W27" s="656">
        <f>+VLOOKUP($L27,Data_Validation!$A:$E,5,0)</f>
        <v>0</v>
      </c>
      <c r="X27" s="656">
        <f>+VLOOKUP($L27,Data_Validation!$A:$F,6,0)</f>
        <v>0</v>
      </c>
    </row>
    <row r="28" spans="1:24" ht="15" customHeight="1">
      <c r="A28" s="1255" t="s">
        <v>753</v>
      </c>
      <c r="B28" s="1255" t="s">
        <v>1786</v>
      </c>
      <c r="C28" s="1256"/>
      <c r="D28" s="1256"/>
      <c r="E28" s="1256"/>
      <c r="F28" s="1255" t="s">
        <v>2</v>
      </c>
      <c r="G28" s="1255" t="s">
        <v>3325</v>
      </c>
      <c r="H28" s="1255" t="s">
        <v>3950</v>
      </c>
      <c r="I28" s="1257">
        <v>34249.79</v>
      </c>
      <c r="J28" s="1257">
        <v>0</v>
      </c>
      <c r="K28" s="1257">
        <v>34249.79</v>
      </c>
      <c r="L28" s="653" t="str">
        <f t="shared" si="2"/>
        <v>312</v>
      </c>
      <c r="M28" s="654" t="str">
        <f t="shared" si="0"/>
        <v>CLIENT S P ET A PLUS DE 60</v>
      </c>
      <c r="N28" s="655">
        <f>+IF(OR($Q28=Parametres!$G$2,$Q28=Parametres!$G$3),I28,C28)</f>
        <v>34249.79</v>
      </c>
      <c r="O28" s="655">
        <f>+IF(OR($Q28=Parametres!$G$2,$Q28=Parametres!$G$3),J28,D28)</f>
        <v>0</v>
      </c>
      <c r="P28" s="655">
        <f>+IF(OR($Q28=Parametres!$G$2,$Q28=Parametres!$G$3),K28,E28)</f>
        <v>34249.79</v>
      </c>
      <c r="Q28" s="654" t="str">
        <f t="shared" ref="Q28:S28" si="28">+F28</f>
        <v>1-Mémo</v>
      </c>
      <c r="R28" s="653" t="str">
        <f t="shared" si="28"/>
        <v>31</v>
      </c>
      <c r="S28" s="654" t="str">
        <f t="shared" si="28"/>
        <v>_</v>
      </c>
      <c r="T28" s="656" t="str">
        <f>+VLOOKUP($L28,Data_Validation!$A:$D,1,0)</f>
        <v>312</v>
      </c>
      <c r="U28" s="656">
        <f>+VLOOKUP($L28,Data_Validation!$A:$D,3,0)</f>
        <v>0</v>
      </c>
      <c r="V28" s="656">
        <f>+VLOOKUP($L28,Data_Validation!$A:$D,4,0)</f>
        <v>0</v>
      </c>
      <c r="W28" s="656">
        <f>+VLOOKUP($L28,Data_Validation!$A:$E,5,0)</f>
        <v>0</v>
      </c>
      <c r="X28" s="656">
        <f>+VLOOKUP($L28,Data_Validation!$A:$F,6,0)</f>
        <v>0</v>
      </c>
    </row>
    <row r="29" spans="1:24" ht="15" customHeight="1">
      <c r="A29" s="1255" t="s">
        <v>754</v>
      </c>
      <c r="B29" s="1255" t="s">
        <v>1789</v>
      </c>
      <c r="C29" s="1256"/>
      <c r="D29" s="1256"/>
      <c r="E29" s="1256"/>
      <c r="F29" s="1255" t="s">
        <v>2</v>
      </c>
      <c r="G29" s="1255" t="s">
        <v>3325</v>
      </c>
      <c r="H29" s="1255" t="s">
        <v>3950</v>
      </c>
      <c r="I29" s="1257">
        <v>21757.919999999998</v>
      </c>
      <c r="J29" s="1257">
        <v>0</v>
      </c>
      <c r="K29" s="1257">
        <v>21757.919999999998</v>
      </c>
      <c r="L29" s="653" t="str">
        <f t="shared" si="2"/>
        <v>313</v>
      </c>
      <c r="M29" s="654" t="str">
        <f t="shared" si="0"/>
        <v>RECLAMATIONS DE GARATIE VW PLUS DE 60</v>
      </c>
      <c r="N29" s="655">
        <f>+IF(OR($Q29=Parametres!$G$2,$Q29=Parametres!$G$3),I29,C29)</f>
        <v>21757.919999999998</v>
      </c>
      <c r="O29" s="655">
        <f>+IF(OR($Q29=Parametres!$G$2,$Q29=Parametres!$G$3),J29,D29)</f>
        <v>0</v>
      </c>
      <c r="P29" s="655">
        <f>+IF(OR($Q29=Parametres!$G$2,$Q29=Parametres!$G$3),K29,E29)</f>
        <v>21757.919999999998</v>
      </c>
      <c r="Q29" s="654" t="str">
        <f t="shared" ref="Q29:S29" si="29">+F29</f>
        <v>1-Mémo</v>
      </c>
      <c r="R29" s="653" t="str">
        <f t="shared" si="29"/>
        <v>31</v>
      </c>
      <c r="S29" s="654" t="str">
        <f t="shared" si="29"/>
        <v>_</v>
      </c>
      <c r="T29" s="656" t="str">
        <f>+VLOOKUP($L29,Data_Validation!$A:$D,1,0)</f>
        <v>313</v>
      </c>
      <c r="U29" s="656">
        <f>+VLOOKUP($L29,Data_Validation!$A:$D,3,0)</f>
        <v>0</v>
      </c>
      <c r="V29" s="656">
        <f>+VLOOKUP($L29,Data_Validation!$A:$D,4,0)</f>
        <v>0</v>
      </c>
      <c r="W29" s="656">
        <f>+VLOOKUP($L29,Data_Validation!$A:$E,5,0)</f>
        <v>0</v>
      </c>
      <c r="X29" s="656">
        <f>+VLOOKUP($L29,Data_Validation!$A:$F,6,0)</f>
        <v>0</v>
      </c>
    </row>
    <row r="30" spans="1:24" ht="15" customHeight="1">
      <c r="A30" s="1255" t="s">
        <v>755</v>
      </c>
      <c r="B30" s="1255" t="s">
        <v>1792</v>
      </c>
      <c r="C30" s="1256"/>
      <c r="D30" s="1256"/>
      <c r="E30" s="1256"/>
      <c r="F30" s="1255" t="s">
        <v>2</v>
      </c>
      <c r="G30" s="1255" t="s">
        <v>3325</v>
      </c>
      <c r="H30" s="1255" t="s">
        <v>3950</v>
      </c>
      <c r="I30" s="1257">
        <v>185402</v>
      </c>
      <c r="J30" s="1257">
        <v>0</v>
      </c>
      <c r="K30" s="1257">
        <v>185402</v>
      </c>
      <c r="L30" s="653" t="str">
        <f t="shared" si="2"/>
        <v>316</v>
      </c>
      <c r="M30" s="654" t="str">
        <f t="shared" si="0"/>
        <v>AUTRE REC MANUFACTURIER VW PLUS DE 60</v>
      </c>
      <c r="N30" s="655">
        <f>+IF(OR($Q30=Parametres!$G$2,$Q30=Parametres!$G$3),I30,C30)</f>
        <v>185402</v>
      </c>
      <c r="O30" s="659">
        <f>+IF(OR($Q30=Parametres!$G$2,$Q30=Parametres!$G$3),J30,D30)</f>
        <v>0</v>
      </c>
      <c r="P30" s="655">
        <f>+IF(OR($Q30=Parametres!$G$2,$Q30=Parametres!$G$3),K30,E30)</f>
        <v>185402</v>
      </c>
      <c r="Q30" s="654" t="str">
        <f t="shared" ref="Q30:S30" si="30">+F30</f>
        <v>1-Mémo</v>
      </c>
      <c r="R30" s="653" t="str">
        <f t="shared" si="30"/>
        <v>31</v>
      </c>
      <c r="S30" s="654" t="str">
        <f t="shared" si="30"/>
        <v>_</v>
      </c>
      <c r="T30" s="656" t="str">
        <f>+VLOOKUP($L30,Data_Validation!$A:$D,1,0)</f>
        <v>316</v>
      </c>
      <c r="U30" s="656">
        <f>+VLOOKUP($L30,Data_Validation!$A:$D,3,0)</f>
        <v>0</v>
      </c>
      <c r="V30" s="656">
        <f>+VLOOKUP($L30,Data_Validation!$A:$D,4,0)</f>
        <v>0</v>
      </c>
      <c r="W30" s="656">
        <f>+VLOOKUP($L30,Data_Validation!$A:$E,5,0)</f>
        <v>0</v>
      </c>
      <c r="X30" s="656">
        <f>+VLOOKUP($L30,Data_Validation!$A:$F,6,0)</f>
        <v>0</v>
      </c>
    </row>
    <row r="31" spans="1:24" ht="15" customHeight="1">
      <c r="A31" s="1255" t="s">
        <v>756</v>
      </c>
      <c r="B31" s="1255" t="s">
        <v>1798</v>
      </c>
      <c r="C31" s="1256"/>
      <c r="D31" s="1256"/>
      <c r="E31" s="1256"/>
      <c r="F31" s="1255" t="s">
        <v>2</v>
      </c>
      <c r="G31" s="1255" t="s">
        <v>3326</v>
      </c>
      <c r="H31" s="1255" t="s">
        <v>3950</v>
      </c>
      <c r="I31" s="1257">
        <v>0.18</v>
      </c>
      <c r="J31" s="1257">
        <v>0</v>
      </c>
      <c r="K31" s="1257">
        <v>0.18</v>
      </c>
      <c r="L31" s="653" t="str">
        <f t="shared" si="2"/>
        <v>350</v>
      </c>
      <c r="M31" s="654" t="str">
        <f t="shared" si="0"/>
        <v>UNITES USAGES +30JRS</v>
      </c>
      <c r="N31" s="655">
        <f>+IF(OR($Q31=Parametres!$G$2,$Q31=Parametres!$G$3),I31,C31)</f>
        <v>0.18</v>
      </c>
      <c r="O31" s="655">
        <f>+IF(OR($Q31=Parametres!$G$2,$Q31=Parametres!$G$3),J31,D31)</f>
        <v>0</v>
      </c>
      <c r="P31" s="655">
        <f>+IF(OR($Q31=Parametres!$G$2,$Q31=Parametres!$G$3),K31,E31)</f>
        <v>0.18</v>
      </c>
      <c r="Q31" s="654" t="str">
        <f t="shared" ref="Q31:S31" si="31">+F31</f>
        <v>1-Mémo</v>
      </c>
      <c r="R31" s="653" t="str">
        <f t="shared" si="31"/>
        <v>35</v>
      </c>
      <c r="S31" s="654" t="str">
        <f t="shared" si="31"/>
        <v>_</v>
      </c>
      <c r="T31" s="656" t="str">
        <f>+VLOOKUP($L31,Data_Validation!$A:$D,1,0)</f>
        <v>350</v>
      </c>
      <c r="U31" s="656">
        <f>+VLOOKUP($L31,Data_Validation!$A:$D,3,0)</f>
        <v>0</v>
      </c>
      <c r="V31" s="656">
        <f>+VLOOKUP($L31,Data_Validation!$A:$D,4,0)</f>
        <v>0</v>
      </c>
      <c r="W31" s="656">
        <f>+VLOOKUP($L31,Data_Validation!$A:$E,5,0)</f>
        <v>0</v>
      </c>
      <c r="X31" s="656">
        <f>+VLOOKUP($L31,Data_Validation!$A:$F,6,0)</f>
        <v>0</v>
      </c>
    </row>
    <row r="32" spans="1:24" ht="15" customHeight="1">
      <c r="A32" s="1255" t="s">
        <v>757</v>
      </c>
      <c r="B32" s="1255" t="s">
        <v>1801</v>
      </c>
      <c r="C32" s="1256"/>
      <c r="D32" s="1256"/>
      <c r="E32" s="1256"/>
      <c r="F32" s="1255" t="s">
        <v>2</v>
      </c>
      <c r="G32" s="1255" t="s">
        <v>3327</v>
      </c>
      <c r="H32" s="1255" t="s">
        <v>3950</v>
      </c>
      <c r="I32" s="1257">
        <v>359162.03</v>
      </c>
      <c r="J32" s="1257">
        <v>0</v>
      </c>
      <c r="K32" s="1257">
        <v>359162.03</v>
      </c>
      <c r="L32" s="653" t="str">
        <f t="shared" si="2"/>
        <v>360</v>
      </c>
      <c r="M32" s="654" t="str">
        <f t="shared" si="0"/>
        <v>OCCASION VW + 60 JRS</v>
      </c>
      <c r="N32" s="655">
        <f>+IF(OR($Q32=Parametres!$G$2,$Q32=Parametres!$G$3),I32,C32)</f>
        <v>359162.03</v>
      </c>
      <c r="O32" s="659">
        <f>+IF(OR($Q32=Parametres!$G$2,$Q32=Parametres!$G$3),J32,D32)</f>
        <v>0</v>
      </c>
      <c r="P32" s="655">
        <f>+IF(OR($Q32=Parametres!$G$2,$Q32=Parametres!$G$3),K32,E32)</f>
        <v>359162.03</v>
      </c>
      <c r="Q32" s="654" t="str">
        <f t="shared" ref="Q32:S32" si="32">+F32</f>
        <v>1-Mémo</v>
      </c>
      <c r="R32" s="653" t="str">
        <f t="shared" si="32"/>
        <v>36</v>
      </c>
      <c r="S32" s="654" t="str">
        <f t="shared" si="32"/>
        <v>_</v>
      </c>
      <c r="T32" s="656" t="str">
        <f>+VLOOKUP($L32,Data_Validation!$A:$D,1,0)</f>
        <v>360</v>
      </c>
      <c r="U32" s="656">
        <f>+VLOOKUP($L32,Data_Validation!$A:$D,3,0)</f>
        <v>0</v>
      </c>
      <c r="V32" s="656">
        <f>+VLOOKUP($L32,Data_Validation!$A:$D,4,0)</f>
        <v>0</v>
      </c>
      <c r="W32" s="656">
        <f>+VLOOKUP($L32,Data_Validation!$A:$E,5,0)</f>
        <v>0</v>
      </c>
      <c r="X32" s="656">
        <f>+VLOOKUP($L32,Data_Validation!$A:$F,6,0)</f>
        <v>0</v>
      </c>
    </row>
    <row r="33" spans="1:24" ht="15" customHeight="1">
      <c r="A33" s="1255" t="s">
        <v>758</v>
      </c>
      <c r="B33" s="1255" t="s">
        <v>1804</v>
      </c>
      <c r="C33" s="1256"/>
      <c r="D33" s="1256"/>
      <c r="E33" s="1256"/>
      <c r="F33" s="1255" t="s">
        <v>2</v>
      </c>
      <c r="G33" s="1255" t="s">
        <v>3328</v>
      </c>
      <c r="H33" s="1255" t="s">
        <v>3950</v>
      </c>
      <c r="I33" s="1257">
        <v>5293302</v>
      </c>
      <c r="J33" s="1257">
        <v>0</v>
      </c>
      <c r="K33" s="1257">
        <v>5293302</v>
      </c>
      <c r="L33" s="653" t="str">
        <f t="shared" si="2"/>
        <v>370</v>
      </c>
      <c r="M33" s="654" t="str">
        <f t="shared" si="0"/>
        <v>AVOIR DU PROP. MIM. REQUIS</v>
      </c>
      <c r="N33" s="655">
        <f>+IF(OR($Q33=Parametres!$G$2,$Q33=Parametres!$G$3),I33,C33)</f>
        <v>5293302</v>
      </c>
      <c r="O33" s="655">
        <f>+IF(OR($Q33=Parametres!$G$2,$Q33=Parametres!$G$3),J33,D33)</f>
        <v>0</v>
      </c>
      <c r="P33" s="655">
        <f>+IF(OR($Q33=Parametres!$G$2,$Q33=Parametres!$G$3),K33,E33)</f>
        <v>5293302</v>
      </c>
      <c r="Q33" s="654" t="str">
        <f t="shared" ref="Q33:S33" si="33">+F33</f>
        <v>1-Mémo</v>
      </c>
      <c r="R33" s="653" t="str">
        <f t="shared" si="33"/>
        <v>37</v>
      </c>
      <c r="S33" s="654" t="str">
        <f t="shared" si="33"/>
        <v>_</v>
      </c>
      <c r="T33" s="656" t="str">
        <f>+VLOOKUP($L33,Data_Validation!$A:$D,1,0)</f>
        <v>370</v>
      </c>
      <c r="U33" s="656">
        <f>+VLOOKUP($L33,Data_Validation!$A:$D,3,0)</f>
        <v>0</v>
      </c>
      <c r="V33" s="656">
        <f>+VLOOKUP($L33,Data_Validation!$A:$D,4,0)</f>
        <v>0</v>
      </c>
      <c r="W33" s="656">
        <f>+VLOOKUP($L33,Data_Validation!$A:$E,5,0)</f>
        <v>0</v>
      </c>
      <c r="X33" s="656">
        <f>+VLOOKUP($L33,Data_Validation!$A:$F,6,0)</f>
        <v>0</v>
      </c>
    </row>
    <row r="34" spans="1:24" ht="15.75" customHeight="1">
      <c r="A34" s="1255" t="s">
        <v>759</v>
      </c>
      <c r="B34" s="1255" t="s">
        <v>1807</v>
      </c>
      <c r="C34" s="1256"/>
      <c r="D34" s="1256"/>
      <c r="E34" s="1256"/>
      <c r="F34" s="1255" t="s">
        <v>2</v>
      </c>
      <c r="G34" s="1255" t="s">
        <v>3328</v>
      </c>
      <c r="H34" s="1255" t="s">
        <v>3950</v>
      </c>
      <c r="I34" s="1257">
        <v>1834098</v>
      </c>
      <c r="J34" s="1257">
        <v>0</v>
      </c>
      <c r="K34" s="1257">
        <v>1834098</v>
      </c>
      <c r="L34" s="653" t="str">
        <f t="shared" si="2"/>
        <v>372</v>
      </c>
      <c r="M34" s="654" t="str">
        <f t="shared" si="0"/>
        <v>FONDS DE ROULEMENT/MIN. REQUIS</v>
      </c>
      <c r="N34" s="655">
        <f>+IF(OR($Q34=Parametres!$G$2,$Q34=Parametres!$G$3),I34,C34)</f>
        <v>1834098</v>
      </c>
      <c r="O34" s="655">
        <f>+IF(OR($Q34=Parametres!$G$2,$Q34=Parametres!$G$3),J34,D34)</f>
        <v>0</v>
      </c>
      <c r="P34" s="655">
        <f>+IF(OR($Q34=Parametres!$G$2,$Q34=Parametres!$G$3),K34,E34)</f>
        <v>1834098</v>
      </c>
      <c r="Q34" s="654" t="str">
        <f t="shared" ref="Q34:S34" si="34">+F34</f>
        <v>1-Mémo</v>
      </c>
      <c r="R34" s="653" t="str">
        <f t="shared" si="34"/>
        <v>37</v>
      </c>
      <c r="S34" s="654" t="str">
        <f t="shared" si="34"/>
        <v>_</v>
      </c>
      <c r="T34" s="656" t="str">
        <f>+VLOOKUP($L34,Data_Validation!$A:$D,1,0)</f>
        <v>372</v>
      </c>
      <c r="U34" s="656">
        <f>+VLOOKUP($L34,Data_Validation!$A:$D,3,0)</f>
        <v>0</v>
      </c>
      <c r="V34" s="656">
        <f>+VLOOKUP($L34,Data_Validation!$A:$D,4,0)</f>
        <v>0</v>
      </c>
      <c r="W34" s="656">
        <f>+VLOOKUP($L34,Data_Validation!$A:$E,5,0)</f>
        <v>0</v>
      </c>
      <c r="X34" s="656">
        <f>+VLOOKUP($L34,Data_Validation!$A:$F,6,0)</f>
        <v>0</v>
      </c>
    </row>
    <row r="35" spans="1:24" ht="15" customHeight="1">
      <c r="A35" s="1255" t="s">
        <v>760</v>
      </c>
      <c r="B35" s="1255" t="s">
        <v>1812</v>
      </c>
      <c r="C35" s="1256"/>
      <c r="D35" s="1256"/>
      <c r="E35" s="1256"/>
      <c r="F35" s="1255" t="s">
        <v>2</v>
      </c>
      <c r="G35" s="1255" t="s">
        <v>761</v>
      </c>
      <c r="H35" s="1255" t="s">
        <v>3950</v>
      </c>
      <c r="I35" s="1257">
        <v>0.54</v>
      </c>
      <c r="J35" s="1257">
        <v>0</v>
      </c>
      <c r="K35" s="1257">
        <v>0.54</v>
      </c>
      <c r="L35" s="653" t="str">
        <f t="shared" si="2"/>
        <v>401</v>
      </c>
      <c r="M35" s="654" t="str">
        <f t="shared" si="0"/>
        <v>UNITES NEUVES VENDUES JANVIER</v>
      </c>
      <c r="N35" s="655">
        <f>+IF(OR($Q35=Parametres!$G$2,$Q35=Parametres!$G$3),I35,C35)</f>
        <v>0.54</v>
      </c>
      <c r="O35" s="655">
        <f>+IF(OR($Q35=Parametres!$G$2,$Q35=Parametres!$G$3),J35,D35)</f>
        <v>0</v>
      </c>
      <c r="P35" s="655">
        <f>+IF(OR($Q35=Parametres!$G$2,$Q35=Parametres!$G$3),K35,E35)</f>
        <v>0.54</v>
      </c>
      <c r="Q35" s="654" t="str">
        <f t="shared" ref="Q35:S35" si="35">+F35</f>
        <v>1-Mémo</v>
      </c>
      <c r="R35" s="653" t="str">
        <f t="shared" si="35"/>
        <v>40</v>
      </c>
      <c r="S35" s="654" t="str">
        <f t="shared" si="35"/>
        <v>_</v>
      </c>
      <c r="T35" s="656" t="str">
        <f>+VLOOKUP($L35,Data_Validation!$A:$D,1,0)</f>
        <v>401</v>
      </c>
      <c r="U35" s="656">
        <f>+VLOOKUP($L35,Data_Validation!$A:$D,3,0)</f>
        <v>0</v>
      </c>
      <c r="V35" s="656">
        <f>+VLOOKUP($L35,Data_Validation!$A:$D,4,0)</f>
        <v>0</v>
      </c>
      <c r="W35" s="656">
        <f>+VLOOKUP($L35,Data_Validation!$A:$E,5,0)</f>
        <v>0</v>
      </c>
      <c r="X35" s="656">
        <f>+VLOOKUP($L35,Data_Validation!$A:$F,6,0)</f>
        <v>0</v>
      </c>
    </row>
    <row r="36" spans="1:24" ht="15" customHeight="1">
      <c r="A36" s="1255" t="s">
        <v>762</v>
      </c>
      <c r="B36" s="1255" t="s">
        <v>1815</v>
      </c>
      <c r="C36" s="1256"/>
      <c r="D36" s="1256"/>
      <c r="E36" s="1256"/>
      <c r="F36" s="1255" t="s">
        <v>2</v>
      </c>
      <c r="G36" s="1255" t="s">
        <v>761</v>
      </c>
      <c r="H36" s="1255" t="s">
        <v>3950</v>
      </c>
      <c r="I36" s="1257">
        <v>0.4</v>
      </c>
      <c r="J36" s="1257">
        <v>0</v>
      </c>
      <c r="K36" s="1257">
        <v>0.4</v>
      </c>
      <c r="L36" s="653" t="str">
        <f t="shared" si="2"/>
        <v>402</v>
      </c>
      <c r="M36" s="654" t="str">
        <f t="shared" si="0"/>
        <v>UNITES NEUVES VENDUES FEVRIER</v>
      </c>
      <c r="N36" s="655">
        <f>+IF(OR($Q36=Parametres!$G$2,$Q36=Parametres!$G$3),I36,C36)</f>
        <v>0.4</v>
      </c>
      <c r="O36" s="655">
        <f>+IF(OR($Q36=Parametres!$G$2,$Q36=Parametres!$G$3),J36,D36)</f>
        <v>0</v>
      </c>
      <c r="P36" s="655">
        <f>+IF(OR($Q36=Parametres!$G$2,$Q36=Parametres!$G$3),K36,E36)</f>
        <v>0.4</v>
      </c>
      <c r="Q36" s="654" t="str">
        <f t="shared" ref="Q36:S36" si="36">+F36</f>
        <v>1-Mémo</v>
      </c>
      <c r="R36" s="653" t="str">
        <f t="shared" si="36"/>
        <v>40</v>
      </c>
      <c r="S36" s="654" t="str">
        <f t="shared" si="36"/>
        <v>_</v>
      </c>
      <c r="T36" s="656" t="str">
        <f>+VLOOKUP($L36,Data_Validation!$A:$D,1,0)</f>
        <v>402</v>
      </c>
      <c r="U36" s="656">
        <f>+VLOOKUP($L36,Data_Validation!$A:$D,3,0)</f>
        <v>0</v>
      </c>
      <c r="V36" s="656">
        <f>+VLOOKUP($L36,Data_Validation!$A:$D,4,0)</f>
        <v>0</v>
      </c>
      <c r="W36" s="656">
        <f>+VLOOKUP($L36,Data_Validation!$A:$E,5,0)</f>
        <v>0</v>
      </c>
      <c r="X36" s="656">
        <f>+VLOOKUP($L36,Data_Validation!$A:$F,6,0)</f>
        <v>0</v>
      </c>
    </row>
    <row r="37" spans="1:24" ht="15" customHeight="1">
      <c r="A37" s="1255" t="s">
        <v>763</v>
      </c>
      <c r="B37" s="1255" t="s">
        <v>1818</v>
      </c>
      <c r="C37" s="1256"/>
      <c r="D37" s="1256"/>
      <c r="E37" s="1256"/>
      <c r="F37" s="1255" t="s">
        <v>2</v>
      </c>
      <c r="G37" s="1255" t="s">
        <v>761</v>
      </c>
      <c r="H37" s="1255" t="s">
        <v>3950</v>
      </c>
      <c r="I37" s="1257">
        <v>0.55000000000000004</v>
      </c>
      <c r="J37" s="1257">
        <v>0</v>
      </c>
      <c r="K37" s="1257">
        <v>0.55000000000000004</v>
      </c>
      <c r="L37" s="653" t="str">
        <f t="shared" si="2"/>
        <v>403</v>
      </c>
      <c r="M37" s="654" t="str">
        <f t="shared" si="0"/>
        <v>UNITES NEUVES VENDUES MARS</v>
      </c>
      <c r="N37" s="655">
        <f>+IF(OR($Q37=Parametres!$G$2,$Q37=Parametres!$G$3),I37,C37)</f>
        <v>0.55000000000000004</v>
      </c>
      <c r="O37" s="655">
        <f>+IF(OR($Q37=Parametres!$G$2,$Q37=Parametres!$G$3),J37,D37)</f>
        <v>0</v>
      </c>
      <c r="P37" s="655">
        <f>+IF(OR($Q37=Parametres!$G$2,$Q37=Parametres!$G$3),K37,E37)</f>
        <v>0.55000000000000004</v>
      </c>
      <c r="Q37" s="654" t="str">
        <f t="shared" ref="Q37:S37" si="37">+F37</f>
        <v>1-Mémo</v>
      </c>
      <c r="R37" s="653" t="str">
        <f t="shared" si="37"/>
        <v>40</v>
      </c>
      <c r="S37" s="654" t="str">
        <f t="shared" si="37"/>
        <v>_</v>
      </c>
      <c r="T37" s="656" t="str">
        <f>+VLOOKUP($L37,Data_Validation!$A:$D,1,0)</f>
        <v>403</v>
      </c>
      <c r="U37" s="656">
        <f>+VLOOKUP($L37,Data_Validation!$A:$D,3,0)</f>
        <v>0</v>
      </c>
      <c r="V37" s="656">
        <f>+VLOOKUP($L37,Data_Validation!$A:$D,4,0)</f>
        <v>0</v>
      </c>
      <c r="W37" s="656">
        <f>+VLOOKUP($L37,Data_Validation!$A:$E,5,0)</f>
        <v>0</v>
      </c>
      <c r="X37" s="656">
        <f>+VLOOKUP($L37,Data_Validation!$A:$F,6,0)</f>
        <v>0</v>
      </c>
    </row>
    <row r="38" spans="1:24" ht="15" customHeight="1">
      <c r="A38" s="1255" t="s">
        <v>764</v>
      </c>
      <c r="B38" s="1255" t="s">
        <v>1821</v>
      </c>
      <c r="C38" s="1256"/>
      <c r="D38" s="1256"/>
      <c r="E38" s="1256"/>
      <c r="F38" s="1255" t="s">
        <v>2</v>
      </c>
      <c r="G38" s="1255" t="s">
        <v>761</v>
      </c>
      <c r="H38" s="1255" t="s">
        <v>3950</v>
      </c>
      <c r="I38" s="1257">
        <v>0.57999999999999996</v>
      </c>
      <c r="J38" s="1257">
        <v>0</v>
      </c>
      <c r="K38" s="1257">
        <v>0.57999999999999996</v>
      </c>
      <c r="L38" s="653" t="str">
        <f t="shared" si="2"/>
        <v>404</v>
      </c>
      <c r="M38" s="654" t="str">
        <f t="shared" si="0"/>
        <v>UNITES NEUVES VENDUES AVRIL</v>
      </c>
      <c r="N38" s="655">
        <f>+IF(OR($Q38=Parametres!$G$2,$Q38=Parametres!$G$3),I38,C38)</f>
        <v>0.57999999999999996</v>
      </c>
      <c r="O38" s="655">
        <f>+IF(OR($Q38=Parametres!$G$2,$Q38=Parametres!$G$3),J38,D38)</f>
        <v>0</v>
      </c>
      <c r="P38" s="655">
        <f>+IF(OR($Q38=Parametres!$G$2,$Q38=Parametres!$G$3),K38,E38)</f>
        <v>0.57999999999999996</v>
      </c>
      <c r="Q38" s="654" t="str">
        <f t="shared" ref="Q38:S38" si="38">+F38</f>
        <v>1-Mémo</v>
      </c>
      <c r="R38" s="653" t="str">
        <f t="shared" si="38"/>
        <v>40</v>
      </c>
      <c r="S38" s="654" t="str">
        <f t="shared" si="38"/>
        <v>_</v>
      </c>
      <c r="T38" s="656" t="str">
        <f>+VLOOKUP($L38,Data_Validation!$A:$D,1,0)</f>
        <v>404</v>
      </c>
      <c r="U38" s="656">
        <f>+VLOOKUP($L38,Data_Validation!$A:$D,3,0)</f>
        <v>0</v>
      </c>
      <c r="V38" s="656">
        <f>+VLOOKUP($L38,Data_Validation!$A:$D,4,0)</f>
        <v>0</v>
      </c>
      <c r="W38" s="656">
        <f>+VLOOKUP($L38,Data_Validation!$A:$E,5,0)</f>
        <v>0</v>
      </c>
      <c r="X38" s="656">
        <f>+VLOOKUP($L38,Data_Validation!$A:$F,6,0)</f>
        <v>0</v>
      </c>
    </row>
    <row r="39" spans="1:24" ht="15" customHeight="1">
      <c r="A39" s="1255" t="s">
        <v>773</v>
      </c>
      <c r="B39" s="1255" t="s">
        <v>1905</v>
      </c>
      <c r="C39" s="1256"/>
      <c r="D39" s="1256"/>
      <c r="E39" s="1256"/>
      <c r="F39" s="1255" t="s">
        <v>2</v>
      </c>
      <c r="G39" s="1255" t="s">
        <v>3329</v>
      </c>
      <c r="H39" s="1255" t="s">
        <v>3950</v>
      </c>
      <c r="I39" s="1257">
        <v>0.24</v>
      </c>
      <c r="J39" s="1257">
        <v>0</v>
      </c>
      <c r="K39" s="1257">
        <v>0.24</v>
      </c>
      <c r="L39" s="653" t="str">
        <f t="shared" si="2"/>
        <v>421</v>
      </c>
      <c r="M39" s="654" t="str">
        <f t="shared" si="0"/>
        <v>UNITES USAGES DET./ JANV.</v>
      </c>
      <c r="N39" s="655">
        <f>+IF(OR($Q39=Parametres!$G$2,$Q39=Parametres!$G$3),I39,C39)</f>
        <v>0.24</v>
      </c>
      <c r="O39" s="659">
        <f>+IF(OR($Q39=Parametres!$G$2,$Q39=Parametres!$G$3),J39,D39)</f>
        <v>0</v>
      </c>
      <c r="P39" s="655">
        <f>+IF(OR($Q39=Parametres!$G$2,$Q39=Parametres!$G$3),K39,E39)</f>
        <v>0.24</v>
      </c>
      <c r="Q39" s="654" t="str">
        <f t="shared" ref="Q39:S39" si="39">+F39</f>
        <v>1-Mémo</v>
      </c>
      <c r="R39" s="653" t="str">
        <f t="shared" si="39"/>
        <v>42</v>
      </c>
      <c r="S39" s="654" t="str">
        <f t="shared" si="39"/>
        <v>_</v>
      </c>
      <c r="T39" s="656" t="str">
        <f>+VLOOKUP($L39,Data_Validation!$A:$D,1,0)</f>
        <v>421</v>
      </c>
      <c r="U39" s="656">
        <f>+VLOOKUP($L39,Data_Validation!$A:$D,3,0)</f>
        <v>0</v>
      </c>
      <c r="V39" s="656">
        <f>+VLOOKUP($L39,Data_Validation!$A:$D,4,0)</f>
        <v>0</v>
      </c>
      <c r="W39" s="656">
        <f>+VLOOKUP($L39,Data_Validation!$A:$E,5,0)</f>
        <v>0</v>
      </c>
      <c r="X39" s="656">
        <f>+VLOOKUP($L39,Data_Validation!$A:$F,6,0)</f>
        <v>0</v>
      </c>
    </row>
    <row r="40" spans="1:24" ht="15.75" customHeight="1">
      <c r="A40" s="1255" t="s">
        <v>774</v>
      </c>
      <c r="B40" s="1255" t="s">
        <v>1912</v>
      </c>
      <c r="C40" s="1256"/>
      <c r="D40" s="1256"/>
      <c r="E40" s="1256"/>
      <c r="F40" s="1255" t="s">
        <v>2</v>
      </c>
      <c r="G40" s="1255" t="s">
        <v>3329</v>
      </c>
      <c r="H40" s="1255" t="s">
        <v>3950</v>
      </c>
      <c r="I40" s="1257">
        <v>0.17</v>
      </c>
      <c r="J40" s="1257">
        <v>0</v>
      </c>
      <c r="K40" s="1257">
        <v>0.17</v>
      </c>
      <c r="L40" s="653" t="str">
        <f t="shared" si="2"/>
        <v>422</v>
      </c>
      <c r="M40" s="654" t="str">
        <f t="shared" si="0"/>
        <v>UNITES USAGES DET./ FEVR.</v>
      </c>
      <c r="N40" s="655">
        <f>+IF(OR($Q40=Parametres!$G$2,$Q40=Parametres!$G$3),I40,C40)</f>
        <v>0.17</v>
      </c>
      <c r="O40" s="655">
        <f>+IF(OR($Q40=Parametres!$G$2,$Q40=Parametres!$G$3),J40,D40)</f>
        <v>0</v>
      </c>
      <c r="P40" s="655">
        <f>+IF(OR($Q40=Parametres!$G$2,$Q40=Parametres!$G$3),K40,E40)</f>
        <v>0.17</v>
      </c>
      <c r="Q40" s="654" t="str">
        <f t="shared" ref="Q40:S40" si="40">+F40</f>
        <v>1-Mémo</v>
      </c>
      <c r="R40" s="653" t="str">
        <f t="shared" si="40"/>
        <v>42</v>
      </c>
      <c r="S40" s="654" t="str">
        <f t="shared" si="40"/>
        <v>_</v>
      </c>
      <c r="T40" s="656" t="str">
        <f>+VLOOKUP($L40,Data_Validation!$A:$D,1,0)</f>
        <v>422</v>
      </c>
      <c r="U40" s="656">
        <f>+VLOOKUP($L40,Data_Validation!$A:$D,3,0)</f>
        <v>0</v>
      </c>
      <c r="V40" s="656">
        <f>+VLOOKUP($L40,Data_Validation!$A:$D,4,0)</f>
        <v>0</v>
      </c>
      <c r="W40" s="656">
        <f>+VLOOKUP($L40,Data_Validation!$A:$E,5,0)</f>
        <v>0</v>
      </c>
      <c r="X40" s="656">
        <f>+VLOOKUP($L40,Data_Validation!$A:$F,6,0)</f>
        <v>0</v>
      </c>
    </row>
    <row r="41" spans="1:24" ht="15" customHeight="1">
      <c r="A41" s="1255" t="s">
        <v>775</v>
      </c>
      <c r="B41" s="1255" t="s">
        <v>1915</v>
      </c>
      <c r="C41" s="1256"/>
      <c r="D41" s="1256"/>
      <c r="E41" s="1256"/>
      <c r="F41" s="1255" t="s">
        <v>2</v>
      </c>
      <c r="G41" s="1255" t="s">
        <v>3329</v>
      </c>
      <c r="H41" s="1255" t="s">
        <v>3950</v>
      </c>
      <c r="I41" s="1257">
        <v>0.3</v>
      </c>
      <c r="J41" s="1257">
        <v>0</v>
      </c>
      <c r="K41" s="1257">
        <v>0.3</v>
      </c>
      <c r="L41" s="653" t="str">
        <f t="shared" si="2"/>
        <v>423</v>
      </c>
      <c r="M41" s="654" t="str">
        <f t="shared" si="0"/>
        <v>UNITES USAGES DET./ MARS</v>
      </c>
      <c r="N41" s="655">
        <f>+IF(OR($Q41=Parametres!$G$2,$Q41=Parametres!$G$3),I41,C41)</f>
        <v>0.3</v>
      </c>
      <c r="O41" s="659">
        <f>+IF(OR($Q41=Parametres!$G$2,$Q41=Parametres!$G$3),J41,D41)</f>
        <v>0</v>
      </c>
      <c r="P41" s="655">
        <f>+IF(OR($Q41=Parametres!$G$2,$Q41=Parametres!$G$3),K41,E41)</f>
        <v>0.3</v>
      </c>
      <c r="Q41" s="654" t="str">
        <f t="shared" ref="Q41:S41" si="41">+F41</f>
        <v>1-Mémo</v>
      </c>
      <c r="R41" s="653" t="str">
        <f t="shared" si="41"/>
        <v>42</v>
      </c>
      <c r="S41" s="654" t="str">
        <f t="shared" si="41"/>
        <v>_</v>
      </c>
      <c r="T41" s="656" t="str">
        <f>+VLOOKUP($L41,Data_Validation!$A:$D,1,0)</f>
        <v>423</v>
      </c>
      <c r="U41" s="656">
        <f>+VLOOKUP($L41,Data_Validation!$A:$D,3,0)</f>
        <v>0</v>
      </c>
      <c r="V41" s="656">
        <f>+VLOOKUP($L41,Data_Validation!$A:$D,4,0)</f>
        <v>0</v>
      </c>
      <c r="W41" s="656">
        <f>+VLOOKUP($L41,Data_Validation!$A:$E,5,0)</f>
        <v>0</v>
      </c>
      <c r="X41" s="656">
        <f>+VLOOKUP($L41,Data_Validation!$A:$F,6,0)</f>
        <v>0</v>
      </c>
    </row>
    <row r="42" spans="1:24" ht="15" customHeight="1">
      <c r="A42" s="1255" t="s">
        <v>776</v>
      </c>
      <c r="B42" s="1255" t="s">
        <v>1918</v>
      </c>
      <c r="C42" s="1256"/>
      <c r="D42" s="1256"/>
      <c r="E42" s="1256"/>
      <c r="F42" s="1255" t="s">
        <v>2</v>
      </c>
      <c r="G42" s="1255" t="s">
        <v>3329</v>
      </c>
      <c r="H42" s="1255" t="s">
        <v>3950</v>
      </c>
      <c r="I42" s="1257">
        <v>0.3</v>
      </c>
      <c r="J42" s="1257">
        <v>0</v>
      </c>
      <c r="K42" s="1257">
        <v>0.3</v>
      </c>
      <c r="L42" s="653" t="str">
        <f t="shared" si="2"/>
        <v>424</v>
      </c>
      <c r="M42" s="654" t="str">
        <f t="shared" si="0"/>
        <v>UNITES USAGES DET./ AVRIL</v>
      </c>
      <c r="N42" s="655">
        <f>+IF(OR($Q42=Parametres!$G$2,$Q42=Parametres!$G$3),I42,C42)</f>
        <v>0.3</v>
      </c>
      <c r="O42" s="655">
        <f>+IF(OR($Q42=Parametres!$G$2,$Q42=Parametres!$G$3),J42,D42)</f>
        <v>0</v>
      </c>
      <c r="P42" s="655">
        <f>+IF(OR($Q42=Parametres!$G$2,$Q42=Parametres!$G$3),K42,E42)</f>
        <v>0.3</v>
      </c>
      <c r="Q42" s="654" t="str">
        <f t="shared" ref="Q42:S42" si="42">+F42</f>
        <v>1-Mémo</v>
      </c>
      <c r="R42" s="653" t="str">
        <f t="shared" si="42"/>
        <v>42</v>
      </c>
      <c r="S42" s="654" t="str">
        <f t="shared" si="42"/>
        <v>_</v>
      </c>
      <c r="T42" s="656" t="str">
        <f>+VLOOKUP($L42,Data_Validation!$A:$D,1,0)</f>
        <v>424</v>
      </c>
      <c r="U42" s="656">
        <f>+VLOOKUP($L42,Data_Validation!$A:$D,3,0)</f>
        <v>0</v>
      </c>
      <c r="V42" s="656">
        <f>+VLOOKUP($L42,Data_Validation!$A:$D,4,0)</f>
        <v>0</v>
      </c>
      <c r="W42" s="656">
        <f>+VLOOKUP($L42,Data_Validation!$A:$E,5,0)</f>
        <v>0</v>
      </c>
      <c r="X42" s="656">
        <f>+VLOOKUP($L42,Data_Validation!$A:$F,6,0)</f>
        <v>0</v>
      </c>
    </row>
    <row r="43" spans="1:24" ht="15" customHeight="1">
      <c r="A43" s="1255" t="s">
        <v>784</v>
      </c>
      <c r="B43" s="1255" t="s">
        <v>2055</v>
      </c>
      <c r="C43" s="1256"/>
      <c r="D43" s="1256"/>
      <c r="E43" s="1256"/>
      <c r="F43" s="1255" t="s">
        <v>2</v>
      </c>
      <c r="G43" s="1255" t="s">
        <v>785</v>
      </c>
      <c r="H43" s="1255" t="s">
        <v>3950</v>
      </c>
      <c r="I43" s="1257">
        <v>1</v>
      </c>
      <c r="J43" s="1257">
        <v>0</v>
      </c>
      <c r="K43" s="1257">
        <v>1</v>
      </c>
      <c r="L43" s="653" t="str">
        <f t="shared" si="2"/>
        <v>500</v>
      </c>
      <c r="M43" s="654" t="str">
        <f t="shared" si="0"/>
        <v>PROPRIETAIRES</v>
      </c>
      <c r="N43" s="655">
        <f>+IF(OR($Q43=Parametres!$G$2,$Q43=Parametres!$G$3),I43,C43)</f>
        <v>1</v>
      </c>
      <c r="O43" s="655">
        <f>+IF(OR($Q43=Parametres!$G$2,$Q43=Parametres!$G$3),J43,D43)</f>
        <v>0</v>
      </c>
      <c r="P43" s="655">
        <f>+IF(OR($Q43=Parametres!$G$2,$Q43=Parametres!$G$3),K43,E43)</f>
        <v>1</v>
      </c>
      <c r="Q43" s="654" t="str">
        <f t="shared" ref="Q43:S43" si="43">+F43</f>
        <v>1-Mémo</v>
      </c>
      <c r="R43" s="653" t="str">
        <f t="shared" si="43"/>
        <v>50</v>
      </c>
      <c r="S43" s="654" t="str">
        <f t="shared" si="43"/>
        <v>_</v>
      </c>
      <c r="T43" s="656" t="str">
        <f>+VLOOKUP($L43,Data_Validation!$A:$D,1,0)</f>
        <v>500</v>
      </c>
      <c r="U43" s="656">
        <f>+VLOOKUP($L43,Data_Validation!$A:$D,3,0)</f>
        <v>0</v>
      </c>
      <c r="V43" s="656">
        <f>+VLOOKUP($L43,Data_Validation!$A:$D,4,0)</f>
        <v>0</v>
      </c>
      <c r="W43" s="656" t="str">
        <f>+VLOOKUP($L43,Data_Validation!$A:$E,5,0)</f>
        <v>$</v>
      </c>
      <c r="X43" s="656">
        <f>+VLOOKUP($L43,Data_Validation!$A:$F,6,0)</f>
        <v>0</v>
      </c>
    </row>
    <row r="44" spans="1:24" ht="15.75" customHeight="1">
      <c r="A44" s="1255" t="s">
        <v>786</v>
      </c>
      <c r="B44" s="1255" t="s">
        <v>1113</v>
      </c>
      <c r="C44" s="1256"/>
      <c r="D44" s="1256"/>
      <c r="E44" s="1256"/>
      <c r="F44" s="1255" t="s">
        <v>2</v>
      </c>
      <c r="G44" s="1255" t="s">
        <v>785</v>
      </c>
      <c r="H44" s="1255" t="s">
        <v>3950</v>
      </c>
      <c r="I44" s="1257">
        <v>0.5</v>
      </c>
      <c r="J44" s="1257">
        <v>0</v>
      </c>
      <c r="K44" s="1257">
        <v>0.5</v>
      </c>
      <c r="L44" s="653" t="str">
        <f t="shared" si="2"/>
        <v>511</v>
      </c>
      <c r="M44" s="654" t="str">
        <f t="shared" si="0"/>
        <v>DIR. GENERAL NEUFS</v>
      </c>
      <c r="N44" s="655">
        <f>+IF(OR($Q44=Parametres!$G$2,$Q44=Parametres!$G$3),I44,C44)</f>
        <v>0.5</v>
      </c>
      <c r="O44" s="655">
        <f>+IF(OR($Q44=Parametres!$G$2,$Q44=Parametres!$G$3),J44,D44)</f>
        <v>0</v>
      </c>
      <c r="P44" s="655">
        <f>+IF(OR($Q44=Parametres!$G$2,$Q44=Parametres!$G$3),K44,E44)</f>
        <v>0.5</v>
      </c>
      <c r="Q44" s="654" t="str">
        <f t="shared" ref="Q44:S44" si="44">+F44</f>
        <v>1-Mémo</v>
      </c>
      <c r="R44" s="653" t="str">
        <f t="shared" si="44"/>
        <v>50</v>
      </c>
      <c r="S44" s="654" t="str">
        <f t="shared" si="44"/>
        <v>_</v>
      </c>
      <c r="T44" s="656" t="str">
        <f>+VLOOKUP($L44,Data_Validation!$A:$D,1,0)</f>
        <v>511</v>
      </c>
      <c r="U44" s="656">
        <f>+VLOOKUP($L44,Data_Validation!$A:$D,3,0)</f>
        <v>0</v>
      </c>
      <c r="V44" s="656">
        <f>+VLOOKUP($L44,Data_Validation!$A:$D,4,0)</f>
        <v>0</v>
      </c>
      <c r="W44" s="656" t="str">
        <f>+VLOOKUP($L44,Data_Validation!$A:$E,5,0)</f>
        <v>$</v>
      </c>
      <c r="X44" s="656">
        <f>+VLOOKUP($L44,Data_Validation!$A:$F,6,0)</f>
        <v>0</v>
      </c>
    </row>
    <row r="45" spans="1:24" ht="15" customHeight="1">
      <c r="A45" s="1255" t="s">
        <v>787</v>
      </c>
      <c r="B45" s="1255" t="s">
        <v>2087</v>
      </c>
      <c r="C45" s="1256"/>
      <c r="D45" s="1256"/>
      <c r="E45" s="1256"/>
      <c r="F45" s="1255" t="s">
        <v>2</v>
      </c>
      <c r="G45" s="1255" t="s">
        <v>785</v>
      </c>
      <c r="H45" s="1255" t="s">
        <v>3950</v>
      </c>
      <c r="I45" s="1257">
        <v>0.5</v>
      </c>
      <c r="J45" s="1257">
        <v>0</v>
      </c>
      <c r="K45" s="1257">
        <v>0.5</v>
      </c>
      <c r="L45" s="653" t="str">
        <f t="shared" si="2"/>
        <v>512</v>
      </c>
      <c r="M45" s="654" t="str">
        <f t="shared" si="0"/>
        <v>DIR. GENERAL USAGES</v>
      </c>
      <c r="N45" s="655">
        <f>+IF(OR($Q45=Parametres!$G$2,$Q45=Parametres!$G$3),I45,C45)</f>
        <v>0.5</v>
      </c>
      <c r="O45" s="1154">
        <f>+IF(OR($Q45=Parametres!$G$2,$Q45=Parametres!$G$3),J45,D45)</f>
        <v>0</v>
      </c>
      <c r="P45" s="655">
        <f>+IF(OR($Q45=Parametres!$G$2,$Q45=Parametres!$G$3),K45,E45)</f>
        <v>0.5</v>
      </c>
      <c r="Q45" s="654" t="str">
        <f t="shared" ref="Q45:S45" si="45">+F45</f>
        <v>1-Mémo</v>
      </c>
      <c r="R45" s="653" t="str">
        <f t="shared" si="45"/>
        <v>50</v>
      </c>
      <c r="S45" s="654" t="str">
        <f t="shared" si="45"/>
        <v>_</v>
      </c>
      <c r="T45" s="656" t="str">
        <f>+VLOOKUP($L45,Data_Validation!$A:$D,1,0)</f>
        <v>512</v>
      </c>
      <c r="U45" s="656">
        <f>+VLOOKUP($L45,Data_Validation!$A:$D,3,0)</f>
        <v>0</v>
      </c>
      <c r="V45" s="656">
        <f>+VLOOKUP($L45,Data_Validation!$A:$D,4,0)</f>
        <v>0</v>
      </c>
      <c r="W45" s="656" t="str">
        <f>+VLOOKUP($L45,Data_Validation!$A:$E,5,0)</f>
        <v>$</v>
      </c>
      <c r="X45" s="656">
        <f>+VLOOKUP($L45,Data_Validation!$A:$F,6,0)</f>
        <v>0</v>
      </c>
    </row>
    <row r="46" spans="1:24" ht="15" customHeight="1">
      <c r="A46" s="1255" t="s">
        <v>788</v>
      </c>
      <c r="B46" s="1255" t="s">
        <v>1120</v>
      </c>
      <c r="C46" s="1256"/>
      <c r="D46" s="1256"/>
      <c r="E46" s="1256"/>
      <c r="F46" s="1255" t="s">
        <v>2</v>
      </c>
      <c r="G46" s="1255" t="s">
        <v>785</v>
      </c>
      <c r="H46" s="1255" t="s">
        <v>3950</v>
      </c>
      <c r="I46" s="1257">
        <v>0.5</v>
      </c>
      <c r="J46" s="1257">
        <v>0</v>
      </c>
      <c r="K46" s="1257">
        <v>0.5</v>
      </c>
      <c r="L46" s="653" t="str">
        <f t="shared" si="2"/>
        <v>514</v>
      </c>
      <c r="M46" s="654" t="str">
        <f t="shared" si="0"/>
        <v>DIR. GENERAL SERVICE</v>
      </c>
      <c r="N46" s="655">
        <f>+IF(OR($Q46=Parametres!$G$2,$Q46=Parametres!$G$3),I46,C46)</f>
        <v>0.5</v>
      </c>
      <c r="O46" s="1154">
        <f>+IF(OR($Q46=Parametres!$G$2,$Q46=Parametres!$G$3),J46,D46)</f>
        <v>0</v>
      </c>
      <c r="P46" s="655">
        <f>+IF(OR($Q46=Parametres!$G$2,$Q46=Parametres!$G$3),K46,E46)</f>
        <v>0.5</v>
      </c>
      <c r="Q46" s="654" t="str">
        <f t="shared" ref="Q46:S46" si="46">+F46</f>
        <v>1-Mémo</v>
      </c>
      <c r="R46" s="653" t="str">
        <f t="shared" si="46"/>
        <v>50</v>
      </c>
      <c r="S46" s="654" t="str">
        <f t="shared" si="46"/>
        <v>_</v>
      </c>
      <c r="T46" s="656" t="str">
        <f>+VLOOKUP($L46,Data_Validation!$A:$D,1,0)</f>
        <v>514</v>
      </c>
      <c r="U46" s="656">
        <f>+VLOOKUP($L46,Data_Validation!$A:$D,3,0)</f>
        <v>0</v>
      </c>
      <c r="V46" s="656">
        <f>+VLOOKUP($L46,Data_Validation!$A:$D,4,0)</f>
        <v>0</v>
      </c>
      <c r="W46" s="656" t="str">
        <f>+VLOOKUP($L46,Data_Validation!$A:$E,5,0)</f>
        <v>$</v>
      </c>
      <c r="X46" s="656">
        <f>+VLOOKUP($L46,Data_Validation!$A:$F,6,0)</f>
        <v>0</v>
      </c>
    </row>
    <row r="47" spans="1:24" ht="15" customHeight="1">
      <c r="A47" s="1255" t="s">
        <v>789</v>
      </c>
      <c r="B47" s="1255" t="s">
        <v>2110</v>
      </c>
      <c r="C47" s="1256"/>
      <c r="D47" s="1256"/>
      <c r="E47" s="1256"/>
      <c r="F47" s="1255" t="s">
        <v>2</v>
      </c>
      <c r="G47" s="1255" t="s">
        <v>785</v>
      </c>
      <c r="H47" s="1255" t="s">
        <v>3950</v>
      </c>
      <c r="I47" s="1257">
        <v>0.5</v>
      </c>
      <c r="J47" s="1257">
        <v>0</v>
      </c>
      <c r="K47" s="1257">
        <v>0.5</v>
      </c>
      <c r="L47" s="653" t="str">
        <f t="shared" si="2"/>
        <v>517</v>
      </c>
      <c r="M47" s="654" t="str">
        <f t="shared" si="0"/>
        <v>DIR. GENERAL PIECES</v>
      </c>
      <c r="N47" s="655">
        <f>+IF(OR($Q47=Parametres!$G$2,$Q47=Parametres!$G$3),I47,C47)</f>
        <v>0.5</v>
      </c>
      <c r="O47" s="655">
        <f>+IF(OR($Q47=Parametres!$G$2,$Q47=Parametres!$G$3),J47,D47)</f>
        <v>0</v>
      </c>
      <c r="P47" s="655">
        <f>+IF(OR($Q47=Parametres!$G$2,$Q47=Parametres!$G$3),K47,E47)</f>
        <v>0.5</v>
      </c>
      <c r="Q47" s="654" t="str">
        <f t="shared" ref="Q47:S47" si="47">+F47</f>
        <v>1-Mémo</v>
      </c>
      <c r="R47" s="653" t="str">
        <f t="shared" si="47"/>
        <v>50</v>
      </c>
      <c r="S47" s="654" t="str">
        <f t="shared" si="47"/>
        <v>_</v>
      </c>
      <c r="T47" s="656" t="str">
        <f>+VLOOKUP($L47,Data_Validation!$A:$D,1,0)</f>
        <v>517</v>
      </c>
      <c r="U47" s="656">
        <f>+VLOOKUP($L47,Data_Validation!$A:$D,3,0)</f>
        <v>0</v>
      </c>
      <c r="V47" s="656">
        <f>+VLOOKUP($L47,Data_Validation!$A:$D,4,0)</f>
        <v>0</v>
      </c>
      <c r="W47" s="656" t="str">
        <f>+VLOOKUP($L47,Data_Validation!$A:$E,5,0)</f>
        <v>$</v>
      </c>
      <c r="X47" s="656">
        <f>+VLOOKUP($L47,Data_Validation!$A:$F,6,0)</f>
        <v>0</v>
      </c>
    </row>
    <row r="48" spans="1:24" ht="15.75" customHeight="1">
      <c r="A48" s="1255" t="s">
        <v>790</v>
      </c>
      <c r="B48" s="1255" t="s">
        <v>2119</v>
      </c>
      <c r="C48" s="1256"/>
      <c r="D48" s="1256"/>
      <c r="E48" s="1256"/>
      <c r="F48" s="1255" t="s">
        <v>2</v>
      </c>
      <c r="G48" s="1255" t="s">
        <v>785</v>
      </c>
      <c r="H48" s="1255" t="s">
        <v>3950</v>
      </c>
      <c r="I48" s="1257">
        <v>1.5</v>
      </c>
      <c r="J48" s="1257">
        <v>0</v>
      </c>
      <c r="K48" s="1257">
        <v>1.5</v>
      </c>
      <c r="L48" s="653" t="str">
        <f t="shared" si="2"/>
        <v>521</v>
      </c>
      <c r="M48" s="654" t="str">
        <f t="shared" si="0"/>
        <v>DIR. SERVICE NEUFS</v>
      </c>
      <c r="N48" s="655">
        <f>+IF(OR($Q48=Parametres!$G$2,$Q48=Parametres!$G$3),I48,C48)</f>
        <v>1.5</v>
      </c>
      <c r="O48" s="655">
        <f>+IF(OR($Q48=Parametres!$G$2,$Q48=Parametres!$G$3),J48,D48)</f>
        <v>0</v>
      </c>
      <c r="P48" s="655">
        <f>+IF(OR($Q48=Parametres!$G$2,$Q48=Parametres!$G$3),K48,E48)</f>
        <v>1.5</v>
      </c>
      <c r="Q48" s="654" t="str">
        <f t="shared" ref="Q48:S48" si="48">+F48</f>
        <v>1-Mémo</v>
      </c>
      <c r="R48" s="653" t="str">
        <f t="shared" si="48"/>
        <v>50</v>
      </c>
      <c r="S48" s="654" t="str">
        <f t="shared" si="48"/>
        <v>_</v>
      </c>
      <c r="T48" s="656" t="str">
        <f>+VLOOKUP($L48,Data_Validation!$A:$D,1,0)</f>
        <v>521</v>
      </c>
      <c r="U48" s="656">
        <f>+VLOOKUP($L48,Data_Validation!$A:$D,3,0)</f>
        <v>0</v>
      </c>
      <c r="V48" s="656">
        <f>+VLOOKUP($L48,Data_Validation!$A:$D,4,0)</f>
        <v>0</v>
      </c>
      <c r="W48" s="656" t="str">
        <f>+VLOOKUP($L48,Data_Validation!$A:$E,5,0)</f>
        <v>$</v>
      </c>
      <c r="X48" s="656">
        <f>+VLOOKUP($L48,Data_Validation!$A:$F,6,0)</f>
        <v>0</v>
      </c>
    </row>
    <row r="49" spans="1:24" ht="15" customHeight="1">
      <c r="A49" s="1255" t="s">
        <v>791</v>
      </c>
      <c r="B49" s="1255" t="s">
        <v>2128</v>
      </c>
      <c r="C49" s="1256"/>
      <c r="D49" s="1256"/>
      <c r="E49" s="1256"/>
      <c r="F49" s="1255" t="s">
        <v>2</v>
      </c>
      <c r="G49" s="1255" t="s">
        <v>785</v>
      </c>
      <c r="H49" s="1255" t="s">
        <v>3950</v>
      </c>
      <c r="I49" s="1257">
        <v>1.5</v>
      </c>
      <c r="J49" s="1257">
        <v>0</v>
      </c>
      <c r="K49" s="1257">
        <v>1.5</v>
      </c>
      <c r="L49" s="653" t="str">
        <f t="shared" si="2"/>
        <v>522</v>
      </c>
      <c r="M49" s="654" t="str">
        <f t="shared" si="0"/>
        <v>DIR. SERVICE USAGES</v>
      </c>
      <c r="N49" s="655">
        <f>+IF(OR($Q49=Parametres!$G$2,$Q49=Parametres!$G$3),I49,C49)</f>
        <v>1.5</v>
      </c>
      <c r="O49" s="659">
        <f>+IF(OR($Q49=Parametres!$G$2,$Q49=Parametres!$G$3),J49,D49)</f>
        <v>0</v>
      </c>
      <c r="P49" s="655">
        <f>+IF(OR($Q49=Parametres!$G$2,$Q49=Parametres!$G$3),K49,E49)</f>
        <v>1.5</v>
      </c>
      <c r="Q49" s="654" t="str">
        <f t="shared" ref="Q49:S49" si="49">+F49</f>
        <v>1-Mémo</v>
      </c>
      <c r="R49" s="653" t="str">
        <f t="shared" si="49"/>
        <v>50</v>
      </c>
      <c r="S49" s="654" t="str">
        <f t="shared" si="49"/>
        <v>_</v>
      </c>
      <c r="T49" s="656" t="str">
        <f>+VLOOKUP($L49,Data_Validation!$A:$D,1,0)</f>
        <v>522</v>
      </c>
      <c r="U49" s="656">
        <f>+VLOOKUP($L49,Data_Validation!$A:$D,3,0)</f>
        <v>0</v>
      </c>
      <c r="V49" s="656">
        <f>+VLOOKUP($L49,Data_Validation!$A:$D,4,0)</f>
        <v>0</v>
      </c>
      <c r="W49" s="656" t="str">
        <f>+VLOOKUP($L49,Data_Validation!$A:$E,5,0)</f>
        <v>$</v>
      </c>
      <c r="X49" s="656">
        <f>+VLOOKUP($L49,Data_Validation!$A:$F,6,0)</f>
        <v>0</v>
      </c>
    </row>
    <row r="50" spans="1:24" ht="15" customHeight="1">
      <c r="A50" s="1255" t="s">
        <v>792</v>
      </c>
      <c r="B50" s="1255" t="s">
        <v>2131</v>
      </c>
      <c r="C50" s="1256"/>
      <c r="D50" s="1256"/>
      <c r="E50" s="1256"/>
      <c r="F50" s="1255" t="s">
        <v>2</v>
      </c>
      <c r="G50" s="1255" t="s">
        <v>785</v>
      </c>
      <c r="H50" s="1255" t="s">
        <v>3950</v>
      </c>
      <c r="I50" s="1257">
        <v>1</v>
      </c>
      <c r="J50" s="1257">
        <v>0</v>
      </c>
      <c r="K50" s="1257">
        <v>1</v>
      </c>
      <c r="L50" s="653" t="str">
        <f t="shared" si="2"/>
        <v>524</v>
      </c>
      <c r="M50" s="654" t="str">
        <f t="shared" si="0"/>
        <v>DIR. SERVICE SERVICE</v>
      </c>
      <c r="N50" s="655">
        <f>+IF(OR($Q50=Parametres!$G$2,$Q50=Parametres!$G$3),I50,C50)</f>
        <v>1</v>
      </c>
      <c r="O50" s="655">
        <f>+IF(OR($Q50=Parametres!$G$2,$Q50=Parametres!$G$3),J50,D50)</f>
        <v>0</v>
      </c>
      <c r="P50" s="655">
        <f>+IF(OR($Q50=Parametres!$G$2,$Q50=Parametres!$G$3),K50,E50)</f>
        <v>1</v>
      </c>
      <c r="Q50" s="654" t="str">
        <f t="shared" ref="Q50:S50" si="50">+F50</f>
        <v>1-Mémo</v>
      </c>
      <c r="R50" s="653" t="str">
        <f t="shared" si="50"/>
        <v>50</v>
      </c>
      <c r="S50" s="654" t="str">
        <f t="shared" si="50"/>
        <v>_</v>
      </c>
      <c r="T50" s="656" t="str">
        <f>+VLOOKUP($L50,Data_Validation!$A:$D,1,0)</f>
        <v>524</v>
      </c>
      <c r="U50" s="656">
        <f>+VLOOKUP($L50,Data_Validation!$A:$D,3,0)</f>
        <v>0</v>
      </c>
      <c r="V50" s="656">
        <f>+VLOOKUP($L50,Data_Validation!$A:$D,4,0)</f>
        <v>0</v>
      </c>
      <c r="W50" s="656" t="str">
        <f>+VLOOKUP($L50,Data_Validation!$A:$E,5,0)</f>
        <v>$</v>
      </c>
      <c r="X50" s="656">
        <f>+VLOOKUP($L50,Data_Validation!$A:$F,6,0)</f>
        <v>0</v>
      </c>
    </row>
    <row r="51" spans="1:24" ht="15" customHeight="1">
      <c r="A51" s="1255" t="s">
        <v>793</v>
      </c>
      <c r="B51" s="1255" t="s">
        <v>2133</v>
      </c>
      <c r="C51" s="1256"/>
      <c r="D51" s="1256"/>
      <c r="E51" s="1256"/>
      <c r="F51" s="1255" t="s">
        <v>2</v>
      </c>
      <c r="G51" s="1255" t="s">
        <v>785</v>
      </c>
      <c r="H51" s="1255" t="s">
        <v>3950</v>
      </c>
      <c r="I51" s="1257">
        <v>1</v>
      </c>
      <c r="J51" s="1257">
        <v>0</v>
      </c>
      <c r="K51" s="1257">
        <v>1</v>
      </c>
      <c r="L51" s="653" t="str">
        <f t="shared" si="2"/>
        <v>527</v>
      </c>
      <c r="M51" s="654" t="str">
        <f t="shared" si="0"/>
        <v>DIR. SERVICE PIECES</v>
      </c>
      <c r="N51" s="655">
        <f>+IF(OR($Q51=Parametres!$G$2,$Q51=Parametres!$G$3),I51,C51)</f>
        <v>1</v>
      </c>
      <c r="O51" s="655">
        <f>+IF(OR($Q51=Parametres!$G$2,$Q51=Parametres!$G$3),J51,D51)</f>
        <v>0</v>
      </c>
      <c r="P51" s="655">
        <f>+IF(OR($Q51=Parametres!$G$2,$Q51=Parametres!$G$3),K51,E51)</f>
        <v>1</v>
      </c>
      <c r="Q51" s="654" t="str">
        <f t="shared" ref="Q51:S51" si="51">+F51</f>
        <v>1-Mémo</v>
      </c>
      <c r="R51" s="653" t="str">
        <f t="shared" si="51"/>
        <v>50</v>
      </c>
      <c r="S51" s="654" t="str">
        <f t="shared" si="51"/>
        <v>_</v>
      </c>
      <c r="T51" s="656" t="str">
        <f>+VLOOKUP($L51,Data_Validation!$A:$D,1,0)</f>
        <v>527</v>
      </c>
      <c r="U51" s="656">
        <f>+VLOOKUP($L51,Data_Validation!$A:$D,3,0)</f>
        <v>0</v>
      </c>
      <c r="V51" s="656">
        <f>+VLOOKUP($L51,Data_Validation!$A:$D,4,0)</f>
        <v>0</v>
      </c>
      <c r="W51" s="656" t="str">
        <f>+VLOOKUP($L51,Data_Validation!$A:$E,5,0)</f>
        <v>$</v>
      </c>
      <c r="X51" s="656">
        <f>+VLOOKUP($L51,Data_Validation!$A:$F,6,0)</f>
        <v>0</v>
      </c>
    </row>
    <row r="52" spans="1:24" ht="15.75" customHeight="1">
      <c r="A52" s="1255" t="s">
        <v>794</v>
      </c>
      <c r="B52" s="1255" t="s">
        <v>2157</v>
      </c>
      <c r="C52" s="1256"/>
      <c r="D52" s="1256"/>
      <c r="E52" s="1256"/>
      <c r="F52" s="1255" t="s">
        <v>2</v>
      </c>
      <c r="G52" s="1255" t="s">
        <v>3330</v>
      </c>
      <c r="H52" s="1255" t="s">
        <v>3950</v>
      </c>
      <c r="I52" s="1257">
        <v>6</v>
      </c>
      <c r="J52" s="1257">
        <v>0</v>
      </c>
      <c r="K52" s="1257">
        <v>6</v>
      </c>
      <c r="L52" s="653" t="str">
        <f t="shared" si="2"/>
        <v>541</v>
      </c>
      <c r="M52" s="654" t="str">
        <f t="shared" si="0"/>
        <v>VW REP. DES VENTES - NEUF</v>
      </c>
      <c r="N52" s="655">
        <f>+IF(OR($Q52=Parametres!$G$2,$Q52=Parametres!$G$3),I52,C52)</f>
        <v>6</v>
      </c>
      <c r="O52" s="655">
        <f>+IF(OR($Q52=Parametres!$G$2,$Q52=Parametres!$G$3),J52,D52)</f>
        <v>0</v>
      </c>
      <c r="P52" s="655">
        <f>+IF(OR($Q52=Parametres!$G$2,$Q52=Parametres!$G$3),K52,E52)</f>
        <v>6</v>
      </c>
      <c r="Q52" s="654" t="str">
        <f t="shared" ref="Q52:S52" si="52">+F52</f>
        <v>1-Mémo</v>
      </c>
      <c r="R52" s="653" t="str">
        <f t="shared" si="52"/>
        <v>54</v>
      </c>
      <c r="S52" s="654" t="str">
        <f t="shared" si="52"/>
        <v>_</v>
      </c>
      <c r="T52" s="656" t="str">
        <f>+VLOOKUP($L52,Data_Validation!$A:$D,1,0)</f>
        <v>541</v>
      </c>
      <c r="U52" s="656">
        <f>+VLOOKUP($L52,Data_Validation!$A:$D,3,0)</f>
        <v>0</v>
      </c>
      <c r="V52" s="656">
        <f>+VLOOKUP($L52,Data_Validation!$A:$D,4,0)</f>
        <v>0</v>
      </c>
      <c r="W52" s="656" t="str">
        <f>+VLOOKUP($L52,Data_Validation!$A:$E,5,0)</f>
        <v>$</v>
      </c>
      <c r="X52" s="656">
        <f>+VLOOKUP($L52,Data_Validation!$A:$F,6,0)</f>
        <v>0</v>
      </c>
    </row>
    <row r="53" spans="1:24" ht="15" customHeight="1">
      <c r="A53" s="1255" t="s">
        <v>795</v>
      </c>
      <c r="B53" s="1255" t="s">
        <v>2163</v>
      </c>
      <c r="C53" s="1256"/>
      <c r="D53" s="1256"/>
      <c r="E53" s="1256"/>
      <c r="F53" s="1255" t="s">
        <v>2</v>
      </c>
      <c r="G53" s="1255" t="s">
        <v>785</v>
      </c>
      <c r="H53" s="1255" t="s">
        <v>3950</v>
      </c>
      <c r="I53" s="1257">
        <v>3</v>
      </c>
      <c r="J53" s="1257">
        <v>0</v>
      </c>
      <c r="K53" s="1257">
        <v>3</v>
      </c>
      <c r="L53" s="653" t="str">
        <f t="shared" si="2"/>
        <v>542</v>
      </c>
      <c r="M53" s="654" t="str">
        <f t="shared" si="0"/>
        <v>VW REP. DES VENTES - OCC.</v>
      </c>
      <c r="N53" s="655">
        <f>+IF(OR($Q53=Parametres!$G$2,$Q53=Parametres!$G$3),I53,C53)</f>
        <v>3</v>
      </c>
      <c r="O53" s="655">
        <f>+IF(OR($Q53=Parametres!$G$2,$Q53=Parametres!$G$3),J53,D53)</f>
        <v>0</v>
      </c>
      <c r="P53" s="655">
        <f>+IF(OR($Q53=Parametres!$G$2,$Q53=Parametres!$G$3),K53,E53)</f>
        <v>3</v>
      </c>
      <c r="Q53" s="654" t="str">
        <f t="shared" ref="Q53:S53" si="53">+F53</f>
        <v>1-Mémo</v>
      </c>
      <c r="R53" s="653" t="str">
        <f t="shared" si="53"/>
        <v>50</v>
      </c>
      <c r="S53" s="654" t="str">
        <f t="shared" si="53"/>
        <v>_</v>
      </c>
      <c r="T53" s="656" t="str">
        <f>+VLOOKUP($L53,Data_Validation!$A:$D,1,0)</f>
        <v>542</v>
      </c>
      <c r="U53" s="656">
        <f>+VLOOKUP($L53,Data_Validation!$A:$D,3,0)</f>
        <v>0</v>
      </c>
      <c r="V53" s="656">
        <f>+VLOOKUP($L53,Data_Validation!$A:$D,4,0)</f>
        <v>0</v>
      </c>
      <c r="W53" s="656" t="str">
        <f>+VLOOKUP($L53,Data_Validation!$A:$E,5,0)</f>
        <v>$</v>
      </c>
      <c r="X53" s="656">
        <f>+VLOOKUP($L53,Data_Validation!$A:$F,6,0)</f>
        <v>0</v>
      </c>
    </row>
    <row r="54" spans="1:24" ht="15" customHeight="1">
      <c r="A54" s="1255" t="s">
        <v>796</v>
      </c>
      <c r="B54" s="1255" t="s">
        <v>2178</v>
      </c>
      <c r="C54" s="1256"/>
      <c r="D54" s="1256"/>
      <c r="E54" s="1256"/>
      <c r="F54" s="1255" t="s">
        <v>2</v>
      </c>
      <c r="G54" s="1255" t="s">
        <v>785</v>
      </c>
      <c r="H54" s="1255" t="s">
        <v>3950</v>
      </c>
      <c r="I54" s="1257">
        <v>2</v>
      </c>
      <c r="J54" s="1257">
        <v>0</v>
      </c>
      <c r="K54" s="1257">
        <v>2</v>
      </c>
      <c r="L54" s="653" t="str">
        <f t="shared" si="2"/>
        <v>551</v>
      </c>
      <c r="M54" s="654" t="str">
        <f t="shared" si="0"/>
        <v>DIR. COMMERCIAL NEUFS</v>
      </c>
      <c r="N54" s="655">
        <f>+IF(OR($Q54=Parametres!$G$2,$Q54=Parametres!$G$3),I54,C54)</f>
        <v>2</v>
      </c>
      <c r="O54" s="655">
        <f>+IF(OR($Q54=Parametres!$G$2,$Q54=Parametres!$G$3),J54,D54)</f>
        <v>0</v>
      </c>
      <c r="P54" s="655">
        <f>+IF(OR($Q54=Parametres!$G$2,$Q54=Parametres!$G$3),K54,E54)</f>
        <v>2</v>
      </c>
      <c r="Q54" s="654" t="str">
        <f t="shared" ref="Q54:S54" si="54">+F54</f>
        <v>1-Mémo</v>
      </c>
      <c r="R54" s="653" t="str">
        <f t="shared" si="54"/>
        <v>50</v>
      </c>
      <c r="S54" s="654" t="str">
        <f t="shared" si="54"/>
        <v>_</v>
      </c>
      <c r="T54" s="656" t="str">
        <f>+VLOOKUP($L54,Data_Validation!$A:$D,1,0)</f>
        <v>551</v>
      </c>
      <c r="U54" s="656">
        <f>+VLOOKUP($L54,Data_Validation!$A:$D,3,0)</f>
        <v>0</v>
      </c>
      <c r="V54" s="656">
        <f>+VLOOKUP($L54,Data_Validation!$A:$D,4,0)</f>
        <v>0</v>
      </c>
      <c r="W54" s="656" t="str">
        <f>+VLOOKUP($L54,Data_Validation!$A:$E,5,0)</f>
        <v>$</v>
      </c>
      <c r="X54" s="656">
        <f>+VLOOKUP($L54,Data_Validation!$A:$F,6,0)</f>
        <v>0</v>
      </c>
    </row>
    <row r="55" spans="1:24" ht="15" customHeight="1">
      <c r="A55" s="1255" t="s">
        <v>797</v>
      </c>
      <c r="B55" s="1255" t="s">
        <v>2181</v>
      </c>
      <c r="C55" s="1256"/>
      <c r="D55" s="1256"/>
      <c r="E55" s="1256"/>
      <c r="F55" s="1255" t="s">
        <v>2</v>
      </c>
      <c r="G55" s="1255" t="s">
        <v>785</v>
      </c>
      <c r="H55" s="1255" t="s">
        <v>3950</v>
      </c>
      <c r="I55" s="1257">
        <v>1</v>
      </c>
      <c r="J55" s="1257">
        <v>0</v>
      </c>
      <c r="K55" s="1257">
        <v>1</v>
      </c>
      <c r="L55" s="653" t="str">
        <f t="shared" si="2"/>
        <v>552</v>
      </c>
      <c r="M55" s="654" t="str">
        <f t="shared" si="0"/>
        <v>DIR. COMMERCIAL USAGES</v>
      </c>
      <c r="N55" s="655">
        <f>+IF(OR($Q55=Parametres!$G$2,$Q55=Parametres!$G$3),I55,C55)</f>
        <v>1</v>
      </c>
      <c r="O55" s="655">
        <f>+IF(OR($Q55=Parametres!$G$2,$Q55=Parametres!$G$3),J55,D55)</f>
        <v>0</v>
      </c>
      <c r="P55" s="655">
        <f>+IF(OR($Q55=Parametres!$G$2,$Q55=Parametres!$G$3),K55,E55)</f>
        <v>1</v>
      </c>
      <c r="Q55" s="654" t="str">
        <f t="shared" ref="Q55:S55" si="55">+F55</f>
        <v>1-Mémo</v>
      </c>
      <c r="R55" s="653" t="str">
        <f t="shared" si="55"/>
        <v>50</v>
      </c>
      <c r="S55" s="654" t="str">
        <f t="shared" si="55"/>
        <v>_</v>
      </c>
      <c r="T55" s="656" t="str">
        <f>+VLOOKUP($L55,Data_Validation!$A:$D,1,0)</f>
        <v>552</v>
      </c>
      <c r="U55" s="656">
        <f>+VLOOKUP($L55,Data_Validation!$A:$D,3,0)</f>
        <v>0</v>
      </c>
      <c r="V55" s="656">
        <f>+VLOOKUP($L55,Data_Validation!$A:$D,4,0)</f>
        <v>0</v>
      </c>
      <c r="W55" s="656" t="str">
        <f>+VLOOKUP($L55,Data_Validation!$A:$E,5,0)</f>
        <v>$</v>
      </c>
      <c r="X55" s="656">
        <f>+VLOOKUP($L55,Data_Validation!$A:$F,6,0)</f>
        <v>0</v>
      </c>
    </row>
    <row r="56" spans="1:24" ht="15.75" customHeight="1">
      <c r="A56" s="1255" t="s">
        <v>798</v>
      </c>
      <c r="B56" s="1255" t="s">
        <v>3355</v>
      </c>
      <c r="C56" s="1256"/>
      <c r="D56" s="1256"/>
      <c r="E56" s="1256"/>
      <c r="F56" s="1255" t="s">
        <v>2</v>
      </c>
      <c r="G56" s="1255" t="s">
        <v>785</v>
      </c>
      <c r="H56" s="1255" t="s">
        <v>3950</v>
      </c>
      <c r="I56" s="1257">
        <v>1</v>
      </c>
      <c r="J56" s="1257">
        <v>0</v>
      </c>
      <c r="K56" s="1257">
        <v>1</v>
      </c>
      <c r="L56" s="653" t="str">
        <f t="shared" si="2"/>
        <v>564</v>
      </c>
      <c r="M56" s="654" t="str">
        <f t="shared" si="0"/>
        <v>CONTREMAITRE SERVICE</v>
      </c>
      <c r="N56" s="655">
        <f>+IF(OR($Q56=Parametres!$G$2,$Q56=Parametres!$G$3),I56,C56)</f>
        <v>1</v>
      </c>
      <c r="O56" s="655">
        <f>+IF(OR($Q56=Parametres!$G$2,$Q56=Parametres!$G$3),J56,D56)</f>
        <v>0</v>
      </c>
      <c r="P56" s="655">
        <f>+IF(OR($Q56=Parametres!$G$2,$Q56=Parametres!$G$3),K56,E56)</f>
        <v>1</v>
      </c>
      <c r="Q56" s="654" t="str">
        <f t="shared" ref="Q56:S56" si="56">+F56</f>
        <v>1-Mémo</v>
      </c>
      <c r="R56" s="653" t="str">
        <f t="shared" si="56"/>
        <v>50</v>
      </c>
      <c r="S56" s="654" t="str">
        <f t="shared" si="56"/>
        <v>_</v>
      </c>
      <c r="T56" s="656" t="str">
        <f>+VLOOKUP($L56,Data_Validation!$A:$D,1,0)</f>
        <v>564</v>
      </c>
      <c r="U56" s="656">
        <f>+VLOOKUP($L56,Data_Validation!$A:$D,3,0)</f>
        <v>0</v>
      </c>
      <c r="V56" s="656">
        <f>+VLOOKUP($L56,Data_Validation!$A:$D,4,0)</f>
        <v>0</v>
      </c>
      <c r="W56" s="656" t="str">
        <f>+VLOOKUP($L56,Data_Validation!$A:$E,5,0)</f>
        <v>$</v>
      </c>
      <c r="X56" s="656">
        <f>+VLOOKUP($L56,Data_Validation!$A:$F,6,0)</f>
        <v>0</v>
      </c>
    </row>
    <row r="57" spans="1:24" ht="15" customHeight="1">
      <c r="A57" s="1255" t="s">
        <v>799</v>
      </c>
      <c r="B57" s="1255" t="s">
        <v>2276</v>
      </c>
      <c r="C57" s="1256"/>
      <c r="D57" s="1256"/>
      <c r="E57" s="1256"/>
      <c r="F57" s="1255" t="s">
        <v>2</v>
      </c>
      <c r="G57" s="1255" t="s">
        <v>3331</v>
      </c>
      <c r="H57" s="1255" t="s">
        <v>3950</v>
      </c>
      <c r="I57" s="1257">
        <v>4</v>
      </c>
      <c r="J57" s="1257">
        <v>0</v>
      </c>
      <c r="K57" s="1257">
        <v>4</v>
      </c>
      <c r="L57" s="653" t="str">
        <f t="shared" si="2"/>
        <v>614</v>
      </c>
      <c r="M57" s="654" t="str">
        <f t="shared" si="0"/>
        <v>VW CONSEILLERS SERVICE -SERVICE</v>
      </c>
      <c r="N57" s="655">
        <f>+IF(OR($Q57=Parametres!$G$2,$Q57=Parametres!$G$3),I57,C57)</f>
        <v>4</v>
      </c>
      <c r="O57" s="655">
        <f>+IF(OR($Q57=Parametres!$G$2,$Q57=Parametres!$G$3),J57,D57)</f>
        <v>0</v>
      </c>
      <c r="P57" s="655">
        <f>+IF(OR($Q57=Parametres!$G$2,$Q57=Parametres!$G$3),K57,E57)</f>
        <v>4</v>
      </c>
      <c r="Q57" s="654" t="str">
        <f t="shared" ref="Q57:S57" si="57">+F57</f>
        <v>1-Mémo</v>
      </c>
      <c r="R57" s="653" t="str">
        <f t="shared" si="57"/>
        <v>61</v>
      </c>
      <c r="S57" s="654" t="str">
        <f t="shared" si="57"/>
        <v>_</v>
      </c>
      <c r="T57" s="656" t="str">
        <f>+VLOOKUP($L57,Data_Validation!$A:$D,1,0)</f>
        <v>614</v>
      </c>
      <c r="U57" s="656">
        <f>+VLOOKUP($L57,Data_Validation!$A:$D,3,0)</f>
        <v>0</v>
      </c>
      <c r="V57" s="656">
        <f>+VLOOKUP($L57,Data_Validation!$A:$D,4,0)</f>
        <v>0</v>
      </c>
      <c r="W57" s="656" t="str">
        <f>+VLOOKUP($L57,Data_Validation!$A:$E,5,0)</f>
        <v>$</v>
      </c>
      <c r="X57" s="656">
        <f>+VLOOKUP($L57,Data_Validation!$A:$F,6,0)</f>
        <v>0</v>
      </c>
    </row>
    <row r="58" spans="1:24" ht="15" customHeight="1">
      <c r="A58" s="1255" t="s">
        <v>800</v>
      </c>
      <c r="B58" s="1255" t="s">
        <v>1208</v>
      </c>
      <c r="C58" s="1256"/>
      <c r="D58" s="1256"/>
      <c r="E58" s="1256"/>
      <c r="F58" s="1255" t="s">
        <v>2</v>
      </c>
      <c r="G58" s="1255" t="s">
        <v>3331</v>
      </c>
      <c r="H58" s="1255" t="s">
        <v>3950</v>
      </c>
      <c r="I58" s="1257">
        <v>1</v>
      </c>
      <c r="J58" s="1257">
        <v>0</v>
      </c>
      <c r="K58" s="1257">
        <v>1</v>
      </c>
      <c r="L58" s="653" t="str">
        <f t="shared" si="2"/>
        <v>615</v>
      </c>
      <c r="M58" s="654" t="str">
        <f t="shared" si="0"/>
        <v>VW CONSEILLERS SERVICE - PIEC. &amp; CARR.&lt;</v>
      </c>
      <c r="N58" s="655">
        <f>+IF(OR($Q58=Parametres!$G$2,$Q58=Parametres!$G$3),I58,C58)</f>
        <v>1</v>
      </c>
      <c r="O58" s="655">
        <f>+IF(OR($Q58=Parametres!$G$2,$Q58=Parametres!$G$3),J58,D58)</f>
        <v>0</v>
      </c>
      <c r="P58" s="655">
        <f>+IF(OR($Q58=Parametres!$G$2,$Q58=Parametres!$G$3),K58,E58)</f>
        <v>1</v>
      </c>
      <c r="Q58" s="654" t="str">
        <f t="shared" ref="Q58:S58" si="58">+F58</f>
        <v>1-Mémo</v>
      </c>
      <c r="R58" s="653" t="str">
        <f t="shared" si="58"/>
        <v>61</v>
      </c>
      <c r="S58" s="654" t="str">
        <f t="shared" si="58"/>
        <v>_</v>
      </c>
      <c r="T58" s="656" t="str">
        <f>+VLOOKUP($L58,Data_Validation!$A:$D,1,0)</f>
        <v>615</v>
      </c>
      <c r="U58" s="656">
        <f>+VLOOKUP($L58,Data_Validation!$A:$D,3,0)</f>
        <v>0</v>
      </c>
      <c r="V58" s="656">
        <f>+VLOOKUP($L58,Data_Validation!$A:$D,4,0)</f>
        <v>0</v>
      </c>
      <c r="W58" s="656" t="str">
        <f>+VLOOKUP($L58,Data_Validation!$A:$E,5,0)</f>
        <v>$</v>
      </c>
      <c r="X58" s="656">
        <f>+VLOOKUP($L58,Data_Validation!$A:$F,6,0)</f>
        <v>0</v>
      </c>
    </row>
    <row r="59" spans="1:24" ht="15" customHeight="1">
      <c r="A59" s="1255" t="s">
        <v>801</v>
      </c>
      <c r="B59" s="1255" t="s">
        <v>2337</v>
      </c>
      <c r="C59" s="1256"/>
      <c r="D59" s="1256"/>
      <c r="E59" s="1256"/>
      <c r="F59" s="1255" t="s">
        <v>2</v>
      </c>
      <c r="G59" s="1255" t="s">
        <v>785</v>
      </c>
      <c r="H59" s="1255" t="s">
        <v>3950</v>
      </c>
      <c r="I59" s="1257">
        <v>1</v>
      </c>
      <c r="J59" s="1257">
        <v>0</v>
      </c>
      <c r="K59" s="1257">
        <v>1</v>
      </c>
      <c r="L59" s="653" t="str">
        <f t="shared" si="2"/>
        <v>621</v>
      </c>
      <c r="M59" s="654" t="str">
        <f t="shared" si="0"/>
        <v>LAVEURS NEUFS</v>
      </c>
      <c r="N59" s="655">
        <f>+IF(OR($Q59=Parametres!$G$2,$Q59=Parametres!$G$3),I59,C59)</f>
        <v>1</v>
      </c>
      <c r="O59" s="659">
        <f>+IF(OR($Q59=Parametres!$G$2,$Q59=Parametres!$G$3),J59,D59)</f>
        <v>0</v>
      </c>
      <c r="P59" s="655">
        <f>+IF(OR($Q59=Parametres!$G$2,$Q59=Parametres!$G$3),K59,E59)</f>
        <v>1</v>
      </c>
      <c r="Q59" s="654" t="str">
        <f t="shared" ref="Q59:S59" si="59">+F59</f>
        <v>1-Mémo</v>
      </c>
      <c r="R59" s="653" t="str">
        <f t="shared" si="59"/>
        <v>50</v>
      </c>
      <c r="S59" s="654" t="str">
        <f t="shared" si="59"/>
        <v>_</v>
      </c>
      <c r="T59" s="656" t="str">
        <f>+VLOOKUP($L59,Data_Validation!$A:$D,1,0)</f>
        <v>621</v>
      </c>
      <c r="U59" s="656">
        <f>+VLOOKUP($L59,Data_Validation!$A:$D,3,0)</f>
        <v>0</v>
      </c>
      <c r="V59" s="656">
        <f>+VLOOKUP($L59,Data_Validation!$A:$D,4,0)</f>
        <v>0</v>
      </c>
      <c r="W59" s="656" t="str">
        <f>+VLOOKUP($L59,Data_Validation!$A:$E,5,0)</f>
        <v>$</v>
      </c>
      <c r="X59" s="656">
        <f>+VLOOKUP($L59,Data_Validation!$A:$F,6,0)</f>
        <v>0</v>
      </c>
    </row>
    <row r="60" spans="1:24" ht="15" customHeight="1">
      <c r="A60" s="1255" t="s">
        <v>802</v>
      </c>
      <c r="B60" s="1255" t="s">
        <v>2346</v>
      </c>
      <c r="C60" s="1256"/>
      <c r="D60" s="1256"/>
      <c r="E60" s="1256"/>
      <c r="F60" s="1255" t="s">
        <v>2</v>
      </c>
      <c r="G60" s="1255" t="s">
        <v>785</v>
      </c>
      <c r="H60" s="1255" t="s">
        <v>3950</v>
      </c>
      <c r="I60" s="1257">
        <v>1</v>
      </c>
      <c r="J60" s="1257">
        <v>0</v>
      </c>
      <c r="K60" s="1257">
        <v>1</v>
      </c>
      <c r="L60" s="653" t="str">
        <f t="shared" si="2"/>
        <v>622</v>
      </c>
      <c r="M60" s="654" t="str">
        <f t="shared" si="0"/>
        <v>LAVEURS USAGES</v>
      </c>
      <c r="N60" s="655">
        <f>+IF(OR($Q60=Parametres!$G$2,$Q60=Parametres!$G$3),I60,C60)</f>
        <v>1</v>
      </c>
      <c r="O60" s="655">
        <f>+IF(OR($Q60=Parametres!$G$2,$Q60=Parametres!$G$3),J60,D60)</f>
        <v>0</v>
      </c>
      <c r="P60" s="655">
        <f>+IF(OR($Q60=Parametres!$G$2,$Q60=Parametres!$G$3),K60,E60)</f>
        <v>1</v>
      </c>
      <c r="Q60" s="654" t="str">
        <f t="shared" ref="Q60:S60" si="60">+F60</f>
        <v>1-Mémo</v>
      </c>
      <c r="R60" s="653" t="str">
        <f t="shared" si="60"/>
        <v>50</v>
      </c>
      <c r="S60" s="654" t="str">
        <f t="shared" si="60"/>
        <v>_</v>
      </c>
      <c r="T60" s="656" t="str">
        <f>+VLOOKUP($L60,Data_Validation!$A:$D,1,0)</f>
        <v>622</v>
      </c>
      <c r="U60" s="656">
        <f>+VLOOKUP($L60,Data_Validation!$A:$D,3,0)</f>
        <v>0</v>
      </c>
      <c r="V60" s="656">
        <f>+VLOOKUP($L60,Data_Validation!$A:$D,4,0)</f>
        <v>0</v>
      </c>
      <c r="W60" s="656" t="str">
        <f>+VLOOKUP($L60,Data_Validation!$A:$E,5,0)</f>
        <v>$</v>
      </c>
      <c r="X60" s="656">
        <f>+VLOOKUP($L60,Data_Validation!$A:$F,6,0)</f>
        <v>0</v>
      </c>
    </row>
    <row r="61" spans="1:24" ht="15" customHeight="1">
      <c r="A61" s="1255" t="s">
        <v>803</v>
      </c>
      <c r="B61" s="1255" t="s">
        <v>2371</v>
      </c>
      <c r="C61" s="1256"/>
      <c r="D61" s="1256"/>
      <c r="E61" s="1256"/>
      <c r="F61" s="1255" t="s">
        <v>2</v>
      </c>
      <c r="G61" s="1255" t="s">
        <v>785</v>
      </c>
      <c r="H61" s="1255" t="s">
        <v>3950</v>
      </c>
      <c r="I61" s="1257">
        <v>7</v>
      </c>
      <c r="J61" s="1257">
        <v>0</v>
      </c>
      <c r="K61" s="1257">
        <v>7</v>
      </c>
      <c r="L61" s="653" t="str">
        <f t="shared" si="2"/>
        <v>624</v>
      </c>
      <c r="M61" s="654" t="str">
        <f t="shared" si="0"/>
        <v>LAVEURS SERVICE</v>
      </c>
      <c r="N61" s="655">
        <f>+IF(OR($Q61=Parametres!$G$2,$Q61=Parametres!$G$3),I61,C61)</f>
        <v>7</v>
      </c>
      <c r="O61" s="655">
        <f>+IF(OR($Q61=Parametres!$G$2,$Q61=Parametres!$G$3),J61,D61)</f>
        <v>0</v>
      </c>
      <c r="P61" s="655">
        <f>+IF(OR($Q61=Parametres!$G$2,$Q61=Parametres!$G$3),K61,E61)</f>
        <v>7</v>
      </c>
      <c r="Q61" s="654" t="str">
        <f t="shared" ref="Q61:S61" si="61">+F61</f>
        <v>1-Mémo</v>
      </c>
      <c r="R61" s="653" t="str">
        <f t="shared" si="61"/>
        <v>50</v>
      </c>
      <c r="S61" s="654" t="str">
        <f t="shared" si="61"/>
        <v>_</v>
      </c>
      <c r="T61" s="656" t="str">
        <f>+VLOOKUP($L61,Data_Validation!$A:$D,1,0)</f>
        <v>624</v>
      </c>
      <c r="U61" s="656">
        <f>+VLOOKUP($L61,Data_Validation!$A:$D,3,0)</f>
        <v>0</v>
      </c>
      <c r="V61" s="656">
        <f>+VLOOKUP($L61,Data_Validation!$A:$D,4,0)</f>
        <v>0</v>
      </c>
      <c r="W61" s="656" t="str">
        <f>+VLOOKUP($L61,Data_Validation!$A:$E,5,0)</f>
        <v>$</v>
      </c>
      <c r="X61" s="656">
        <f>+VLOOKUP($L61,Data_Validation!$A:$F,6,0)</f>
        <v>0</v>
      </c>
    </row>
    <row r="62" spans="1:24" ht="15" customHeight="1">
      <c r="A62" s="1255" t="s">
        <v>804</v>
      </c>
      <c r="B62" s="1255" t="s">
        <v>2469</v>
      </c>
      <c r="C62" s="1256"/>
      <c r="D62" s="1256"/>
      <c r="E62" s="1256"/>
      <c r="F62" s="1255" t="s">
        <v>2</v>
      </c>
      <c r="G62" s="1255" t="s">
        <v>3332</v>
      </c>
      <c r="H62" s="1255" t="s">
        <v>3950</v>
      </c>
      <c r="I62" s="1257">
        <v>12</v>
      </c>
      <c r="J62" s="1257">
        <v>0</v>
      </c>
      <c r="K62" s="1257">
        <v>12</v>
      </c>
      <c r="L62" s="653" t="str">
        <f t="shared" si="2"/>
        <v>644</v>
      </c>
      <c r="M62" s="654" t="str">
        <f t="shared" si="0"/>
        <v>VW TECHNICIENS - SERVICE</v>
      </c>
      <c r="N62" s="655">
        <f>+IF(OR($Q62=Parametres!$G$2,$Q62=Parametres!$G$3),I62,C62)</f>
        <v>12</v>
      </c>
      <c r="O62" s="655">
        <f>+IF(OR($Q62=Parametres!$G$2,$Q62=Parametres!$G$3),J62,D62)</f>
        <v>0</v>
      </c>
      <c r="P62" s="655">
        <f>+IF(OR($Q62=Parametres!$G$2,$Q62=Parametres!$G$3),K62,E62)</f>
        <v>12</v>
      </c>
      <c r="Q62" s="654" t="str">
        <f t="shared" ref="Q62:S62" si="62">+F62</f>
        <v>1-Mémo</v>
      </c>
      <c r="R62" s="653" t="str">
        <f t="shared" si="62"/>
        <v>64</v>
      </c>
      <c r="S62" s="654" t="str">
        <f t="shared" si="62"/>
        <v>_</v>
      </c>
      <c r="T62" s="656" t="str">
        <f>+VLOOKUP($L62,Data_Validation!$A:$D,1,0)</f>
        <v>644</v>
      </c>
      <c r="U62" s="656">
        <f>+VLOOKUP($L62,Data_Validation!$A:$D,3,0)</f>
        <v>0</v>
      </c>
      <c r="V62" s="656">
        <f>+VLOOKUP($L62,Data_Validation!$A:$D,4,0)</f>
        <v>0</v>
      </c>
      <c r="W62" s="656" t="str">
        <f>+VLOOKUP($L62,Data_Validation!$A:$E,5,0)</f>
        <v>$</v>
      </c>
      <c r="X62" s="656">
        <f>+VLOOKUP($L62,Data_Validation!$A:$F,6,0)</f>
        <v>0</v>
      </c>
    </row>
    <row r="63" spans="1:24" ht="15" customHeight="1">
      <c r="A63" s="1255" t="s">
        <v>805</v>
      </c>
      <c r="B63" s="1255" t="s">
        <v>2538</v>
      </c>
      <c r="C63" s="1256"/>
      <c r="D63" s="1256"/>
      <c r="E63" s="1256"/>
      <c r="F63" s="1255" t="s">
        <v>2</v>
      </c>
      <c r="G63" s="1255" t="s">
        <v>785</v>
      </c>
      <c r="H63" s="1255" t="s">
        <v>3950</v>
      </c>
      <c r="I63" s="1257">
        <v>0.2</v>
      </c>
      <c r="J63" s="1257">
        <v>0</v>
      </c>
      <c r="K63" s="1257">
        <v>0.2</v>
      </c>
      <c r="L63" s="653" t="str">
        <f t="shared" si="2"/>
        <v>651</v>
      </c>
      <c r="M63" s="654" t="str">
        <f t="shared" si="0"/>
        <v>DIR. ADMINIS. NEUFS</v>
      </c>
      <c r="N63" s="655">
        <f>+IF(OR($Q63=Parametres!$G$2,$Q63=Parametres!$G$3),I63,C63)</f>
        <v>0.2</v>
      </c>
      <c r="O63" s="659">
        <f>+IF(OR($Q63=Parametres!$G$2,$Q63=Parametres!$G$3),J63,D63)</f>
        <v>0</v>
      </c>
      <c r="P63" s="655">
        <f>+IF(OR($Q63=Parametres!$G$2,$Q63=Parametres!$G$3),K63,E63)</f>
        <v>0.2</v>
      </c>
      <c r="Q63" s="654" t="str">
        <f t="shared" ref="Q63:S63" si="63">+F63</f>
        <v>1-Mémo</v>
      </c>
      <c r="R63" s="653" t="str">
        <f t="shared" si="63"/>
        <v>50</v>
      </c>
      <c r="S63" s="654" t="str">
        <f t="shared" si="63"/>
        <v>_</v>
      </c>
      <c r="T63" s="656" t="str">
        <f>+VLOOKUP($L63,Data_Validation!$A:$D,1,0)</f>
        <v>651</v>
      </c>
      <c r="U63" s="656">
        <f>+VLOOKUP($L63,Data_Validation!$A:$D,3,0)</f>
        <v>0</v>
      </c>
      <c r="V63" s="656">
        <f>+VLOOKUP($L63,Data_Validation!$A:$D,4,0)</f>
        <v>0</v>
      </c>
      <c r="W63" s="656" t="str">
        <f>+VLOOKUP($L63,Data_Validation!$A:$E,5,0)</f>
        <v>$</v>
      </c>
      <c r="X63" s="656">
        <f>+VLOOKUP($L63,Data_Validation!$A:$F,6,0)</f>
        <v>0</v>
      </c>
    </row>
    <row r="64" spans="1:24" ht="15" customHeight="1">
      <c r="A64" s="1255" t="s">
        <v>806</v>
      </c>
      <c r="B64" s="1255" t="s">
        <v>2544</v>
      </c>
      <c r="C64" s="1256"/>
      <c r="D64" s="1256"/>
      <c r="E64" s="1256"/>
      <c r="F64" s="1255" t="s">
        <v>2</v>
      </c>
      <c r="G64" s="1255" t="s">
        <v>785</v>
      </c>
      <c r="H64" s="1255" t="s">
        <v>3950</v>
      </c>
      <c r="I64" s="1257">
        <v>0.2</v>
      </c>
      <c r="J64" s="1257">
        <v>0</v>
      </c>
      <c r="K64" s="1257">
        <v>0.2</v>
      </c>
      <c r="L64" s="653" t="str">
        <f t="shared" si="2"/>
        <v>652</v>
      </c>
      <c r="M64" s="654" t="str">
        <f t="shared" si="0"/>
        <v>DIR. ADMINIS. USAGES</v>
      </c>
      <c r="N64" s="655">
        <f>+IF(OR($Q64=Parametres!$G$2,$Q64=Parametres!$G$3),I64,C64)</f>
        <v>0.2</v>
      </c>
      <c r="O64" s="655">
        <f>+IF(OR($Q64=Parametres!$G$2,$Q64=Parametres!$G$3),J64,D64)</f>
        <v>0</v>
      </c>
      <c r="P64" s="655">
        <f>+IF(OR($Q64=Parametres!$G$2,$Q64=Parametres!$G$3),K64,E64)</f>
        <v>0.2</v>
      </c>
      <c r="Q64" s="654" t="str">
        <f t="shared" ref="Q64:S64" si="64">+F64</f>
        <v>1-Mémo</v>
      </c>
      <c r="R64" s="653" t="str">
        <f t="shared" si="64"/>
        <v>50</v>
      </c>
      <c r="S64" s="654" t="str">
        <f t="shared" si="64"/>
        <v>_</v>
      </c>
      <c r="T64" s="656" t="str">
        <f>+VLOOKUP($L64,Data_Validation!$A:$D,1,0)</f>
        <v>652</v>
      </c>
      <c r="U64" s="656">
        <f>+VLOOKUP($L64,Data_Validation!$A:$D,3,0)</f>
        <v>0</v>
      </c>
      <c r="V64" s="656">
        <f>+VLOOKUP($L64,Data_Validation!$A:$D,4,0)</f>
        <v>0</v>
      </c>
      <c r="W64" s="656" t="str">
        <f>+VLOOKUP($L64,Data_Validation!$A:$E,5,0)</f>
        <v>$</v>
      </c>
      <c r="X64" s="656">
        <f>+VLOOKUP($L64,Data_Validation!$A:$F,6,0)</f>
        <v>0</v>
      </c>
    </row>
    <row r="65" spans="1:24" ht="15" customHeight="1">
      <c r="A65" s="1255" t="s">
        <v>807</v>
      </c>
      <c r="B65" s="1255" t="s">
        <v>2574</v>
      </c>
      <c r="C65" s="1256"/>
      <c r="D65" s="1256"/>
      <c r="E65" s="1256"/>
      <c r="F65" s="1255" t="s">
        <v>2</v>
      </c>
      <c r="G65" s="1255" t="s">
        <v>785</v>
      </c>
      <c r="H65" s="1255" t="s">
        <v>3950</v>
      </c>
      <c r="I65" s="1257">
        <v>0.2</v>
      </c>
      <c r="J65" s="1257">
        <v>0</v>
      </c>
      <c r="K65" s="1257">
        <v>0.2</v>
      </c>
      <c r="L65" s="653" t="str">
        <f t="shared" si="2"/>
        <v>654</v>
      </c>
      <c r="M65" s="654" t="str">
        <f t="shared" si="0"/>
        <v>DIR. ADMINIS. SERVICE</v>
      </c>
      <c r="N65" s="655">
        <f>+IF(OR($Q65=Parametres!$G$2,$Q65=Parametres!$G$3),I65,C65)</f>
        <v>0.2</v>
      </c>
      <c r="O65" s="659">
        <f>+IF(OR($Q65=Parametres!$G$2,$Q65=Parametres!$G$3),J65,D65)</f>
        <v>0</v>
      </c>
      <c r="P65" s="655">
        <f>+IF(OR($Q65=Parametres!$G$2,$Q65=Parametres!$G$3),K65,E65)</f>
        <v>0.2</v>
      </c>
      <c r="Q65" s="654" t="str">
        <f t="shared" ref="Q65:S65" si="65">+F65</f>
        <v>1-Mémo</v>
      </c>
      <c r="R65" s="653" t="str">
        <f t="shared" si="65"/>
        <v>50</v>
      </c>
      <c r="S65" s="654" t="str">
        <f t="shared" si="65"/>
        <v>_</v>
      </c>
      <c r="T65" s="656" t="str">
        <f>+VLOOKUP($L65,Data_Validation!$A:$D,1,0)</f>
        <v>654</v>
      </c>
      <c r="U65" s="656">
        <f>+VLOOKUP($L65,Data_Validation!$A:$D,3,0)</f>
        <v>0</v>
      </c>
      <c r="V65" s="656">
        <f>+VLOOKUP($L65,Data_Validation!$A:$D,4,0)</f>
        <v>0</v>
      </c>
      <c r="W65" s="656" t="str">
        <f>+VLOOKUP($L65,Data_Validation!$A:$E,5,0)</f>
        <v>$</v>
      </c>
      <c r="X65" s="656">
        <f>+VLOOKUP($L65,Data_Validation!$A:$F,6,0)</f>
        <v>0</v>
      </c>
    </row>
    <row r="66" spans="1:24" ht="15" customHeight="1">
      <c r="A66" s="1255" t="s">
        <v>808</v>
      </c>
      <c r="B66" s="1255" t="s">
        <v>1267</v>
      </c>
      <c r="C66" s="1256"/>
      <c r="D66" s="1256"/>
      <c r="E66" s="1256"/>
      <c r="F66" s="1255" t="s">
        <v>2</v>
      </c>
      <c r="G66" s="1255" t="s">
        <v>785</v>
      </c>
      <c r="H66" s="1255" t="s">
        <v>3950</v>
      </c>
      <c r="I66" s="1257">
        <v>0.2</v>
      </c>
      <c r="J66" s="1257">
        <v>0</v>
      </c>
      <c r="K66" s="1257">
        <v>0.2</v>
      </c>
      <c r="L66" s="653" t="str">
        <f t="shared" si="2"/>
        <v>655</v>
      </c>
      <c r="M66" s="654" t="str">
        <f t="shared" si="0"/>
        <v>DIR. ADMINIS. CARROSS.</v>
      </c>
      <c r="N66" s="655">
        <f>+IF(OR($Q66=Parametres!$G$2,$Q66=Parametres!$G$3),I66,C66)</f>
        <v>0.2</v>
      </c>
      <c r="O66" s="655">
        <f>+IF(OR($Q66=Parametres!$G$2,$Q66=Parametres!$G$3),J66,D66)</f>
        <v>0</v>
      </c>
      <c r="P66" s="655">
        <f>+IF(OR($Q66=Parametres!$G$2,$Q66=Parametres!$G$3),K66,E66)</f>
        <v>0.2</v>
      </c>
      <c r="Q66" s="654" t="str">
        <f t="shared" ref="Q66:S66" si="66">+F66</f>
        <v>1-Mémo</v>
      </c>
      <c r="R66" s="653" t="str">
        <f t="shared" si="66"/>
        <v>50</v>
      </c>
      <c r="S66" s="654" t="str">
        <f t="shared" si="66"/>
        <v>_</v>
      </c>
      <c r="T66" s="656" t="str">
        <f>+VLOOKUP($L66,Data_Validation!$A:$D,1,0)</f>
        <v>655</v>
      </c>
      <c r="U66" s="656">
        <f>+VLOOKUP($L66,Data_Validation!$A:$D,3,0)</f>
        <v>0</v>
      </c>
      <c r="V66" s="656">
        <f>+VLOOKUP($L66,Data_Validation!$A:$D,4,0)</f>
        <v>0</v>
      </c>
      <c r="W66" s="656" t="str">
        <f>+VLOOKUP($L66,Data_Validation!$A:$E,5,0)</f>
        <v>$</v>
      </c>
      <c r="X66" s="656">
        <f>+VLOOKUP($L66,Data_Validation!$A:$F,6,0)</f>
        <v>0</v>
      </c>
    </row>
    <row r="67" spans="1:24" ht="15" customHeight="1">
      <c r="A67" s="1255" t="s">
        <v>809</v>
      </c>
      <c r="B67" s="1255" t="s">
        <v>2617</v>
      </c>
      <c r="C67" s="1256"/>
      <c r="D67" s="1256"/>
      <c r="E67" s="1256"/>
      <c r="F67" s="1255" t="s">
        <v>2</v>
      </c>
      <c r="G67" s="1255" t="s">
        <v>785</v>
      </c>
      <c r="H67" s="1255" t="s">
        <v>3950</v>
      </c>
      <c r="I67" s="1257">
        <v>0.2</v>
      </c>
      <c r="J67" s="1257">
        <v>0</v>
      </c>
      <c r="K67" s="1257">
        <v>0.2</v>
      </c>
      <c r="L67" s="653" t="str">
        <f t="shared" ref="L67:L130" si="67">TEXT(B67,0)</f>
        <v>657</v>
      </c>
      <c r="M67" s="654" t="str">
        <f t="shared" si="0"/>
        <v>DIR. ADMINIS. PIECES</v>
      </c>
      <c r="N67" s="655">
        <f>+IF(OR($Q67=Parametres!$G$2,$Q67=Parametres!$G$3),I67,C67)</f>
        <v>0.2</v>
      </c>
      <c r="O67" s="655">
        <f>+IF(OR($Q67=Parametres!$G$2,$Q67=Parametres!$G$3),J67,D67)</f>
        <v>0</v>
      </c>
      <c r="P67" s="655">
        <f>+IF(OR($Q67=Parametres!$G$2,$Q67=Parametres!$G$3),K67,E67)</f>
        <v>0.2</v>
      </c>
      <c r="Q67" s="654" t="str">
        <f t="shared" ref="Q67:S67" si="68">+F67</f>
        <v>1-Mémo</v>
      </c>
      <c r="R67" s="653" t="str">
        <f t="shared" si="68"/>
        <v>50</v>
      </c>
      <c r="S67" s="654" t="str">
        <f t="shared" si="68"/>
        <v>_</v>
      </c>
      <c r="T67" s="656" t="str">
        <f>+VLOOKUP($L67,Data_Validation!$A:$D,1,0)</f>
        <v>657</v>
      </c>
      <c r="U67" s="656">
        <f>+VLOOKUP($L67,Data_Validation!$A:$D,3,0)</f>
        <v>0</v>
      </c>
      <c r="V67" s="656">
        <f>+VLOOKUP($L67,Data_Validation!$A:$D,4,0)</f>
        <v>0</v>
      </c>
      <c r="W67" s="656" t="str">
        <f>+VLOOKUP($L67,Data_Validation!$A:$E,5,0)</f>
        <v>$</v>
      </c>
      <c r="X67" s="656">
        <f>+VLOOKUP($L67,Data_Validation!$A:$F,6,0)</f>
        <v>0</v>
      </c>
    </row>
    <row r="68" spans="1:24" ht="15" customHeight="1">
      <c r="A68" s="1255" t="s">
        <v>810</v>
      </c>
      <c r="B68" s="1255" t="s">
        <v>2635</v>
      </c>
      <c r="C68" s="1256"/>
      <c r="D68" s="1256"/>
      <c r="E68" s="1256"/>
      <c r="F68" s="1255" t="s">
        <v>2</v>
      </c>
      <c r="G68" s="1255" t="s">
        <v>785</v>
      </c>
      <c r="H68" s="1255" t="s">
        <v>3950</v>
      </c>
      <c r="I68" s="1257">
        <v>1</v>
      </c>
      <c r="J68" s="1257">
        <v>0</v>
      </c>
      <c r="K68" s="1257">
        <v>1</v>
      </c>
      <c r="L68" s="653" t="str">
        <f t="shared" si="67"/>
        <v>661</v>
      </c>
      <c r="M68" s="654" t="str">
        <f t="shared" si="0"/>
        <v>PERSONELS CLER. NEUFS</v>
      </c>
      <c r="N68" s="655">
        <f>+IF(OR($Q68=Parametres!$G$2,$Q68=Parametres!$G$3),I68,C68)</f>
        <v>1</v>
      </c>
      <c r="O68" s="659">
        <f>+IF(OR($Q68=Parametres!$G$2,$Q68=Parametres!$G$3),J68,D68)</f>
        <v>0</v>
      </c>
      <c r="P68" s="655">
        <f>+IF(OR($Q68=Parametres!$G$2,$Q68=Parametres!$G$3),K68,E68)</f>
        <v>1</v>
      </c>
      <c r="Q68" s="654" t="str">
        <f t="shared" ref="Q68:S68" si="69">+F68</f>
        <v>1-Mémo</v>
      </c>
      <c r="R68" s="653" t="str">
        <f t="shared" si="69"/>
        <v>50</v>
      </c>
      <c r="S68" s="654" t="str">
        <f t="shared" si="69"/>
        <v>_</v>
      </c>
      <c r="T68" s="656" t="str">
        <f>+VLOOKUP($L68,Data_Validation!$A:$D,1,0)</f>
        <v>661</v>
      </c>
      <c r="U68" s="656">
        <f>+VLOOKUP($L68,Data_Validation!$A:$D,3,0)</f>
        <v>0</v>
      </c>
      <c r="V68" s="656">
        <f>+VLOOKUP($L68,Data_Validation!$A:$D,4,0)</f>
        <v>0</v>
      </c>
      <c r="W68" s="656" t="str">
        <f>+VLOOKUP($L68,Data_Validation!$A:$E,5,0)</f>
        <v>$</v>
      </c>
      <c r="X68" s="656">
        <f>+VLOOKUP($L68,Data_Validation!$A:$F,6,0)</f>
        <v>0</v>
      </c>
    </row>
    <row r="69" spans="1:24" ht="15" customHeight="1">
      <c r="A69" s="1255" t="s">
        <v>811</v>
      </c>
      <c r="B69" s="1255" t="s">
        <v>2638</v>
      </c>
      <c r="C69" s="1256"/>
      <c r="D69" s="1256"/>
      <c r="E69" s="1256"/>
      <c r="F69" s="1255" t="s">
        <v>2</v>
      </c>
      <c r="G69" s="1255" t="s">
        <v>785</v>
      </c>
      <c r="H69" s="1255" t="s">
        <v>3950</v>
      </c>
      <c r="I69" s="1257">
        <v>1</v>
      </c>
      <c r="J69" s="1257">
        <v>0</v>
      </c>
      <c r="K69" s="1257">
        <v>1</v>
      </c>
      <c r="L69" s="653" t="str">
        <f t="shared" si="67"/>
        <v>662</v>
      </c>
      <c r="M69" s="654" t="str">
        <f t="shared" si="0"/>
        <v>PERSONELS CLER. USAGES</v>
      </c>
      <c r="N69" s="655">
        <f>+IF(OR($Q69=Parametres!$G$2,$Q69=Parametres!$G$3),I69,C69)</f>
        <v>1</v>
      </c>
      <c r="O69" s="655">
        <f>+IF(OR($Q69=Parametres!$G$2,$Q69=Parametres!$G$3),J69,D69)</f>
        <v>0</v>
      </c>
      <c r="P69" s="655">
        <f>+IF(OR($Q69=Parametres!$G$2,$Q69=Parametres!$G$3),K69,E69)</f>
        <v>1</v>
      </c>
      <c r="Q69" s="654" t="str">
        <f t="shared" ref="Q69:S69" si="70">+F69</f>
        <v>1-Mémo</v>
      </c>
      <c r="R69" s="653" t="str">
        <f t="shared" si="70"/>
        <v>50</v>
      </c>
      <c r="S69" s="654" t="str">
        <f t="shared" si="70"/>
        <v>_</v>
      </c>
      <c r="T69" s="656" t="str">
        <f>+VLOOKUP($L69,Data_Validation!$A:$D,1,0)</f>
        <v>662</v>
      </c>
      <c r="U69" s="656">
        <f>+VLOOKUP($L69,Data_Validation!$A:$D,3,0)</f>
        <v>0</v>
      </c>
      <c r="V69" s="656">
        <f>+VLOOKUP($L69,Data_Validation!$A:$D,4,0)</f>
        <v>0</v>
      </c>
      <c r="W69" s="656" t="str">
        <f>+VLOOKUP($L69,Data_Validation!$A:$E,5,0)</f>
        <v>$</v>
      </c>
      <c r="X69" s="656">
        <f>+VLOOKUP($L69,Data_Validation!$A:$F,6,0)</f>
        <v>0</v>
      </c>
    </row>
    <row r="70" spans="1:24" ht="15" customHeight="1">
      <c r="A70" s="1255" t="s">
        <v>812</v>
      </c>
      <c r="B70" s="1255" t="s">
        <v>2641</v>
      </c>
      <c r="C70" s="1256"/>
      <c r="D70" s="1256"/>
      <c r="E70" s="1256"/>
      <c r="F70" s="1255" t="s">
        <v>2</v>
      </c>
      <c r="G70" s="1255" t="s">
        <v>785</v>
      </c>
      <c r="H70" s="1255" t="s">
        <v>3950</v>
      </c>
      <c r="I70" s="1257">
        <v>1</v>
      </c>
      <c r="J70" s="1257">
        <v>0</v>
      </c>
      <c r="K70" s="1257">
        <v>1</v>
      </c>
      <c r="L70" s="653" t="str">
        <f t="shared" si="67"/>
        <v>664</v>
      </c>
      <c r="M70" s="654" t="str">
        <f t="shared" si="0"/>
        <v>PERSONELS CLER. SERVICE</v>
      </c>
      <c r="N70" s="655">
        <f>+IF(OR($Q70=Parametres!$G$2,$Q70=Parametres!$G$3),I70,C70)</f>
        <v>1</v>
      </c>
      <c r="O70" s="655">
        <f>+IF(OR($Q70=Parametres!$G$2,$Q70=Parametres!$G$3),J70,D70)</f>
        <v>0</v>
      </c>
      <c r="P70" s="655">
        <f>+IF(OR($Q70=Parametres!$G$2,$Q70=Parametres!$G$3),K70,E70)</f>
        <v>1</v>
      </c>
      <c r="Q70" s="654" t="str">
        <f t="shared" ref="Q70:S70" si="71">+F70</f>
        <v>1-Mémo</v>
      </c>
      <c r="R70" s="653" t="str">
        <f t="shared" si="71"/>
        <v>50</v>
      </c>
      <c r="S70" s="654" t="str">
        <f t="shared" si="71"/>
        <v>_</v>
      </c>
      <c r="T70" s="656" t="str">
        <f>+VLOOKUP($L70,Data_Validation!$A:$D,1,0)</f>
        <v>664</v>
      </c>
      <c r="U70" s="656">
        <f>+VLOOKUP($L70,Data_Validation!$A:$D,3,0)</f>
        <v>0</v>
      </c>
      <c r="V70" s="656">
        <f>+VLOOKUP($L70,Data_Validation!$A:$D,4,0)</f>
        <v>0</v>
      </c>
      <c r="W70" s="656" t="str">
        <f>+VLOOKUP($L70,Data_Validation!$A:$E,5,0)</f>
        <v>$</v>
      </c>
      <c r="X70" s="656">
        <f>+VLOOKUP($L70,Data_Validation!$A:$F,6,0)</f>
        <v>0</v>
      </c>
    </row>
    <row r="71" spans="1:24" ht="15" customHeight="1">
      <c r="A71" s="1255" t="s">
        <v>813</v>
      </c>
      <c r="B71" s="1255" t="s">
        <v>2644</v>
      </c>
      <c r="C71" s="1256"/>
      <c r="D71" s="1256"/>
      <c r="E71" s="1256"/>
      <c r="F71" s="1255" t="s">
        <v>2</v>
      </c>
      <c r="G71" s="1255" t="s">
        <v>785</v>
      </c>
      <c r="H71" s="1255" t="s">
        <v>3950</v>
      </c>
      <c r="I71" s="1257">
        <v>1</v>
      </c>
      <c r="J71" s="1257">
        <v>0</v>
      </c>
      <c r="K71" s="1257">
        <v>1</v>
      </c>
      <c r="L71" s="653" t="str">
        <f t="shared" si="67"/>
        <v>667</v>
      </c>
      <c r="M71" s="654" t="str">
        <f t="shared" si="0"/>
        <v>PERSONELS CLER. PIECES</v>
      </c>
      <c r="N71" s="655">
        <f>+IF(OR($Q71=Parametres!$G$2,$Q71=Parametres!$G$3),I71,C71)</f>
        <v>1</v>
      </c>
      <c r="O71" s="655">
        <f>+IF(OR($Q71=Parametres!$G$2,$Q71=Parametres!$G$3),J71,D71)</f>
        <v>0</v>
      </c>
      <c r="P71" s="655">
        <f>+IF(OR($Q71=Parametres!$G$2,$Q71=Parametres!$G$3),K71,E71)</f>
        <v>1</v>
      </c>
      <c r="Q71" s="654" t="str">
        <f t="shared" ref="Q71:S71" si="72">+F71</f>
        <v>1-Mémo</v>
      </c>
      <c r="R71" s="653" t="str">
        <f t="shared" si="72"/>
        <v>50</v>
      </c>
      <c r="S71" s="654" t="str">
        <f t="shared" si="72"/>
        <v>_</v>
      </c>
      <c r="T71" s="656" t="str">
        <f>+VLOOKUP($L71,Data_Validation!$A:$D,1,0)</f>
        <v>667</v>
      </c>
      <c r="U71" s="656">
        <f>+VLOOKUP($L71,Data_Validation!$A:$D,3,0)</f>
        <v>0</v>
      </c>
      <c r="V71" s="656">
        <f>+VLOOKUP($L71,Data_Validation!$A:$D,4,0)</f>
        <v>0</v>
      </c>
      <c r="W71" s="656" t="str">
        <f>+VLOOKUP($L71,Data_Validation!$A:$E,5,0)</f>
        <v>$</v>
      </c>
      <c r="X71" s="656">
        <f>+VLOOKUP($L71,Data_Validation!$A:$F,6,0)</f>
        <v>0</v>
      </c>
    </row>
    <row r="72" spans="1:24" ht="15" customHeight="1">
      <c r="A72" s="1255" t="s">
        <v>814</v>
      </c>
      <c r="B72" s="1255" t="s">
        <v>2722</v>
      </c>
      <c r="C72" s="1256"/>
      <c r="D72" s="1256"/>
      <c r="E72" s="1256"/>
      <c r="F72" s="1255" t="s">
        <v>2</v>
      </c>
      <c r="G72" s="1255" t="s">
        <v>3333</v>
      </c>
      <c r="H72" s="1255" t="s">
        <v>3950</v>
      </c>
      <c r="I72" s="1257">
        <v>3</v>
      </c>
      <c r="J72" s="1257">
        <v>0</v>
      </c>
      <c r="K72" s="1257">
        <v>3</v>
      </c>
      <c r="L72" s="653" t="str">
        <f t="shared" si="67"/>
        <v>677</v>
      </c>
      <c r="M72" s="654" t="str">
        <f t="shared" si="0"/>
        <v>VW PIECES</v>
      </c>
      <c r="N72" s="655">
        <f>+IF(OR($Q72=Parametres!$G$2,$Q72=Parametres!$G$3),I72,C72)</f>
        <v>3</v>
      </c>
      <c r="O72" s="659">
        <f>+IF(OR($Q72=Parametres!$G$2,$Q72=Parametres!$G$3),J72,D72)</f>
        <v>0</v>
      </c>
      <c r="P72" s="655">
        <f>+IF(OR($Q72=Parametres!$G$2,$Q72=Parametres!$G$3),K72,E72)</f>
        <v>3</v>
      </c>
      <c r="Q72" s="654" t="str">
        <f t="shared" ref="Q72:S72" si="73">+F72</f>
        <v>1-Mémo</v>
      </c>
      <c r="R72" s="653" t="str">
        <f t="shared" si="73"/>
        <v>67</v>
      </c>
      <c r="S72" s="654" t="str">
        <f t="shared" si="73"/>
        <v>_</v>
      </c>
      <c r="T72" s="656" t="str">
        <f>+VLOOKUP($L72,Data_Validation!$A:$D,1,0)</f>
        <v>677</v>
      </c>
      <c r="U72" s="656">
        <f>+VLOOKUP($L72,Data_Validation!$A:$D,3,0)</f>
        <v>0</v>
      </c>
      <c r="V72" s="656">
        <f>+VLOOKUP($L72,Data_Validation!$A:$D,4,0)</f>
        <v>0</v>
      </c>
      <c r="W72" s="656" t="str">
        <f>+VLOOKUP($L72,Data_Validation!$A:$E,5,0)</f>
        <v>$</v>
      </c>
      <c r="X72" s="656">
        <f>+VLOOKUP($L72,Data_Validation!$A:$F,6,0)</f>
        <v>0</v>
      </c>
    </row>
    <row r="73" spans="1:24" ht="15" customHeight="1">
      <c r="A73" s="1255" t="s">
        <v>815</v>
      </c>
      <c r="B73" s="1255" t="s">
        <v>817</v>
      </c>
      <c r="C73" s="1257">
        <v>-373585.32</v>
      </c>
      <c r="D73" s="1257">
        <v>1223593.77</v>
      </c>
      <c r="E73" s="1257">
        <v>850008.45</v>
      </c>
      <c r="F73" s="1255" t="s">
        <v>816</v>
      </c>
      <c r="G73" s="1255" t="s">
        <v>817</v>
      </c>
      <c r="H73" s="1255" t="s">
        <v>3950</v>
      </c>
      <c r="I73" s="1256"/>
      <c r="J73" s="1256"/>
      <c r="K73" s="1256"/>
      <c r="L73" s="653" t="str">
        <f t="shared" si="67"/>
        <v>1102</v>
      </c>
      <c r="M73" s="654" t="str">
        <f t="shared" si="0"/>
        <v>BANQUE DE COMMERCE C/C</v>
      </c>
      <c r="N73" s="655">
        <f>+IF(OR($Q73=Parametres!$G$2,$Q73=Parametres!$G$3),I73,C73)</f>
        <v>-373585.32</v>
      </c>
      <c r="O73" s="655">
        <f>+IF(OR($Q73=Parametres!$G$2,$Q73=Parametres!$G$3),J73,D73)</f>
        <v>1223593.77</v>
      </c>
      <c r="P73" s="655">
        <f>+IF(OR($Q73=Parametres!$G$2,$Q73=Parametres!$G$3),K73,E73)</f>
        <v>850008.45</v>
      </c>
      <c r="Q73" s="654" t="str">
        <f t="shared" ref="Q73:S73" si="74">+F73</f>
        <v>2-Actifs</v>
      </c>
      <c r="R73" s="653" t="str">
        <f t="shared" si="74"/>
        <v>1102</v>
      </c>
      <c r="S73" s="654" t="str">
        <f t="shared" si="74"/>
        <v>_</v>
      </c>
      <c r="T73" s="656" t="str">
        <f>+VLOOKUP($L73,Data_Validation!$A:$D,1,0)</f>
        <v>1102</v>
      </c>
      <c r="U73" s="656" t="str">
        <f>+VLOOKUP($L73,Data_Validation!$A:$D,3,0)</f>
        <v>Bilan</v>
      </c>
      <c r="V73" s="656" t="str">
        <f>+VLOOKUP($L73,Data_Validation!$A:$D,4,0)</f>
        <v>Encaisse</v>
      </c>
      <c r="W73" s="656" t="str">
        <f>+VLOOKUP($L73,Data_Validation!$A:$E,5,0)</f>
        <v>$</v>
      </c>
      <c r="X73" s="656">
        <f>+VLOOKUP($L73,Data_Validation!$A:$F,6,0)</f>
        <v>0</v>
      </c>
    </row>
    <row r="74" spans="1:24" ht="15" customHeight="1">
      <c r="A74" s="1255" t="s">
        <v>1338</v>
      </c>
      <c r="B74" s="1255" t="s">
        <v>3356</v>
      </c>
      <c r="C74" s="1257">
        <v>0</v>
      </c>
      <c r="D74" s="1257">
        <v>0.21</v>
      </c>
      <c r="E74" s="1257">
        <v>0.21</v>
      </c>
      <c r="F74" s="1255" t="s">
        <v>816</v>
      </c>
      <c r="G74" s="1255" t="s">
        <v>817</v>
      </c>
      <c r="H74" s="1255" t="s">
        <v>3950</v>
      </c>
      <c r="I74" s="1256"/>
      <c r="J74" s="1256"/>
      <c r="K74" s="1256"/>
      <c r="L74" s="653" t="str">
        <f t="shared" si="67"/>
        <v>1103</v>
      </c>
      <c r="M74" s="654" t="str">
        <f t="shared" si="0"/>
        <v>VISA</v>
      </c>
      <c r="N74" s="655">
        <f>+IF(OR($Q74=Parametres!$G$2,$Q74=Parametres!$G$3),I74,C74)</f>
        <v>0</v>
      </c>
      <c r="O74" s="655">
        <f>+IF(OR($Q74=Parametres!$G$2,$Q74=Parametres!$G$3),J74,D74)</f>
        <v>0.21</v>
      </c>
      <c r="P74" s="655">
        <f>+IF(OR($Q74=Parametres!$G$2,$Q74=Parametres!$G$3),K74,E74)</f>
        <v>0.21</v>
      </c>
      <c r="Q74" s="654" t="str">
        <f t="shared" ref="Q74:S74" si="75">+F74</f>
        <v>2-Actifs</v>
      </c>
      <c r="R74" s="653" t="str">
        <f t="shared" si="75"/>
        <v>1102</v>
      </c>
      <c r="S74" s="654" t="str">
        <f t="shared" si="75"/>
        <v>_</v>
      </c>
      <c r="T74" s="656" t="str">
        <f>+VLOOKUP($L74,Data_Validation!$A:$D,1,0)</f>
        <v>1103</v>
      </c>
      <c r="U74" s="656" t="str">
        <f>+VLOOKUP($L74,Data_Validation!$A:$D,3,0)</f>
        <v>Bilan</v>
      </c>
      <c r="V74" s="656" t="str">
        <f>+VLOOKUP($L74,Data_Validation!$A:$D,4,0)</f>
        <v>Encaisse</v>
      </c>
      <c r="W74" s="656" t="str">
        <f>+VLOOKUP($L74,Data_Validation!$A:$E,5,0)</f>
        <v>$</v>
      </c>
      <c r="X74" s="656">
        <f>+VLOOKUP($L74,Data_Validation!$A:$F,6,0)</f>
        <v>0</v>
      </c>
    </row>
    <row r="75" spans="1:24" ht="15" customHeight="1">
      <c r="A75" s="1255" t="s">
        <v>3887</v>
      </c>
      <c r="B75" s="1255" t="s">
        <v>3888</v>
      </c>
      <c r="C75" s="1257">
        <v>1056.28</v>
      </c>
      <c r="D75" s="1257">
        <v>409.19</v>
      </c>
      <c r="E75" s="1257">
        <v>1465.47</v>
      </c>
      <c r="F75" s="1255" t="s">
        <v>816</v>
      </c>
      <c r="G75" s="1255" t="s">
        <v>817</v>
      </c>
      <c r="H75" s="1255" t="s">
        <v>3950</v>
      </c>
      <c r="I75" s="1256"/>
      <c r="J75" s="1256"/>
      <c r="K75" s="1256"/>
      <c r="L75" s="653" t="str">
        <f t="shared" si="67"/>
        <v>1109</v>
      </c>
      <c r="M75" s="654" t="str">
        <f t="shared" si="0"/>
        <v>KIMOBY</v>
      </c>
      <c r="N75" s="655">
        <f>+IF(OR($Q75=Parametres!$G$2,$Q75=Parametres!$G$3),I75,C75)</f>
        <v>1056.28</v>
      </c>
      <c r="O75" s="655">
        <f>+IF(OR($Q75=Parametres!$G$2,$Q75=Parametres!$G$3),J75,D75)</f>
        <v>409.19</v>
      </c>
      <c r="P75" s="655">
        <f>+IF(OR($Q75=Parametres!$G$2,$Q75=Parametres!$G$3),K75,E75)</f>
        <v>1465.47</v>
      </c>
      <c r="Q75" s="654" t="str">
        <f t="shared" ref="Q75:S75" si="76">+F75</f>
        <v>2-Actifs</v>
      </c>
      <c r="R75" s="653" t="str">
        <f t="shared" si="76"/>
        <v>1102</v>
      </c>
      <c r="S75" s="654" t="str">
        <f t="shared" si="76"/>
        <v>_</v>
      </c>
      <c r="T75" s="656" t="str">
        <f>+VLOOKUP($L75,Data_Validation!$A:$D,1,0)</f>
        <v>1109</v>
      </c>
      <c r="U75" s="656" t="str">
        <f>+VLOOKUP($L75,Data_Validation!$A:$D,3,0)</f>
        <v>Bilan</v>
      </c>
      <c r="V75" s="656" t="str">
        <f>+VLOOKUP($L75,Data_Validation!$A:$D,4,0)</f>
        <v>Encaisse</v>
      </c>
      <c r="W75" s="656" t="str">
        <f>+VLOOKUP($L75,Data_Validation!$A:$E,5,0)</f>
        <v>$</v>
      </c>
      <c r="X75" s="656">
        <f>+VLOOKUP($L75,Data_Validation!$A:$F,6,0)</f>
        <v>0</v>
      </c>
    </row>
    <row r="76" spans="1:24" ht="15" customHeight="1">
      <c r="A76" s="1255" t="s">
        <v>819</v>
      </c>
      <c r="B76" s="1255" t="s">
        <v>3360</v>
      </c>
      <c r="C76" s="1257">
        <v>400000</v>
      </c>
      <c r="D76" s="1257">
        <v>0</v>
      </c>
      <c r="E76" s="1257">
        <v>400000</v>
      </c>
      <c r="F76" s="1255" t="s">
        <v>816</v>
      </c>
      <c r="G76" s="1255" t="s">
        <v>817</v>
      </c>
      <c r="H76" s="1255" t="s">
        <v>3950</v>
      </c>
      <c r="I76" s="1256"/>
      <c r="J76" s="1256"/>
      <c r="K76" s="1256"/>
      <c r="L76" s="653" t="str">
        <f t="shared" si="67"/>
        <v>1111</v>
      </c>
      <c r="M76" s="654" t="str">
        <f t="shared" si="0"/>
        <v>REMBOURSEMENTS FLOORPLAN</v>
      </c>
      <c r="N76" s="655">
        <f>+IF(OR($Q76=Parametres!$G$2,$Q76=Parametres!$G$3),I76,C76)</f>
        <v>400000</v>
      </c>
      <c r="O76" s="655">
        <f>+IF(OR($Q76=Parametres!$G$2,$Q76=Parametres!$G$3),J76,D76)</f>
        <v>0</v>
      </c>
      <c r="P76" s="655">
        <f>+IF(OR($Q76=Parametres!$G$2,$Q76=Parametres!$G$3),K76,E76)</f>
        <v>400000</v>
      </c>
      <c r="Q76" s="654" t="str">
        <f t="shared" ref="Q76:S76" si="77">+F76</f>
        <v>2-Actifs</v>
      </c>
      <c r="R76" s="653" t="str">
        <f t="shared" si="77"/>
        <v>1102</v>
      </c>
      <c r="S76" s="654" t="str">
        <f t="shared" si="77"/>
        <v>_</v>
      </c>
      <c r="T76" s="656" t="str">
        <f>+VLOOKUP($L76,Data_Validation!$A:$D,1,0)</f>
        <v>1111</v>
      </c>
      <c r="U76" s="656" t="str">
        <f>+VLOOKUP($L76,Data_Validation!$A:$D,3,0)</f>
        <v>Bilan</v>
      </c>
      <c r="V76" s="656" t="str">
        <f>+VLOOKUP($L76,Data_Validation!$A:$D,4,0)</f>
        <v>Encaisse</v>
      </c>
      <c r="W76" s="656" t="str">
        <f>+VLOOKUP($L76,Data_Validation!$A:$E,5,0)</f>
        <v>$</v>
      </c>
      <c r="X76" s="656">
        <f>+VLOOKUP($L76,Data_Validation!$A:$F,6,0)</f>
        <v>0</v>
      </c>
    </row>
    <row r="77" spans="1:24" ht="15" customHeight="1">
      <c r="A77" s="1255" t="s">
        <v>820</v>
      </c>
      <c r="B77" s="1255" t="s">
        <v>1452</v>
      </c>
      <c r="C77" s="1257">
        <v>208.82</v>
      </c>
      <c r="D77" s="1257">
        <v>100</v>
      </c>
      <c r="E77" s="1257">
        <v>308.82</v>
      </c>
      <c r="F77" s="1255" t="s">
        <v>816</v>
      </c>
      <c r="G77" s="1255" t="s">
        <v>817</v>
      </c>
      <c r="H77" s="1255" t="s">
        <v>3950</v>
      </c>
      <c r="I77" s="1256"/>
      <c r="J77" s="1256"/>
      <c r="K77" s="1256"/>
      <c r="L77" s="653" t="str">
        <f t="shared" si="67"/>
        <v>1182</v>
      </c>
      <c r="M77" s="654" t="str">
        <f t="shared" si="0"/>
        <v>PETITE CAISSE</v>
      </c>
      <c r="N77" s="655">
        <f>+IF(OR($Q77=Parametres!$G$2,$Q77=Parametres!$G$3),I77,C77)</f>
        <v>208.82</v>
      </c>
      <c r="O77" s="655">
        <f>+IF(OR($Q77=Parametres!$G$2,$Q77=Parametres!$G$3),J77,D77)</f>
        <v>100</v>
      </c>
      <c r="P77" s="655">
        <f>+IF(OR($Q77=Parametres!$G$2,$Q77=Parametres!$G$3),K77,E77)</f>
        <v>308.82</v>
      </c>
      <c r="Q77" s="654" t="str">
        <f t="shared" ref="Q77:S77" si="78">+F77</f>
        <v>2-Actifs</v>
      </c>
      <c r="R77" s="653" t="str">
        <f t="shared" si="78"/>
        <v>1102</v>
      </c>
      <c r="S77" s="654" t="str">
        <f t="shared" si="78"/>
        <v>_</v>
      </c>
      <c r="T77" s="656" t="str">
        <f>+VLOOKUP($L77,Data_Validation!$A:$D,1,0)</f>
        <v>1182</v>
      </c>
      <c r="U77" s="656" t="str">
        <f>+VLOOKUP($L77,Data_Validation!$A:$D,3,0)</f>
        <v>Bilan</v>
      </c>
      <c r="V77" s="656" t="str">
        <f>+VLOOKUP($L77,Data_Validation!$A:$D,4,0)</f>
        <v>Encaisse</v>
      </c>
      <c r="W77" s="656" t="str">
        <f>+VLOOKUP($L77,Data_Validation!$A:$E,5,0)</f>
        <v>$</v>
      </c>
      <c r="X77" s="656">
        <f>+VLOOKUP($L77,Data_Validation!$A:$F,6,0)</f>
        <v>0</v>
      </c>
    </row>
    <row r="78" spans="1:24" ht="15" customHeight="1">
      <c r="A78" s="1255" t="s">
        <v>822</v>
      </c>
      <c r="B78" s="1255" t="s">
        <v>823</v>
      </c>
      <c r="C78" s="1257">
        <v>1243020.6399999999</v>
      </c>
      <c r="D78" s="1257">
        <v>173829.12</v>
      </c>
      <c r="E78" s="1257">
        <v>1416849.76</v>
      </c>
      <c r="F78" s="1255" t="s">
        <v>816</v>
      </c>
      <c r="G78" s="1255" t="s">
        <v>823</v>
      </c>
      <c r="H78" s="1255" t="s">
        <v>3950</v>
      </c>
      <c r="I78" s="1256"/>
      <c r="J78" s="1256"/>
      <c r="K78" s="1256"/>
      <c r="L78" s="653" t="str">
        <f t="shared" si="67"/>
        <v>1202</v>
      </c>
      <c r="M78" s="654" t="str">
        <f t="shared" si="0"/>
        <v>CONTRATS EN TRANSIT</v>
      </c>
      <c r="N78" s="655">
        <f>+IF(OR($Q78=Parametres!$G$2,$Q78=Parametres!$G$3),I78,C78)</f>
        <v>1243020.6399999999</v>
      </c>
      <c r="O78" s="655">
        <f>+IF(OR($Q78=Parametres!$G$2,$Q78=Parametres!$G$3),J78,D78)</f>
        <v>173829.12</v>
      </c>
      <c r="P78" s="655">
        <f>+IF(OR($Q78=Parametres!$G$2,$Q78=Parametres!$G$3),K78,E78)</f>
        <v>1416849.76</v>
      </c>
      <c r="Q78" s="654" t="str">
        <f t="shared" ref="Q78:S78" si="79">+F78</f>
        <v>2-Actifs</v>
      </c>
      <c r="R78" s="653" t="str">
        <f t="shared" si="79"/>
        <v>1202</v>
      </c>
      <c r="S78" s="654" t="str">
        <f t="shared" si="79"/>
        <v>_</v>
      </c>
      <c r="T78" s="656" t="str">
        <f>+VLOOKUP($L78,Data_Validation!$A:$D,1,0)</f>
        <v>1202</v>
      </c>
      <c r="U78" s="656" t="str">
        <f>+VLOOKUP($L78,Data_Validation!$A:$D,3,0)</f>
        <v>Bilan</v>
      </c>
      <c r="V78" s="656" t="str">
        <f>+VLOOKUP($L78,Data_Validation!$A:$D,4,0)</f>
        <v>Recevables Contrats en Transit</v>
      </c>
      <c r="W78" s="656" t="str">
        <f>+VLOOKUP($L78,Data_Validation!$A:$E,5,0)</f>
        <v>$</v>
      </c>
      <c r="X78" s="656">
        <f>+VLOOKUP($L78,Data_Validation!$A:$F,6,0)</f>
        <v>0</v>
      </c>
    </row>
    <row r="79" spans="1:24" ht="15" customHeight="1">
      <c r="A79" s="1255" t="s">
        <v>824</v>
      </c>
      <c r="B79" s="1255" t="s">
        <v>825</v>
      </c>
      <c r="C79" s="1257">
        <v>-33810.879999999997</v>
      </c>
      <c r="D79" s="1257">
        <v>-52897.99</v>
      </c>
      <c r="E79" s="1257">
        <v>-86708.87</v>
      </c>
      <c r="F79" s="1255" t="s">
        <v>816</v>
      </c>
      <c r="G79" s="1255" t="s">
        <v>825</v>
      </c>
      <c r="H79" s="1255" t="s">
        <v>3950</v>
      </c>
      <c r="I79" s="1256"/>
      <c r="J79" s="1256"/>
      <c r="K79" s="1256"/>
      <c r="L79" s="653" t="str">
        <f t="shared" si="67"/>
        <v>1302</v>
      </c>
      <c r="M79" s="654" t="str">
        <f t="shared" si="0"/>
        <v>RECEVABLE-CLIENT-VEHICULE</v>
      </c>
      <c r="N79" s="655">
        <f>+IF(OR($Q79=Parametres!$G$2,$Q79=Parametres!$G$3),I79,C79)</f>
        <v>-33810.879999999997</v>
      </c>
      <c r="O79" s="655">
        <f>+IF(OR($Q79=Parametres!$G$2,$Q79=Parametres!$G$3),J79,D79)</f>
        <v>-52897.99</v>
      </c>
      <c r="P79" s="655">
        <f>+IF(OR($Q79=Parametres!$G$2,$Q79=Parametres!$G$3),K79,E79)</f>
        <v>-86708.87</v>
      </c>
      <c r="Q79" s="654" t="str">
        <f t="shared" ref="Q79:S79" si="80">+F79</f>
        <v>2-Actifs</v>
      </c>
      <c r="R79" s="653" t="str">
        <f t="shared" si="80"/>
        <v>1302</v>
      </c>
      <c r="S79" s="654" t="str">
        <f t="shared" si="80"/>
        <v>_</v>
      </c>
      <c r="T79" s="656" t="str">
        <f>+VLOOKUP($L79,Data_Validation!$A:$D,1,0)</f>
        <v>1302</v>
      </c>
      <c r="U79" s="656" t="str">
        <f>+VLOOKUP($L79,Data_Validation!$A:$D,3,0)</f>
        <v>Bilan</v>
      </c>
      <c r="V79" s="656" t="str">
        <f>+VLOOKUP($L79,Data_Validation!$A:$D,4,0)</f>
        <v>Recevables Véhicules</v>
      </c>
      <c r="W79" s="656" t="str">
        <f>+VLOOKUP($L79,Data_Validation!$A:$E,5,0)</f>
        <v>$</v>
      </c>
      <c r="X79" s="656">
        <f>+VLOOKUP($L79,Data_Validation!$A:$F,6,0)</f>
        <v>0</v>
      </c>
    </row>
    <row r="80" spans="1:24" ht="15.75" customHeight="1">
      <c r="A80" s="1255" t="s">
        <v>826</v>
      </c>
      <c r="B80" s="1255" t="s">
        <v>1459</v>
      </c>
      <c r="C80" s="1257">
        <v>476828.9</v>
      </c>
      <c r="D80" s="1257">
        <v>-263012.15000000002</v>
      </c>
      <c r="E80" s="1257">
        <v>213816.75</v>
      </c>
      <c r="F80" s="1255" t="s">
        <v>816</v>
      </c>
      <c r="G80" s="1255" t="s">
        <v>825</v>
      </c>
      <c r="H80" s="1255" t="s">
        <v>3950</v>
      </c>
      <c r="I80" s="1256"/>
      <c r="J80" s="1256"/>
      <c r="K80" s="1256"/>
      <c r="L80" s="653" t="str">
        <f t="shared" si="67"/>
        <v>1303</v>
      </c>
      <c r="M80" s="654" t="str">
        <f t="shared" si="0"/>
        <v>RECEVABLES LPA ET AU GROS</v>
      </c>
      <c r="N80" s="655">
        <f>+IF(OR($Q80=Parametres!$G$2,$Q80=Parametres!$G$3),I80,C80)</f>
        <v>476828.9</v>
      </c>
      <c r="O80" s="655">
        <f>+IF(OR($Q80=Parametres!$G$2,$Q80=Parametres!$G$3),J80,D80)</f>
        <v>-263012.15000000002</v>
      </c>
      <c r="P80" s="655">
        <f>+IF(OR($Q80=Parametres!$G$2,$Q80=Parametres!$G$3),K80,E80)</f>
        <v>213816.75</v>
      </c>
      <c r="Q80" s="654" t="str">
        <f t="shared" ref="Q80:S80" si="81">+F80</f>
        <v>2-Actifs</v>
      </c>
      <c r="R80" s="653" t="str">
        <f t="shared" si="81"/>
        <v>1302</v>
      </c>
      <c r="S80" s="654" t="str">
        <f t="shared" si="81"/>
        <v>_</v>
      </c>
      <c r="T80" s="656" t="str">
        <f>+VLOOKUP($L80,Data_Validation!$A:$D,1,0)</f>
        <v>1303</v>
      </c>
      <c r="U80" s="656" t="str">
        <f>+VLOOKUP($L80,Data_Validation!$A:$D,3,0)</f>
        <v>Bilan</v>
      </c>
      <c r="V80" s="656" t="str">
        <f>+VLOOKUP($L80,Data_Validation!$A:$D,4,0)</f>
        <v>Recevables Véhicules</v>
      </c>
      <c r="W80" s="656" t="str">
        <f>+VLOOKUP($L80,Data_Validation!$A:$E,5,0)</f>
        <v>$</v>
      </c>
      <c r="X80" s="656">
        <f>+VLOOKUP($L80,Data_Validation!$A:$F,6,0)</f>
        <v>0</v>
      </c>
    </row>
    <row r="81" spans="1:24" ht="15" customHeight="1">
      <c r="A81" s="1255" t="s">
        <v>827</v>
      </c>
      <c r="B81" s="1255" t="s">
        <v>828</v>
      </c>
      <c r="C81" s="1257">
        <v>253795.45</v>
      </c>
      <c r="D81" s="1257">
        <v>65880.160000000003</v>
      </c>
      <c r="E81" s="1257">
        <v>319675.61</v>
      </c>
      <c r="F81" s="1255" t="s">
        <v>816</v>
      </c>
      <c r="G81" s="1255" t="s">
        <v>828</v>
      </c>
      <c r="H81" s="1255" t="s">
        <v>3950</v>
      </c>
      <c r="I81" s="1200"/>
      <c r="J81" s="1200"/>
      <c r="K81" s="1200"/>
      <c r="L81" s="653" t="str">
        <f t="shared" si="67"/>
        <v>1304</v>
      </c>
      <c r="M81" s="654" t="str">
        <f t="shared" si="0"/>
        <v>RECEVABLES PIECES &amp; SERVICE</v>
      </c>
      <c r="N81" s="655">
        <f>+IF(OR($Q81=Parametres!$G$2,$Q81=Parametres!$G$3),I81,C81)</f>
        <v>253795.45</v>
      </c>
      <c r="O81" s="655">
        <f>+IF(OR($Q81=Parametres!$G$2,$Q81=Parametres!$G$3),J81,D81)</f>
        <v>65880.160000000003</v>
      </c>
      <c r="P81" s="655">
        <f>+IF(OR($Q81=Parametres!$G$2,$Q81=Parametres!$G$3),K81,E81)</f>
        <v>319675.61</v>
      </c>
      <c r="Q81" s="654" t="str">
        <f t="shared" ref="Q81:S81" si="82">+F81</f>
        <v>2-Actifs</v>
      </c>
      <c r="R81" s="653" t="str">
        <f t="shared" si="82"/>
        <v>1304</v>
      </c>
      <c r="S81" s="654" t="str">
        <f t="shared" si="82"/>
        <v>_</v>
      </c>
      <c r="T81" s="656" t="str">
        <f>+VLOOKUP($L81,Data_Validation!$A:$D,1,0)</f>
        <v>1304</v>
      </c>
      <c r="U81" s="656" t="str">
        <f>+VLOOKUP($L81,Data_Validation!$A:$D,3,0)</f>
        <v>Bilan</v>
      </c>
      <c r="V81" s="656" t="str">
        <f>+VLOOKUP($L81,Data_Validation!$A:$D,4,0)</f>
        <v>Recevables Pièces et Service</v>
      </c>
      <c r="W81" s="656" t="str">
        <f>+VLOOKUP($L81,Data_Validation!$A:$E,5,0)</f>
        <v>$</v>
      </c>
      <c r="X81" s="656">
        <f>+VLOOKUP($L81,Data_Validation!$A:$F,6,0)</f>
        <v>0</v>
      </c>
    </row>
    <row r="82" spans="1:24" ht="15" customHeight="1">
      <c r="A82" s="1255" t="s">
        <v>829</v>
      </c>
      <c r="B82" s="1255" t="s">
        <v>1464</v>
      </c>
      <c r="C82" s="1257">
        <v>-3656.65</v>
      </c>
      <c r="D82" s="1257">
        <v>1910.31</v>
      </c>
      <c r="E82" s="1257">
        <v>-1746.34</v>
      </c>
      <c r="F82" s="1255" t="s">
        <v>816</v>
      </c>
      <c r="G82" s="1255" t="s">
        <v>828</v>
      </c>
      <c r="H82" s="1255" t="s">
        <v>3950</v>
      </c>
      <c r="I82" s="1200"/>
      <c r="J82" s="1200"/>
      <c r="K82" s="1200"/>
      <c r="L82" s="653" t="str">
        <f t="shared" si="67"/>
        <v>1305</v>
      </c>
      <c r="M82" s="654" t="str">
        <f t="shared" si="0"/>
        <v>RECEVABLES CARROSSERIE</v>
      </c>
      <c r="N82" s="655">
        <f>+IF(OR($Q82=Parametres!$G$2,$Q82=Parametres!$G$3),I82,C82)</f>
        <v>-3656.65</v>
      </c>
      <c r="O82" s="655">
        <f>+IF(OR($Q82=Parametres!$G$2,$Q82=Parametres!$G$3),J82,D82)</f>
        <v>1910.31</v>
      </c>
      <c r="P82" s="655">
        <f>+IF(OR($Q82=Parametres!$G$2,$Q82=Parametres!$G$3),K82,E82)</f>
        <v>-1746.34</v>
      </c>
      <c r="Q82" s="654" t="str">
        <f t="shared" ref="Q82:S82" si="83">+F82</f>
        <v>2-Actifs</v>
      </c>
      <c r="R82" s="653" t="str">
        <f t="shared" si="83"/>
        <v>1304</v>
      </c>
      <c r="S82" s="654" t="str">
        <f t="shared" si="83"/>
        <v>_</v>
      </c>
      <c r="T82" s="656" t="str">
        <f>+VLOOKUP($L82,Data_Validation!$A:$D,1,0)</f>
        <v>1305</v>
      </c>
      <c r="U82" s="656" t="str">
        <f>+VLOOKUP($L82,Data_Validation!$A:$D,3,0)</f>
        <v>Bilan</v>
      </c>
      <c r="V82" s="656" t="str">
        <f>+VLOOKUP($L82,Data_Validation!$A:$D,4,0)</f>
        <v>Recevables Carrosserie</v>
      </c>
      <c r="W82" s="656" t="str">
        <f>+VLOOKUP($L82,Data_Validation!$A:$E,5,0)</f>
        <v>$</v>
      </c>
      <c r="X82" s="656">
        <f>+VLOOKUP($L82,Data_Validation!$A:$F,6,0)</f>
        <v>0</v>
      </c>
    </row>
    <row r="83" spans="1:24" ht="15" customHeight="1">
      <c r="A83" s="1255" t="s">
        <v>830</v>
      </c>
      <c r="B83" s="1255" t="s">
        <v>3363</v>
      </c>
      <c r="C83" s="1257">
        <v>34143.49</v>
      </c>
      <c r="D83" s="1257">
        <v>-72312.12</v>
      </c>
      <c r="E83" s="1257">
        <v>-38168.629999999997</v>
      </c>
      <c r="F83" s="1255" t="s">
        <v>816</v>
      </c>
      <c r="G83" s="1255" t="s">
        <v>828</v>
      </c>
      <c r="H83" s="1255" t="s">
        <v>3950</v>
      </c>
      <c r="I83" s="1200"/>
      <c r="J83" s="1200"/>
      <c r="K83" s="1200"/>
      <c r="L83" s="653" t="str">
        <f t="shared" si="67"/>
        <v>1306</v>
      </c>
      <c r="M83" s="654" t="str">
        <f t="shared" si="0"/>
        <v>RECEVABLES INTERCO</v>
      </c>
      <c r="N83" s="655">
        <f>+IF(OR($Q83=Parametres!$G$2,$Q83=Parametres!$G$3),I83,C83)</f>
        <v>34143.49</v>
      </c>
      <c r="O83" s="655">
        <f>+IF(OR($Q83=Parametres!$G$2,$Q83=Parametres!$G$3),J83,D83)</f>
        <v>-72312.12</v>
      </c>
      <c r="P83" s="655">
        <f>+IF(OR($Q83=Parametres!$G$2,$Q83=Parametres!$G$3),K83,E83)</f>
        <v>-38168.629999999997</v>
      </c>
      <c r="Q83" s="654" t="str">
        <f t="shared" ref="Q83:S83" si="84">+F83</f>
        <v>2-Actifs</v>
      </c>
      <c r="R83" s="653" t="str">
        <f t="shared" si="84"/>
        <v>1304</v>
      </c>
      <c r="S83" s="654" t="str">
        <f t="shared" si="84"/>
        <v>_</v>
      </c>
      <c r="T83" s="656" t="str">
        <f>+VLOOKUP($L83,Data_Validation!$A:$D,1,0)</f>
        <v>1306</v>
      </c>
      <c r="U83" s="656" t="str">
        <f>+VLOOKUP($L83,Data_Validation!$A:$D,3,0)</f>
        <v>Bilan</v>
      </c>
      <c r="V83" s="656" t="str">
        <f>+VLOOKUP($L83,Data_Validation!$A:$D,4,0)</f>
        <v>Recevables Intercos</v>
      </c>
      <c r="W83" s="656" t="str">
        <f>+VLOOKUP($L83,Data_Validation!$A:$E,5,0)</f>
        <v>$</v>
      </c>
      <c r="X83" s="656">
        <f>+VLOOKUP($L83,Data_Validation!$A:$F,6,0)</f>
        <v>0</v>
      </c>
    </row>
    <row r="84" spans="1:24" ht="15.75" customHeight="1">
      <c r="A84" s="1255" t="s">
        <v>831</v>
      </c>
      <c r="B84" s="1255" t="s">
        <v>3364</v>
      </c>
      <c r="C84" s="1257">
        <v>52300</v>
      </c>
      <c r="D84" s="1257">
        <v>24100</v>
      </c>
      <c r="E84" s="1257">
        <v>76400</v>
      </c>
      <c r="F84" s="1255" t="s">
        <v>816</v>
      </c>
      <c r="G84" s="1255" t="s">
        <v>825</v>
      </c>
      <c r="H84" s="1255" t="s">
        <v>3950</v>
      </c>
      <c r="I84" s="1200"/>
      <c r="J84" s="1200"/>
      <c r="K84" s="1200"/>
      <c r="L84" s="653" t="str">
        <f t="shared" si="67"/>
        <v>1307</v>
      </c>
      <c r="M84" s="654" t="str">
        <f t="shared" si="0"/>
        <v>RECEVABLES INTERCO VEHICULE</v>
      </c>
      <c r="N84" s="655">
        <f>+IF(OR($Q84=Parametres!$G$2,$Q84=Parametres!$G$3),I84,C84)</f>
        <v>52300</v>
      </c>
      <c r="O84" s="655">
        <f>+IF(OR($Q84=Parametres!$G$2,$Q84=Parametres!$G$3),J84,D84)</f>
        <v>24100</v>
      </c>
      <c r="P84" s="661">
        <f>+IF(OR($Q84=Parametres!$G$2,$Q84=Parametres!$G$3),K84,E84)</f>
        <v>76400</v>
      </c>
      <c r="Q84" s="654" t="str">
        <f t="shared" ref="Q84:S84" si="85">+F84</f>
        <v>2-Actifs</v>
      </c>
      <c r="R84" s="653" t="str">
        <f t="shared" si="85"/>
        <v>1302</v>
      </c>
      <c r="S84" s="654" t="str">
        <f t="shared" si="85"/>
        <v>_</v>
      </c>
      <c r="T84" s="656" t="str">
        <f>+VLOOKUP($L84,Data_Validation!$A:$D,1,0)</f>
        <v>1307</v>
      </c>
      <c r="U84" s="656" t="str">
        <f>+VLOOKUP($L84,Data_Validation!$A:$D,3,0)</f>
        <v>Bilan</v>
      </c>
      <c r="V84" s="656" t="str">
        <f>+VLOOKUP($L84,Data_Validation!$A:$D,4,0)</f>
        <v>Recevables Intercos</v>
      </c>
      <c r="W84" s="656" t="str">
        <f>+VLOOKUP($L84,Data_Validation!$A:$E,5,0)</f>
        <v>$</v>
      </c>
      <c r="X84" s="656">
        <f>+VLOOKUP($L84,Data_Validation!$A:$F,6,0)</f>
        <v>0</v>
      </c>
    </row>
    <row r="85" spans="1:24" ht="15" customHeight="1">
      <c r="A85" s="1255" t="s">
        <v>832</v>
      </c>
      <c r="B85" s="1255" t="s">
        <v>1467</v>
      </c>
      <c r="C85" s="1257">
        <v>3750</v>
      </c>
      <c r="D85" s="1257">
        <v>-3750</v>
      </c>
      <c r="E85" s="1257">
        <v>0</v>
      </c>
      <c r="F85" s="1255" t="s">
        <v>816</v>
      </c>
      <c r="G85" s="1255" t="s">
        <v>833</v>
      </c>
      <c r="H85" s="1255" t="s">
        <v>3950</v>
      </c>
      <c r="I85" s="1200"/>
      <c r="J85" s="1200"/>
      <c r="K85" s="1200"/>
      <c r="L85" s="653" t="str">
        <f t="shared" si="67"/>
        <v>1312</v>
      </c>
      <c r="M85" s="654" t="str">
        <f t="shared" si="0"/>
        <v>RESEVE VOLKS</v>
      </c>
      <c r="N85" s="655">
        <f>+IF(OR($Q85=Parametres!$G$2,$Q85=Parametres!$G$3),I85,C85)</f>
        <v>3750</v>
      </c>
      <c r="O85" s="655">
        <f>+IF(OR($Q85=Parametres!$G$2,$Q85=Parametres!$G$3),J85,D85)</f>
        <v>-3750</v>
      </c>
      <c r="P85" s="661">
        <f>+IF(OR($Q85=Parametres!$G$2,$Q85=Parametres!$G$3),K85,E85)</f>
        <v>0</v>
      </c>
      <c r="Q85" s="654" t="str">
        <f t="shared" ref="Q85:S85" si="86">+F85</f>
        <v>2-Actifs</v>
      </c>
      <c r="R85" s="653" t="str">
        <f t="shared" si="86"/>
        <v>1314</v>
      </c>
      <c r="S85" s="654" t="str">
        <f t="shared" si="86"/>
        <v>_</v>
      </c>
      <c r="T85" s="656" t="str">
        <f>+VLOOKUP($L85,Data_Validation!$A:$D,1,0)</f>
        <v>1312</v>
      </c>
      <c r="U85" s="656" t="str">
        <f>+VLOOKUP($L85,Data_Validation!$A:$D,3,0)</f>
        <v>Bilan</v>
      </c>
      <c r="V85" s="656" t="str">
        <f>+VLOOKUP($L85,Data_Validation!$A:$D,4,0)</f>
        <v>Recevables Manufacturier</v>
      </c>
      <c r="W85" s="656" t="str">
        <f>+VLOOKUP($L85,Data_Validation!$A:$E,5,0)</f>
        <v>$</v>
      </c>
      <c r="X85" s="656">
        <f>+VLOOKUP($L85,Data_Validation!$A:$F,6,0)</f>
        <v>0</v>
      </c>
    </row>
    <row r="86" spans="1:24" ht="15" customHeight="1">
      <c r="A86" s="1255" t="s">
        <v>834</v>
      </c>
      <c r="B86" s="1255" t="s">
        <v>835</v>
      </c>
      <c r="C86" s="1257">
        <v>31018.54</v>
      </c>
      <c r="D86" s="1257">
        <v>-15852.3</v>
      </c>
      <c r="E86" s="1257">
        <v>15166.24</v>
      </c>
      <c r="F86" s="1255" t="s">
        <v>816</v>
      </c>
      <c r="G86" s="1255" t="s">
        <v>835</v>
      </c>
      <c r="H86" s="1255" t="s">
        <v>3950</v>
      </c>
      <c r="I86" s="1200"/>
      <c r="J86" s="1200"/>
      <c r="K86" s="1200"/>
      <c r="L86" s="653" t="str">
        <f t="shared" si="67"/>
        <v>1332</v>
      </c>
      <c r="M86" s="654" t="str">
        <f t="shared" si="0"/>
        <v>RECLAM. RECEVABLE-GARANTIE</v>
      </c>
      <c r="N86" s="655">
        <f>+IF(OR($Q86=Parametres!$G$2,$Q86=Parametres!$G$3),I86,C86)</f>
        <v>31018.54</v>
      </c>
      <c r="O86" s="655">
        <f>+IF(OR($Q86=Parametres!$G$2,$Q86=Parametres!$G$3),J86,D86)</f>
        <v>-15852.3</v>
      </c>
      <c r="P86" s="661">
        <f>+IF(OR($Q86=Parametres!$G$2,$Q86=Parametres!$G$3),K86,E86)</f>
        <v>15166.24</v>
      </c>
      <c r="Q86" s="654" t="str">
        <f t="shared" ref="Q86:S86" si="87">+F86</f>
        <v>2-Actifs</v>
      </c>
      <c r="R86" s="653" t="str">
        <f t="shared" si="87"/>
        <v>1332</v>
      </c>
      <c r="S86" s="654" t="str">
        <f t="shared" si="87"/>
        <v>_</v>
      </c>
      <c r="T86" s="656" t="str">
        <f>+VLOOKUP($L86,Data_Validation!$A:$D,1,0)</f>
        <v>1332</v>
      </c>
      <c r="U86" s="656" t="str">
        <f>+VLOOKUP($L86,Data_Validation!$A:$D,3,0)</f>
        <v>Bilan</v>
      </c>
      <c r="V86" s="656" t="str">
        <f>+VLOOKUP($L86,Data_Validation!$A:$D,4,0)</f>
        <v>Recevables Garantie Manufacturier</v>
      </c>
      <c r="W86" s="656" t="str">
        <f>+VLOOKUP($L86,Data_Validation!$A:$E,5,0)</f>
        <v>$</v>
      </c>
      <c r="X86" s="656">
        <f>+VLOOKUP($L86,Data_Validation!$A:$F,6,0)</f>
        <v>0</v>
      </c>
    </row>
    <row r="87" spans="1:24" ht="15" customHeight="1">
      <c r="A87" s="1255" t="s">
        <v>836</v>
      </c>
      <c r="B87" s="1255" t="s">
        <v>1472</v>
      </c>
      <c r="C87" s="1257">
        <v>-55803.72</v>
      </c>
      <c r="D87" s="1257">
        <v>21232.06</v>
      </c>
      <c r="E87" s="1257">
        <v>-34571.660000000003</v>
      </c>
      <c r="F87" s="1255" t="s">
        <v>816</v>
      </c>
      <c r="G87" s="1255" t="s">
        <v>821</v>
      </c>
      <c r="H87" s="1255" t="s">
        <v>3950</v>
      </c>
      <c r="I87" s="1200"/>
      <c r="J87" s="1200"/>
      <c r="K87" s="1200"/>
      <c r="L87" s="653" t="str">
        <f t="shared" si="67"/>
        <v>1340</v>
      </c>
      <c r="M87" s="654" t="str">
        <f t="shared" si="0"/>
        <v>GARANTIE PPM</v>
      </c>
      <c r="N87" s="655">
        <f>+IF(OR($Q87=Parametres!$G$2,$Q87=Parametres!$G$3),I87,C87)</f>
        <v>-55803.72</v>
      </c>
      <c r="O87" s="655">
        <f>+IF(OR($Q87=Parametres!$G$2,$Q87=Parametres!$G$3),J87,D87)</f>
        <v>21232.06</v>
      </c>
      <c r="P87" s="661">
        <f>+IF(OR($Q87=Parametres!$G$2,$Q87=Parametres!$G$3),K87,E87)</f>
        <v>-34571.660000000003</v>
      </c>
      <c r="Q87" s="654" t="str">
        <f t="shared" ref="Q87:S87" si="88">+F87</f>
        <v>2-Actifs</v>
      </c>
      <c r="R87" s="653" t="str">
        <f t="shared" si="88"/>
        <v>1382</v>
      </c>
      <c r="S87" s="654" t="str">
        <f t="shared" si="88"/>
        <v>_</v>
      </c>
      <c r="T87" s="656" t="str">
        <f>+VLOOKUP($L87,Data_Validation!$A:$D,1,0)</f>
        <v>1340</v>
      </c>
      <c r="U87" s="656" t="str">
        <f>+VLOOKUP($L87,Data_Validation!$A:$D,3,0)</f>
        <v>Bilan</v>
      </c>
      <c r="V87" s="656" t="str">
        <f>+VLOOKUP($L87,Data_Validation!$A:$D,4,0)</f>
        <v>recevables Autres</v>
      </c>
      <c r="W87" s="656" t="str">
        <f>+VLOOKUP($L87,Data_Validation!$A:$E,5,0)</f>
        <v>$</v>
      </c>
      <c r="X87" s="656">
        <f>+VLOOKUP($L87,Data_Validation!$A:$F,6,0)</f>
        <v>0</v>
      </c>
    </row>
    <row r="88" spans="1:24" ht="15" customHeight="1">
      <c r="A88" s="1255" t="s">
        <v>837</v>
      </c>
      <c r="B88" s="1255" t="s">
        <v>1475</v>
      </c>
      <c r="C88" s="1257">
        <v>15500</v>
      </c>
      <c r="D88" s="1257">
        <v>204250</v>
      </c>
      <c r="E88" s="1257">
        <v>219750</v>
      </c>
      <c r="F88" s="1255" t="s">
        <v>816</v>
      </c>
      <c r="G88" s="1255" t="s">
        <v>833</v>
      </c>
      <c r="H88" s="1255" t="s">
        <v>3950</v>
      </c>
      <c r="I88" s="1200"/>
      <c r="J88" s="1200"/>
      <c r="K88" s="1200"/>
      <c r="L88" s="653" t="str">
        <f t="shared" si="67"/>
        <v>1352</v>
      </c>
      <c r="M88" s="654" t="str">
        <f t="shared" si="0"/>
        <v>RECEV. MANUFACTURIER VOLKS</v>
      </c>
      <c r="N88" s="655">
        <f>+IF(OR($Q88=Parametres!$G$2,$Q88=Parametres!$G$3),I88,C88)</f>
        <v>15500</v>
      </c>
      <c r="O88" s="655">
        <f>+IF(OR($Q88=Parametres!$G$2,$Q88=Parametres!$G$3),J88,D88)</f>
        <v>204250</v>
      </c>
      <c r="P88" s="655">
        <f>+IF(OR($Q88=Parametres!$G$2,$Q88=Parametres!$G$3),K88,E88)</f>
        <v>219750</v>
      </c>
      <c r="Q88" s="654" t="str">
        <f t="shared" ref="Q88:S88" si="89">+F88</f>
        <v>2-Actifs</v>
      </c>
      <c r="R88" s="653" t="str">
        <f t="shared" si="89"/>
        <v>1314</v>
      </c>
      <c r="S88" s="654" t="str">
        <f t="shared" si="89"/>
        <v>_</v>
      </c>
      <c r="T88" s="656" t="str">
        <f>+VLOOKUP($L88,Data_Validation!$A:$D,1,0)</f>
        <v>1352</v>
      </c>
      <c r="U88" s="656" t="str">
        <f>+VLOOKUP($L88,Data_Validation!$A:$D,3,0)</f>
        <v>Bilan</v>
      </c>
      <c r="V88" s="656" t="str">
        <f>+VLOOKUP($L88,Data_Validation!$A:$D,4,0)</f>
        <v>Recevables Manufacturier</v>
      </c>
      <c r="W88" s="656" t="str">
        <f>+VLOOKUP($L88,Data_Validation!$A:$E,5,0)</f>
        <v>$</v>
      </c>
      <c r="X88" s="656">
        <f>+VLOOKUP($L88,Data_Validation!$A:$F,6,0)</f>
        <v>0</v>
      </c>
    </row>
    <row r="89" spans="1:24" ht="15" customHeight="1">
      <c r="A89" s="1255" t="s">
        <v>3937</v>
      </c>
      <c r="B89" s="1255" t="s">
        <v>1478</v>
      </c>
      <c r="C89" s="1257">
        <v>-2974.17</v>
      </c>
      <c r="D89" s="1257">
        <v>144.75</v>
      </c>
      <c r="E89" s="1257">
        <v>-2829.42</v>
      </c>
      <c r="F89" s="1255" t="s">
        <v>816</v>
      </c>
      <c r="G89" s="1255" t="s">
        <v>868</v>
      </c>
      <c r="H89" s="1255" t="s">
        <v>3950</v>
      </c>
      <c r="I89" s="1200"/>
      <c r="J89" s="1200"/>
      <c r="K89" s="1200"/>
      <c r="L89" s="653" t="str">
        <f t="shared" si="67"/>
        <v>1364</v>
      </c>
      <c r="M89" s="654" t="str">
        <f t="shared" si="0"/>
        <v>FPA FLOORPLAN</v>
      </c>
      <c r="N89" s="655">
        <f>+IF(OR($Q89=Parametres!$G$2,$Q89=Parametres!$G$3),I89,C89)</f>
        <v>-2974.17</v>
      </c>
      <c r="O89" s="659">
        <f>+IF(OR($Q89=Parametres!$G$2,$Q89=Parametres!$G$3),J89,D89)</f>
        <v>144.75</v>
      </c>
      <c r="P89" s="655">
        <f>+IF(OR($Q89=Parametres!$G$2,$Q89=Parametres!$G$3),K89,E89)</f>
        <v>-2829.42</v>
      </c>
      <c r="Q89" s="654" t="str">
        <f t="shared" ref="Q89:S89" si="90">+F89</f>
        <v>2-Actifs</v>
      </c>
      <c r="R89" s="653" t="str">
        <f t="shared" si="90"/>
        <v>1500</v>
      </c>
      <c r="S89" s="654" t="str">
        <f t="shared" si="90"/>
        <v>_</v>
      </c>
      <c r="T89" s="656" t="str">
        <f>+VLOOKUP($L89,Data_Validation!$A:$D,1,0)</f>
        <v>1364</v>
      </c>
      <c r="U89" s="656" t="str">
        <f>+VLOOKUP($L89,Data_Validation!$A:$D,3,0)</f>
        <v>Bilan</v>
      </c>
      <c r="V89" s="656" t="str">
        <f>+VLOOKUP($L89,Data_Validation!$A:$D,4,0)</f>
        <v>recevables Autres</v>
      </c>
      <c r="W89" s="656" t="str">
        <f>+VLOOKUP($L89,Data_Validation!$A:$E,5,0)</f>
        <v>$</v>
      </c>
      <c r="X89" s="656">
        <f>+VLOOKUP($L89,Data_Validation!$A:$F,6,0)</f>
        <v>0</v>
      </c>
    </row>
    <row r="90" spans="1:24" ht="15" customHeight="1">
      <c r="A90" s="1255" t="s">
        <v>838</v>
      </c>
      <c r="B90" s="1255" t="s">
        <v>839</v>
      </c>
      <c r="C90" s="1257">
        <v>-25000</v>
      </c>
      <c r="D90" s="1257">
        <v>1875.97</v>
      </c>
      <c r="E90" s="1257">
        <v>-23124.03</v>
      </c>
      <c r="F90" s="1255" t="s">
        <v>816</v>
      </c>
      <c r="G90" s="1255" t="s">
        <v>839</v>
      </c>
      <c r="H90" s="1255" t="s">
        <v>3950</v>
      </c>
      <c r="I90" s="1200"/>
      <c r="J90" s="1200"/>
      <c r="K90" s="1200"/>
      <c r="L90" s="653" t="str">
        <f t="shared" si="67"/>
        <v>1399</v>
      </c>
      <c r="M90" s="654" t="str">
        <f t="shared" si="0"/>
        <v>RESERVE CREANCE DOUTEUSES</v>
      </c>
      <c r="N90" s="655">
        <f>+IF(OR($Q90=Parametres!$G$2,$Q90=Parametres!$G$3),I90,C90)</f>
        <v>-25000</v>
      </c>
      <c r="O90" s="655">
        <f>+IF(OR($Q90=Parametres!$G$2,$Q90=Parametres!$G$3),J90,D90)</f>
        <v>1875.97</v>
      </c>
      <c r="P90" s="662">
        <f>+IF(OR($Q90=Parametres!$G$2,$Q90=Parametres!$G$3),K90,E90)</f>
        <v>-23124.03</v>
      </c>
      <c r="Q90" s="654" t="str">
        <f t="shared" ref="Q90:S90" si="91">+F90</f>
        <v>2-Actifs</v>
      </c>
      <c r="R90" s="653" t="str">
        <f t="shared" si="91"/>
        <v>1399</v>
      </c>
      <c r="S90" s="654" t="str">
        <f t="shared" si="91"/>
        <v>_</v>
      </c>
      <c r="T90" s="656" t="str">
        <f>+VLOOKUP($L90,Data_Validation!$A:$D,1,0)</f>
        <v>1399</v>
      </c>
      <c r="U90" s="656" t="str">
        <f>+VLOOKUP($L90,Data_Validation!$A:$D,3,0)</f>
        <v>Bilan</v>
      </c>
      <c r="V90" s="656" t="str">
        <f>+VLOOKUP($L90,Data_Validation!$A:$D,4,0)</f>
        <v>Recevables Pièces et Service</v>
      </c>
      <c r="W90" s="656" t="str">
        <f>+VLOOKUP($L90,Data_Validation!$A:$E,5,0)</f>
        <v>$</v>
      </c>
      <c r="X90" s="656">
        <f>+VLOOKUP($L90,Data_Validation!$A:$F,6,0)</f>
        <v>0</v>
      </c>
    </row>
    <row r="91" spans="1:24" ht="15" customHeight="1">
      <c r="A91" s="1255" t="s">
        <v>840</v>
      </c>
      <c r="B91" s="1255" t="s">
        <v>841</v>
      </c>
      <c r="C91" s="1257">
        <v>3989899.22</v>
      </c>
      <c r="D91" s="1257">
        <v>-1595596.1</v>
      </c>
      <c r="E91" s="1257">
        <v>2394303.12</v>
      </c>
      <c r="F91" s="1255" t="s">
        <v>816</v>
      </c>
      <c r="G91" s="1255" t="s">
        <v>841</v>
      </c>
      <c r="H91" s="1255" t="s">
        <v>3950</v>
      </c>
      <c r="I91" s="1200"/>
      <c r="J91" s="1200"/>
      <c r="K91" s="1200"/>
      <c r="L91" s="653" t="str">
        <f t="shared" si="67"/>
        <v>1402</v>
      </c>
      <c r="M91" s="654" t="str">
        <f t="shared" si="0"/>
        <v>VEHIC. NEUFS VOLKS</v>
      </c>
      <c r="N91" s="655">
        <f>+IF(OR($Q91=Parametres!$G$2,$Q91=Parametres!$G$3),I91,C91)</f>
        <v>3989899.22</v>
      </c>
      <c r="O91" s="655">
        <f>+IF(OR($Q91=Parametres!$G$2,$Q91=Parametres!$G$3),J91,D91)</f>
        <v>-1595596.1</v>
      </c>
      <c r="P91" s="662">
        <f>+IF(OR($Q91=Parametres!$G$2,$Q91=Parametres!$G$3),K91,E91)</f>
        <v>2394303.12</v>
      </c>
      <c r="Q91" s="654" t="str">
        <f t="shared" ref="Q91:S91" si="92">+F91</f>
        <v>2-Actifs</v>
      </c>
      <c r="R91" s="653" t="str">
        <f t="shared" si="92"/>
        <v>1402</v>
      </c>
      <c r="S91" s="654" t="str">
        <f t="shared" si="92"/>
        <v>_</v>
      </c>
      <c r="T91" s="656" t="str">
        <f>+VLOOKUP($L91,Data_Validation!$A:$D,1,0)</f>
        <v>1402</v>
      </c>
      <c r="U91" s="656" t="str">
        <f>+VLOOKUP($L91,Data_Validation!$A:$D,3,0)</f>
        <v>Bilan</v>
      </c>
      <c r="V91" s="656" t="str">
        <f>+VLOOKUP($L91,Data_Validation!$A:$D,4,0)</f>
        <v>Inventaire Véhicules Neufs</v>
      </c>
      <c r="W91" s="656" t="str">
        <f>+VLOOKUP($L91,Data_Validation!$A:$E,5,0)</f>
        <v>$</v>
      </c>
      <c r="X91" s="656">
        <f>+VLOOKUP($L91,Data_Validation!$A:$F,6,0)</f>
        <v>0</v>
      </c>
    </row>
    <row r="92" spans="1:24" ht="15" customHeight="1">
      <c r="A92" s="1255" t="s">
        <v>844</v>
      </c>
      <c r="B92" s="1255" t="s">
        <v>1487</v>
      </c>
      <c r="C92" s="1257">
        <v>-59041.27</v>
      </c>
      <c r="D92" s="1257">
        <v>14964</v>
      </c>
      <c r="E92" s="1257">
        <v>-44077.27</v>
      </c>
      <c r="F92" s="1255" t="s">
        <v>816</v>
      </c>
      <c r="G92" s="1255" t="s">
        <v>841</v>
      </c>
      <c r="H92" s="1255" t="s">
        <v>3950</v>
      </c>
      <c r="I92" s="1200"/>
      <c r="J92" s="1200"/>
      <c r="K92" s="1200"/>
      <c r="L92" s="653" t="str">
        <f t="shared" si="67"/>
        <v>1403</v>
      </c>
      <c r="M92" s="654" t="str">
        <f t="shared" si="0"/>
        <v>BRUISING VOLKS VEH. NEUFS</v>
      </c>
      <c r="N92" s="655">
        <f>+IF(OR($Q92=Parametres!$G$2,$Q92=Parametres!$G$3),I92,C92)</f>
        <v>-59041.27</v>
      </c>
      <c r="O92" s="655">
        <f>+IF(OR($Q92=Parametres!$G$2,$Q92=Parametres!$G$3),J92,D92)</f>
        <v>14964</v>
      </c>
      <c r="P92" s="662">
        <f>+IF(OR($Q92=Parametres!$G$2,$Q92=Parametres!$G$3),K92,E92)</f>
        <v>-44077.27</v>
      </c>
      <c r="Q92" s="654" t="str">
        <f t="shared" ref="Q92:S92" si="93">+F92</f>
        <v>2-Actifs</v>
      </c>
      <c r="R92" s="653" t="str">
        <f t="shared" si="93"/>
        <v>1402</v>
      </c>
      <c r="S92" s="654" t="str">
        <f t="shared" si="93"/>
        <v>_</v>
      </c>
      <c r="T92" s="656" t="str">
        <f>+VLOOKUP($L92,Data_Validation!$A:$D,1,0)</f>
        <v>1403</v>
      </c>
      <c r="U92" s="656" t="str">
        <f>+VLOOKUP($L92,Data_Validation!$A:$D,3,0)</f>
        <v>Bilan</v>
      </c>
      <c r="V92" s="656" t="str">
        <f>+VLOOKUP($L92,Data_Validation!$A:$D,4,0)</f>
        <v>Inventaire Véhicules Neufs</v>
      </c>
      <c r="W92" s="656" t="str">
        <f>+VLOOKUP($L92,Data_Validation!$A:$E,5,0)</f>
        <v>$</v>
      </c>
      <c r="X92" s="656">
        <f>+VLOOKUP($L92,Data_Validation!$A:$F,6,0)</f>
        <v>0</v>
      </c>
    </row>
    <row r="93" spans="1:24" ht="15" customHeight="1">
      <c r="A93" s="1255" t="s">
        <v>845</v>
      </c>
      <c r="B93" s="1255" t="s">
        <v>846</v>
      </c>
      <c r="C93" s="1257">
        <v>-76296.03</v>
      </c>
      <c r="D93" s="1257">
        <v>-3018</v>
      </c>
      <c r="E93" s="1257">
        <v>-79314.03</v>
      </c>
      <c r="F93" s="1255" t="s">
        <v>816</v>
      </c>
      <c r="G93" s="1255" t="s">
        <v>846</v>
      </c>
      <c r="H93" s="1255" t="s">
        <v>3950</v>
      </c>
      <c r="I93" s="1200"/>
      <c r="J93" s="1200"/>
      <c r="K93" s="1200"/>
      <c r="L93" s="653" t="str">
        <f t="shared" si="67"/>
        <v>1413</v>
      </c>
      <c r="M93" s="654" t="str">
        <f t="shared" si="0"/>
        <v>BRUISING USED CAR</v>
      </c>
      <c r="N93" s="655">
        <f>+IF(OR($Q93=Parametres!$G$2,$Q93=Parametres!$G$3),I93,C93)</f>
        <v>-76296.03</v>
      </c>
      <c r="O93" s="655">
        <f>+IF(OR($Q93=Parametres!$G$2,$Q93=Parametres!$G$3),J93,D93)</f>
        <v>-3018</v>
      </c>
      <c r="P93" s="662">
        <f>+IF(OR($Q93=Parametres!$G$2,$Q93=Parametres!$G$3),K93,E93)</f>
        <v>-79314.03</v>
      </c>
      <c r="Q93" s="654" t="str">
        <f t="shared" ref="Q93:S93" si="94">+F93</f>
        <v>2-Actifs</v>
      </c>
      <c r="R93" s="653" t="str">
        <f t="shared" si="94"/>
        <v>1413</v>
      </c>
      <c r="S93" s="654" t="str">
        <f t="shared" si="94"/>
        <v>_</v>
      </c>
      <c r="T93" s="656" t="str">
        <f>+VLOOKUP($L93,Data_Validation!$A:$D,1,0)</f>
        <v>1413</v>
      </c>
      <c r="U93" s="656" t="str">
        <f>+VLOOKUP($L93,Data_Validation!$A:$D,3,0)</f>
        <v>Bilan</v>
      </c>
      <c r="V93" s="656" t="str">
        <f>+VLOOKUP($L93,Data_Validation!$A:$D,4,0)</f>
        <v>Inventaire Véhicules Usagés</v>
      </c>
      <c r="W93" s="656" t="str">
        <f>+VLOOKUP($L93,Data_Validation!$A:$E,5,0)</f>
        <v>$</v>
      </c>
      <c r="X93" s="656">
        <f>+VLOOKUP($L93,Data_Validation!$A:$F,6,0)</f>
        <v>0</v>
      </c>
    </row>
    <row r="94" spans="1:24" ht="15.75" customHeight="1">
      <c r="A94" s="1255" t="s">
        <v>847</v>
      </c>
      <c r="B94" s="1255" t="s">
        <v>848</v>
      </c>
      <c r="C94" s="1257">
        <v>1651295.81</v>
      </c>
      <c r="D94" s="1257">
        <v>224670.15</v>
      </c>
      <c r="E94" s="1257">
        <v>1875965.96</v>
      </c>
      <c r="F94" s="1255" t="s">
        <v>816</v>
      </c>
      <c r="G94" s="1255" t="s">
        <v>848</v>
      </c>
      <c r="H94" s="1255" t="s">
        <v>3950</v>
      </c>
      <c r="I94" s="1200"/>
      <c r="J94" s="1200"/>
      <c r="K94" s="1200"/>
      <c r="L94" s="653" t="str">
        <f t="shared" si="67"/>
        <v>1416</v>
      </c>
      <c r="M94" s="654" t="str">
        <f t="shared" si="0"/>
        <v>INV. VEH. USAGE VW</v>
      </c>
      <c r="N94" s="655">
        <f>+IF(OR($Q94=Parametres!$G$2,$Q94=Parametres!$G$3),I94,C94)</f>
        <v>1651295.81</v>
      </c>
      <c r="O94" s="655">
        <f>+IF(OR($Q94=Parametres!$G$2,$Q94=Parametres!$G$3),J94,D94)</f>
        <v>224670.15</v>
      </c>
      <c r="P94" s="655">
        <f>+IF(OR($Q94=Parametres!$G$2,$Q94=Parametres!$G$3),K94,E94)</f>
        <v>1875965.96</v>
      </c>
      <c r="Q94" s="654" t="str">
        <f t="shared" ref="Q94:S94" si="95">+F94</f>
        <v>2-Actifs</v>
      </c>
      <c r="R94" s="653" t="str">
        <f t="shared" si="95"/>
        <v>1416</v>
      </c>
      <c r="S94" s="654" t="str">
        <f t="shared" si="95"/>
        <v>_</v>
      </c>
      <c r="T94" s="656" t="str">
        <f>+VLOOKUP($L94,Data_Validation!$A:$D,1,0)</f>
        <v>1416</v>
      </c>
      <c r="U94" s="656" t="str">
        <f>+VLOOKUP($L94,Data_Validation!$A:$D,3,0)</f>
        <v>Bilan</v>
      </c>
      <c r="V94" s="656" t="str">
        <f>+VLOOKUP($L94,Data_Validation!$A:$D,4,0)</f>
        <v>Inventaire Véhicules Usagés</v>
      </c>
      <c r="W94" s="656" t="str">
        <f>+VLOOKUP($L94,Data_Validation!$A:$E,5,0)</f>
        <v>$</v>
      </c>
      <c r="X94" s="656">
        <f>+VLOOKUP($L94,Data_Validation!$A:$F,6,0)</f>
        <v>0</v>
      </c>
    </row>
    <row r="95" spans="1:24" ht="15" customHeight="1">
      <c r="A95" s="1255" t="s">
        <v>851</v>
      </c>
      <c r="B95" s="1255" t="s">
        <v>852</v>
      </c>
      <c r="C95" s="1257">
        <v>-8208.75</v>
      </c>
      <c r="D95" s="1257">
        <v>-2016.11</v>
      </c>
      <c r="E95" s="1257">
        <v>-10224.86</v>
      </c>
      <c r="F95" s="1255" t="s">
        <v>816</v>
      </c>
      <c r="G95" s="1255" t="s">
        <v>852</v>
      </c>
      <c r="H95" s="1255" t="s">
        <v>3950</v>
      </c>
      <c r="I95" s="1200"/>
      <c r="J95" s="1200"/>
      <c r="K95" s="1200"/>
      <c r="L95" s="653" t="str">
        <f t="shared" si="67"/>
        <v>1423</v>
      </c>
      <c r="M95" s="654" t="str">
        <f t="shared" si="0"/>
        <v>RESERVE DEMO</v>
      </c>
      <c r="N95" s="655">
        <f>+IF(OR($Q95=Parametres!$G$2,$Q95=Parametres!$G$3),I95,C95)</f>
        <v>-8208.75</v>
      </c>
      <c r="O95" s="655">
        <f>+IF(OR($Q95=Parametres!$G$2,$Q95=Parametres!$G$3),J95,D95)</f>
        <v>-2016.11</v>
      </c>
      <c r="P95" s="655">
        <f>+IF(OR($Q95=Parametres!$G$2,$Q95=Parametres!$G$3),K95,E95)</f>
        <v>-10224.86</v>
      </c>
      <c r="Q95" s="654" t="str">
        <f t="shared" ref="Q95:S95" si="96">+F95</f>
        <v>2-Actifs</v>
      </c>
      <c r="R95" s="653" t="str">
        <f t="shared" si="96"/>
        <v>1423</v>
      </c>
      <c r="S95" s="654" t="str">
        <f t="shared" si="96"/>
        <v>_</v>
      </c>
      <c r="T95" s="656" t="str">
        <f>+VLOOKUP($L95,Data_Validation!$A:$D,1,0)</f>
        <v>1423</v>
      </c>
      <c r="U95" s="656" t="str">
        <f>+VLOOKUP($L95,Data_Validation!$A:$D,3,0)</f>
        <v>Bilan</v>
      </c>
      <c r="V95" s="656" t="str">
        <f>+VLOOKUP($L95,Data_Validation!$A:$D,4,0)</f>
        <v>Inventaire Véhicules Neufs</v>
      </c>
      <c r="W95" s="656" t="str">
        <f>+VLOOKUP($L95,Data_Validation!$A:$E,5,0)</f>
        <v>$</v>
      </c>
      <c r="X95" s="656">
        <f>+VLOOKUP($L95,Data_Validation!$A:$F,6,0)</f>
        <v>0</v>
      </c>
    </row>
    <row r="96" spans="1:24" ht="15" customHeight="1">
      <c r="A96" s="1255" t="s">
        <v>853</v>
      </c>
      <c r="B96" s="1255" t="s">
        <v>3366</v>
      </c>
      <c r="C96" s="1257">
        <v>-7947.28</v>
      </c>
      <c r="D96" s="1257">
        <v>-1341.68</v>
      </c>
      <c r="E96" s="1257">
        <v>-9288.9599999999991</v>
      </c>
      <c r="F96" s="1255" t="s">
        <v>816</v>
      </c>
      <c r="G96" s="1255" t="s">
        <v>854</v>
      </c>
      <c r="H96" s="1255" t="s">
        <v>3950</v>
      </c>
      <c r="I96" s="1200"/>
      <c r="J96" s="1200"/>
      <c r="K96" s="1200"/>
      <c r="L96" s="653" t="str">
        <f t="shared" si="67"/>
        <v>1433</v>
      </c>
      <c r="M96" s="654" t="str">
        <f t="shared" si="0"/>
        <v>RESERVE COURTOISIE</v>
      </c>
      <c r="N96" s="655">
        <f>+IF(OR($Q96=Parametres!$G$2,$Q96=Parametres!$G$3),I96,C96)</f>
        <v>-7947.28</v>
      </c>
      <c r="O96" s="655">
        <f>+IF(OR($Q96=Parametres!$G$2,$Q96=Parametres!$G$3),J96,D96)</f>
        <v>-1341.68</v>
      </c>
      <c r="P96" s="662">
        <f>+IF(OR($Q96=Parametres!$G$2,$Q96=Parametres!$G$3),K96,E96)</f>
        <v>-9288.9599999999991</v>
      </c>
      <c r="Q96" s="654" t="str">
        <f t="shared" ref="Q96:S96" si="97">+F96</f>
        <v>2-Actifs</v>
      </c>
      <c r="R96" s="653" t="str">
        <f t="shared" si="97"/>
        <v>143</v>
      </c>
      <c r="S96" s="654" t="str">
        <f t="shared" si="97"/>
        <v>_</v>
      </c>
      <c r="T96" s="656" t="str">
        <f>+VLOOKUP($L96,Data_Validation!$A:$D,1,0)</f>
        <v>1433</v>
      </c>
      <c r="U96" s="656" t="str">
        <f>+VLOOKUP($L96,Data_Validation!$A:$D,3,0)</f>
        <v>Bilan</v>
      </c>
      <c r="V96" s="656" t="str">
        <f>+VLOOKUP($L96,Data_Validation!$A:$D,4,0)</f>
        <v>Inventaire Véhicules Neufs</v>
      </c>
      <c r="W96" s="656" t="str">
        <f>+VLOOKUP($L96,Data_Validation!$A:$E,5,0)</f>
        <v>$</v>
      </c>
      <c r="X96" s="656">
        <f>+VLOOKUP($L96,Data_Validation!$A:$F,6,0)</f>
        <v>0</v>
      </c>
    </row>
    <row r="97" spans="1:24" ht="15" customHeight="1">
      <c r="A97" s="1255" t="s">
        <v>855</v>
      </c>
      <c r="B97" s="1255" t="s">
        <v>856</v>
      </c>
      <c r="C97" s="1257">
        <v>407170.2</v>
      </c>
      <c r="D97" s="1257">
        <v>64862.02</v>
      </c>
      <c r="E97" s="1257">
        <v>472032.22</v>
      </c>
      <c r="F97" s="1255" t="s">
        <v>816</v>
      </c>
      <c r="G97" s="1255" t="s">
        <v>856</v>
      </c>
      <c r="H97" s="1255" t="s">
        <v>3950</v>
      </c>
      <c r="I97" s="651"/>
      <c r="J97" s="651"/>
      <c r="K97" s="651"/>
      <c r="L97" s="653" t="str">
        <f t="shared" si="67"/>
        <v>1442</v>
      </c>
      <c r="M97" s="654" t="str">
        <f t="shared" si="0"/>
        <v>PIECES &amp; ACCESSOIRES NEUFS</v>
      </c>
      <c r="N97" s="655">
        <f>+IF(OR($Q97=Parametres!$G$2,$Q97=Parametres!$G$3),I97,C97)</f>
        <v>407170.2</v>
      </c>
      <c r="O97" s="659">
        <f>+IF(OR($Q97=Parametres!$G$2,$Q97=Parametres!$G$3),J97,D97)</f>
        <v>64862.02</v>
      </c>
      <c r="P97" s="655">
        <f>+IF(OR($Q97=Parametres!$G$2,$Q97=Parametres!$G$3),K97,E97)</f>
        <v>472032.22</v>
      </c>
      <c r="Q97" s="654" t="str">
        <f t="shared" ref="Q97:S97" si="98">+F97</f>
        <v>2-Actifs</v>
      </c>
      <c r="R97" s="653" t="str">
        <f t="shared" si="98"/>
        <v>1442</v>
      </c>
      <c r="S97" s="654" t="str">
        <f t="shared" si="98"/>
        <v>_</v>
      </c>
      <c r="T97" s="656" t="str">
        <f>+VLOOKUP($L97,Data_Validation!$A:$D,1,0)</f>
        <v>1442</v>
      </c>
      <c r="U97" s="656" t="str">
        <f>+VLOOKUP($L97,Data_Validation!$A:$D,3,0)</f>
        <v>Bilan</v>
      </c>
      <c r="V97" s="656" t="str">
        <f>+VLOOKUP($L97,Data_Validation!$A:$D,4,0)</f>
        <v>Inventaire Pièces, Pneus, Huile</v>
      </c>
      <c r="W97" s="656" t="str">
        <f>+VLOOKUP($L97,Data_Validation!$A:$E,5,0)</f>
        <v>$</v>
      </c>
      <c r="X97" s="656">
        <f>+VLOOKUP($L97,Data_Validation!$A:$F,6,0)</f>
        <v>0</v>
      </c>
    </row>
    <row r="98" spans="1:24" ht="15" customHeight="1">
      <c r="A98" s="1255" t="s">
        <v>857</v>
      </c>
      <c r="B98" s="1255" t="s">
        <v>3367</v>
      </c>
      <c r="C98" s="1257">
        <v>6752.75</v>
      </c>
      <c r="D98" s="1257">
        <v>-192065</v>
      </c>
      <c r="E98" s="1257">
        <v>-185312.25</v>
      </c>
      <c r="F98" s="1255" t="s">
        <v>816</v>
      </c>
      <c r="G98" s="1255" t="s">
        <v>856</v>
      </c>
      <c r="H98" s="1255" t="s">
        <v>3950</v>
      </c>
      <c r="I98" s="651"/>
      <c r="J98" s="651"/>
      <c r="K98" s="651"/>
      <c r="L98" s="653" t="str">
        <f t="shared" si="67"/>
        <v>1448</v>
      </c>
      <c r="M98" s="654" t="str">
        <f t="shared" si="0"/>
        <v>AUTRES MARQUES P&amp;A</v>
      </c>
      <c r="N98" s="655">
        <f>+IF(OR($Q98=Parametres!$G$2,$Q98=Parametres!$G$3),I98,C98)</f>
        <v>6752.75</v>
      </c>
      <c r="O98" s="659">
        <f>+IF(OR($Q98=Parametres!$G$2,$Q98=Parametres!$G$3),J98,D98)</f>
        <v>-192065</v>
      </c>
      <c r="P98" s="655">
        <f>+IF(OR($Q98=Parametres!$G$2,$Q98=Parametres!$G$3),K98,E98)</f>
        <v>-185312.25</v>
      </c>
      <c r="Q98" s="654" t="str">
        <f t="shared" ref="Q98:S98" si="99">+F98</f>
        <v>2-Actifs</v>
      </c>
      <c r="R98" s="653" t="str">
        <f t="shared" si="99"/>
        <v>1442</v>
      </c>
      <c r="S98" s="654" t="str">
        <f t="shared" si="99"/>
        <v>_</v>
      </c>
      <c r="T98" s="656" t="str">
        <f>+VLOOKUP($L98,Data_Validation!$A:$D,1,0)</f>
        <v>1448</v>
      </c>
      <c r="U98" s="656" t="str">
        <f>+VLOOKUP($L98,Data_Validation!$A:$D,3,0)</f>
        <v>Bilan</v>
      </c>
      <c r="V98" s="656" t="str">
        <f>+VLOOKUP($L98,Data_Validation!$A:$D,4,0)</f>
        <v>Inventaire Pièces, Pneus, Huile</v>
      </c>
      <c r="W98" s="656" t="str">
        <f>+VLOOKUP($L98,Data_Validation!$A:$E,5,0)</f>
        <v>$</v>
      </c>
      <c r="X98" s="656">
        <f>+VLOOKUP($L98,Data_Validation!$A:$F,6,0)</f>
        <v>0</v>
      </c>
    </row>
    <row r="99" spans="1:24" ht="15.75" customHeight="1">
      <c r="A99" s="1255" t="s">
        <v>858</v>
      </c>
      <c r="B99" s="1255" t="s">
        <v>1498</v>
      </c>
      <c r="C99" s="1257">
        <v>57139.98</v>
      </c>
      <c r="D99" s="1257">
        <v>261724.4</v>
      </c>
      <c r="E99" s="1257">
        <v>318864.38</v>
      </c>
      <c r="F99" s="1255" t="s">
        <v>816</v>
      </c>
      <c r="G99" s="1255" t="s">
        <v>856</v>
      </c>
      <c r="H99" s="1255" t="s">
        <v>3950</v>
      </c>
      <c r="I99" s="651"/>
      <c r="J99" s="651"/>
      <c r="K99" s="651"/>
      <c r="L99" s="653" t="str">
        <f t="shared" si="67"/>
        <v>1452</v>
      </c>
      <c r="M99" s="654" t="str">
        <f t="shared" si="0"/>
        <v>PNEUS</v>
      </c>
      <c r="N99" s="655">
        <f>+IF(OR($Q99=Parametres!$G$2,$Q99=Parametres!$G$3),I99,C99)</f>
        <v>57139.98</v>
      </c>
      <c r="O99" s="659">
        <f>+IF(OR($Q99=Parametres!$G$2,$Q99=Parametres!$G$3),J99,D99)</f>
        <v>261724.4</v>
      </c>
      <c r="P99" s="655">
        <f>+IF(OR($Q99=Parametres!$G$2,$Q99=Parametres!$G$3),K99,E99)</f>
        <v>318864.38</v>
      </c>
      <c r="Q99" s="654" t="str">
        <f t="shared" ref="Q99:S99" si="100">+F99</f>
        <v>2-Actifs</v>
      </c>
      <c r="R99" s="653" t="str">
        <f t="shared" si="100"/>
        <v>1442</v>
      </c>
      <c r="S99" s="654" t="str">
        <f t="shared" si="100"/>
        <v>_</v>
      </c>
      <c r="T99" s="656" t="str">
        <f>+VLOOKUP($L99,Data_Validation!$A:$D,1,0)</f>
        <v>1452</v>
      </c>
      <c r="U99" s="656" t="str">
        <f>+VLOOKUP($L99,Data_Validation!$A:$D,3,0)</f>
        <v>Bilan</v>
      </c>
      <c r="V99" s="656" t="str">
        <f>+VLOOKUP($L99,Data_Validation!$A:$D,4,0)</f>
        <v>Inventaire Pièces, Pneus, Huile</v>
      </c>
      <c r="W99" s="656" t="str">
        <f>+VLOOKUP($L99,Data_Validation!$A:$E,5,0)</f>
        <v>$</v>
      </c>
      <c r="X99" s="656">
        <f>+VLOOKUP($L99,Data_Validation!$A:$F,6,0)</f>
        <v>0</v>
      </c>
    </row>
    <row r="100" spans="1:24" ht="15" customHeight="1">
      <c r="A100" s="1255" t="s">
        <v>859</v>
      </c>
      <c r="B100" s="1255" t="s">
        <v>860</v>
      </c>
      <c r="C100" s="1257">
        <v>0</v>
      </c>
      <c r="D100" s="1257">
        <v>26852.11</v>
      </c>
      <c r="E100" s="1257">
        <v>26852.11</v>
      </c>
      <c r="F100" s="1255" t="s">
        <v>816</v>
      </c>
      <c r="G100" s="1255" t="s">
        <v>860</v>
      </c>
      <c r="H100" s="1255" t="s">
        <v>3950</v>
      </c>
      <c r="I100" s="652"/>
      <c r="J100" s="652"/>
      <c r="K100" s="652"/>
      <c r="L100" s="653" t="str">
        <f t="shared" si="67"/>
        <v>1456</v>
      </c>
      <c r="M100" s="654" t="str">
        <f t="shared" si="0"/>
        <v>PIECES VW NON ORIGINE</v>
      </c>
      <c r="N100" s="655">
        <f>+IF(OR($Q100=Parametres!$G$2,$Q100=Parametres!$G$3),I100,C100)</f>
        <v>0</v>
      </c>
      <c r="O100" s="659">
        <f>+IF(OR($Q100=Parametres!$G$2,$Q100=Parametres!$G$3),J100,D100)</f>
        <v>26852.11</v>
      </c>
      <c r="P100" s="655">
        <f>+IF(OR($Q100=Parametres!$G$2,$Q100=Parametres!$G$3),K100,E100)</f>
        <v>26852.11</v>
      </c>
      <c r="Q100" s="654" t="str">
        <f t="shared" ref="Q100:S100" si="101">+F100</f>
        <v>2-Actifs</v>
      </c>
      <c r="R100" s="653" t="str">
        <f t="shared" si="101"/>
        <v>1456</v>
      </c>
      <c r="S100" s="654" t="str">
        <f t="shared" si="101"/>
        <v>_</v>
      </c>
      <c r="T100" s="656" t="str">
        <f>+VLOOKUP($L100,Data_Validation!$A:$D,1,0)</f>
        <v>1456</v>
      </c>
      <c r="U100" s="656" t="str">
        <f>+VLOOKUP($L100,Data_Validation!$A:$D,3,0)</f>
        <v>Bilan</v>
      </c>
      <c r="V100" s="656" t="str">
        <f>+VLOOKUP($L100,Data_Validation!$A:$D,4,0)</f>
        <v>Inventaire Pièces, Pneus, Huile</v>
      </c>
      <c r="W100" s="656" t="str">
        <f>+VLOOKUP($L100,Data_Validation!$A:$E,5,0)</f>
        <v>$</v>
      </c>
      <c r="X100" s="656">
        <f>+VLOOKUP($L100,Data_Validation!$A:$F,6,0)</f>
        <v>0</v>
      </c>
    </row>
    <row r="101" spans="1:24" ht="15" customHeight="1">
      <c r="A101" s="1255" t="s">
        <v>861</v>
      </c>
      <c r="B101" s="1255" t="s">
        <v>862</v>
      </c>
      <c r="C101" s="1257">
        <v>19224.7</v>
      </c>
      <c r="D101" s="1257">
        <v>219.94</v>
      </c>
      <c r="E101" s="1257">
        <v>19444.64</v>
      </c>
      <c r="F101" s="1255" t="s">
        <v>816</v>
      </c>
      <c r="G101" s="1255" t="s">
        <v>862</v>
      </c>
      <c r="H101" s="1255" t="s">
        <v>3950</v>
      </c>
      <c r="I101" s="652"/>
      <c r="J101" s="652"/>
      <c r="K101" s="652"/>
      <c r="L101" s="653" t="str">
        <f t="shared" si="67"/>
        <v>1472</v>
      </c>
      <c r="M101" s="654" t="str">
        <f t="shared" si="0"/>
        <v>WIP M-O VW</v>
      </c>
      <c r="N101" s="655">
        <f>+IF(OR($Q101=Parametres!$G$2,$Q101=Parametres!$G$3),I101,C101)</f>
        <v>19224.7</v>
      </c>
      <c r="O101" s="655">
        <f>+IF(OR($Q101=Parametres!$G$2,$Q101=Parametres!$G$3),J101,D101)</f>
        <v>219.94</v>
      </c>
      <c r="P101" s="655">
        <f>+IF(OR($Q101=Parametres!$G$2,$Q101=Parametres!$G$3),K101,E101)</f>
        <v>19444.64</v>
      </c>
      <c r="Q101" s="654" t="str">
        <f t="shared" ref="Q101:S101" si="102">+F101</f>
        <v>2-Actifs</v>
      </c>
      <c r="R101" s="653" t="str">
        <f t="shared" si="102"/>
        <v>1472</v>
      </c>
      <c r="S101" s="654" t="str">
        <f t="shared" si="102"/>
        <v>_</v>
      </c>
      <c r="T101" s="656" t="str">
        <f>+VLOOKUP($L101,Data_Validation!$A:$D,1,0)</f>
        <v>1472</v>
      </c>
      <c r="U101" s="656" t="str">
        <f>+VLOOKUP($L101,Data_Validation!$A:$D,3,0)</f>
        <v>Bilan</v>
      </c>
      <c r="V101" s="656" t="str">
        <f>+VLOOKUP($L101,Data_Validation!$A:$D,4,0)</f>
        <v>Travaux en Cours</v>
      </c>
      <c r="W101" s="656" t="str">
        <f>+VLOOKUP($L101,Data_Validation!$A:$E,5,0)</f>
        <v>$</v>
      </c>
      <c r="X101" s="656">
        <f>+VLOOKUP($L101,Data_Validation!$A:$F,6,0)</f>
        <v>0</v>
      </c>
    </row>
    <row r="102" spans="1:24" ht="15" customHeight="1">
      <c r="A102" s="1255" t="s">
        <v>863</v>
      </c>
      <c r="B102" s="1255" t="s">
        <v>1505</v>
      </c>
      <c r="C102" s="1257">
        <v>-22683.15</v>
      </c>
      <c r="D102" s="1257">
        <v>-3020.01</v>
      </c>
      <c r="E102" s="1257">
        <v>-25703.16</v>
      </c>
      <c r="F102" s="1255" t="s">
        <v>816</v>
      </c>
      <c r="G102" s="1255" t="s">
        <v>862</v>
      </c>
      <c r="H102" s="1255" t="s">
        <v>3950</v>
      </c>
      <c r="I102" s="651"/>
      <c r="J102" s="651"/>
      <c r="K102" s="651"/>
      <c r="L102" s="653" t="str">
        <f t="shared" si="67"/>
        <v>1474</v>
      </c>
      <c r="M102" s="654" t="str">
        <f t="shared" si="0"/>
        <v>INVENTAIRE SOUS-TRAITANTS</v>
      </c>
      <c r="N102" s="655">
        <f>+IF(OR($Q102=Parametres!$G$2,$Q102=Parametres!$G$3),I102,C102)</f>
        <v>-22683.15</v>
      </c>
      <c r="O102" s="655">
        <f>+IF(OR($Q102=Parametres!$G$2,$Q102=Parametres!$G$3),J102,D102)</f>
        <v>-3020.01</v>
      </c>
      <c r="P102" s="655">
        <f>+IF(OR($Q102=Parametres!$G$2,$Q102=Parametres!$G$3),K102,E102)</f>
        <v>-25703.16</v>
      </c>
      <c r="Q102" s="654" t="str">
        <f t="shared" ref="Q102:S102" si="103">+F102</f>
        <v>2-Actifs</v>
      </c>
      <c r="R102" s="653" t="str">
        <f t="shared" si="103"/>
        <v>1472</v>
      </c>
      <c r="S102" s="654" t="str">
        <f t="shared" si="103"/>
        <v>_</v>
      </c>
      <c r="T102" s="656" t="str">
        <f>+VLOOKUP($L102,Data_Validation!$A:$D,1,0)</f>
        <v>1474</v>
      </c>
      <c r="U102" s="656" t="str">
        <f>+VLOOKUP($L102,Data_Validation!$A:$D,3,0)</f>
        <v>Bilan</v>
      </c>
      <c r="V102" s="656" t="str">
        <f>+VLOOKUP($L102,Data_Validation!$A:$D,4,0)</f>
        <v>Sous-Traitance</v>
      </c>
      <c r="W102" s="656" t="str">
        <f>+VLOOKUP($L102,Data_Validation!$A:$E,5,0)</f>
        <v>$</v>
      </c>
      <c r="X102" s="656">
        <f>+VLOOKUP($L102,Data_Validation!$A:$F,6,0)</f>
        <v>0</v>
      </c>
    </row>
    <row r="103" spans="1:24" ht="15.75" customHeight="1">
      <c r="A103" s="1255" t="s">
        <v>864</v>
      </c>
      <c r="B103" s="1255" t="s">
        <v>1508</v>
      </c>
      <c r="C103" s="1257">
        <v>57693.49</v>
      </c>
      <c r="D103" s="1257">
        <v>-10843.33</v>
      </c>
      <c r="E103" s="1257">
        <v>46850.16</v>
      </c>
      <c r="F103" s="1255" t="s">
        <v>816</v>
      </c>
      <c r="G103" s="1255" t="s">
        <v>856</v>
      </c>
      <c r="H103" s="1255" t="s">
        <v>3950</v>
      </c>
      <c r="I103" s="651"/>
      <c r="J103" s="651"/>
      <c r="K103" s="651"/>
      <c r="L103" s="653" t="str">
        <f t="shared" si="67"/>
        <v>1492</v>
      </c>
      <c r="M103" s="654" t="str">
        <f t="shared" si="0"/>
        <v>CARBURANT, HUILE, GRAISSE</v>
      </c>
      <c r="N103" s="655">
        <f>+IF(OR($Q103=Parametres!$G$2,$Q103=Parametres!$G$3),I103,C103)</f>
        <v>57693.49</v>
      </c>
      <c r="O103" s="655">
        <f>+IF(OR($Q103=Parametres!$G$2,$Q103=Parametres!$G$3),J103,D103)</f>
        <v>-10843.33</v>
      </c>
      <c r="P103" s="655">
        <f>+IF(OR($Q103=Parametres!$G$2,$Q103=Parametres!$G$3),K103,E103)</f>
        <v>46850.16</v>
      </c>
      <c r="Q103" s="654" t="str">
        <f t="shared" ref="Q103:S103" si="104">+F103</f>
        <v>2-Actifs</v>
      </c>
      <c r="R103" s="653" t="str">
        <f t="shared" si="104"/>
        <v>1442</v>
      </c>
      <c r="S103" s="654" t="str">
        <f t="shared" si="104"/>
        <v>_</v>
      </c>
      <c r="T103" s="656" t="str">
        <f>+VLOOKUP($L103,Data_Validation!$A:$D,1,0)</f>
        <v>1492</v>
      </c>
      <c r="U103" s="656" t="str">
        <f>+VLOOKUP($L103,Data_Validation!$A:$D,3,0)</f>
        <v>Bilan</v>
      </c>
      <c r="V103" s="656" t="str">
        <f>+VLOOKUP($L103,Data_Validation!$A:$D,4,0)</f>
        <v>Inventaire Pièces, Pneus, Huile</v>
      </c>
      <c r="W103" s="656" t="str">
        <f>+VLOOKUP($L103,Data_Validation!$A:$E,5,0)</f>
        <v>$</v>
      </c>
      <c r="X103" s="656">
        <f>+VLOOKUP($L103,Data_Validation!$A:$F,6,0)</f>
        <v>0</v>
      </c>
    </row>
    <row r="104" spans="1:24" ht="15" customHeight="1">
      <c r="A104" s="1255" t="s">
        <v>871</v>
      </c>
      <c r="B104" s="1255" t="s">
        <v>1525</v>
      </c>
      <c r="C104" s="1257">
        <v>5914.8</v>
      </c>
      <c r="D104" s="1257">
        <v>0</v>
      </c>
      <c r="E104" s="1257">
        <v>5914.8</v>
      </c>
      <c r="F104" s="1255" t="s">
        <v>816</v>
      </c>
      <c r="G104" s="1255" t="s">
        <v>868</v>
      </c>
      <c r="H104" s="1255" t="s">
        <v>3950</v>
      </c>
      <c r="I104" s="651"/>
      <c r="J104" s="651"/>
      <c r="K104" s="651"/>
      <c r="L104" s="653" t="str">
        <f t="shared" si="67"/>
        <v>1510</v>
      </c>
      <c r="M104" s="654" t="str">
        <f t="shared" si="0"/>
        <v>DIAMOND KOTE (NANO)</v>
      </c>
      <c r="N104" s="655">
        <f>+IF(OR($Q104=Parametres!$G$2,$Q104=Parametres!$G$3),I104,C104)</f>
        <v>5914.8</v>
      </c>
      <c r="O104" s="655">
        <f>+IF(OR($Q104=Parametres!$G$2,$Q104=Parametres!$G$3),J104,D104)</f>
        <v>0</v>
      </c>
      <c r="P104" s="655">
        <f>+IF(OR($Q104=Parametres!$G$2,$Q104=Parametres!$G$3),K104,E104)</f>
        <v>5914.8</v>
      </c>
      <c r="Q104" s="654" t="str">
        <f t="shared" ref="Q104:S104" si="105">+F104</f>
        <v>2-Actifs</v>
      </c>
      <c r="R104" s="653" t="str">
        <f t="shared" si="105"/>
        <v>1500</v>
      </c>
      <c r="S104" s="654" t="str">
        <f t="shared" si="105"/>
        <v>_</v>
      </c>
      <c r="T104" s="656" t="str">
        <f>+VLOOKUP($L104,Data_Validation!$A:$D,1,0)</f>
        <v>1510</v>
      </c>
      <c r="U104" s="656" t="str">
        <f>+VLOOKUP($L104,Data_Validation!$A:$D,3,0)</f>
        <v>Bilan</v>
      </c>
      <c r="V104" s="656" t="str">
        <f>+VLOOKUP($L104,Data_Validation!$A:$D,4,0)</f>
        <v>Frais Payés d'Avance</v>
      </c>
      <c r="W104" s="656" t="str">
        <f>+VLOOKUP($L104,Data_Validation!$A:$E,5,0)</f>
        <v>$</v>
      </c>
      <c r="X104" s="656">
        <f>+VLOOKUP($L104,Data_Validation!$A:$F,6,0)</f>
        <v>0</v>
      </c>
    </row>
    <row r="105" spans="1:24" ht="15" customHeight="1">
      <c r="A105" s="1255" t="s">
        <v>872</v>
      </c>
      <c r="B105" s="1255" t="s">
        <v>1528</v>
      </c>
      <c r="C105" s="1257">
        <v>12162.07</v>
      </c>
      <c r="D105" s="1257">
        <v>-1105.6400000000001</v>
      </c>
      <c r="E105" s="1257">
        <v>11056.43</v>
      </c>
      <c r="F105" s="1255" t="s">
        <v>816</v>
      </c>
      <c r="G105" s="1255" t="s">
        <v>868</v>
      </c>
      <c r="H105" s="1255" t="s">
        <v>3950</v>
      </c>
      <c r="I105" s="651"/>
      <c r="J105" s="651"/>
      <c r="K105" s="651"/>
      <c r="L105" s="653" t="str">
        <f t="shared" si="67"/>
        <v>1520</v>
      </c>
      <c r="M105" s="654" t="str">
        <f t="shared" si="0"/>
        <v>FPA IMMATRICULATION</v>
      </c>
      <c r="N105" s="655">
        <f>+IF(OR($Q105=Parametres!$G$2,$Q105=Parametres!$G$3),I105,C105)</f>
        <v>12162.07</v>
      </c>
      <c r="O105" s="655">
        <f>+IF(OR($Q105=Parametres!$G$2,$Q105=Parametres!$G$3),J105,D105)</f>
        <v>-1105.6400000000001</v>
      </c>
      <c r="P105" s="655">
        <f>+IF(OR($Q105=Parametres!$G$2,$Q105=Parametres!$G$3),K105,E105)</f>
        <v>11056.43</v>
      </c>
      <c r="Q105" s="654" t="str">
        <f t="shared" ref="Q105:S105" si="106">+F105</f>
        <v>2-Actifs</v>
      </c>
      <c r="R105" s="653" t="str">
        <f t="shared" si="106"/>
        <v>1500</v>
      </c>
      <c r="S105" s="654" t="str">
        <f t="shared" si="106"/>
        <v>_</v>
      </c>
      <c r="T105" s="656" t="str">
        <f>+VLOOKUP($L105,Data_Validation!$A:$D,1,0)</f>
        <v>1520</v>
      </c>
      <c r="U105" s="656" t="str">
        <f>+VLOOKUP($L105,Data_Validation!$A:$D,3,0)</f>
        <v>Bilan</v>
      </c>
      <c r="V105" s="656" t="str">
        <f>+VLOOKUP($L105,Data_Validation!$A:$D,4,0)</f>
        <v>Frais Payés d'Avance</v>
      </c>
      <c r="W105" s="656" t="str">
        <f>+VLOOKUP($L105,Data_Validation!$A:$E,5,0)</f>
        <v>$</v>
      </c>
      <c r="X105" s="656">
        <f>+VLOOKUP($L105,Data_Validation!$A:$F,6,0)</f>
        <v>0</v>
      </c>
    </row>
    <row r="106" spans="1:24" ht="15" customHeight="1">
      <c r="A106" s="1255" t="s">
        <v>3949</v>
      </c>
      <c r="B106" s="1255" t="s">
        <v>1531</v>
      </c>
      <c r="C106" s="1257">
        <v>675</v>
      </c>
      <c r="D106" s="1257">
        <v>300</v>
      </c>
      <c r="E106" s="1257">
        <v>975</v>
      </c>
      <c r="F106" s="1255" t="s">
        <v>816</v>
      </c>
      <c r="G106" s="1255" t="s">
        <v>868</v>
      </c>
      <c r="H106" s="1255" t="s">
        <v>3950</v>
      </c>
      <c r="I106" s="651"/>
      <c r="J106" s="651"/>
      <c r="K106" s="651"/>
      <c r="L106" s="653" t="str">
        <f t="shared" si="67"/>
        <v>1522</v>
      </c>
      <c r="M106" s="654" t="str">
        <f t="shared" si="0"/>
        <v>FPA recours coll</v>
      </c>
      <c r="N106" s="655">
        <f>+IF(OR($Q106=Parametres!$G$2,$Q106=Parametres!$G$3),I106,C106)</f>
        <v>675</v>
      </c>
      <c r="O106" s="655">
        <f>+IF(OR($Q106=Parametres!$G$2,$Q106=Parametres!$G$3),J106,D106)</f>
        <v>300</v>
      </c>
      <c r="P106" s="655">
        <f>+IF(OR($Q106=Parametres!$G$2,$Q106=Parametres!$G$3),K106,E106)</f>
        <v>975</v>
      </c>
      <c r="Q106" s="654" t="str">
        <f t="shared" ref="Q106:S106" si="107">+F106</f>
        <v>2-Actifs</v>
      </c>
      <c r="R106" s="653" t="str">
        <f t="shared" si="107"/>
        <v>1500</v>
      </c>
      <c r="S106" s="654" t="str">
        <f t="shared" si="107"/>
        <v>_</v>
      </c>
      <c r="T106" s="656" t="str">
        <f>+VLOOKUP($L106,Data_Validation!$A:$D,1,0)</f>
        <v>1522</v>
      </c>
      <c r="U106" s="656" t="str">
        <f>+VLOOKUP($L106,Data_Validation!$A:$D,3,0)</f>
        <v>Bilan</v>
      </c>
      <c r="V106" s="656" t="str">
        <f>+VLOOKUP($L106,Data_Validation!$A:$D,4,0)</f>
        <v>Frais Payés d'Avance</v>
      </c>
      <c r="W106" s="656" t="str">
        <f>+VLOOKUP($L106,Data_Validation!$A:$E,5,0)</f>
        <v>$</v>
      </c>
      <c r="X106" s="656">
        <f>+VLOOKUP($L106,Data_Validation!$A:$F,6,0)</f>
        <v>0</v>
      </c>
    </row>
    <row r="107" spans="1:24" ht="15" customHeight="1">
      <c r="A107" s="1255" t="s">
        <v>873</v>
      </c>
      <c r="B107" s="1255" t="s">
        <v>1540</v>
      </c>
      <c r="C107" s="1257">
        <v>2509</v>
      </c>
      <c r="D107" s="1257">
        <v>0</v>
      </c>
      <c r="E107" s="1257">
        <v>2509</v>
      </c>
      <c r="F107" s="1255" t="s">
        <v>816</v>
      </c>
      <c r="G107" s="1255" t="s">
        <v>868</v>
      </c>
      <c r="H107" s="1255" t="s">
        <v>3950</v>
      </c>
      <c r="I107" s="651"/>
      <c r="J107" s="651"/>
      <c r="K107" s="651"/>
      <c r="L107" s="653" t="str">
        <f t="shared" si="67"/>
        <v>1532</v>
      </c>
      <c r="M107" s="654" t="str">
        <f t="shared" si="0"/>
        <v>FPA C.C.A.M.Q.</v>
      </c>
      <c r="N107" s="655">
        <f>+IF(OR($Q107=Parametres!$G$2,$Q107=Parametres!$G$3),I107,C107)</f>
        <v>2509</v>
      </c>
      <c r="O107" s="655">
        <f>+IF(OR($Q107=Parametres!$G$2,$Q107=Parametres!$G$3),J107,D107)</f>
        <v>0</v>
      </c>
      <c r="P107" s="655">
        <f>+IF(OR($Q107=Parametres!$G$2,$Q107=Parametres!$G$3),K107,E107)</f>
        <v>2509</v>
      </c>
      <c r="Q107" s="654" t="str">
        <f t="shared" ref="Q107:S107" si="108">+F107</f>
        <v>2-Actifs</v>
      </c>
      <c r="R107" s="653" t="str">
        <f t="shared" si="108"/>
        <v>1500</v>
      </c>
      <c r="S107" s="654" t="str">
        <f t="shared" si="108"/>
        <v>_</v>
      </c>
      <c r="T107" s="656" t="str">
        <f>+VLOOKUP($L107,Data_Validation!$A:$D,1,0)</f>
        <v>1532</v>
      </c>
      <c r="U107" s="656" t="str">
        <f>+VLOOKUP($L107,Data_Validation!$A:$D,3,0)</f>
        <v>Bilan</v>
      </c>
      <c r="V107" s="656" t="str">
        <f>+VLOOKUP($L107,Data_Validation!$A:$D,4,0)</f>
        <v>Frais Payés d'Avance</v>
      </c>
      <c r="W107" s="656" t="str">
        <f>+VLOOKUP($L107,Data_Validation!$A:$E,5,0)</f>
        <v>$</v>
      </c>
      <c r="X107" s="656">
        <f>+VLOOKUP($L107,Data_Validation!$A:$F,6,0)</f>
        <v>0</v>
      </c>
    </row>
    <row r="108" spans="1:24" ht="15" customHeight="1">
      <c r="A108" s="1255" t="s">
        <v>879</v>
      </c>
      <c r="B108" s="1255" t="s">
        <v>3370</v>
      </c>
      <c r="C108" s="1257">
        <v>85784.95</v>
      </c>
      <c r="D108" s="1257">
        <v>0</v>
      </c>
      <c r="E108" s="1257">
        <v>85784.95</v>
      </c>
      <c r="F108" s="1255" t="s">
        <v>816</v>
      </c>
      <c r="G108" s="1255" t="s">
        <v>868</v>
      </c>
      <c r="H108" s="1255" t="s">
        <v>3950</v>
      </c>
      <c r="I108" s="651"/>
      <c r="J108" s="651"/>
      <c r="K108" s="651"/>
      <c r="L108" s="653" t="str">
        <f t="shared" si="67"/>
        <v>1553</v>
      </c>
      <c r="M108" s="654" t="str">
        <f t="shared" si="0"/>
        <v>CSST A PAYER OU RECEVOIR</v>
      </c>
      <c r="N108" s="655">
        <f>+IF(OR($Q108=Parametres!$G$2,$Q108=Parametres!$G$3),I108,C108)</f>
        <v>85784.95</v>
      </c>
      <c r="O108" s="655">
        <f>+IF(OR($Q108=Parametres!$G$2,$Q108=Parametres!$G$3),J108,D108)</f>
        <v>0</v>
      </c>
      <c r="P108" s="655">
        <f>+IF(OR($Q108=Parametres!$G$2,$Q108=Parametres!$G$3),K108,E108)</f>
        <v>85784.95</v>
      </c>
      <c r="Q108" s="654" t="str">
        <f t="shared" ref="Q108:S108" si="109">+F108</f>
        <v>2-Actifs</v>
      </c>
      <c r="R108" s="653" t="str">
        <f t="shared" si="109"/>
        <v>1500</v>
      </c>
      <c r="S108" s="654" t="str">
        <f t="shared" si="109"/>
        <v>_</v>
      </c>
      <c r="T108" s="656" t="str">
        <f>+VLOOKUP($L108,Data_Validation!$A:$D,1,0)</f>
        <v>1553</v>
      </c>
      <c r="U108" s="656" t="str">
        <f>+VLOOKUP($L108,Data_Validation!$A:$D,3,0)</f>
        <v>Bilan</v>
      </c>
      <c r="V108" s="656" t="str">
        <f>+VLOOKUP($L108,Data_Validation!$A:$D,4,0)</f>
        <v>Frais Payés d'Avance</v>
      </c>
      <c r="W108" s="656" t="str">
        <f>+VLOOKUP($L108,Data_Validation!$A:$E,5,0)</f>
        <v>$</v>
      </c>
      <c r="X108" s="656">
        <f>+VLOOKUP($L108,Data_Validation!$A:$F,6,0)</f>
        <v>0</v>
      </c>
    </row>
    <row r="109" spans="1:24" ht="15.75" customHeight="1">
      <c r="A109" s="1255" t="s">
        <v>880</v>
      </c>
      <c r="B109" s="1255" t="s">
        <v>1564</v>
      </c>
      <c r="C109" s="1257">
        <v>19952.060000000001</v>
      </c>
      <c r="D109" s="1257">
        <v>18508.03</v>
      </c>
      <c r="E109" s="1257">
        <v>38460.089999999997</v>
      </c>
      <c r="F109" s="1255" t="s">
        <v>816</v>
      </c>
      <c r="G109" s="1255" t="s">
        <v>868</v>
      </c>
      <c r="H109" s="1255" t="s">
        <v>3950</v>
      </c>
      <c r="I109" s="651"/>
      <c r="J109" s="651"/>
      <c r="K109" s="651"/>
      <c r="L109" s="653" t="str">
        <f t="shared" si="67"/>
        <v>1582</v>
      </c>
      <c r="M109" s="654" t="str">
        <f t="shared" si="0"/>
        <v>FPA TAXES MUNICIPALES</v>
      </c>
      <c r="N109" s="655">
        <f>+IF(OR($Q109=Parametres!$G$2,$Q109=Parametres!$G$3),I109,C109)</f>
        <v>19952.060000000001</v>
      </c>
      <c r="O109" s="655">
        <f>+IF(OR($Q109=Parametres!$G$2,$Q109=Parametres!$G$3),J109,D109)</f>
        <v>18508.03</v>
      </c>
      <c r="P109" s="655">
        <f>+IF(OR($Q109=Parametres!$G$2,$Q109=Parametres!$G$3),K109,E109)</f>
        <v>38460.089999999997</v>
      </c>
      <c r="Q109" s="654" t="str">
        <f t="shared" ref="Q109:S109" si="110">+F109</f>
        <v>2-Actifs</v>
      </c>
      <c r="R109" s="653" t="str">
        <f t="shared" si="110"/>
        <v>1500</v>
      </c>
      <c r="S109" s="654" t="str">
        <f t="shared" si="110"/>
        <v>_</v>
      </c>
      <c r="T109" s="656" t="str">
        <f>+VLOOKUP($L109,Data_Validation!$A:$D,1,0)</f>
        <v>1582</v>
      </c>
      <c r="U109" s="656" t="str">
        <f>+VLOOKUP($L109,Data_Validation!$A:$D,3,0)</f>
        <v>Bilan</v>
      </c>
      <c r="V109" s="656" t="str">
        <f>+VLOOKUP($L109,Data_Validation!$A:$D,4,0)</f>
        <v>Frais Payés d'Avance</v>
      </c>
      <c r="W109" s="656" t="str">
        <f>+VLOOKUP($L109,Data_Validation!$A:$E,5,0)</f>
        <v>$</v>
      </c>
      <c r="X109" s="656">
        <f>+VLOOKUP($L109,Data_Validation!$A:$F,6,0)</f>
        <v>0</v>
      </c>
    </row>
    <row r="110" spans="1:24" ht="15" customHeight="1">
      <c r="A110" s="1255" t="s">
        <v>881</v>
      </c>
      <c r="B110" s="1255" t="s">
        <v>1570</v>
      </c>
      <c r="C110" s="1257">
        <v>-281.81</v>
      </c>
      <c r="D110" s="1257">
        <v>-500</v>
      </c>
      <c r="E110" s="1257">
        <v>-781.81</v>
      </c>
      <c r="F110" s="1255" t="s">
        <v>816</v>
      </c>
      <c r="G110" s="1255" t="s">
        <v>868</v>
      </c>
      <c r="H110" s="1255" t="s">
        <v>3950</v>
      </c>
      <c r="I110" s="651"/>
      <c r="J110" s="651"/>
      <c r="K110" s="651"/>
      <c r="L110" s="653" t="str">
        <f t="shared" si="67"/>
        <v>1586</v>
      </c>
      <c r="M110" s="654" t="str">
        <f t="shared" si="0"/>
        <v>FPA TAXES SCOLAIRES</v>
      </c>
      <c r="N110" s="655">
        <f>+IF(OR($Q110=Parametres!$G$2,$Q110=Parametres!$G$3),I110,C110)</f>
        <v>-281.81</v>
      </c>
      <c r="O110" s="659">
        <f>+IF(OR($Q110=Parametres!$G$2,$Q110=Parametres!$G$3),J110,D110)</f>
        <v>-500</v>
      </c>
      <c r="P110" s="655">
        <f>+IF(OR($Q110=Parametres!$G$2,$Q110=Parametres!$G$3),K110,E110)</f>
        <v>-781.81</v>
      </c>
      <c r="Q110" s="654" t="str">
        <f t="shared" ref="Q110:S110" si="111">+F110</f>
        <v>2-Actifs</v>
      </c>
      <c r="R110" s="653" t="str">
        <f t="shared" si="111"/>
        <v>1500</v>
      </c>
      <c r="S110" s="654" t="str">
        <f t="shared" si="111"/>
        <v>_</v>
      </c>
      <c r="T110" s="656" t="str">
        <f>+VLOOKUP($L110,Data_Validation!$A:$D,1,0)</f>
        <v>1586</v>
      </c>
      <c r="U110" s="656" t="str">
        <f>+VLOOKUP($L110,Data_Validation!$A:$D,3,0)</f>
        <v>Bilan</v>
      </c>
      <c r="V110" s="656" t="str">
        <f>+VLOOKUP($L110,Data_Validation!$A:$D,4,0)</f>
        <v>Frais Payés d'Avance</v>
      </c>
      <c r="W110" s="656" t="str">
        <f>+VLOOKUP($L110,Data_Validation!$A:$E,5,0)</f>
        <v>$</v>
      </c>
      <c r="X110" s="656">
        <f>+VLOOKUP($L110,Data_Validation!$A:$F,6,0)</f>
        <v>0</v>
      </c>
    </row>
    <row r="111" spans="1:24" ht="15" customHeight="1">
      <c r="A111" s="1255" t="s">
        <v>883</v>
      </c>
      <c r="B111" s="1255" t="s">
        <v>1573</v>
      </c>
      <c r="C111" s="1257">
        <v>39990.639999999999</v>
      </c>
      <c r="D111" s="1257">
        <v>-179275.05</v>
      </c>
      <c r="E111" s="1257">
        <v>-139284.41</v>
      </c>
      <c r="F111" s="1255" t="s">
        <v>816</v>
      </c>
      <c r="G111" s="1255" t="s">
        <v>868</v>
      </c>
      <c r="H111" s="1255" t="s">
        <v>3950</v>
      </c>
      <c r="I111" s="651"/>
      <c r="J111" s="651"/>
      <c r="K111" s="651"/>
      <c r="L111" s="653" t="str">
        <f t="shared" si="67"/>
        <v>1592</v>
      </c>
      <c r="M111" s="654" t="str">
        <f t="shared" si="0"/>
        <v>FPA AUTRES</v>
      </c>
      <c r="N111" s="655">
        <f>+IF(OR($Q111=Parametres!$G$2,$Q111=Parametres!$G$3),I111,C111)</f>
        <v>39990.639999999999</v>
      </c>
      <c r="O111" s="655">
        <f>+IF(OR($Q111=Parametres!$G$2,$Q111=Parametres!$G$3),J111,D111)</f>
        <v>-179275.05</v>
      </c>
      <c r="P111" s="655">
        <f>+IF(OR($Q111=Parametres!$G$2,$Q111=Parametres!$G$3),K111,E111)</f>
        <v>-139284.41</v>
      </c>
      <c r="Q111" s="654" t="str">
        <f t="shared" ref="Q111:S111" si="112">+F111</f>
        <v>2-Actifs</v>
      </c>
      <c r="R111" s="653" t="str">
        <f t="shared" si="112"/>
        <v>1500</v>
      </c>
      <c r="S111" s="654" t="str">
        <f t="shared" si="112"/>
        <v>_</v>
      </c>
      <c r="T111" s="656" t="str">
        <f>+VLOOKUP($L111,Data_Validation!$A:$D,1,0)</f>
        <v>1592</v>
      </c>
      <c r="U111" s="656" t="str">
        <f>+VLOOKUP($L111,Data_Validation!$A:$D,3,0)</f>
        <v>Bilan</v>
      </c>
      <c r="V111" s="656" t="str">
        <f>+VLOOKUP($L111,Data_Validation!$A:$D,4,0)</f>
        <v>Frais Payés d'Avance</v>
      </c>
      <c r="W111" s="656" t="str">
        <f>+VLOOKUP($L111,Data_Validation!$A:$E,5,0)</f>
        <v>$</v>
      </c>
      <c r="X111" s="656">
        <f>+VLOOKUP($L111,Data_Validation!$A:$F,6,0)</f>
        <v>0</v>
      </c>
    </row>
    <row r="112" spans="1:24" ht="15" customHeight="1">
      <c r="A112" s="1255" t="s">
        <v>884</v>
      </c>
      <c r="B112" s="1255" t="s">
        <v>1585</v>
      </c>
      <c r="C112" s="1257">
        <v>148504.63</v>
      </c>
      <c r="D112" s="1257">
        <v>0</v>
      </c>
      <c r="E112" s="1257">
        <v>148504.63</v>
      </c>
      <c r="F112" s="1255" t="s">
        <v>816</v>
      </c>
      <c r="G112" s="1255" t="s">
        <v>885</v>
      </c>
      <c r="H112" s="1255" t="s">
        <v>3950</v>
      </c>
      <c r="I112" s="651"/>
      <c r="J112" s="651"/>
      <c r="K112" s="651"/>
      <c r="L112" s="653" t="str">
        <f t="shared" si="67"/>
        <v>1732</v>
      </c>
      <c r="M112" s="654" t="str">
        <f t="shared" si="0"/>
        <v>AMELIOR. LOCATIVES</v>
      </c>
      <c r="N112" s="655">
        <f>+IF(OR($Q112=Parametres!$G$2,$Q112=Parametres!$G$3),I112,C112)</f>
        <v>148504.63</v>
      </c>
      <c r="O112" s="655">
        <f>+IF(OR($Q112=Parametres!$G$2,$Q112=Parametres!$G$3),J112,D112)</f>
        <v>0</v>
      </c>
      <c r="P112" s="655">
        <f>+IF(OR($Q112=Parametres!$G$2,$Q112=Parametres!$G$3),K112,E112)</f>
        <v>148504.63</v>
      </c>
      <c r="Q112" s="654" t="str">
        <f t="shared" ref="Q112:S112" si="113">+F112</f>
        <v>2-Actifs</v>
      </c>
      <c r="R112" s="653" t="str">
        <f t="shared" si="113"/>
        <v>1700</v>
      </c>
      <c r="S112" s="654" t="str">
        <f t="shared" si="113"/>
        <v>_</v>
      </c>
      <c r="T112" s="656" t="str">
        <f>+VLOOKUP($L112,Data_Validation!$A:$D,1,0)</f>
        <v>1732</v>
      </c>
      <c r="U112" s="656" t="str">
        <f>+VLOOKUP($L112,Data_Validation!$A:$D,3,0)</f>
        <v>Bilan</v>
      </c>
      <c r="V112" s="656" t="str">
        <f>+VLOOKUP($L112,Data_Validation!$A:$D,4,0)</f>
        <v>Améliorations Locatives</v>
      </c>
      <c r="W112" s="656" t="str">
        <f>+VLOOKUP($L112,Data_Validation!$A:$E,5,0)</f>
        <v>$</v>
      </c>
      <c r="X112" s="656">
        <f>+VLOOKUP($L112,Data_Validation!$A:$F,6,0)</f>
        <v>0</v>
      </c>
    </row>
    <row r="113" spans="1:24" ht="15.75" customHeight="1">
      <c r="A113" s="1255" t="s">
        <v>886</v>
      </c>
      <c r="B113" s="1255" t="s">
        <v>1588</v>
      </c>
      <c r="C113" s="1257">
        <v>-124705.78</v>
      </c>
      <c r="D113" s="1257">
        <v>0</v>
      </c>
      <c r="E113" s="1257">
        <v>-124705.78</v>
      </c>
      <c r="F113" s="1255" t="s">
        <v>816</v>
      </c>
      <c r="G113" s="1255" t="s">
        <v>885</v>
      </c>
      <c r="H113" s="1255" t="s">
        <v>3950</v>
      </c>
      <c r="I113" s="651"/>
      <c r="J113" s="651"/>
      <c r="K113" s="651"/>
      <c r="L113" s="653" t="str">
        <f t="shared" si="67"/>
        <v>1733</v>
      </c>
      <c r="M113" s="654" t="str">
        <f t="shared" si="0"/>
        <v>AMORT. CUM. AMEL. LOCAT.</v>
      </c>
      <c r="N113" s="655">
        <f>+IF(OR($Q113=Parametres!$G$2,$Q113=Parametres!$G$3),I113,C113)</f>
        <v>-124705.78</v>
      </c>
      <c r="O113" s="655">
        <f>+IF(OR($Q113=Parametres!$G$2,$Q113=Parametres!$G$3),J113,D113)</f>
        <v>0</v>
      </c>
      <c r="P113" s="655">
        <f>+IF(OR($Q113=Parametres!$G$2,$Q113=Parametres!$G$3),K113,E113)</f>
        <v>-124705.78</v>
      </c>
      <c r="Q113" s="654" t="str">
        <f t="shared" ref="Q113:S113" si="114">+F113</f>
        <v>2-Actifs</v>
      </c>
      <c r="R113" s="653" t="str">
        <f t="shared" si="114"/>
        <v>1700</v>
      </c>
      <c r="S113" s="654" t="str">
        <f t="shared" si="114"/>
        <v>_</v>
      </c>
      <c r="T113" s="656" t="str">
        <f>+VLOOKUP($L113,Data_Validation!$A:$D,1,0)</f>
        <v>1733</v>
      </c>
      <c r="U113" s="656" t="str">
        <f>+VLOOKUP($L113,Data_Validation!$A:$D,3,0)</f>
        <v>Bilan</v>
      </c>
      <c r="V113" s="656" t="str">
        <f>+VLOOKUP($L113,Data_Validation!$A:$D,4,0)</f>
        <v>Améliorations Locatives</v>
      </c>
      <c r="W113" s="656" t="str">
        <f>+VLOOKUP($L113,Data_Validation!$A:$E,5,0)</f>
        <v>$</v>
      </c>
      <c r="X113" s="656">
        <f>+VLOOKUP($L113,Data_Validation!$A:$F,6,0)</f>
        <v>0</v>
      </c>
    </row>
    <row r="114" spans="1:24" ht="15" customHeight="1">
      <c r="A114" s="1255" t="s">
        <v>3350</v>
      </c>
      <c r="B114" s="1255" t="s">
        <v>3372</v>
      </c>
      <c r="C114" s="1257">
        <v>10527.65</v>
      </c>
      <c r="D114" s="1257">
        <v>0</v>
      </c>
      <c r="E114" s="1257">
        <v>10527.65</v>
      </c>
      <c r="F114" s="1255" t="s">
        <v>816</v>
      </c>
      <c r="G114" s="1255" t="s">
        <v>885</v>
      </c>
      <c r="H114" s="1255" t="s">
        <v>3950</v>
      </c>
      <c r="I114" s="651"/>
      <c r="J114" s="651"/>
      <c r="K114" s="651"/>
      <c r="L114" s="653" t="str">
        <f t="shared" si="67"/>
        <v>1734</v>
      </c>
      <c r="M114" s="654" t="str">
        <f t="shared" si="0"/>
        <v>AMELIOR. LOCATIVES CPO</v>
      </c>
      <c r="N114" s="655">
        <f>+IF(OR($Q114=Parametres!$G$2,$Q114=Parametres!$G$3),I114,C114)</f>
        <v>10527.65</v>
      </c>
      <c r="O114" s="655">
        <f>+IF(OR($Q114=Parametres!$G$2,$Q114=Parametres!$G$3),J114,D114)</f>
        <v>0</v>
      </c>
      <c r="P114" s="655">
        <f>+IF(OR($Q114=Parametres!$G$2,$Q114=Parametres!$G$3),K114,E114)</f>
        <v>10527.65</v>
      </c>
      <c r="Q114" s="654" t="str">
        <f t="shared" ref="Q114:S114" si="115">+F114</f>
        <v>2-Actifs</v>
      </c>
      <c r="R114" s="653" t="str">
        <f t="shared" si="115"/>
        <v>1700</v>
      </c>
      <c r="S114" s="654" t="str">
        <f t="shared" si="115"/>
        <v>_</v>
      </c>
      <c r="T114" s="656" t="str">
        <f>+VLOOKUP($L114,Data_Validation!$A:$D,1,0)</f>
        <v>1734</v>
      </c>
      <c r="U114" s="656" t="str">
        <f>+VLOOKUP($L114,Data_Validation!$A:$D,3,0)</f>
        <v>Bilan</v>
      </c>
      <c r="V114" s="656" t="str">
        <f>+VLOOKUP($L114,Data_Validation!$A:$D,4,0)</f>
        <v>Améliorations Locatives</v>
      </c>
      <c r="W114" s="656" t="str">
        <f>+VLOOKUP($L114,Data_Validation!$A:$E,5,0)</f>
        <v>$</v>
      </c>
      <c r="X114" s="656">
        <f>+VLOOKUP($L114,Data_Validation!$A:$F,6,0)</f>
        <v>0</v>
      </c>
    </row>
    <row r="115" spans="1:24" ht="15" customHeight="1">
      <c r="A115" s="1255" t="s">
        <v>3926</v>
      </c>
      <c r="B115" s="1255" t="s">
        <v>3927</v>
      </c>
      <c r="C115" s="1257">
        <v>-2105.5300000000002</v>
      </c>
      <c r="D115" s="1257">
        <v>0</v>
      </c>
      <c r="E115" s="1257">
        <v>-2105.5300000000002</v>
      </c>
      <c r="F115" s="1255" t="s">
        <v>816</v>
      </c>
      <c r="G115" s="1255" t="s">
        <v>885</v>
      </c>
      <c r="H115" s="1255" t="s">
        <v>3950</v>
      </c>
      <c r="I115" s="652"/>
      <c r="J115" s="652"/>
      <c r="K115" s="652"/>
      <c r="L115" s="653" t="str">
        <f t="shared" si="67"/>
        <v>1735</v>
      </c>
      <c r="M115" s="654" t="str">
        <f t="shared" si="0"/>
        <v>AMORT. CUM. AMEL. LOCAT. CPO</v>
      </c>
      <c r="N115" s="655">
        <f>+IF(OR($Q115=Parametres!$G$2,$Q115=Parametres!$G$3),I115,C115)</f>
        <v>-2105.5300000000002</v>
      </c>
      <c r="O115" s="655">
        <f>+IF(OR($Q115=Parametres!$G$2,$Q115=Parametres!$G$3),J115,D115)</f>
        <v>0</v>
      </c>
      <c r="P115" s="655">
        <f>+IF(OR($Q115=Parametres!$G$2,$Q115=Parametres!$G$3),K115,E115)</f>
        <v>-2105.5300000000002</v>
      </c>
      <c r="Q115" s="654" t="str">
        <f t="shared" ref="Q115:S115" si="116">+F115</f>
        <v>2-Actifs</v>
      </c>
      <c r="R115" s="653" t="str">
        <f t="shared" si="116"/>
        <v>1700</v>
      </c>
      <c r="S115" s="654" t="str">
        <f t="shared" si="116"/>
        <v>_</v>
      </c>
      <c r="T115" s="656" t="str">
        <f>+VLOOKUP($L115,Data_Validation!$A:$D,1,0)</f>
        <v>1735</v>
      </c>
      <c r="U115" s="656" t="str">
        <f>+VLOOKUP($L115,Data_Validation!$A:$D,3,0)</f>
        <v>Bilan</v>
      </c>
      <c r="V115" s="656" t="str">
        <f>+VLOOKUP($L115,Data_Validation!$A:$D,4,0)</f>
        <v>Améliorations Locatives</v>
      </c>
      <c r="W115" s="656" t="str">
        <f>+VLOOKUP($L115,Data_Validation!$A:$E,5,0)</f>
        <v>$</v>
      </c>
      <c r="X115" s="656">
        <f>+VLOOKUP($L115,Data_Validation!$A:$F,6,0)</f>
        <v>0</v>
      </c>
    </row>
    <row r="116" spans="1:24" ht="15" customHeight="1">
      <c r="A116" s="1255" t="s">
        <v>3406</v>
      </c>
      <c r="B116" s="1255" t="s">
        <v>3407</v>
      </c>
      <c r="C116" s="1257">
        <v>10346967.07</v>
      </c>
      <c r="D116" s="1257">
        <v>10472</v>
      </c>
      <c r="E116" s="1257">
        <v>10357439.07</v>
      </c>
      <c r="F116" s="1255" t="s">
        <v>816</v>
      </c>
      <c r="G116" s="1255" t="s">
        <v>885</v>
      </c>
      <c r="H116" s="1255" t="s">
        <v>3950</v>
      </c>
      <c r="I116" s="652"/>
      <c r="J116" s="652"/>
      <c r="K116" s="652"/>
      <c r="L116" s="653" t="str">
        <f t="shared" si="67"/>
        <v>1740</v>
      </c>
      <c r="M116" s="654" t="str">
        <f t="shared" si="0"/>
        <v>PROJET VOLKS - RENOVATION</v>
      </c>
      <c r="N116" s="655">
        <f>+IF(OR($Q116=Parametres!$G$2,$Q116=Parametres!$G$3),I116,C116)</f>
        <v>10346967.07</v>
      </c>
      <c r="O116" s="655">
        <f>+IF(OR($Q116=Parametres!$G$2,$Q116=Parametres!$G$3),J116,D116)</f>
        <v>10472</v>
      </c>
      <c r="P116" s="655">
        <f>+IF(OR($Q116=Parametres!$G$2,$Q116=Parametres!$G$3),K116,E116)</f>
        <v>10357439.07</v>
      </c>
      <c r="Q116" s="654" t="str">
        <f t="shared" ref="Q116:S116" si="117">+F116</f>
        <v>2-Actifs</v>
      </c>
      <c r="R116" s="653" t="str">
        <f t="shared" si="117"/>
        <v>1700</v>
      </c>
      <c r="S116" s="654" t="str">
        <f t="shared" si="117"/>
        <v>_</v>
      </c>
      <c r="T116" s="656" t="str">
        <f>+VLOOKUP($L116,Data_Validation!$A:$D,1,0)</f>
        <v>1740</v>
      </c>
      <c r="U116" s="656" t="str">
        <f>+VLOOKUP($L116,Data_Validation!$A:$D,3,0)</f>
        <v>Bilan</v>
      </c>
      <c r="V116" s="656" t="str">
        <f>+VLOOKUP($L116,Data_Validation!$A:$D,4,0)</f>
        <v>Améliorations Locatives</v>
      </c>
      <c r="W116" s="656" t="str">
        <f>+VLOOKUP($L116,Data_Validation!$A:$E,5,0)</f>
        <v>$</v>
      </c>
      <c r="X116" s="656">
        <f>+VLOOKUP($L116,Data_Validation!$A:$F,6,0)</f>
        <v>0</v>
      </c>
    </row>
    <row r="117" spans="1:24" ht="15.75" customHeight="1">
      <c r="A117" s="1255" t="s">
        <v>3928</v>
      </c>
      <c r="B117" s="1255" t="s">
        <v>3929</v>
      </c>
      <c r="C117" s="1257">
        <v>-342556.76</v>
      </c>
      <c r="D117" s="1257">
        <v>-42648</v>
      </c>
      <c r="E117" s="1257">
        <v>-385204.76</v>
      </c>
      <c r="F117" s="1255" t="s">
        <v>816</v>
      </c>
      <c r="G117" s="1255" t="s">
        <v>885</v>
      </c>
      <c r="H117" s="1255" t="s">
        <v>3950</v>
      </c>
      <c r="I117" s="652"/>
      <c r="J117" s="652"/>
      <c r="K117" s="652"/>
      <c r="L117" s="653" t="str">
        <f t="shared" si="67"/>
        <v>1741</v>
      </c>
      <c r="M117" s="654" t="str">
        <f t="shared" si="0"/>
        <v>AMORT.CUMUL.PROJET VOLKS</v>
      </c>
      <c r="N117" s="655">
        <f>+IF(OR($Q117=Parametres!$G$2,$Q117=Parametres!$G$3),I117,C117)</f>
        <v>-342556.76</v>
      </c>
      <c r="O117" s="655">
        <f>+IF(OR($Q117=Parametres!$G$2,$Q117=Parametres!$G$3),J117,D117)</f>
        <v>-42648</v>
      </c>
      <c r="P117" s="655">
        <f>+IF(OR($Q117=Parametres!$G$2,$Q117=Parametres!$G$3),K117,E117)</f>
        <v>-385204.76</v>
      </c>
      <c r="Q117" s="654" t="str">
        <f t="shared" ref="Q117:S117" si="118">+F117</f>
        <v>2-Actifs</v>
      </c>
      <c r="R117" s="653" t="str">
        <f t="shared" si="118"/>
        <v>1700</v>
      </c>
      <c r="S117" s="654" t="str">
        <f t="shared" si="118"/>
        <v>_</v>
      </c>
      <c r="T117" s="656" t="str">
        <f>+VLOOKUP($L117,Data_Validation!$A:$D,1,0)</f>
        <v>1741</v>
      </c>
      <c r="U117" s="656" t="str">
        <f>+VLOOKUP($L117,Data_Validation!$A:$D,3,0)</f>
        <v>Bilan</v>
      </c>
      <c r="V117" s="656" t="str">
        <f>+VLOOKUP($L117,Data_Validation!$A:$D,4,0)</f>
        <v>Améliorations Locatives</v>
      </c>
      <c r="W117" s="656" t="str">
        <f>+VLOOKUP($L117,Data_Validation!$A:$E,5,0)</f>
        <v>$</v>
      </c>
      <c r="X117" s="656">
        <f>+VLOOKUP($L117,Data_Validation!$A:$F,6,0)</f>
        <v>0</v>
      </c>
    </row>
    <row r="118" spans="1:24" ht="15" customHeight="1">
      <c r="A118" s="1255" t="s">
        <v>887</v>
      </c>
      <c r="B118" s="1255" t="s">
        <v>1591</v>
      </c>
      <c r="C118" s="1257">
        <v>1277064.52</v>
      </c>
      <c r="D118" s="1257">
        <v>17360.46</v>
      </c>
      <c r="E118" s="1257">
        <v>1294424.98</v>
      </c>
      <c r="F118" s="1255" t="s">
        <v>816</v>
      </c>
      <c r="G118" s="1255" t="s">
        <v>885</v>
      </c>
      <c r="H118" s="1255" t="s">
        <v>3950</v>
      </c>
      <c r="I118" s="663"/>
      <c r="J118" s="663"/>
      <c r="K118" s="663"/>
      <c r="L118" s="653" t="str">
        <f t="shared" si="67"/>
        <v>1742</v>
      </c>
      <c r="M118" s="654" t="str">
        <f t="shared" si="0"/>
        <v>MACHINERIE &amp; EQUIPEMENT</v>
      </c>
      <c r="N118" s="655">
        <f>+IF(OR($Q118=Parametres!$G$2,$Q118=Parametres!$G$3),I118,C118)</f>
        <v>1277064.52</v>
      </c>
      <c r="O118" s="655">
        <f>+IF(OR($Q118=Parametres!$G$2,$Q118=Parametres!$G$3),J118,D118)</f>
        <v>17360.46</v>
      </c>
      <c r="P118" s="655">
        <f>+IF(OR($Q118=Parametres!$G$2,$Q118=Parametres!$G$3),K118,E118)</f>
        <v>1294424.98</v>
      </c>
      <c r="Q118" s="654" t="str">
        <f t="shared" ref="Q118:S118" si="119">+F118</f>
        <v>2-Actifs</v>
      </c>
      <c r="R118" s="653" t="str">
        <f t="shared" si="119"/>
        <v>1700</v>
      </c>
      <c r="S118" s="654" t="str">
        <f t="shared" si="119"/>
        <v>_</v>
      </c>
      <c r="T118" s="656" t="str">
        <f>+VLOOKUP($L118,Data_Validation!$A:$D,1,0)</f>
        <v>1742</v>
      </c>
      <c r="U118" s="656" t="str">
        <f>+VLOOKUP($L118,Data_Validation!$A:$D,3,0)</f>
        <v>Bilan</v>
      </c>
      <c r="V118" s="656" t="str">
        <f>+VLOOKUP($L118,Data_Validation!$A:$D,4,0)</f>
        <v>Équipements Service</v>
      </c>
      <c r="W118" s="656" t="str">
        <f>+VLOOKUP($L118,Data_Validation!$A:$E,5,0)</f>
        <v>$</v>
      </c>
      <c r="X118" s="656">
        <f>+VLOOKUP($L118,Data_Validation!$A:$F,6,0)</f>
        <v>0</v>
      </c>
    </row>
    <row r="119" spans="1:24" ht="15" customHeight="1">
      <c r="A119" s="1255" t="s">
        <v>888</v>
      </c>
      <c r="B119" s="1255" t="s">
        <v>1594</v>
      </c>
      <c r="C119" s="1257">
        <v>-908806.16</v>
      </c>
      <c r="D119" s="1257">
        <v>0</v>
      </c>
      <c r="E119" s="1257">
        <v>-908806.16</v>
      </c>
      <c r="F119" s="1255" t="s">
        <v>816</v>
      </c>
      <c r="G119" s="1255" t="s">
        <v>885</v>
      </c>
      <c r="H119" s="1255" t="s">
        <v>3950</v>
      </c>
      <c r="I119" s="652"/>
      <c r="J119" s="652"/>
      <c r="K119" s="652"/>
      <c r="L119" s="653" t="str">
        <f t="shared" si="67"/>
        <v>1743</v>
      </c>
      <c r="M119" s="654" t="str">
        <f t="shared" si="0"/>
        <v>AMORTISS.MACHINERIE &amp; EQUIP.</v>
      </c>
      <c r="N119" s="655">
        <f>+IF(OR($Q119=Parametres!$G$2,$Q119=Parametres!$G$3),I119,C119)</f>
        <v>-908806.16</v>
      </c>
      <c r="O119" s="655">
        <f>+IF(OR($Q119=Parametres!$G$2,$Q119=Parametres!$G$3),J119,D119)</f>
        <v>0</v>
      </c>
      <c r="P119" s="655">
        <f>+IF(OR($Q119=Parametres!$G$2,$Q119=Parametres!$G$3),K119,E119)</f>
        <v>-908806.16</v>
      </c>
      <c r="Q119" s="654" t="str">
        <f t="shared" ref="Q119:S119" si="120">+F119</f>
        <v>2-Actifs</v>
      </c>
      <c r="R119" s="653" t="str">
        <f t="shared" si="120"/>
        <v>1700</v>
      </c>
      <c r="S119" s="654" t="str">
        <f t="shared" si="120"/>
        <v>_</v>
      </c>
      <c r="T119" s="656" t="str">
        <f>+VLOOKUP($L119,Data_Validation!$A:$D,1,0)</f>
        <v>1743</v>
      </c>
      <c r="U119" s="656" t="str">
        <f>+VLOOKUP($L119,Data_Validation!$A:$D,3,0)</f>
        <v>Bilan</v>
      </c>
      <c r="V119" s="656" t="str">
        <f>+VLOOKUP($L119,Data_Validation!$A:$D,4,0)</f>
        <v>Équipements Service</v>
      </c>
      <c r="W119" s="656" t="str">
        <f>+VLOOKUP($L119,Data_Validation!$A:$E,5,0)</f>
        <v>$</v>
      </c>
      <c r="X119" s="656">
        <f>+VLOOKUP($L119,Data_Validation!$A:$F,6,0)</f>
        <v>0</v>
      </c>
    </row>
    <row r="120" spans="1:24" ht="15" customHeight="1">
      <c r="A120" s="1255" t="s">
        <v>889</v>
      </c>
      <c r="B120" s="1255" t="s">
        <v>1597</v>
      </c>
      <c r="C120" s="1257">
        <v>47461.59</v>
      </c>
      <c r="D120" s="1257">
        <v>0</v>
      </c>
      <c r="E120" s="1257">
        <v>47461.59</v>
      </c>
      <c r="F120" s="1255" t="s">
        <v>816</v>
      </c>
      <c r="G120" s="1255" t="s">
        <v>885</v>
      </c>
      <c r="H120" s="1255" t="s">
        <v>3950</v>
      </c>
      <c r="I120" s="652"/>
      <c r="J120" s="652"/>
      <c r="K120" s="652"/>
      <c r="L120" s="653" t="str">
        <f t="shared" si="67"/>
        <v>1744</v>
      </c>
      <c r="M120" s="654" t="str">
        <f t="shared" si="0"/>
        <v>EQUIPEMENT PIECES</v>
      </c>
      <c r="N120" s="655">
        <f>+IF(OR($Q120=Parametres!$G$2,$Q120=Parametres!$G$3),I120,C120)</f>
        <v>47461.59</v>
      </c>
      <c r="O120" s="655">
        <f>+IF(OR($Q120=Parametres!$G$2,$Q120=Parametres!$G$3),J120,D120)</f>
        <v>0</v>
      </c>
      <c r="P120" s="655">
        <f>+IF(OR($Q120=Parametres!$G$2,$Q120=Parametres!$G$3),K120,E120)</f>
        <v>47461.59</v>
      </c>
      <c r="Q120" s="654" t="str">
        <f t="shared" ref="Q120:S120" si="121">+F120</f>
        <v>2-Actifs</v>
      </c>
      <c r="R120" s="653" t="str">
        <f t="shared" si="121"/>
        <v>1700</v>
      </c>
      <c r="S120" s="654" t="str">
        <f t="shared" si="121"/>
        <v>_</v>
      </c>
      <c r="T120" s="656" t="str">
        <f>+VLOOKUP($L120,Data_Validation!$A:$D,1,0)</f>
        <v>1744</v>
      </c>
      <c r="U120" s="656" t="str">
        <f>+VLOOKUP($L120,Data_Validation!$A:$D,3,0)</f>
        <v>Bilan</v>
      </c>
      <c r="V120" s="656" t="str">
        <f>+VLOOKUP($L120,Data_Validation!$A:$D,4,0)</f>
        <v>Équipements Service</v>
      </c>
      <c r="W120" s="656" t="str">
        <f>+VLOOKUP($L120,Data_Validation!$A:$E,5,0)</f>
        <v>$</v>
      </c>
      <c r="X120" s="656">
        <f>+VLOOKUP($L120,Data_Validation!$A:$F,6,0)</f>
        <v>0</v>
      </c>
    </row>
    <row r="121" spans="1:24" ht="15" customHeight="1">
      <c r="A121" s="1255" t="s">
        <v>890</v>
      </c>
      <c r="B121" s="1255" t="s">
        <v>1600</v>
      </c>
      <c r="C121" s="1257">
        <v>-47461.59</v>
      </c>
      <c r="D121" s="1257">
        <v>0</v>
      </c>
      <c r="E121" s="1257">
        <v>-47461.59</v>
      </c>
      <c r="F121" s="1255" t="s">
        <v>816</v>
      </c>
      <c r="G121" s="1255" t="s">
        <v>885</v>
      </c>
      <c r="H121" s="1255" t="s">
        <v>3950</v>
      </c>
      <c r="I121" s="651"/>
      <c r="J121" s="651"/>
      <c r="K121" s="651"/>
      <c r="L121" s="653" t="str">
        <f t="shared" si="67"/>
        <v>1745</v>
      </c>
      <c r="M121" s="654" t="str">
        <f t="shared" si="0"/>
        <v>AMORTISS.EQUIPEMENTS PIECES</v>
      </c>
      <c r="N121" s="655">
        <f>+IF(OR($Q121=Parametres!$G$2,$Q121=Parametres!$G$3),I121,C121)</f>
        <v>-47461.59</v>
      </c>
      <c r="O121" s="659">
        <f>+IF(OR($Q121=Parametres!$G$2,$Q121=Parametres!$G$3),J121,D121)</f>
        <v>0</v>
      </c>
      <c r="P121" s="655">
        <f>+IF(OR($Q121=Parametres!$G$2,$Q121=Parametres!$G$3),K121,E121)</f>
        <v>-47461.59</v>
      </c>
      <c r="Q121" s="654" t="str">
        <f t="shared" ref="Q121:S121" si="122">+F121</f>
        <v>2-Actifs</v>
      </c>
      <c r="R121" s="653" t="str">
        <f t="shared" si="122"/>
        <v>1700</v>
      </c>
      <c r="S121" s="654" t="str">
        <f t="shared" si="122"/>
        <v>_</v>
      </c>
      <c r="T121" s="656" t="str">
        <f>+VLOOKUP($L121,Data_Validation!$A:$D,1,0)</f>
        <v>1745</v>
      </c>
      <c r="U121" s="656" t="str">
        <f>+VLOOKUP($L121,Data_Validation!$A:$D,3,0)</f>
        <v>Bilan</v>
      </c>
      <c r="V121" s="656" t="str">
        <f>+VLOOKUP($L121,Data_Validation!$A:$D,4,0)</f>
        <v>Équipements Service</v>
      </c>
      <c r="W121" s="656" t="str">
        <f>+VLOOKUP($L121,Data_Validation!$A:$E,5,0)</f>
        <v>$</v>
      </c>
      <c r="X121" s="656">
        <f>+VLOOKUP($L121,Data_Validation!$A:$F,6,0)</f>
        <v>0</v>
      </c>
    </row>
    <row r="122" spans="1:24" ht="15" customHeight="1">
      <c r="A122" s="1255" t="s">
        <v>891</v>
      </c>
      <c r="B122" s="1255" t="s">
        <v>1609</v>
      </c>
      <c r="C122" s="1257">
        <v>442164.54</v>
      </c>
      <c r="D122" s="1257">
        <v>1690</v>
      </c>
      <c r="E122" s="1257">
        <v>443854.54</v>
      </c>
      <c r="F122" s="1255" t="s">
        <v>816</v>
      </c>
      <c r="G122" s="1255" t="s">
        <v>885</v>
      </c>
      <c r="H122" s="1255" t="s">
        <v>3950</v>
      </c>
      <c r="I122" s="652"/>
      <c r="J122" s="652"/>
      <c r="K122" s="652"/>
      <c r="L122" s="653" t="str">
        <f t="shared" si="67"/>
        <v>1762</v>
      </c>
      <c r="M122" s="654" t="str">
        <f t="shared" si="0"/>
        <v>AMEUBLEMENT &amp; INSTR.</v>
      </c>
      <c r="N122" s="655">
        <f>+IF(OR($Q122=Parametres!$G$2,$Q122=Parametres!$G$3),I122,C122)</f>
        <v>442164.54</v>
      </c>
      <c r="O122" s="655">
        <f>+IF(OR($Q122=Parametres!$G$2,$Q122=Parametres!$G$3),J122,D122)</f>
        <v>1690</v>
      </c>
      <c r="P122" s="655">
        <f>+IF(OR($Q122=Parametres!$G$2,$Q122=Parametres!$G$3),K122,E122)</f>
        <v>443854.54</v>
      </c>
      <c r="Q122" s="654" t="str">
        <f t="shared" ref="Q122:S122" si="123">+F122</f>
        <v>2-Actifs</v>
      </c>
      <c r="R122" s="653" t="str">
        <f t="shared" si="123"/>
        <v>1700</v>
      </c>
      <c r="S122" s="654" t="str">
        <f t="shared" si="123"/>
        <v>_</v>
      </c>
      <c r="T122" s="656" t="str">
        <f>+VLOOKUP($L122,Data_Validation!$A:$D,1,0)</f>
        <v>1762</v>
      </c>
      <c r="U122" s="656" t="str">
        <f>+VLOOKUP($L122,Data_Validation!$A:$D,3,0)</f>
        <v>Bilan</v>
      </c>
      <c r="V122" s="656" t="str">
        <f>+VLOOKUP($L122,Data_Validation!$A:$D,4,0)</f>
        <v>Mobilier</v>
      </c>
      <c r="W122" s="656" t="str">
        <f>+VLOOKUP($L122,Data_Validation!$A:$E,5,0)</f>
        <v>$</v>
      </c>
      <c r="X122" s="656">
        <f>+VLOOKUP($L122,Data_Validation!$A:$F,6,0)</f>
        <v>0</v>
      </c>
    </row>
    <row r="123" spans="1:24" ht="15.75" customHeight="1">
      <c r="A123" s="1255" t="s">
        <v>892</v>
      </c>
      <c r="B123" s="1255" t="s">
        <v>1612</v>
      </c>
      <c r="C123" s="1257">
        <v>-421359.73</v>
      </c>
      <c r="D123" s="1257">
        <v>0</v>
      </c>
      <c r="E123" s="1257">
        <v>-421359.73</v>
      </c>
      <c r="F123" s="1255" t="s">
        <v>816</v>
      </c>
      <c r="G123" s="1255" t="s">
        <v>885</v>
      </c>
      <c r="H123" s="1255" t="s">
        <v>3950</v>
      </c>
      <c r="I123" s="651"/>
      <c r="J123" s="651"/>
      <c r="K123" s="651"/>
      <c r="L123" s="653" t="str">
        <f t="shared" si="67"/>
        <v>1763</v>
      </c>
      <c r="M123" s="654" t="str">
        <f t="shared" si="0"/>
        <v>AMORTISS.AMEUBL.INSTR.</v>
      </c>
      <c r="N123" s="655">
        <f>+IF(OR($Q123=Parametres!$G$2,$Q123=Parametres!$G$3),I123,C123)</f>
        <v>-421359.73</v>
      </c>
      <c r="O123" s="659">
        <f>+IF(OR($Q123=Parametres!$G$2,$Q123=Parametres!$G$3),J123,D123)</f>
        <v>0</v>
      </c>
      <c r="P123" s="655">
        <f>+IF(OR($Q123=Parametres!$G$2,$Q123=Parametres!$G$3),K123,E123)</f>
        <v>-421359.73</v>
      </c>
      <c r="Q123" s="654" t="str">
        <f t="shared" ref="Q123:S123" si="124">+F123</f>
        <v>2-Actifs</v>
      </c>
      <c r="R123" s="653" t="str">
        <f t="shared" si="124"/>
        <v>1700</v>
      </c>
      <c r="S123" s="654" t="str">
        <f t="shared" si="124"/>
        <v>_</v>
      </c>
      <c r="T123" s="656" t="str">
        <f>+VLOOKUP($L123,Data_Validation!$A:$D,1,0)</f>
        <v>1763</v>
      </c>
      <c r="U123" s="656" t="str">
        <f>+VLOOKUP($L123,Data_Validation!$A:$D,3,0)</f>
        <v>Bilan</v>
      </c>
      <c r="V123" s="656" t="str">
        <f>+VLOOKUP($L123,Data_Validation!$A:$D,4,0)</f>
        <v>Mobilier</v>
      </c>
      <c r="W123" s="656" t="str">
        <f>+VLOOKUP($L123,Data_Validation!$A:$E,5,0)</f>
        <v>$</v>
      </c>
      <c r="X123" s="656">
        <f>+VLOOKUP($L123,Data_Validation!$A:$F,6,0)</f>
        <v>0</v>
      </c>
    </row>
    <row r="124" spans="1:24" ht="15" customHeight="1">
      <c r="A124" s="1255" t="s">
        <v>893</v>
      </c>
      <c r="B124" s="1255" t="s">
        <v>1615</v>
      </c>
      <c r="C124" s="1257">
        <v>3987.88</v>
      </c>
      <c r="D124" s="1257">
        <v>0</v>
      </c>
      <c r="E124" s="1257">
        <v>3987.88</v>
      </c>
      <c r="F124" s="1255" t="s">
        <v>816</v>
      </c>
      <c r="G124" s="1255" t="s">
        <v>885</v>
      </c>
      <c r="H124" s="1255" t="s">
        <v>3950</v>
      </c>
      <c r="I124" s="652"/>
      <c r="J124" s="652"/>
      <c r="K124" s="652"/>
      <c r="L124" s="653" t="str">
        <f t="shared" si="67"/>
        <v>1772</v>
      </c>
      <c r="M124" s="654" t="str">
        <f t="shared" si="0"/>
        <v>VEHICULES DE CIE</v>
      </c>
      <c r="N124" s="655">
        <f>+IF(OR($Q124=Parametres!$G$2,$Q124=Parametres!$G$3),I124,C124)</f>
        <v>3987.88</v>
      </c>
      <c r="O124" s="655">
        <f>+IF(OR($Q124=Parametres!$G$2,$Q124=Parametres!$G$3),J124,D124)</f>
        <v>0</v>
      </c>
      <c r="P124" s="655">
        <f>+IF(OR($Q124=Parametres!$G$2,$Q124=Parametres!$G$3),K124,E124)</f>
        <v>3987.88</v>
      </c>
      <c r="Q124" s="654" t="str">
        <f t="shared" ref="Q124:S124" si="125">+F124</f>
        <v>2-Actifs</v>
      </c>
      <c r="R124" s="653" t="str">
        <f t="shared" si="125"/>
        <v>1700</v>
      </c>
      <c r="S124" s="654" t="str">
        <f t="shared" si="125"/>
        <v>_</v>
      </c>
      <c r="T124" s="656" t="str">
        <f>+VLOOKUP($L124,Data_Validation!$A:$D,1,0)</f>
        <v>1772</v>
      </c>
      <c r="U124" s="656" t="str">
        <f>+VLOOKUP($L124,Data_Validation!$A:$D,3,0)</f>
        <v>Bilan</v>
      </c>
      <c r="V124" s="656" t="str">
        <f>+VLOOKUP($L124,Data_Validation!$A:$D,4,0)</f>
        <v>Équipements Service</v>
      </c>
      <c r="W124" s="656" t="str">
        <f>+VLOOKUP($L124,Data_Validation!$A:$E,5,0)</f>
        <v>$</v>
      </c>
      <c r="X124" s="656">
        <f>+VLOOKUP($L124,Data_Validation!$A:$F,6,0)</f>
        <v>0</v>
      </c>
    </row>
    <row r="125" spans="1:24" ht="15" customHeight="1">
      <c r="A125" s="1255" t="s">
        <v>894</v>
      </c>
      <c r="B125" s="1255" t="s">
        <v>1618</v>
      </c>
      <c r="C125" s="1257">
        <v>-3987.88</v>
      </c>
      <c r="D125" s="1257">
        <v>0</v>
      </c>
      <c r="E125" s="1257">
        <v>-3987.88</v>
      </c>
      <c r="F125" s="1255" t="s">
        <v>816</v>
      </c>
      <c r="G125" s="1255" t="s">
        <v>885</v>
      </c>
      <c r="H125" s="1255" t="s">
        <v>3950</v>
      </c>
      <c r="I125" s="651"/>
      <c r="J125" s="651"/>
      <c r="K125" s="651"/>
      <c r="L125" s="653" t="str">
        <f t="shared" si="67"/>
        <v>1773</v>
      </c>
      <c r="M125" s="654" t="str">
        <f t="shared" si="0"/>
        <v>DEPRECIATION &amp; AMORT.</v>
      </c>
      <c r="N125" s="655">
        <f>+IF(OR($Q125=Parametres!$G$2,$Q125=Parametres!$G$3),I125,C125)</f>
        <v>-3987.88</v>
      </c>
      <c r="O125" s="655">
        <f>+IF(OR($Q125=Parametres!$G$2,$Q125=Parametres!$G$3),J125,D125)</f>
        <v>0</v>
      </c>
      <c r="P125" s="655">
        <f>+IF(OR($Q125=Parametres!$G$2,$Q125=Parametres!$G$3),K125,E125)</f>
        <v>-3987.88</v>
      </c>
      <c r="Q125" s="654" t="str">
        <f t="shared" ref="Q125:S125" si="126">+F125</f>
        <v>2-Actifs</v>
      </c>
      <c r="R125" s="653" t="str">
        <f t="shared" si="126"/>
        <v>1700</v>
      </c>
      <c r="S125" s="654" t="str">
        <f t="shared" si="126"/>
        <v>_</v>
      </c>
      <c r="T125" s="656" t="str">
        <f>+VLOOKUP($L125,Data_Validation!$A:$D,1,0)</f>
        <v>1773</v>
      </c>
      <c r="U125" s="656" t="str">
        <f>+VLOOKUP($L125,Data_Validation!$A:$D,3,0)</f>
        <v>Bilan</v>
      </c>
      <c r="V125" s="656" t="str">
        <f>+VLOOKUP($L125,Data_Validation!$A:$D,4,0)</f>
        <v>Équipements Service</v>
      </c>
      <c r="W125" s="656" t="str">
        <f>+VLOOKUP($L125,Data_Validation!$A:$E,5,0)</f>
        <v>$</v>
      </c>
      <c r="X125" s="656">
        <f>+VLOOKUP($L125,Data_Validation!$A:$F,6,0)</f>
        <v>0</v>
      </c>
    </row>
    <row r="126" spans="1:24" ht="15" customHeight="1">
      <c r="A126" s="1255" t="s">
        <v>895</v>
      </c>
      <c r="B126" s="1255" t="s">
        <v>1621</v>
      </c>
      <c r="C126" s="1257">
        <v>187106.07</v>
      </c>
      <c r="D126" s="1257">
        <v>2850.98</v>
      </c>
      <c r="E126" s="1257">
        <v>189957.05</v>
      </c>
      <c r="F126" s="1255" t="s">
        <v>816</v>
      </c>
      <c r="G126" s="1255" t="s">
        <v>885</v>
      </c>
      <c r="H126" s="1255" t="s">
        <v>3950</v>
      </c>
      <c r="I126" s="652"/>
      <c r="J126" s="652"/>
      <c r="K126" s="652"/>
      <c r="L126" s="653" t="str">
        <f t="shared" si="67"/>
        <v>1786</v>
      </c>
      <c r="M126" s="654" t="str">
        <f t="shared" si="0"/>
        <v>EQUIPEMENT INFORMATIQUE</v>
      </c>
      <c r="N126" s="655">
        <f>+IF(OR($Q126=Parametres!$G$2,$Q126=Parametres!$G$3),I126,C126)</f>
        <v>187106.07</v>
      </c>
      <c r="O126" s="655">
        <f>+IF(OR($Q126=Parametres!$G$2,$Q126=Parametres!$G$3),J126,D126)</f>
        <v>2850.98</v>
      </c>
      <c r="P126" s="655">
        <f>+IF(OR($Q126=Parametres!$G$2,$Q126=Parametres!$G$3),K126,E126)</f>
        <v>189957.05</v>
      </c>
      <c r="Q126" s="654" t="str">
        <f t="shared" ref="Q126:S126" si="127">+F126</f>
        <v>2-Actifs</v>
      </c>
      <c r="R126" s="653" t="str">
        <f t="shared" si="127"/>
        <v>1700</v>
      </c>
      <c r="S126" s="654" t="str">
        <f t="shared" si="127"/>
        <v>_</v>
      </c>
      <c r="T126" s="656" t="str">
        <f>+VLOOKUP($L126,Data_Validation!$A:$D,1,0)</f>
        <v>1786</v>
      </c>
      <c r="U126" s="656" t="str">
        <f>+VLOOKUP($L126,Data_Validation!$A:$D,3,0)</f>
        <v>Bilan</v>
      </c>
      <c r="V126" s="656" t="str">
        <f>+VLOOKUP($L126,Data_Validation!$A:$D,4,0)</f>
        <v>Équipements Informatique</v>
      </c>
      <c r="W126" s="656" t="str">
        <f>+VLOOKUP($L126,Data_Validation!$A:$E,5,0)</f>
        <v>$</v>
      </c>
      <c r="X126" s="656">
        <f>+VLOOKUP($L126,Data_Validation!$A:$F,6,0)</f>
        <v>0</v>
      </c>
    </row>
    <row r="127" spans="1:24" ht="15" customHeight="1">
      <c r="A127" s="1255" t="s">
        <v>896</v>
      </c>
      <c r="B127" s="1255" t="s">
        <v>1624</v>
      </c>
      <c r="C127" s="1257">
        <v>-129236.24</v>
      </c>
      <c r="D127" s="1257">
        <v>0</v>
      </c>
      <c r="E127" s="1257">
        <v>-129236.24</v>
      </c>
      <c r="F127" s="1255" t="s">
        <v>816</v>
      </c>
      <c r="G127" s="1255" t="s">
        <v>885</v>
      </c>
      <c r="H127" s="1255" t="s">
        <v>3950</v>
      </c>
      <c r="I127" s="663"/>
      <c r="J127" s="663"/>
      <c r="K127" s="663"/>
      <c r="L127" s="653" t="str">
        <f t="shared" si="67"/>
        <v>1787</v>
      </c>
      <c r="M127" s="654" t="str">
        <f t="shared" si="0"/>
        <v>AMORTISS.EQUIP.INFORMATIQUES</v>
      </c>
      <c r="N127" s="655">
        <f>+IF(OR($Q127=Parametres!$G$2,$Q127=Parametres!$G$3),I127,C127)</f>
        <v>-129236.24</v>
      </c>
      <c r="O127" s="655">
        <f>+IF(OR($Q127=Parametres!$G$2,$Q127=Parametres!$G$3),J127,D127)</f>
        <v>0</v>
      </c>
      <c r="P127" s="655">
        <f>+IF(OR($Q127=Parametres!$G$2,$Q127=Parametres!$G$3),K127,E127)</f>
        <v>-129236.24</v>
      </c>
      <c r="Q127" s="654" t="str">
        <f t="shared" ref="Q127:S127" si="128">+F127</f>
        <v>2-Actifs</v>
      </c>
      <c r="R127" s="653" t="str">
        <f t="shared" si="128"/>
        <v>1700</v>
      </c>
      <c r="S127" s="654" t="str">
        <f t="shared" si="128"/>
        <v>_</v>
      </c>
      <c r="T127" s="656" t="str">
        <f>+VLOOKUP($L127,Data_Validation!$A:$D,1,0)</f>
        <v>1787</v>
      </c>
      <c r="U127" s="656" t="str">
        <f>+VLOOKUP($L127,Data_Validation!$A:$D,3,0)</f>
        <v>Bilan</v>
      </c>
      <c r="V127" s="656" t="str">
        <f>+VLOOKUP($L127,Data_Validation!$A:$D,4,0)</f>
        <v>Équipements Informatique</v>
      </c>
      <c r="W127" s="656" t="str">
        <f>+VLOOKUP($L127,Data_Validation!$A:$E,5,0)</f>
        <v>$</v>
      </c>
      <c r="X127" s="656">
        <f>+VLOOKUP($L127,Data_Validation!$A:$F,6,0)</f>
        <v>0</v>
      </c>
    </row>
    <row r="128" spans="1:24" ht="15" customHeight="1">
      <c r="A128" s="1255" t="s">
        <v>897</v>
      </c>
      <c r="B128" s="1255" t="s">
        <v>1627</v>
      </c>
      <c r="C128" s="1257">
        <v>119393.66</v>
      </c>
      <c r="D128" s="1257">
        <v>1012</v>
      </c>
      <c r="E128" s="1257">
        <v>120405.66</v>
      </c>
      <c r="F128" s="1255" t="s">
        <v>816</v>
      </c>
      <c r="G128" s="1255" t="s">
        <v>885</v>
      </c>
      <c r="H128" s="1255" t="s">
        <v>3950</v>
      </c>
      <c r="I128" s="652"/>
      <c r="J128" s="652"/>
      <c r="K128" s="652"/>
      <c r="L128" s="653" t="str">
        <f t="shared" si="67"/>
        <v>1792</v>
      </c>
      <c r="M128" s="654" t="str">
        <f t="shared" si="0"/>
        <v>ENSEIGNES</v>
      </c>
      <c r="N128" s="655">
        <f>+IF(OR($Q128=Parametres!$G$2,$Q128=Parametres!$G$3),I128,C128)</f>
        <v>119393.66</v>
      </c>
      <c r="O128" s="655">
        <f>+IF(OR($Q128=Parametres!$G$2,$Q128=Parametres!$G$3),J128,D128)</f>
        <v>1012</v>
      </c>
      <c r="P128" s="655">
        <f>+IF(OR($Q128=Parametres!$G$2,$Q128=Parametres!$G$3),K128,E128)</f>
        <v>120405.66</v>
      </c>
      <c r="Q128" s="654" t="str">
        <f t="shared" ref="Q128:S128" si="129">+F128</f>
        <v>2-Actifs</v>
      </c>
      <c r="R128" s="653" t="str">
        <f t="shared" si="129"/>
        <v>1700</v>
      </c>
      <c r="S128" s="654" t="str">
        <f t="shared" si="129"/>
        <v>_</v>
      </c>
      <c r="T128" s="656" t="str">
        <f>+VLOOKUP($L128,Data_Validation!$A:$D,1,0)</f>
        <v>1792</v>
      </c>
      <c r="U128" s="656" t="str">
        <f>+VLOOKUP($L128,Data_Validation!$A:$D,3,0)</f>
        <v>Bilan</v>
      </c>
      <c r="V128" s="656" t="str">
        <f>+VLOOKUP($L128,Data_Validation!$A:$D,4,0)</f>
        <v>Enseigne</v>
      </c>
      <c r="W128" s="656" t="str">
        <f>+VLOOKUP($L128,Data_Validation!$A:$E,5,0)</f>
        <v>$</v>
      </c>
      <c r="X128" s="656">
        <f>+VLOOKUP($L128,Data_Validation!$A:$F,6,0)</f>
        <v>0</v>
      </c>
    </row>
    <row r="129" spans="1:24" ht="15" customHeight="1">
      <c r="A129" s="1255" t="s">
        <v>898</v>
      </c>
      <c r="B129" s="1255" t="s">
        <v>1630</v>
      </c>
      <c r="C129" s="1257">
        <v>-119393.65</v>
      </c>
      <c r="D129" s="1257">
        <v>0</v>
      </c>
      <c r="E129" s="1257">
        <v>-119393.65</v>
      </c>
      <c r="F129" s="1255" t="s">
        <v>816</v>
      </c>
      <c r="G129" s="1255" t="s">
        <v>885</v>
      </c>
      <c r="H129" s="1255" t="s">
        <v>3950</v>
      </c>
      <c r="I129" s="663"/>
      <c r="J129" s="663"/>
      <c r="K129" s="663"/>
      <c r="L129" s="653" t="str">
        <f t="shared" si="67"/>
        <v>1793</v>
      </c>
      <c r="M129" s="654" t="str">
        <f t="shared" si="0"/>
        <v>AMORT. CUM. ENSEIGNES</v>
      </c>
      <c r="N129" s="655">
        <f>+IF(OR($Q129=Parametres!$G$2,$Q129=Parametres!$G$3),I129,C129)</f>
        <v>-119393.65</v>
      </c>
      <c r="O129" s="655">
        <f>+IF(OR($Q129=Parametres!$G$2,$Q129=Parametres!$G$3),J129,D129)</f>
        <v>0</v>
      </c>
      <c r="P129" s="655">
        <f>+IF(OR($Q129=Parametres!$G$2,$Q129=Parametres!$G$3),K129,E129)</f>
        <v>-119393.65</v>
      </c>
      <c r="Q129" s="654" t="str">
        <f t="shared" ref="Q129:S129" si="130">+F129</f>
        <v>2-Actifs</v>
      </c>
      <c r="R129" s="653" t="str">
        <f t="shared" si="130"/>
        <v>1700</v>
      </c>
      <c r="S129" s="654" t="str">
        <f t="shared" si="130"/>
        <v>_</v>
      </c>
      <c r="T129" s="656" t="str">
        <f>+VLOOKUP($L129,Data_Validation!$A:$D,1,0)</f>
        <v>1793</v>
      </c>
      <c r="U129" s="656" t="str">
        <f>+VLOOKUP($L129,Data_Validation!$A:$D,3,0)</f>
        <v>Bilan</v>
      </c>
      <c r="V129" s="656" t="str">
        <f>+VLOOKUP($L129,Data_Validation!$A:$D,4,0)</f>
        <v>Enseigne</v>
      </c>
      <c r="W129" s="656" t="str">
        <f>+VLOOKUP($L129,Data_Validation!$A:$E,5,0)</f>
        <v>$</v>
      </c>
      <c r="X129" s="656">
        <f>+VLOOKUP($L129,Data_Validation!$A:$F,6,0)</f>
        <v>0</v>
      </c>
    </row>
    <row r="130" spans="1:24" ht="15" customHeight="1">
      <c r="A130" s="1255" t="s">
        <v>3335</v>
      </c>
      <c r="B130" s="1255" t="s">
        <v>899</v>
      </c>
      <c r="C130" s="1257">
        <v>723600</v>
      </c>
      <c r="D130" s="1257">
        <v>500000</v>
      </c>
      <c r="E130" s="1257">
        <v>1223600</v>
      </c>
      <c r="F130" s="1255" t="s">
        <v>816</v>
      </c>
      <c r="G130" s="1255" t="s">
        <v>899</v>
      </c>
      <c r="H130" s="1255" t="s">
        <v>3950</v>
      </c>
      <c r="I130" s="651"/>
      <c r="J130" s="651"/>
      <c r="K130" s="651"/>
      <c r="L130" s="653" t="str">
        <f t="shared" si="67"/>
        <v>1804</v>
      </c>
      <c r="M130" s="654" t="str">
        <f t="shared" si="0"/>
        <v>AVANCES COMPLEXE INTERCO</v>
      </c>
      <c r="N130" s="655">
        <f>+IF(OR($Q130=Parametres!$G$2,$Q130=Parametres!$G$3),I130,C130)</f>
        <v>723600</v>
      </c>
      <c r="O130" s="655">
        <f>+IF(OR($Q130=Parametres!$G$2,$Q130=Parametres!$G$3),J130,D130)</f>
        <v>500000</v>
      </c>
      <c r="P130" s="655">
        <f>+IF(OR($Q130=Parametres!$G$2,$Q130=Parametres!$G$3),K130,E130)</f>
        <v>1223600</v>
      </c>
      <c r="Q130" s="654" t="str">
        <f t="shared" ref="Q130:S130" si="131">+F130</f>
        <v>2-Actifs</v>
      </c>
      <c r="R130" s="653" t="str">
        <f t="shared" si="131"/>
        <v>1804</v>
      </c>
      <c r="S130" s="654" t="str">
        <f t="shared" si="131"/>
        <v>_</v>
      </c>
      <c r="T130" s="656" t="str">
        <f>+VLOOKUP($L130,Data_Validation!$A:$D,1,0)</f>
        <v>1804</v>
      </c>
      <c r="U130" s="656" t="str">
        <f>+VLOOKUP($L130,Data_Validation!$A:$D,3,0)</f>
        <v>Bilan</v>
      </c>
      <c r="V130" s="656" t="str">
        <f>+VLOOKUP($L130,Data_Validation!$A:$D,4,0)</f>
        <v>Avances à Recevoir Long Terme</v>
      </c>
      <c r="W130" s="656" t="str">
        <f>+VLOOKUP($L130,Data_Validation!$A:$E,5,0)</f>
        <v>$</v>
      </c>
      <c r="X130" s="656">
        <f>+VLOOKUP($L130,Data_Validation!$A:$F,6,0)</f>
        <v>0</v>
      </c>
    </row>
    <row r="131" spans="1:24" ht="15.75" customHeight="1">
      <c r="A131" s="1255" t="s">
        <v>900</v>
      </c>
      <c r="B131" s="1255" t="s">
        <v>1635</v>
      </c>
      <c r="C131" s="1257">
        <v>1788.56</v>
      </c>
      <c r="D131" s="1257">
        <v>-251.17</v>
      </c>
      <c r="E131" s="1257">
        <v>1537.39</v>
      </c>
      <c r="F131" s="1255" t="s">
        <v>816</v>
      </c>
      <c r="G131" s="1255" t="s">
        <v>821</v>
      </c>
      <c r="H131" s="1255" t="s">
        <v>3950</v>
      </c>
      <c r="I131" s="651"/>
      <c r="J131" s="651"/>
      <c r="K131" s="651"/>
      <c r="L131" s="653" t="str">
        <f t="shared" ref="L131:L179" si="132">TEXT(B131,0)</f>
        <v>1806</v>
      </c>
      <c r="M131" s="654" t="str">
        <f t="shared" si="0"/>
        <v>FINANCEMENT RECEVABLE</v>
      </c>
      <c r="N131" s="655">
        <f>+IF(OR($Q131=Parametres!$G$2,$Q131=Parametres!$G$3),I131,C131)</f>
        <v>1788.56</v>
      </c>
      <c r="O131" s="659">
        <f>+IF(OR($Q131=Parametres!$G$2,$Q131=Parametres!$G$3),J131,D131)</f>
        <v>-251.17</v>
      </c>
      <c r="P131" s="655">
        <f>+IF(OR($Q131=Parametres!$G$2,$Q131=Parametres!$G$3),K131,E131)</f>
        <v>1537.39</v>
      </c>
      <c r="Q131" s="654" t="str">
        <f t="shared" ref="Q131:S131" si="133">+F131</f>
        <v>2-Actifs</v>
      </c>
      <c r="R131" s="653" t="str">
        <f t="shared" si="133"/>
        <v>1382</v>
      </c>
      <c r="S131" s="654" t="str">
        <f t="shared" si="133"/>
        <v>_</v>
      </c>
      <c r="T131" s="656" t="str">
        <f>+VLOOKUP($L131,Data_Validation!$A:$D,1,0)</f>
        <v>1806</v>
      </c>
      <c r="U131" s="656" t="str">
        <f>+VLOOKUP($L131,Data_Validation!$A:$D,3,0)</f>
        <v>Bilan</v>
      </c>
      <c r="V131" s="656" t="str">
        <f>+VLOOKUP($L131,Data_Validation!$A:$D,4,0)</f>
        <v>Recevables Autres</v>
      </c>
      <c r="W131" s="656" t="str">
        <f>+VLOOKUP($L131,Data_Validation!$A:$E,5,0)</f>
        <v>$</v>
      </c>
      <c r="X131" s="656">
        <f>+VLOOKUP($L131,Data_Validation!$A:$F,6,0)</f>
        <v>0</v>
      </c>
    </row>
    <row r="132" spans="1:24" ht="15" customHeight="1">
      <c r="A132" s="1255" t="s">
        <v>901</v>
      </c>
      <c r="B132" s="1255" t="s">
        <v>903</v>
      </c>
      <c r="C132" s="1257">
        <v>-4140932.24</v>
      </c>
      <c r="D132" s="1257">
        <v>340878.62</v>
      </c>
      <c r="E132" s="1257">
        <v>-3800053.62</v>
      </c>
      <c r="F132" s="1255" t="s">
        <v>902</v>
      </c>
      <c r="G132" s="1255" t="s">
        <v>903</v>
      </c>
      <c r="H132" s="1255" t="s">
        <v>3950</v>
      </c>
      <c r="I132" s="651"/>
      <c r="J132" s="651"/>
      <c r="K132" s="651"/>
      <c r="L132" s="653" t="str">
        <f t="shared" si="132"/>
        <v>2101</v>
      </c>
      <c r="M132" s="654" t="str">
        <f t="shared" si="0"/>
        <v>NOTE A PAYER VEH. NEUFS VOLKS</v>
      </c>
      <c r="N132" s="655">
        <f>+IF(OR($Q132=Parametres!$G$2,$Q132=Parametres!$G$3),I132,C132)</f>
        <v>-4140932.24</v>
      </c>
      <c r="O132" s="655">
        <f>+IF(OR($Q132=Parametres!$G$2,$Q132=Parametres!$G$3),J132,D132)</f>
        <v>340878.62</v>
      </c>
      <c r="P132" s="655">
        <f>+IF(OR($Q132=Parametres!$G$2,$Q132=Parametres!$G$3),K132,E132)</f>
        <v>-3800053.62</v>
      </c>
      <c r="Q132" s="654" t="str">
        <f t="shared" ref="Q132:S132" si="134">+F132</f>
        <v>3-Passifs</v>
      </c>
      <c r="R132" s="653" t="str">
        <f t="shared" si="134"/>
        <v>2101</v>
      </c>
      <c r="S132" s="654" t="str">
        <f t="shared" si="134"/>
        <v>_</v>
      </c>
      <c r="T132" s="656" t="str">
        <f>+VLOOKUP($L132,Data_Validation!$A:$D,1,0)</f>
        <v>2101</v>
      </c>
      <c r="U132" s="656" t="str">
        <f>+VLOOKUP($L132,Data_Validation!$A:$D,3,0)</f>
        <v>Bilan</v>
      </c>
      <c r="V132" s="656" t="str">
        <f>+VLOOKUP($L132,Data_Validation!$A:$D,4,0)</f>
        <v>Effet à Payer Véhicules Neufs</v>
      </c>
      <c r="W132" s="656" t="str">
        <f>+VLOOKUP($L132,Data_Validation!$A:$E,5,0)</f>
        <v>$</v>
      </c>
      <c r="X132" s="656">
        <f>+VLOOKUP($L132,Data_Validation!$A:$F,6,0)</f>
        <v>0</v>
      </c>
    </row>
    <row r="133" spans="1:24" ht="15" customHeight="1">
      <c r="A133" s="1255" t="s">
        <v>904</v>
      </c>
      <c r="B133" s="1255" t="s">
        <v>905</v>
      </c>
      <c r="C133" s="1257">
        <v>-767857.14</v>
      </c>
      <c r="D133" s="1257">
        <v>-631664.06999999995</v>
      </c>
      <c r="E133" s="1257">
        <v>-1399521.21</v>
      </c>
      <c r="F133" s="1255" t="s">
        <v>902</v>
      </c>
      <c r="G133" s="1255" t="s">
        <v>905</v>
      </c>
      <c r="H133" s="1255" t="s">
        <v>3950</v>
      </c>
      <c r="I133" s="652"/>
      <c r="J133" s="652"/>
      <c r="K133" s="652"/>
      <c r="L133" s="653" t="str">
        <f t="shared" si="132"/>
        <v>2103</v>
      </c>
      <c r="M133" s="654" t="str">
        <f t="shared" si="0"/>
        <v>NOTE PAYABLE-FIN. VEH. USAG.</v>
      </c>
      <c r="N133" s="655">
        <f>+IF(OR($Q133=Parametres!$G$2,$Q133=Parametres!$G$3),I133,C133)</f>
        <v>-767857.14</v>
      </c>
      <c r="O133" s="655">
        <f>+IF(OR($Q133=Parametres!$G$2,$Q133=Parametres!$G$3),J133,D133)</f>
        <v>-631664.06999999995</v>
      </c>
      <c r="P133" s="655">
        <f>+IF(OR($Q133=Parametres!$G$2,$Q133=Parametres!$G$3),K133,E133)</f>
        <v>-1399521.21</v>
      </c>
      <c r="Q133" s="654" t="str">
        <f t="shared" ref="Q133:S133" si="135">+F133</f>
        <v>3-Passifs</v>
      </c>
      <c r="R133" s="653" t="str">
        <f t="shared" si="135"/>
        <v>2103</v>
      </c>
      <c r="S133" s="654" t="str">
        <f t="shared" si="135"/>
        <v>_</v>
      </c>
      <c r="T133" s="656" t="str">
        <f>+VLOOKUP($L133,Data_Validation!$A:$D,1,0)</f>
        <v>2103</v>
      </c>
      <c r="U133" s="656" t="str">
        <f>+VLOOKUP($L133,Data_Validation!$A:$D,3,0)</f>
        <v>Bilan</v>
      </c>
      <c r="V133" s="656" t="str">
        <f>+VLOOKUP($L133,Data_Validation!$A:$D,4,0)</f>
        <v>Effet à Payer Véhicules Usagés</v>
      </c>
      <c r="W133" s="656" t="str">
        <f>+VLOOKUP($L133,Data_Validation!$A:$E,5,0)</f>
        <v>$</v>
      </c>
      <c r="X133" s="656">
        <f>+VLOOKUP($L133,Data_Validation!$A:$F,6,0)</f>
        <v>0</v>
      </c>
    </row>
    <row r="134" spans="1:24" ht="15" customHeight="1">
      <c r="A134" s="1255" t="s">
        <v>910</v>
      </c>
      <c r="B134" s="1255" t="s">
        <v>911</v>
      </c>
      <c r="C134" s="1257">
        <v>-97106.73</v>
      </c>
      <c r="D134" s="1257">
        <v>-13414.47</v>
      </c>
      <c r="E134" s="1257">
        <v>-110521.2</v>
      </c>
      <c r="F134" s="1255" t="s">
        <v>902</v>
      </c>
      <c r="G134" s="1255" t="s">
        <v>911</v>
      </c>
      <c r="H134" s="1255" t="s">
        <v>3950</v>
      </c>
      <c r="I134" s="652"/>
      <c r="J134" s="652"/>
      <c r="K134" s="652"/>
      <c r="L134" s="653" t="str">
        <f t="shared" si="132"/>
        <v>2221</v>
      </c>
      <c r="M134" s="654" t="str">
        <f t="shared" si="0"/>
        <v>TVQ A PAYER</v>
      </c>
      <c r="N134" s="655">
        <f>+IF(OR($Q134=Parametres!$G$2,$Q134=Parametres!$G$3),I134,C134)</f>
        <v>-97106.73</v>
      </c>
      <c r="O134" s="655">
        <f>+IF(OR($Q134=Parametres!$G$2,$Q134=Parametres!$G$3),J134,D134)</f>
        <v>-13414.47</v>
      </c>
      <c r="P134" s="655">
        <f>+IF(OR($Q134=Parametres!$G$2,$Q134=Parametres!$G$3),K134,E134)</f>
        <v>-110521.2</v>
      </c>
      <c r="Q134" s="654" t="str">
        <f t="shared" ref="Q134:S134" si="136">+F134</f>
        <v>3-Passifs</v>
      </c>
      <c r="R134" s="653" t="str">
        <f t="shared" si="136"/>
        <v>2221</v>
      </c>
      <c r="S134" s="654" t="str">
        <f t="shared" si="136"/>
        <v>_</v>
      </c>
      <c r="T134" s="656" t="str">
        <f>+VLOOKUP($L134,Data_Validation!$A:$D,1,0)</f>
        <v>2221</v>
      </c>
      <c r="U134" s="656" t="str">
        <f>+VLOOKUP($L134,Data_Validation!$A:$D,3,0)</f>
        <v>Bilan</v>
      </c>
      <c r="V134" s="656" t="str">
        <f>+VLOOKUP($L134,Data_Validation!$A:$D,4,0)</f>
        <v>Taxes de Vente à Payer</v>
      </c>
      <c r="W134" s="656" t="str">
        <f>+VLOOKUP($L134,Data_Validation!$A:$E,5,0)</f>
        <v>$</v>
      </c>
      <c r="X134" s="656">
        <f>+VLOOKUP($L134,Data_Validation!$A:$F,6,0)</f>
        <v>0</v>
      </c>
    </row>
    <row r="135" spans="1:24" ht="15.75" customHeight="1">
      <c r="A135" s="1255" t="s">
        <v>912</v>
      </c>
      <c r="B135" s="1255" t="s">
        <v>1652</v>
      </c>
      <c r="C135" s="1257">
        <v>66595.820000000007</v>
      </c>
      <c r="D135" s="1257">
        <v>-427.19</v>
      </c>
      <c r="E135" s="1257">
        <v>66168.63</v>
      </c>
      <c r="F135" s="1255" t="s">
        <v>902</v>
      </c>
      <c r="G135" s="1255" t="s">
        <v>911</v>
      </c>
      <c r="H135" s="1255" t="s">
        <v>3950</v>
      </c>
      <c r="I135" s="652"/>
      <c r="J135" s="652"/>
      <c r="K135" s="652"/>
      <c r="L135" s="653" t="str">
        <f t="shared" si="132"/>
        <v>2222</v>
      </c>
      <c r="M135" s="654" t="str">
        <f t="shared" si="0"/>
        <v>TVQ A RECEVOIR</v>
      </c>
      <c r="N135" s="655">
        <f>+IF(OR($Q135=Parametres!$G$2,$Q135=Parametres!$G$3),I135,C135)</f>
        <v>66595.820000000007</v>
      </c>
      <c r="O135" s="655">
        <f>+IF(OR($Q135=Parametres!$G$2,$Q135=Parametres!$G$3),J135,D135)</f>
        <v>-427.19</v>
      </c>
      <c r="P135" s="655">
        <f>+IF(OR($Q135=Parametres!$G$2,$Q135=Parametres!$G$3),K135,E135)</f>
        <v>66168.63</v>
      </c>
      <c r="Q135" s="654" t="str">
        <f t="shared" ref="Q135:S135" si="137">+F135</f>
        <v>3-Passifs</v>
      </c>
      <c r="R135" s="653" t="str">
        <f t="shared" si="137"/>
        <v>2221</v>
      </c>
      <c r="S135" s="654" t="str">
        <f t="shared" si="137"/>
        <v>_</v>
      </c>
      <c r="T135" s="656" t="str">
        <f>+VLOOKUP($L135,Data_Validation!$A:$D,1,0)</f>
        <v>2222</v>
      </c>
      <c r="U135" s="656" t="str">
        <f>+VLOOKUP($L135,Data_Validation!$A:$D,3,0)</f>
        <v>Bilan</v>
      </c>
      <c r="V135" s="656" t="str">
        <f>+VLOOKUP($L135,Data_Validation!$A:$D,4,0)</f>
        <v>Taxes de Vente à Payer</v>
      </c>
      <c r="W135" s="656" t="str">
        <f>+VLOOKUP($L135,Data_Validation!$A:$E,5,0)</f>
        <v>$</v>
      </c>
      <c r="X135" s="656">
        <f>+VLOOKUP($L135,Data_Validation!$A:$F,6,0)</f>
        <v>0</v>
      </c>
    </row>
    <row r="136" spans="1:24" ht="15" customHeight="1">
      <c r="A136" s="1255" t="s">
        <v>913</v>
      </c>
      <c r="B136" s="1255" t="s">
        <v>914</v>
      </c>
      <c r="C136" s="1257">
        <v>-288608.84999999998</v>
      </c>
      <c r="D136" s="1257">
        <v>13921.62</v>
      </c>
      <c r="E136" s="1257">
        <v>-274687.23</v>
      </c>
      <c r="F136" s="1255" t="s">
        <v>902</v>
      </c>
      <c r="G136" s="1255" t="s">
        <v>914</v>
      </c>
      <c r="H136" s="1255" t="s">
        <v>3950</v>
      </c>
      <c r="I136" s="652"/>
      <c r="J136" s="652"/>
      <c r="K136" s="652"/>
      <c r="L136" s="653" t="str">
        <f t="shared" ref="L136:L151" si="138">TEXT(B136,0)</f>
        <v>2223</v>
      </c>
      <c r="M136" s="654" t="str">
        <f t="shared" ref="M136:M151" si="139">+A136</f>
        <v>TPS A PAYER</v>
      </c>
      <c r="N136" s="655">
        <f>+IF(OR($Q136=Parametres!$G$2,$Q136=Parametres!$G$3),I136,C136)</f>
        <v>-288608.84999999998</v>
      </c>
      <c r="O136" s="655">
        <f>+IF(OR($Q136=Parametres!$G$2,$Q136=Parametres!$G$3),J136,D136)</f>
        <v>13921.62</v>
      </c>
      <c r="P136" s="655">
        <f>+IF(OR($Q136=Parametres!$G$2,$Q136=Parametres!$G$3),K136,E136)</f>
        <v>-274687.23</v>
      </c>
      <c r="Q136" s="654" t="str">
        <f t="shared" ref="Q136:Q151" si="140">+F136</f>
        <v>3-Passifs</v>
      </c>
      <c r="R136" s="653" t="str">
        <f t="shared" ref="R136:R151" si="141">+G136</f>
        <v>2223</v>
      </c>
      <c r="S136" s="654" t="str">
        <f t="shared" ref="S136:S151" si="142">+H136</f>
        <v>_</v>
      </c>
      <c r="T136" s="656" t="str">
        <f>+VLOOKUP($L136,Data_Validation!$A:$D,1,0)</f>
        <v>2223</v>
      </c>
      <c r="U136" s="656" t="str">
        <f>+VLOOKUP($L136,Data_Validation!$A:$D,3,0)</f>
        <v>Bilan</v>
      </c>
      <c r="V136" s="656" t="str">
        <f>+VLOOKUP($L136,Data_Validation!$A:$D,4,0)</f>
        <v>Taxes de Vente à Payer</v>
      </c>
      <c r="W136" s="656" t="str">
        <f>+VLOOKUP($L136,Data_Validation!$A:$E,5,0)</f>
        <v>$</v>
      </c>
      <c r="X136" s="656">
        <f>+VLOOKUP($L136,Data_Validation!$A:$F,6,0)</f>
        <v>0</v>
      </c>
    </row>
    <row r="137" spans="1:24" ht="15" customHeight="1">
      <c r="A137" s="1255" t="s">
        <v>915</v>
      </c>
      <c r="B137" s="1255" t="s">
        <v>1657</v>
      </c>
      <c r="C137" s="1257">
        <v>260684.4</v>
      </c>
      <c r="D137" s="1257">
        <v>-88659.49</v>
      </c>
      <c r="E137" s="1257">
        <v>172024.91</v>
      </c>
      <c r="F137" s="1255" t="s">
        <v>902</v>
      </c>
      <c r="G137" s="1255" t="s">
        <v>914</v>
      </c>
      <c r="H137" s="1255" t="s">
        <v>3950</v>
      </c>
      <c r="I137" s="652"/>
      <c r="J137" s="652"/>
      <c r="K137" s="652"/>
      <c r="L137" s="653" t="str">
        <f t="shared" si="138"/>
        <v>2224</v>
      </c>
      <c r="M137" s="654" t="str">
        <f t="shared" si="139"/>
        <v>TPS A RECEVOIR</v>
      </c>
      <c r="N137" s="655">
        <f>+IF(OR($Q137=Parametres!$G$2,$Q137=Parametres!$G$3),I137,C137)</f>
        <v>260684.4</v>
      </c>
      <c r="O137" s="655">
        <f>+IF(OR($Q137=Parametres!$G$2,$Q137=Parametres!$G$3),J137,D137)</f>
        <v>-88659.49</v>
      </c>
      <c r="P137" s="655">
        <f>+IF(OR($Q137=Parametres!$G$2,$Q137=Parametres!$G$3),K137,E137)</f>
        <v>172024.91</v>
      </c>
      <c r="Q137" s="654" t="str">
        <f t="shared" si="140"/>
        <v>3-Passifs</v>
      </c>
      <c r="R137" s="653" t="str">
        <f t="shared" si="141"/>
        <v>2223</v>
      </c>
      <c r="S137" s="654" t="str">
        <f t="shared" si="142"/>
        <v>_</v>
      </c>
      <c r="T137" s="656" t="str">
        <f>+VLOOKUP($L137,Data_Validation!$A:$D,1,0)</f>
        <v>2224</v>
      </c>
      <c r="U137" s="656" t="str">
        <f>+VLOOKUP($L137,Data_Validation!$A:$D,3,0)</f>
        <v>Bilan</v>
      </c>
      <c r="V137" s="656" t="str">
        <f>+VLOOKUP($L137,Data_Validation!$A:$D,4,0)</f>
        <v>Taxes de Vente à Payer</v>
      </c>
      <c r="W137" s="656" t="str">
        <f>+VLOOKUP($L137,Data_Validation!$A:$E,5,0)</f>
        <v>$</v>
      </c>
      <c r="X137" s="656">
        <f>+VLOOKUP($L137,Data_Validation!$A:$F,6,0)</f>
        <v>0</v>
      </c>
    </row>
    <row r="138" spans="1:24" ht="15" customHeight="1">
      <c r="A138" s="1255" t="s">
        <v>916</v>
      </c>
      <c r="B138" s="1255" t="s">
        <v>1660</v>
      </c>
      <c r="C138" s="1257">
        <v>-1944</v>
      </c>
      <c r="D138" s="1257">
        <v>229.5</v>
      </c>
      <c r="E138" s="1257">
        <v>-1714.5</v>
      </c>
      <c r="F138" s="1255" t="s">
        <v>902</v>
      </c>
      <c r="G138" s="1255" t="s">
        <v>911</v>
      </c>
      <c r="H138" s="1255" t="s">
        <v>3950</v>
      </c>
      <c r="I138" s="663"/>
      <c r="J138" s="663"/>
      <c r="K138" s="663"/>
      <c r="L138" s="653" t="str">
        <f t="shared" si="138"/>
        <v>2225</v>
      </c>
      <c r="M138" s="654" t="str">
        <f t="shared" si="139"/>
        <v>DROIT SUR PNEUS</v>
      </c>
      <c r="N138" s="655">
        <f>+IF(OR($Q138=Parametres!$G$2,$Q138=Parametres!$G$3),I138,C138)</f>
        <v>-1944</v>
      </c>
      <c r="O138" s="655">
        <f>+IF(OR($Q138=Parametres!$G$2,$Q138=Parametres!$G$3),J138,D138)</f>
        <v>229.5</v>
      </c>
      <c r="P138" s="655">
        <f>+IF(OR($Q138=Parametres!$G$2,$Q138=Parametres!$G$3),K138,E138)</f>
        <v>-1714.5</v>
      </c>
      <c r="Q138" s="654" t="str">
        <f t="shared" si="140"/>
        <v>3-Passifs</v>
      </c>
      <c r="R138" s="653" t="str">
        <f t="shared" si="141"/>
        <v>2221</v>
      </c>
      <c r="S138" s="654" t="str">
        <f t="shared" si="142"/>
        <v>_</v>
      </c>
      <c r="T138" s="656" t="str">
        <f>+VLOOKUP($L138,Data_Validation!$A:$D,1,0)</f>
        <v>2225</v>
      </c>
      <c r="U138" s="656" t="str">
        <f>+VLOOKUP($L138,Data_Validation!$A:$D,3,0)</f>
        <v>Bilan</v>
      </c>
      <c r="V138" s="656" t="str">
        <f>+VLOOKUP($L138,Data_Validation!$A:$D,4,0)</f>
        <v>Taxes de Vente à Payer</v>
      </c>
      <c r="W138" s="656" t="str">
        <f>+VLOOKUP($L138,Data_Validation!$A:$E,5,0)</f>
        <v>$</v>
      </c>
      <c r="X138" s="656">
        <f>+VLOOKUP($L138,Data_Validation!$A:$F,6,0)</f>
        <v>0</v>
      </c>
    </row>
    <row r="139" spans="1:24" ht="15.75" customHeight="1">
      <c r="A139" s="1255" t="s">
        <v>917</v>
      </c>
      <c r="B139" s="1255" t="s">
        <v>1663</v>
      </c>
      <c r="C139" s="1257">
        <v>-233265.07</v>
      </c>
      <c r="D139" s="1257">
        <v>57794.1</v>
      </c>
      <c r="E139" s="1257">
        <v>-175470.97</v>
      </c>
      <c r="F139" s="1255" t="s">
        <v>902</v>
      </c>
      <c r="G139" s="1255" t="s">
        <v>918</v>
      </c>
      <c r="H139" s="1255" t="s">
        <v>3950</v>
      </c>
      <c r="I139" s="652"/>
      <c r="J139" s="652"/>
      <c r="K139" s="652"/>
      <c r="L139" s="653" t="str">
        <f t="shared" si="138"/>
        <v>2281</v>
      </c>
      <c r="M139" s="654" t="str">
        <f t="shared" si="139"/>
        <v>LIEN A PAYER</v>
      </c>
      <c r="N139" s="655">
        <f>+IF(OR($Q139=Parametres!$G$2,$Q139=Parametres!$G$3),I139,C139)</f>
        <v>-233265.07</v>
      </c>
      <c r="O139" s="655">
        <f>+IF(OR($Q139=Parametres!$G$2,$Q139=Parametres!$G$3),J139,D139)</f>
        <v>57794.1</v>
      </c>
      <c r="P139" s="655">
        <f>+IF(OR($Q139=Parametres!$G$2,$Q139=Parametres!$G$3),K139,E139)</f>
        <v>-175470.97</v>
      </c>
      <c r="Q139" s="654" t="str">
        <f t="shared" si="140"/>
        <v>3-Passifs</v>
      </c>
      <c r="R139" s="653" t="str">
        <f t="shared" si="141"/>
        <v>2283</v>
      </c>
      <c r="S139" s="654" t="str">
        <f t="shared" si="142"/>
        <v>_</v>
      </c>
      <c r="T139" s="656" t="str">
        <f>+VLOOKUP($L139,Data_Validation!$A:$D,1,0)</f>
        <v>2281</v>
      </c>
      <c r="U139" s="656" t="str">
        <f>+VLOOKUP($L139,Data_Validation!$A:$D,3,0)</f>
        <v>Bilan</v>
      </c>
      <c r="V139" s="656" t="str">
        <f>+VLOOKUP($L139,Data_Validation!$A:$D,4,0)</f>
        <v>Autres Comptes à Payer</v>
      </c>
      <c r="W139" s="656" t="str">
        <f>+VLOOKUP($L139,Data_Validation!$A:$E,5,0)</f>
        <v>$</v>
      </c>
      <c r="X139" s="656">
        <f>+VLOOKUP($L139,Data_Validation!$A:$F,6,0)</f>
        <v>0</v>
      </c>
    </row>
    <row r="140" spans="1:24" ht="15" customHeight="1">
      <c r="A140" s="1255" t="s">
        <v>919</v>
      </c>
      <c r="B140" s="1255" t="s">
        <v>918</v>
      </c>
      <c r="C140" s="1257">
        <v>-2613.37</v>
      </c>
      <c r="D140" s="1257">
        <v>-830</v>
      </c>
      <c r="E140" s="1257">
        <v>-3443.37</v>
      </c>
      <c r="F140" s="1255" t="s">
        <v>902</v>
      </c>
      <c r="G140" s="1255" t="s">
        <v>918</v>
      </c>
      <c r="H140" s="1255" t="s">
        <v>3950</v>
      </c>
      <c r="I140" s="652"/>
      <c r="J140" s="652"/>
      <c r="K140" s="652"/>
      <c r="L140" s="653" t="str">
        <f t="shared" si="138"/>
        <v>2283</v>
      </c>
      <c r="M140" s="654" t="str">
        <f t="shared" si="139"/>
        <v>PLAQUE A PAYER</v>
      </c>
      <c r="N140" s="655">
        <f>+IF(OR($Q140=Parametres!$G$2,$Q140=Parametres!$G$3),I140,C140)</f>
        <v>-2613.37</v>
      </c>
      <c r="O140" s="655">
        <f>+IF(OR($Q140=Parametres!$G$2,$Q140=Parametres!$G$3),J140,D140)</f>
        <v>-830</v>
      </c>
      <c r="P140" s="655">
        <f>+IF(OR($Q140=Parametres!$G$2,$Q140=Parametres!$G$3),K140,E140)</f>
        <v>-3443.37</v>
      </c>
      <c r="Q140" s="654" t="str">
        <f t="shared" si="140"/>
        <v>3-Passifs</v>
      </c>
      <c r="R140" s="653" t="str">
        <f t="shared" si="141"/>
        <v>2283</v>
      </c>
      <c r="S140" s="654" t="str">
        <f t="shared" si="142"/>
        <v>_</v>
      </c>
      <c r="T140" s="656" t="str">
        <f>+VLOOKUP($L140,Data_Validation!$A:$D,1,0)</f>
        <v>2283</v>
      </c>
      <c r="U140" s="656" t="str">
        <f>+VLOOKUP($L140,Data_Validation!$A:$D,3,0)</f>
        <v>Bilan</v>
      </c>
      <c r="V140" s="656" t="str">
        <f>+VLOOKUP($L140,Data_Validation!$A:$D,4,0)</f>
        <v>Autres Comptes à Payer</v>
      </c>
      <c r="W140" s="656" t="str">
        <f>+VLOOKUP($L140,Data_Validation!$A:$E,5,0)</f>
        <v>$</v>
      </c>
      <c r="X140" s="656">
        <f>+VLOOKUP($L140,Data_Validation!$A:$F,6,0)</f>
        <v>0</v>
      </c>
    </row>
    <row r="141" spans="1:24" ht="15" customHeight="1">
      <c r="A141" s="1255" t="s">
        <v>920</v>
      </c>
      <c r="B141" s="1255" t="s">
        <v>1668</v>
      </c>
      <c r="C141" s="1257">
        <v>-66581.820000000007</v>
      </c>
      <c r="D141" s="1257">
        <v>21913.599999999999</v>
      </c>
      <c r="E141" s="1257">
        <v>-44668.22</v>
      </c>
      <c r="F141" s="1255" t="s">
        <v>902</v>
      </c>
      <c r="G141" s="1255" t="s">
        <v>918</v>
      </c>
      <c r="H141" s="1255" t="s">
        <v>3950</v>
      </c>
      <c r="I141" s="663"/>
      <c r="J141" s="663"/>
      <c r="K141" s="663"/>
      <c r="L141" s="653" t="str">
        <f t="shared" si="138"/>
        <v>2285</v>
      </c>
      <c r="M141" s="654" t="str">
        <f t="shared" si="139"/>
        <v>PROTECTIONS A PAYER</v>
      </c>
      <c r="N141" s="655">
        <f>+IF(OR($Q141=Parametres!$G$2,$Q141=Parametres!$G$3),I141,C141)</f>
        <v>-66581.820000000007</v>
      </c>
      <c r="O141" s="655">
        <f>+IF(OR($Q141=Parametres!$G$2,$Q141=Parametres!$G$3),J141,D141)</f>
        <v>21913.599999999999</v>
      </c>
      <c r="P141" s="655">
        <f>+IF(OR($Q141=Parametres!$G$2,$Q141=Parametres!$G$3),K141,E141)</f>
        <v>-44668.22</v>
      </c>
      <c r="Q141" s="654" t="str">
        <f t="shared" si="140"/>
        <v>3-Passifs</v>
      </c>
      <c r="R141" s="653" t="str">
        <f t="shared" si="141"/>
        <v>2283</v>
      </c>
      <c r="S141" s="654" t="str">
        <f t="shared" si="142"/>
        <v>_</v>
      </c>
      <c r="T141" s="656" t="str">
        <f>+VLOOKUP($L141,Data_Validation!$A:$D,1,0)</f>
        <v>2285</v>
      </c>
      <c r="U141" s="656" t="str">
        <f>+VLOOKUP($L141,Data_Validation!$A:$D,3,0)</f>
        <v>Bilan</v>
      </c>
      <c r="V141" s="656" t="str">
        <f>+VLOOKUP($L141,Data_Validation!$A:$D,4,0)</f>
        <v>Autres Comptes à Payer</v>
      </c>
      <c r="W141" s="656" t="str">
        <f>+VLOOKUP($L141,Data_Validation!$A:$E,5,0)</f>
        <v>$</v>
      </c>
      <c r="X141" s="656">
        <f>+VLOOKUP($L141,Data_Validation!$A:$F,6,0)</f>
        <v>0</v>
      </c>
    </row>
    <row r="142" spans="1:24" ht="15" customHeight="1">
      <c r="A142" s="1255" t="s">
        <v>921</v>
      </c>
      <c r="B142" s="1255" t="s">
        <v>1671</v>
      </c>
      <c r="C142" s="1257">
        <v>-866.2</v>
      </c>
      <c r="D142" s="1257">
        <v>-4663.66</v>
      </c>
      <c r="E142" s="1257">
        <v>-5529.86</v>
      </c>
      <c r="F142" s="1255" t="s">
        <v>902</v>
      </c>
      <c r="G142" s="1255" t="s">
        <v>918</v>
      </c>
      <c r="H142" s="1255" t="s">
        <v>3950</v>
      </c>
      <c r="I142" s="663"/>
      <c r="J142" s="663"/>
      <c r="K142" s="663"/>
      <c r="L142" s="653" t="str">
        <f t="shared" si="138"/>
        <v>2287</v>
      </c>
      <c r="M142" s="654" t="str">
        <f t="shared" si="139"/>
        <v>A PAYER INVAPLAN</v>
      </c>
      <c r="N142" s="655">
        <f>+IF(OR($Q142=Parametres!$G$2,$Q142=Parametres!$G$3),I142,C142)</f>
        <v>-866.2</v>
      </c>
      <c r="O142" s="655">
        <f>+IF(OR($Q142=Parametres!$G$2,$Q142=Parametres!$G$3),J142,D142)</f>
        <v>-4663.66</v>
      </c>
      <c r="P142" s="655">
        <f>+IF(OR($Q142=Parametres!$G$2,$Q142=Parametres!$G$3),K142,E142)</f>
        <v>-5529.86</v>
      </c>
      <c r="Q142" s="654" t="str">
        <f t="shared" si="140"/>
        <v>3-Passifs</v>
      </c>
      <c r="R142" s="653" t="str">
        <f t="shared" si="141"/>
        <v>2283</v>
      </c>
      <c r="S142" s="654" t="str">
        <f t="shared" si="142"/>
        <v>_</v>
      </c>
      <c r="T142" s="656" t="str">
        <f>+VLOOKUP($L142,Data_Validation!$A:$D,1,0)</f>
        <v>2287</v>
      </c>
      <c r="U142" s="656" t="str">
        <f>+VLOOKUP($L142,Data_Validation!$A:$D,3,0)</f>
        <v>Bilan</v>
      </c>
      <c r="V142" s="656" t="str">
        <f>+VLOOKUP($L142,Data_Validation!$A:$D,4,0)</f>
        <v>Autres Comptes à Payer</v>
      </c>
      <c r="W142" s="656" t="str">
        <f>+VLOOKUP($L142,Data_Validation!$A:$E,5,0)</f>
        <v>$</v>
      </c>
      <c r="X142" s="656">
        <f>+VLOOKUP($L142,Data_Validation!$A:$F,6,0)</f>
        <v>0</v>
      </c>
    </row>
    <row r="143" spans="1:24" ht="15.75" customHeight="1">
      <c r="A143" s="1255" t="s">
        <v>922</v>
      </c>
      <c r="B143" s="1255" t="s">
        <v>923</v>
      </c>
      <c r="C143" s="1257">
        <v>-440164.42</v>
      </c>
      <c r="D143" s="1257">
        <v>-73106.649999999994</v>
      </c>
      <c r="E143" s="1257">
        <v>-513271.07</v>
      </c>
      <c r="F143" s="1255" t="s">
        <v>902</v>
      </c>
      <c r="G143" s="1255" t="s">
        <v>923</v>
      </c>
      <c r="H143" s="1255" t="s">
        <v>3950</v>
      </c>
      <c r="I143" s="652"/>
      <c r="J143" s="652"/>
      <c r="K143" s="652"/>
      <c r="L143" s="653" t="str">
        <f t="shared" si="138"/>
        <v>2291</v>
      </c>
      <c r="M143" s="654" t="str">
        <f t="shared" si="139"/>
        <v>COMPTES FOURNISSEURS</v>
      </c>
      <c r="N143" s="655">
        <f>+IF(OR($Q143=Parametres!$G$2,$Q143=Parametres!$G$3),I143,C143)</f>
        <v>-440164.42</v>
      </c>
      <c r="O143" s="655">
        <f>+IF(OR($Q143=Parametres!$G$2,$Q143=Parametres!$G$3),J143,D143)</f>
        <v>-73106.649999999994</v>
      </c>
      <c r="P143" s="655">
        <f>+IF(OR($Q143=Parametres!$G$2,$Q143=Parametres!$G$3),K143,E143)</f>
        <v>-513271.07</v>
      </c>
      <c r="Q143" s="654" t="str">
        <f t="shared" si="140"/>
        <v>3-Passifs</v>
      </c>
      <c r="R143" s="653" t="str">
        <f t="shared" si="141"/>
        <v>2291</v>
      </c>
      <c r="S143" s="654" t="str">
        <f t="shared" si="142"/>
        <v>_</v>
      </c>
      <c r="T143" s="656" t="str">
        <f>+VLOOKUP($L143,Data_Validation!$A:$D,1,0)</f>
        <v>2291</v>
      </c>
      <c r="U143" s="656" t="str">
        <f>+VLOOKUP($L143,Data_Validation!$A:$D,3,0)</f>
        <v>Bilan</v>
      </c>
      <c r="V143" s="656" t="str">
        <f>+VLOOKUP($L143,Data_Validation!$A:$D,4,0)</f>
        <v>Comptes à Payer Fournisseurs</v>
      </c>
      <c r="W143" s="656" t="str">
        <f>+VLOOKUP($L143,Data_Validation!$A:$E,5,0)</f>
        <v>$</v>
      </c>
      <c r="X143" s="656">
        <f>+VLOOKUP($L143,Data_Validation!$A:$F,6,0)</f>
        <v>0</v>
      </c>
    </row>
    <row r="144" spans="1:24" ht="15" customHeight="1">
      <c r="A144" s="1255" t="s">
        <v>924</v>
      </c>
      <c r="B144" s="1255" t="s">
        <v>1679</v>
      </c>
      <c r="C144" s="1257">
        <v>-110135.46</v>
      </c>
      <c r="D144" s="1257">
        <v>7245.31</v>
      </c>
      <c r="E144" s="1257">
        <v>-102890.15</v>
      </c>
      <c r="F144" s="1255" t="s">
        <v>902</v>
      </c>
      <c r="G144" s="1255" t="s">
        <v>923</v>
      </c>
      <c r="H144" s="1255" t="s">
        <v>3950</v>
      </c>
      <c r="I144" s="652"/>
      <c r="J144" s="652"/>
      <c r="K144" s="652"/>
      <c r="L144" s="653" t="str">
        <f t="shared" si="138"/>
        <v>2292</v>
      </c>
      <c r="M144" s="654" t="str">
        <f t="shared" si="139"/>
        <v>ECHANGE ENTRE CONCESSIONNAIRES</v>
      </c>
      <c r="N144" s="655">
        <f>+IF(OR($Q144=Parametres!$G$2,$Q144=Parametres!$G$3),I144,C144)</f>
        <v>-110135.46</v>
      </c>
      <c r="O144" s="655">
        <f>+IF(OR($Q144=Parametres!$G$2,$Q144=Parametres!$G$3),J144,D144)</f>
        <v>7245.31</v>
      </c>
      <c r="P144" s="655">
        <f>+IF(OR($Q144=Parametres!$G$2,$Q144=Parametres!$G$3),K144,E144)</f>
        <v>-102890.15</v>
      </c>
      <c r="Q144" s="654" t="str">
        <f t="shared" si="140"/>
        <v>3-Passifs</v>
      </c>
      <c r="R144" s="653" t="str">
        <f t="shared" si="141"/>
        <v>2291</v>
      </c>
      <c r="S144" s="654" t="str">
        <f t="shared" si="142"/>
        <v>_</v>
      </c>
      <c r="T144" s="656" t="str">
        <f>+VLOOKUP($L144,Data_Validation!$A:$D,1,0)</f>
        <v>2292</v>
      </c>
      <c r="U144" s="656" t="str">
        <f>+VLOOKUP($L144,Data_Validation!$A:$D,3,0)</f>
        <v>Bilan</v>
      </c>
      <c r="V144" s="656" t="str">
        <f>+VLOOKUP($L144,Data_Validation!$A:$D,4,0)</f>
        <v>Autres Comptes à Payer</v>
      </c>
      <c r="W144" s="656" t="str">
        <f>+VLOOKUP($L144,Data_Validation!$A:$E,5,0)</f>
        <v>$</v>
      </c>
      <c r="X144" s="656">
        <f>+VLOOKUP($L144,Data_Validation!$A:$F,6,0)</f>
        <v>0</v>
      </c>
    </row>
    <row r="145" spans="1:24" ht="15" customHeight="1">
      <c r="A145" s="1255" t="s">
        <v>925</v>
      </c>
      <c r="B145" s="1255" t="s">
        <v>928</v>
      </c>
      <c r="C145" s="1257">
        <v>-35114.949999999997</v>
      </c>
      <c r="D145" s="1257">
        <v>-5400</v>
      </c>
      <c r="E145" s="1257">
        <v>-40514.949999999997</v>
      </c>
      <c r="F145" s="1255" t="s">
        <v>902</v>
      </c>
      <c r="G145" s="1255" t="s">
        <v>918</v>
      </c>
      <c r="H145" s="1255" t="s">
        <v>3950</v>
      </c>
      <c r="I145" s="652"/>
      <c r="J145" s="652"/>
      <c r="K145" s="652"/>
      <c r="L145" s="653" t="str">
        <f t="shared" si="138"/>
        <v>2293</v>
      </c>
      <c r="M145" s="654" t="str">
        <f t="shared" si="139"/>
        <v>PROVISIONS GARANTIES USAGEES</v>
      </c>
      <c r="N145" s="655">
        <f>+IF(OR($Q145=Parametres!$G$2,$Q145=Parametres!$G$3),I145,C145)</f>
        <v>-35114.949999999997</v>
      </c>
      <c r="O145" s="655">
        <f>+IF(OR($Q145=Parametres!$G$2,$Q145=Parametres!$G$3),J145,D145)</f>
        <v>-5400</v>
      </c>
      <c r="P145" s="655">
        <f>+IF(OR($Q145=Parametres!$G$2,$Q145=Parametres!$G$3),K145,E145)</f>
        <v>-40514.949999999997</v>
      </c>
      <c r="Q145" s="654" t="str">
        <f t="shared" si="140"/>
        <v>3-Passifs</v>
      </c>
      <c r="R145" s="653" t="str">
        <f t="shared" si="141"/>
        <v>2283</v>
      </c>
      <c r="S145" s="654" t="str">
        <f t="shared" si="142"/>
        <v>_</v>
      </c>
      <c r="T145" s="656" t="str">
        <f>+VLOOKUP($L145,Data_Validation!$A:$D,1,0)</f>
        <v>2293</v>
      </c>
      <c r="U145" s="656" t="str">
        <f>+VLOOKUP($L145,Data_Validation!$A:$D,3,0)</f>
        <v>Bilan</v>
      </c>
      <c r="V145" s="656" t="str">
        <f>+VLOOKUP($L145,Data_Validation!$A:$D,4,0)</f>
        <v>Autres Courus</v>
      </c>
      <c r="W145" s="656" t="str">
        <f>+VLOOKUP($L145,Data_Validation!$A:$E,5,0)</f>
        <v>$</v>
      </c>
      <c r="X145" s="656">
        <f>+VLOOKUP($L145,Data_Validation!$A:$F,6,0)</f>
        <v>0</v>
      </c>
    </row>
    <row r="146" spans="1:24" ht="15" customHeight="1">
      <c r="A146" s="1255" t="s">
        <v>926</v>
      </c>
      <c r="B146" s="1255" t="s">
        <v>3376</v>
      </c>
      <c r="C146" s="1257">
        <v>1343.25</v>
      </c>
      <c r="D146" s="1257">
        <v>0</v>
      </c>
      <c r="E146" s="1257">
        <v>1343.25</v>
      </c>
      <c r="F146" s="1255" t="s">
        <v>902</v>
      </c>
      <c r="G146" s="1255" t="s">
        <v>918</v>
      </c>
      <c r="H146" s="1255" t="s">
        <v>3950</v>
      </c>
      <c r="I146" s="652"/>
      <c r="J146" s="652"/>
      <c r="K146" s="652"/>
      <c r="L146" s="653" t="str">
        <f t="shared" si="138"/>
        <v>2294</v>
      </c>
      <c r="M146" s="654" t="str">
        <f t="shared" si="139"/>
        <v>Volks RESERVE PROMO SAISONNIERE</v>
      </c>
      <c r="N146" s="655">
        <f>+IF(OR($Q146=Parametres!$G$2,$Q146=Parametres!$G$3),I146,C146)</f>
        <v>1343.25</v>
      </c>
      <c r="O146" s="655">
        <f>+IF(OR($Q146=Parametres!$G$2,$Q146=Parametres!$G$3),J146,D146)</f>
        <v>0</v>
      </c>
      <c r="P146" s="655">
        <f>+IF(OR($Q146=Parametres!$G$2,$Q146=Parametres!$G$3),K146,E146)</f>
        <v>1343.25</v>
      </c>
      <c r="Q146" s="654" t="str">
        <f t="shared" si="140"/>
        <v>3-Passifs</v>
      </c>
      <c r="R146" s="653" t="str">
        <f t="shared" si="141"/>
        <v>2283</v>
      </c>
      <c r="S146" s="654" t="str">
        <f t="shared" si="142"/>
        <v>_</v>
      </c>
      <c r="T146" s="656" t="str">
        <f>+VLOOKUP($L146,Data_Validation!$A:$D,1,0)</f>
        <v>2294</v>
      </c>
      <c r="U146" s="656" t="str">
        <f>+VLOOKUP($L146,Data_Validation!$A:$D,3,0)</f>
        <v>Bilan</v>
      </c>
      <c r="V146" s="656" t="str">
        <f>+VLOOKUP($L146,Data_Validation!$A:$D,4,0)</f>
        <v>Autres Courus</v>
      </c>
      <c r="W146" s="656" t="str">
        <f>+VLOOKUP($L146,Data_Validation!$A:$E,5,0)</f>
        <v>$</v>
      </c>
      <c r="X146" s="656">
        <f>+VLOOKUP($L146,Data_Validation!$A:$F,6,0)</f>
        <v>0</v>
      </c>
    </row>
    <row r="147" spans="1:24" ht="15" customHeight="1">
      <c r="A147" s="1255" t="s">
        <v>929</v>
      </c>
      <c r="B147" s="1255" t="s">
        <v>3377</v>
      </c>
      <c r="C147" s="1257">
        <v>-102649.78</v>
      </c>
      <c r="D147" s="1257">
        <v>-1968.12</v>
      </c>
      <c r="E147" s="1257">
        <v>-104617.9</v>
      </c>
      <c r="F147" s="1255" t="s">
        <v>902</v>
      </c>
      <c r="G147" s="1255" t="s">
        <v>923</v>
      </c>
      <c r="H147" s="1255" t="s">
        <v>3950</v>
      </c>
      <c r="I147" s="652"/>
      <c r="J147" s="652"/>
      <c r="K147" s="652"/>
      <c r="L147" s="653" t="str">
        <f t="shared" si="138"/>
        <v>2296</v>
      </c>
      <c r="M147" s="654" t="str">
        <f t="shared" si="139"/>
        <v>COMPTE FOURNISSEURS INTERCO</v>
      </c>
      <c r="N147" s="655">
        <f>+IF(OR($Q147=Parametres!$G$2,$Q147=Parametres!$G$3),I147,C147)</f>
        <v>-102649.78</v>
      </c>
      <c r="O147" s="655">
        <f>+IF(OR($Q147=Parametres!$G$2,$Q147=Parametres!$G$3),J147,D147)</f>
        <v>-1968.12</v>
      </c>
      <c r="P147" s="655">
        <f>+IF(OR($Q147=Parametres!$G$2,$Q147=Parametres!$G$3),K147,E147)</f>
        <v>-104617.9</v>
      </c>
      <c r="Q147" s="654" t="str">
        <f t="shared" si="140"/>
        <v>3-Passifs</v>
      </c>
      <c r="R147" s="653" t="str">
        <f t="shared" si="141"/>
        <v>2291</v>
      </c>
      <c r="S147" s="654" t="str">
        <f t="shared" si="142"/>
        <v>_</v>
      </c>
      <c r="T147" s="656" t="str">
        <f>+VLOOKUP($L147,Data_Validation!$A:$D,1,0)</f>
        <v>2296</v>
      </c>
      <c r="U147" s="656" t="str">
        <f>+VLOOKUP($L147,Data_Validation!$A:$D,3,0)</f>
        <v>Bilan</v>
      </c>
      <c r="V147" s="656" t="str">
        <f>+VLOOKUP($L147,Data_Validation!$A:$D,4,0)</f>
        <v>Payables Intercos</v>
      </c>
      <c r="W147" s="656" t="str">
        <f>+VLOOKUP($L147,Data_Validation!$A:$E,5,0)</f>
        <v>$</v>
      </c>
      <c r="X147" s="656">
        <f>+VLOOKUP($L147,Data_Validation!$A:$F,6,0)</f>
        <v>0</v>
      </c>
    </row>
    <row r="148" spans="1:24" ht="15" customHeight="1">
      <c r="A148" s="1255" t="s">
        <v>930</v>
      </c>
      <c r="B148" s="1255" t="s">
        <v>1687</v>
      </c>
      <c r="C148" s="1257">
        <v>-8300</v>
      </c>
      <c r="D148" s="1257">
        <v>-1200</v>
      </c>
      <c r="E148" s="1257">
        <v>-9500</v>
      </c>
      <c r="F148" s="1255" t="s">
        <v>902</v>
      </c>
      <c r="G148" s="1255" t="s">
        <v>918</v>
      </c>
      <c r="H148" s="1255" t="s">
        <v>3950</v>
      </c>
      <c r="I148" s="663"/>
      <c r="J148" s="663"/>
      <c r="K148" s="663"/>
      <c r="L148" s="653" t="str">
        <f t="shared" si="138"/>
        <v>2297</v>
      </c>
      <c r="M148" s="654" t="str">
        <f t="shared" si="139"/>
        <v>RESERVE RENOUVELLEMENT</v>
      </c>
      <c r="N148" s="655">
        <f>+IF(OR($Q148=Parametres!$G$2,$Q148=Parametres!$G$3),I148,C148)</f>
        <v>-8300</v>
      </c>
      <c r="O148" s="655">
        <f>+IF(OR($Q148=Parametres!$G$2,$Q148=Parametres!$G$3),J148,D148)</f>
        <v>-1200</v>
      </c>
      <c r="P148" s="655">
        <f>+IF(OR($Q148=Parametres!$G$2,$Q148=Parametres!$G$3),K148,E148)</f>
        <v>-9500</v>
      </c>
      <c r="Q148" s="654" t="str">
        <f t="shared" si="140"/>
        <v>3-Passifs</v>
      </c>
      <c r="R148" s="653" t="str">
        <f t="shared" si="141"/>
        <v>2283</v>
      </c>
      <c r="S148" s="654" t="str">
        <f t="shared" si="142"/>
        <v>_</v>
      </c>
      <c r="T148" s="656" t="str">
        <f>+VLOOKUP($L148,Data_Validation!$A:$D,1,0)</f>
        <v>2297</v>
      </c>
      <c r="U148" s="656" t="str">
        <f>+VLOOKUP($L148,Data_Validation!$A:$D,3,0)</f>
        <v>Bilan</v>
      </c>
      <c r="V148" s="656" t="str">
        <f>+VLOOKUP($L148,Data_Validation!$A:$D,4,0)</f>
        <v>Autres Courus</v>
      </c>
      <c r="W148" s="656" t="str">
        <f>+VLOOKUP($L148,Data_Validation!$A:$E,5,0)</f>
        <v>$</v>
      </c>
      <c r="X148" s="656">
        <f>+VLOOKUP($L148,Data_Validation!$A:$F,6,0)</f>
        <v>0</v>
      </c>
    </row>
    <row r="149" spans="1:24" ht="15" customHeight="1">
      <c r="A149" s="1255" t="s">
        <v>3336</v>
      </c>
      <c r="B149" s="1255" t="s">
        <v>3337</v>
      </c>
      <c r="C149" s="1257">
        <v>27.79</v>
      </c>
      <c r="D149" s="1257">
        <v>0</v>
      </c>
      <c r="E149" s="1257">
        <v>27.79</v>
      </c>
      <c r="F149" s="1255" t="s">
        <v>902</v>
      </c>
      <c r="G149" s="1255" t="s">
        <v>3337</v>
      </c>
      <c r="H149" s="1255" t="s">
        <v>3950</v>
      </c>
      <c r="I149" s="663"/>
      <c r="J149" s="663"/>
      <c r="K149" s="663"/>
      <c r="L149" s="653" t="str">
        <f t="shared" si="138"/>
        <v>2305</v>
      </c>
      <c r="M149" s="654" t="str">
        <f t="shared" si="139"/>
        <v>FUTA ASSURANCE EMPLOYE</v>
      </c>
      <c r="N149" s="655">
        <f>+IF(OR($Q149=Parametres!$G$2,$Q149=Parametres!$G$3),I149,C149)</f>
        <v>27.79</v>
      </c>
      <c r="O149" s="655">
        <f>+IF(OR($Q149=Parametres!$G$2,$Q149=Parametres!$G$3),J149,D149)</f>
        <v>0</v>
      </c>
      <c r="P149" s="655">
        <f>+IF(OR($Q149=Parametres!$G$2,$Q149=Parametres!$G$3),K149,E149)</f>
        <v>27.79</v>
      </c>
      <c r="Q149" s="654" t="str">
        <f t="shared" si="140"/>
        <v>3-Passifs</v>
      </c>
      <c r="R149" s="653" t="str">
        <f t="shared" si="141"/>
        <v>2305</v>
      </c>
      <c r="S149" s="654" t="str">
        <f t="shared" si="142"/>
        <v>_</v>
      </c>
      <c r="T149" s="656" t="str">
        <f>+VLOOKUP($L149,Data_Validation!$A:$D,1,0)</f>
        <v>2305</v>
      </c>
      <c r="U149" s="656" t="str">
        <f>+VLOOKUP($L149,Data_Validation!$A:$D,3,0)</f>
        <v>Bilan</v>
      </c>
      <c r="V149" s="656" t="str">
        <f>+VLOOKUP($L149,Data_Validation!$A:$D,4,0)</f>
        <v>DAS à Payer</v>
      </c>
      <c r="W149" s="656" t="str">
        <f>+VLOOKUP($L149,Data_Validation!$A:$E,5,0)</f>
        <v>$</v>
      </c>
      <c r="X149" s="656">
        <f>+VLOOKUP($L149,Data_Validation!$A:$F,6,0)</f>
        <v>0</v>
      </c>
    </row>
    <row r="150" spans="1:24" ht="15" customHeight="1">
      <c r="A150" s="1255" t="s">
        <v>931</v>
      </c>
      <c r="B150" s="1255" t="s">
        <v>932</v>
      </c>
      <c r="C150" s="1257">
        <v>35961.050000000003</v>
      </c>
      <c r="D150" s="1257">
        <v>-1701.2</v>
      </c>
      <c r="E150" s="1257">
        <v>34259.85</v>
      </c>
      <c r="F150" s="1255" t="s">
        <v>902</v>
      </c>
      <c r="G150" s="1255" t="s">
        <v>932</v>
      </c>
      <c r="H150" s="1255" t="s">
        <v>3950</v>
      </c>
      <c r="I150" s="652"/>
      <c r="J150" s="652"/>
      <c r="K150" s="652"/>
      <c r="L150" s="653" t="str">
        <f t="shared" si="138"/>
        <v>2315</v>
      </c>
      <c r="M150" s="654" t="str">
        <f t="shared" si="139"/>
        <v>PRIME ASSURANCE GROUPE</v>
      </c>
      <c r="N150" s="655">
        <f>+IF(OR($Q150=Parametres!$G$2,$Q150=Parametres!$G$3),I150,C150)</f>
        <v>35961.050000000003</v>
      </c>
      <c r="O150" s="655">
        <f>+IF(OR($Q150=Parametres!$G$2,$Q150=Parametres!$G$3),J150,D150)</f>
        <v>-1701.2</v>
      </c>
      <c r="P150" s="655">
        <f>+IF(OR($Q150=Parametres!$G$2,$Q150=Parametres!$G$3),K150,E150)</f>
        <v>34259.85</v>
      </c>
      <c r="Q150" s="654" t="str">
        <f t="shared" si="140"/>
        <v>3-Passifs</v>
      </c>
      <c r="R150" s="653" t="str">
        <f t="shared" si="141"/>
        <v>2315</v>
      </c>
      <c r="S150" s="654" t="str">
        <f t="shared" si="142"/>
        <v>_</v>
      </c>
      <c r="T150" s="656" t="str">
        <f>+VLOOKUP($L150,Data_Validation!$A:$D,1,0)</f>
        <v>2315</v>
      </c>
      <c r="U150" s="656" t="str">
        <f>+VLOOKUP($L150,Data_Validation!$A:$D,3,0)</f>
        <v>Bilan</v>
      </c>
      <c r="V150" s="656" t="str">
        <f>+VLOOKUP($L150,Data_Validation!$A:$D,4,0)</f>
        <v>DAS à Payer</v>
      </c>
      <c r="W150" s="656" t="str">
        <f>+VLOOKUP($L150,Data_Validation!$A:$E,5,0)</f>
        <v>$</v>
      </c>
      <c r="X150" s="656">
        <f>+VLOOKUP($L150,Data_Validation!$A:$F,6,0)</f>
        <v>0</v>
      </c>
    </row>
    <row r="151" spans="1:24" ht="15.75" customHeight="1">
      <c r="A151" s="1255" t="s">
        <v>933</v>
      </c>
      <c r="B151" s="1255" t="s">
        <v>1695</v>
      </c>
      <c r="C151" s="1257">
        <v>52.35</v>
      </c>
      <c r="D151" s="1257">
        <v>0</v>
      </c>
      <c r="E151" s="1257">
        <v>52.35</v>
      </c>
      <c r="F151" s="1255" t="s">
        <v>902</v>
      </c>
      <c r="G151" s="1255" t="s">
        <v>932</v>
      </c>
      <c r="H151" s="1255" t="s">
        <v>3950</v>
      </c>
      <c r="I151" s="652"/>
      <c r="J151" s="652"/>
      <c r="K151" s="652"/>
      <c r="L151" s="653" t="str">
        <f t="shared" si="138"/>
        <v>2335</v>
      </c>
      <c r="M151" s="654" t="str">
        <f t="shared" si="139"/>
        <v>COMITE SOCIAL</v>
      </c>
      <c r="N151" s="655">
        <f>+IF(OR($Q151=Parametres!$G$2,$Q151=Parametres!$G$3),I151,C151)</f>
        <v>52.35</v>
      </c>
      <c r="O151" s="655">
        <f>+IF(OR($Q151=Parametres!$G$2,$Q151=Parametres!$G$3),J151,D151)</f>
        <v>0</v>
      </c>
      <c r="P151" s="655">
        <f>+IF(OR($Q151=Parametres!$G$2,$Q151=Parametres!$G$3),K151,E151)</f>
        <v>52.35</v>
      </c>
      <c r="Q151" s="654" t="str">
        <f t="shared" si="140"/>
        <v>3-Passifs</v>
      </c>
      <c r="R151" s="653" t="str">
        <f t="shared" si="141"/>
        <v>2315</v>
      </c>
      <c r="S151" s="654" t="str">
        <f t="shared" si="142"/>
        <v>_</v>
      </c>
      <c r="T151" s="656" t="str">
        <f>+VLOOKUP($L151,Data_Validation!$A:$D,1,0)</f>
        <v>2335</v>
      </c>
      <c r="U151" s="656" t="str">
        <f>+VLOOKUP($L151,Data_Validation!$A:$D,3,0)</f>
        <v>Bilan</v>
      </c>
      <c r="V151" s="656" t="str">
        <f>+VLOOKUP($L151,Data_Validation!$A:$D,4,0)</f>
        <v>DAS à Payer</v>
      </c>
      <c r="W151" s="656" t="str">
        <f>+VLOOKUP($L151,Data_Validation!$A:$E,5,0)</f>
        <v>$</v>
      </c>
      <c r="X151" s="656">
        <f>+VLOOKUP($L151,Data_Validation!$A:$F,6,0)</f>
        <v>0</v>
      </c>
    </row>
    <row r="152" spans="1:24" ht="15" customHeight="1">
      <c r="A152" s="1255" t="s">
        <v>934</v>
      </c>
      <c r="B152" s="1255" t="s">
        <v>1701</v>
      </c>
      <c r="C152" s="1257">
        <v>-26384.22</v>
      </c>
      <c r="D152" s="1257">
        <v>-9870.66</v>
      </c>
      <c r="E152" s="1257">
        <v>-36254.879999999997</v>
      </c>
      <c r="F152" s="1255" t="s">
        <v>902</v>
      </c>
      <c r="G152" s="1255" t="s">
        <v>932</v>
      </c>
      <c r="H152" s="1255" t="s">
        <v>3950</v>
      </c>
      <c r="I152" s="651"/>
      <c r="J152" s="651"/>
      <c r="K152" s="651"/>
      <c r="L152" s="653" t="str">
        <f t="shared" si="132"/>
        <v>2342</v>
      </c>
      <c r="M152" s="654" t="str">
        <f t="shared" si="0"/>
        <v>REER STANDARD LIFE</v>
      </c>
      <c r="N152" s="655">
        <f>+IF(OR($Q152=Parametres!$G$2,$Q152=Parametres!$G$3),I152,C152)</f>
        <v>-26384.22</v>
      </c>
      <c r="O152" s="655">
        <f>+IF(OR($Q152=Parametres!$G$2,$Q152=Parametres!$G$3),J152,D152)</f>
        <v>-9870.66</v>
      </c>
      <c r="P152" s="655">
        <f>+IF(OR($Q152=Parametres!$G$2,$Q152=Parametres!$G$3),K152,E152)</f>
        <v>-36254.879999999997</v>
      </c>
      <c r="Q152" s="654" t="str">
        <f t="shared" ref="Q152:S152" si="143">+F152</f>
        <v>3-Passifs</v>
      </c>
      <c r="R152" s="653" t="str">
        <f t="shared" si="143"/>
        <v>2315</v>
      </c>
      <c r="S152" s="654" t="str">
        <f t="shared" si="143"/>
        <v>_</v>
      </c>
      <c r="T152" s="656" t="str">
        <f>+VLOOKUP($L152,Data_Validation!$A:$D,1,0)</f>
        <v>2342</v>
      </c>
      <c r="U152" s="656" t="str">
        <f>+VLOOKUP($L152,Data_Validation!$A:$D,3,0)</f>
        <v>Bilan</v>
      </c>
      <c r="V152" s="656" t="str">
        <f>+VLOOKUP($L152,Data_Validation!$A:$D,4,0)</f>
        <v>DAS à Payer</v>
      </c>
      <c r="W152" s="656" t="str">
        <f>+VLOOKUP($L152,Data_Validation!$A:$E,5,0)</f>
        <v>$</v>
      </c>
      <c r="X152" s="656">
        <f>+VLOOKUP($L152,Data_Validation!$A:$F,6,0)</f>
        <v>0</v>
      </c>
    </row>
    <row r="153" spans="1:24" ht="15" customHeight="1">
      <c r="A153" s="1255" t="s">
        <v>935</v>
      </c>
      <c r="B153" s="1255" t="s">
        <v>1704</v>
      </c>
      <c r="C153" s="1257">
        <v>-741.18</v>
      </c>
      <c r="D153" s="1257">
        <v>-240.22</v>
      </c>
      <c r="E153" s="1257">
        <v>-981.4</v>
      </c>
      <c r="F153" s="1255" t="s">
        <v>902</v>
      </c>
      <c r="G153" s="1255" t="s">
        <v>932</v>
      </c>
      <c r="H153" s="1255" t="s">
        <v>3950</v>
      </c>
      <c r="I153" s="652"/>
      <c r="J153" s="652"/>
      <c r="K153" s="652"/>
      <c r="L153" s="653" t="str">
        <f t="shared" si="132"/>
        <v>2343</v>
      </c>
      <c r="M153" s="654" t="str">
        <f t="shared" si="0"/>
        <v>COMITE PARITAIRE</v>
      </c>
      <c r="N153" s="655">
        <f>+IF(OR($Q153=Parametres!$G$2,$Q153=Parametres!$G$3),I153,C153)</f>
        <v>-741.18</v>
      </c>
      <c r="O153" s="655">
        <f>+IF(OR($Q153=Parametres!$G$2,$Q153=Parametres!$G$3),J153,D153)</f>
        <v>-240.22</v>
      </c>
      <c r="P153" s="655">
        <f>+IF(OR($Q153=Parametres!$G$2,$Q153=Parametres!$G$3),K153,E153)</f>
        <v>-981.4</v>
      </c>
      <c r="Q153" s="654" t="str">
        <f t="shared" ref="Q153:S153" si="144">+F153</f>
        <v>3-Passifs</v>
      </c>
      <c r="R153" s="653" t="str">
        <f t="shared" si="144"/>
        <v>2315</v>
      </c>
      <c r="S153" s="654" t="str">
        <f t="shared" si="144"/>
        <v>_</v>
      </c>
      <c r="T153" s="656" t="str">
        <f>+VLOOKUP($L153,Data_Validation!$A:$D,1,0)</f>
        <v>2343</v>
      </c>
      <c r="U153" s="656" t="str">
        <f>+VLOOKUP($L153,Data_Validation!$A:$D,3,0)</f>
        <v>Bilan</v>
      </c>
      <c r="V153" s="656" t="str">
        <f>+VLOOKUP($L153,Data_Validation!$A:$D,4,0)</f>
        <v>DAS à Payer</v>
      </c>
      <c r="W153" s="656" t="str">
        <f>+VLOOKUP($L153,Data_Validation!$A:$E,5,0)</f>
        <v>$</v>
      </c>
      <c r="X153" s="656">
        <f>+VLOOKUP($L153,Data_Validation!$A:$F,6,0)</f>
        <v>0</v>
      </c>
    </row>
    <row r="154" spans="1:24" ht="15" customHeight="1">
      <c r="A154" s="1255" t="s">
        <v>936</v>
      </c>
      <c r="B154" s="1255" t="s">
        <v>1707</v>
      </c>
      <c r="C154" s="1257">
        <v>-394.12</v>
      </c>
      <c r="D154" s="1257">
        <v>-472.65</v>
      </c>
      <c r="E154" s="1257">
        <v>-866.77</v>
      </c>
      <c r="F154" s="1255" t="s">
        <v>902</v>
      </c>
      <c r="G154" s="1255" t="s">
        <v>932</v>
      </c>
      <c r="H154" s="1255" t="s">
        <v>3950</v>
      </c>
      <c r="I154" s="651"/>
      <c r="J154" s="651"/>
      <c r="K154" s="651"/>
      <c r="L154" s="653" t="str">
        <f t="shared" si="132"/>
        <v>2344</v>
      </c>
      <c r="M154" s="654" t="str">
        <f t="shared" si="0"/>
        <v>CENTRAIDE</v>
      </c>
      <c r="N154" s="655">
        <f>+IF(OR($Q154=Parametres!$G$2,$Q154=Parametres!$G$3),I154,C154)</f>
        <v>-394.12</v>
      </c>
      <c r="O154" s="655">
        <f>+IF(OR($Q154=Parametres!$G$2,$Q154=Parametres!$G$3),J154,D154)</f>
        <v>-472.65</v>
      </c>
      <c r="P154" s="655">
        <f>+IF(OR($Q154=Parametres!$G$2,$Q154=Parametres!$G$3),K154,E154)</f>
        <v>-866.77</v>
      </c>
      <c r="Q154" s="654" t="str">
        <f t="shared" ref="Q154:S154" si="145">+F154</f>
        <v>3-Passifs</v>
      </c>
      <c r="R154" s="653" t="str">
        <f t="shared" si="145"/>
        <v>2315</v>
      </c>
      <c r="S154" s="654" t="str">
        <f t="shared" si="145"/>
        <v>_</v>
      </c>
      <c r="T154" s="656" t="str">
        <f>+VLOOKUP($L154,Data_Validation!$A:$D,1,0)</f>
        <v>2344</v>
      </c>
      <c r="U154" s="656" t="str">
        <f>+VLOOKUP($L154,Data_Validation!$A:$D,3,0)</f>
        <v>Bilan</v>
      </c>
      <c r="V154" s="656" t="str">
        <f>+VLOOKUP($L154,Data_Validation!$A:$D,4,0)</f>
        <v>DAS à Payer</v>
      </c>
      <c r="W154" s="656" t="str">
        <f>+VLOOKUP($L154,Data_Validation!$A:$E,5,0)</f>
        <v>$</v>
      </c>
      <c r="X154" s="656">
        <f>+VLOOKUP($L154,Data_Validation!$A:$F,6,0)</f>
        <v>0</v>
      </c>
    </row>
    <row r="155" spans="1:24" ht="15.75" customHeight="1">
      <c r="A155" s="1255" t="s">
        <v>937</v>
      </c>
      <c r="B155" s="1255" t="s">
        <v>938</v>
      </c>
      <c r="C155" s="1257">
        <v>-40650</v>
      </c>
      <c r="D155" s="1257">
        <v>-8200</v>
      </c>
      <c r="E155" s="1257">
        <v>-48850</v>
      </c>
      <c r="F155" s="1255" t="s">
        <v>902</v>
      </c>
      <c r="G155" s="1255" t="s">
        <v>938</v>
      </c>
      <c r="H155" s="1255" t="s">
        <v>3950</v>
      </c>
      <c r="I155" s="652"/>
      <c r="J155" s="652"/>
      <c r="K155" s="652"/>
      <c r="L155" s="653" t="str">
        <f t="shared" si="132"/>
        <v>2401</v>
      </c>
      <c r="M155" s="654" t="str">
        <f t="shared" si="0"/>
        <v>DEPOTS FIDUCIE-VENTE CLIENTS</v>
      </c>
      <c r="N155" s="655">
        <f>+IF(OR($Q155=Parametres!$G$2,$Q155=Parametres!$G$3),I155,C155)</f>
        <v>-40650</v>
      </c>
      <c r="O155" s="655">
        <f>+IF(OR($Q155=Parametres!$G$2,$Q155=Parametres!$G$3),J155,D155)</f>
        <v>-8200</v>
      </c>
      <c r="P155" s="655">
        <f>+IF(OR($Q155=Parametres!$G$2,$Q155=Parametres!$G$3),K155,E155)</f>
        <v>-48850</v>
      </c>
      <c r="Q155" s="654" t="str">
        <f t="shared" ref="Q155:S155" si="146">+F155</f>
        <v>3-Passifs</v>
      </c>
      <c r="R155" s="653" t="str">
        <f t="shared" si="146"/>
        <v>2401</v>
      </c>
      <c r="S155" s="654" t="str">
        <f t="shared" si="146"/>
        <v>_</v>
      </c>
      <c r="T155" s="656" t="str">
        <f>+VLOOKUP($L155,Data_Validation!$A:$D,1,0)</f>
        <v>2401</v>
      </c>
      <c r="U155" s="656" t="str">
        <f>+VLOOKUP($L155,Data_Validation!$A:$D,3,0)</f>
        <v>Bilan</v>
      </c>
      <c r="V155" s="656" t="str">
        <f>+VLOOKUP($L155,Data_Validation!$A:$D,4,0)</f>
        <v>Dépôts de Client</v>
      </c>
      <c r="W155" s="656" t="str">
        <f>+VLOOKUP($L155,Data_Validation!$A:$E,5,0)</f>
        <v>$</v>
      </c>
      <c r="X155" s="656">
        <f>+VLOOKUP($L155,Data_Validation!$A:$F,6,0)</f>
        <v>0</v>
      </c>
    </row>
    <row r="156" spans="1:24" ht="15" customHeight="1">
      <c r="A156" s="1255" t="s">
        <v>939</v>
      </c>
      <c r="B156" s="1255" t="s">
        <v>940</v>
      </c>
      <c r="C156" s="1257">
        <v>-26001.86</v>
      </c>
      <c r="D156" s="1257">
        <v>5946.34</v>
      </c>
      <c r="E156" s="1257">
        <v>-20055.52</v>
      </c>
      <c r="F156" s="1255" t="s">
        <v>902</v>
      </c>
      <c r="G156" s="1255" t="s">
        <v>940</v>
      </c>
      <c r="H156" s="1255" t="s">
        <v>3950</v>
      </c>
      <c r="I156" s="651"/>
      <c r="J156" s="651"/>
      <c r="K156" s="651"/>
      <c r="L156" s="653" t="str">
        <f t="shared" si="132"/>
        <v>2501</v>
      </c>
      <c r="M156" s="654" t="str">
        <f t="shared" si="0"/>
        <v>COMMISSION A PAYER</v>
      </c>
      <c r="N156" s="655">
        <f>+IF(OR($Q156=Parametres!$G$2,$Q156=Parametres!$G$3),I156,C156)</f>
        <v>-26001.86</v>
      </c>
      <c r="O156" s="655">
        <f>+IF(OR($Q156=Parametres!$G$2,$Q156=Parametres!$G$3),J156,D156)</f>
        <v>5946.34</v>
      </c>
      <c r="P156" s="655">
        <f>+IF(OR($Q156=Parametres!$G$2,$Q156=Parametres!$G$3),K156,E156)</f>
        <v>-20055.52</v>
      </c>
      <c r="Q156" s="654" t="str">
        <f t="shared" ref="Q156:S156" si="147">+F156</f>
        <v>3-Passifs</v>
      </c>
      <c r="R156" s="653" t="str">
        <f t="shared" si="147"/>
        <v>2501</v>
      </c>
      <c r="S156" s="654" t="str">
        <f t="shared" si="147"/>
        <v>_</v>
      </c>
      <c r="T156" s="656" t="str">
        <f>+VLOOKUP($L156,Data_Validation!$A:$D,1,0)</f>
        <v>2501</v>
      </c>
      <c r="U156" s="656" t="str">
        <f>+VLOOKUP($L156,Data_Validation!$A:$D,3,0)</f>
        <v>Bilan</v>
      </c>
      <c r="V156" s="656" t="str">
        <f>+VLOOKUP($L156,Data_Validation!$A:$D,4,0)</f>
        <v>Salaires à Payer</v>
      </c>
      <c r="W156" s="656" t="str">
        <f>+VLOOKUP($L156,Data_Validation!$A:$E,5,0)</f>
        <v>$</v>
      </c>
      <c r="X156" s="656">
        <f>+VLOOKUP($L156,Data_Validation!$A:$F,6,0)</f>
        <v>0</v>
      </c>
    </row>
    <row r="157" spans="1:24" ht="15" customHeight="1">
      <c r="A157" s="1255" t="s">
        <v>941</v>
      </c>
      <c r="B157" s="1255" t="s">
        <v>3378</v>
      </c>
      <c r="C157" s="1257">
        <v>2427.4899999999998</v>
      </c>
      <c r="D157" s="1257">
        <v>1533.27</v>
      </c>
      <c r="E157" s="1257">
        <v>3960.76</v>
      </c>
      <c r="F157" s="1255" t="s">
        <v>902</v>
      </c>
      <c r="G157" s="1255" t="s">
        <v>942</v>
      </c>
      <c r="H157" s="1255" t="s">
        <v>3950</v>
      </c>
      <c r="I157" s="652"/>
      <c r="J157" s="652"/>
      <c r="K157" s="652"/>
      <c r="L157" s="653" t="str">
        <f t="shared" si="132"/>
        <v>2502</v>
      </c>
      <c r="M157" s="654" t="str">
        <f t="shared" si="0"/>
        <v>Compte de depense a payer</v>
      </c>
      <c r="N157" s="655">
        <f>+IF(OR($Q157=Parametres!$G$2,$Q157=Parametres!$G$3),I157,C157)</f>
        <v>2427.4899999999998</v>
      </c>
      <c r="O157" s="655">
        <f>+IF(OR($Q157=Parametres!$G$2,$Q157=Parametres!$G$3),J157,D157)</f>
        <v>1533.27</v>
      </c>
      <c r="P157" s="655">
        <f>+IF(OR($Q157=Parametres!$G$2,$Q157=Parametres!$G$3),K157,E157)</f>
        <v>3960.76</v>
      </c>
      <c r="Q157" s="654" t="str">
        <f t="shared" ref="Q157:S157" si="148">+F157</f>
        <v>3-Passifs</v>
      </c>
      <c r="R157" s="653" t="str">
        <f t="shared" si="148"/>
        <v>250</v>
      </c>
      <c r="S157" s="654" t="str">
        <f t="shared" si="148"/>
        <v>_</v>
      </c>
      <c r="T157" s="656" t="str">
        <f>+VLOOKUP($L157,Data_Validation!$A:$D,1,0)</f>
        <v>2502</v>
      </c>
      <c r="U157" s="656" t="str">
        <f>+VLOOKUP($L157,Data_Validation!$A:$D,3,0)</f>
        <v>Bilan</v>
      </c>
      <c r="V157" s="656" t="str">
        <f>+VLOOKUP($L157,Data_Validation!$A:$D,4,0)</f>
        <v>Salaires à Payer</v>
      </c>
      <c r="W157" s="656" t="str">
        <f>+VLOOKUP($L157,Data_Validation!$A:$E,5,0)</f>
        <v>$</v>
      </c>
      <c r="X157" s="656">
        <f>+VLOOKUP($L157,Data_Validation!$A:$F,6,0)</f>
        <v>0</v>
      </c>
    </row>
    <row r="158" spans="1:24" ht="15" customHeight="1">
      <c r="A158" s="1255" t="s">
        <v>943</v>
      </c>
      <c r="B158" s="1255" t="s">
        <v>944</v>
      </c>
      <c r="C158" s="1257">
        <v>-142675.24</v>
      </c>
      <c r="D158" s="1257">
        <v>38681.96</v>
      </c>
      <c r="E158" s="1257">
        <v>-103993.28</v>
      </c>
      <c r="F158" s="1255" t="s">
        <v>902</v>
      </c>
      <c r="G158" s="1255" t="s">
        <v>944</v>
      </c>
      <c r="H158" s="1255" t="s">
        <v>3950</v>
      </c>
      <c r="I158" s="663"/>
      <c r="J158" s="663"/>
      <c r="K158" s="663"/>
      <c r="L158" s="653" t="str">
        <f t="shared" si="132"/>
        <v>2503</v>
      </c>
      <c r="M158" s="654" t="str">
        <f t="shared" si="0"/>
        <v>SALAIRES DES EMPLOYES</v>
      </c>
      <c r="N158" s="655">
        <f>+IF(OR($Q158=Parametres!$G$2,$Q158=Parametres!$G$3),I158,C158)</f>
        <v>-142675.24</v>
      </c>
      <c r="O158" s="655">
        <f>+IF(OR($Q158=Parametres!$G$2,$Q158=Parametres!$G$3),J158,D158)</f>
        <v>38681.96</v>
      </c>
      <c r="P158" s="655">
        <f>+IF(OR($Q158=Parametres!$G$2,$Q158=Parametres!$G$3),K158,E158)</f>
        <v>-103993.28</v>
      </c>
      <c r="Q158" s="654" t="str">
        <f t="shared" ref="Q158:S158" si="149">+F158</f>
        <v>3-Passifs</v>
      </c>
      <c r="R158" s="653" t="str">
        <f t="shared" si="149"/>
        <v>2503</v>
      </c>
      <c r="S158" s="654" t="str">
        <f t="shared" si="149"/>
        <v>_</v>
      </c>
      <c r="T158" s="656" t="str">
        <f>+VLOOKUP($L158,Data_Validation!$A:$D,1,0)</f>
        <v>2503</v>
      </c>
      <c r="U158" s="656" t="str">
        <f>+VLOOKUP($L158,Data_Validation!$A:$D,3,0)</f>
        <v>Bilan</v>
      </c>
      <c r="V158" s="656" t="str">
        <f>+VLOOKUP($L158,Data_Validation!$A:$D,4,0)</f>
        <v>Salaires à Payer</v>
      </c>
      <c r="W158" s="656" t="str">
        <f>+VLOOKUP($L158,Data_Validation!$A:$E,5,0)</f>
        <v>$</v>
      </c>
      <c r="X158" s="656">
        <f>+VLOOKUP($L158,Data_Validation!$A:$F,6,0)</f>
        <v>0</v>
      </c>
    </row>
    <row r="159" spans="1:24" ht="15.75" customHeight="1">
      <c r="A159" s="1255" t="s">
        <v>946</v>
      </c>
      <c r="B159" s="1255" t="s">
        <v>1740</v>
      </c>
      <c r="C159" s="1257">
        <v>-250493.57</v>
      </c>
      <c r="D159" s="1257">
        <v>-11286.87</v>
      </c>
      <c r="E159" s="1257">
        <v>-261780.44</v>
      </c>
      <c r="F159" s="1255" t="s">
        <v>902</v>
      </c>
      <c r="G159" s="1255" t="s">
        <v>944</v>
      </c>
      <c r="H159" s="1255" t="s">
        <v>3950</v>
      </c>
      <c r="I159" s="664"/>
      <c r="J159" s="664"/>
      <c r="K159" s="664"/>
      <c r="L159" s="653" t="str">
        <f t="shared" si="132"/>
        <v>2509</v>
      </c>
      <c r="M159" s="654" t="str">
        <f t="shared" si="0"/>
        <v>SALAIRES DE VACANCES</v>
      </c>
      <c r="N159" s="655">
        <f>+IF(OR($Q159=Parametres!$G$2,$Q159=Parametres!$G$3),I159,C159)</f>
        <v>-250493.57</v>
      </c>
      <c r="O159" s="655">
        <f>+IF(OR($Q159=Parametres!$G$2,$Q159=Parametres!$G$3),J159,D159)</f>
        <v>-11286.87</v>
      </c>
      <c r="P159" s="655">
        <f>+IF(OR($Q159=Parametres!$G$2,$Q159=Parametres!$G$3),K159,E159)</f>
        <v>-261780.44</v>
      </c>
      <c r="Q159" s="654" t="str">
        <f t="shared" ref="Q159:S159" si="150">+F159</f>
        <v>3-Passifs</v>
      </c>
      <c r="R159" s="653" t="str">
        <f t="shared" si="150"/>
        <v>2503</v>
      </c>
      <c r="S159" s="654" t="str">
        <f t="shared" si="150"/>
        <v>_</v>
      </c>
      <c r="T159" s="656" t="str">
        <f>+VLOOKUP($L159,Data_Validation!$A:$D,1,0)</f>
        <v>2509</v>
      </c>
      <c r="U159" s="656" t="str">
        <f>+VLOOKUP($L159,Data_Validation!$A:$D,3,0)</f>
        <v>Bilan</v>
      </c>
      <c r="V159" s="656" t="str">
        <f>+VLOOKUP($L159,Data_Validation!$A:$D,4,0)</f>
        <v>Salaires à Payer</v>
      </c>
      <c r="W159" s="656" t="str">
        <f>+VLOOKUP($L159,Data_Validation!$A:$E,5,0)</f>
        <v>$</v>
      </c>
      <c r="X159" s="656">
        <f>+VLOOKUP($L159,Data_Validation!$A:$F,6,0)</f>
        <v>0</v>
      </c>
    </row>
    <row r="160" spans="1:24" ht="15" customHeight="1">
      <c r="A160" s="1255" t="s">
        <v>947</v>
      </c>
      <c r="B160" s="1255" t="s">
        <v>1743</v>
      </c>
      <c r="C160" s="1257">
        <v>-14702.63</v>
      </c>
      <c r="D160" s="1257">
        <v>0</v>
      </c>
      <c r="E160" s="1257">
        <v>-14702.63</v>
      </c>
      <c r="F160" s="1255" t="s">
        <v>902</v>
      </c>
      <c r="G160" s="1255" t="s">
        <v>944</v>
      </c>
      <c r="H160" s="1255" t="s">
        <v>3950</v>
      </c>
      <c r="I160" s="663"/>
      <c r="J160" s="663"/>
      <c r="K160" s="663"/>
      <c r="L160" s="653" t="str">
        <f t="shared" si="132"/>
        <v>2511</v>
      </c>
      <c r="M160" s="654" t="str">
        <f t="shared" si="0"/>
        <v>JOURNEE MALADIE</v>
      </c>
      <c r="N160" s="655">
        <f>+IF(OR($Q160=Parametres!$G$2,$Q160=Parametres!$G$3),I160,C160)</f>
        <v>-14702.63</v>
      </c>
      <c r="O160" s="655">
        <f>+IF(OR($Q160=Parametres!$G$2,$Q160=Parametres!$G$3),J160,D160)</f>
        <v>0</v>
      </c>
      <c r="P160" s="655">
        <f>+IF(OR($Q160=Parametres!$G$2,$Q160=Parametres!$G$3),K160,E160)</f>
        <v>-14702.63</v>
      </c>
      <c r="Q160" s="654" t="str">
        <f t="shared" ref="Q160:S160" si="151">+F160</f>
        <v>3-Passifs</v>
      </c>
      <c r="R160" s="653" t="str">
        <f t="shared" si="151"/>
        <v>2503</v>
      </c>
      <c r="S160" s="654" t="str">
        <f t="shared" si="151"/>
        <v>_</v>
      </c>
      <c r="T160" s="656" t="str">
        <f>+VLOOKUP($L160,Data_Validation!$A:$D,1,0)</f>
        <v>2511</v>
      </c>
      <c r="U160" s="656" t="str">
        <f>+VLOOKUP($L160,Data_Validation!$A:$D,3,0)</f>
        <v>Bilan</v>
      </c>
      <c r="V160" s="656" t="str">
        <f>+VLOOKUP($L160,Data_Validation!$A:$D,4,0)</f>
        <v>Salaires à Payer</v>
      </c>
      <c r="W160" s="656" t="str">
        <f>+VLOOKUP($L160,Data_Validation!$A:$E,5,0)</f>
        <v>$</v>
      </c>
      <c r="X160" s="656">
        <f>+VLOOKUP($L160,Data_Validation!$A:$F,6,0)</f>
        <v>0</v>
      </c>
    </row>
    <row r="161" spans="1:24" ht="15" customHeight="1">
      <c r="A161" s="1255" t="s">
        <v>948</v>
      </c>
      <c r="B161" s="1255" t="s">
        <v>949</v>
      </c>
      <c r="C161" s="1257">
        <v>-100608.85</v>
      </c>
      <c r="D161" s="1257">
        <v>39814</v>
      </c>
      <c r="E161" s="1257">
        <v>-60794.85</v>
      </c>
      <c r="F161" s="1255" t="s">
        <v>902</v>
      </c>
      <c r="G161" s="1255" t="s">
        <v>949</v>
      </c>
      <c r="H161" s="1255" t="s">
        <v>3950</v>
      </c>
      <c r="I161" s="664"/>
      <c r="J161" s="664"/>
      <c r="K161" s="664"/>
      <c r="L161" s="653" t="str">
        <f t="shared" si="132"/>
        <v>2561</v>
      </c>
      <c r="M161" s="654" t="str">
        <f t="shared" si="0"/>
        <v>REVENUE HOLDBACK DIFFERE</v>
      </c>
      <c r="N161" s="655">
        <f>+IF(OR($Q161=Parametres!$G$2,$Q161=Parametres!$G$3),I161,C161)</f>
        <v>-100608.85</v>
      </c>
      <c r="O161" s="655">
        <f>+IF(OR($Q161=Parametres!$G$2,$Q161=Parametres!$G$3),J161,D161)</f>
        <v>39814</v>
      </c>
      <c r="P161" s="655">
        <f>+IF(OR($Q161=Parametres!$G$2,$Q161=Parametres!$G$3),K161,E161)</f>
        <v>-60794.85</v>
      </c>
      <c r="Q161" s="654" t="str">
        <f t="shared" ref="Q161:S161" si="152">+F161</f>
        <v>3-Passifs</v>
      </c>
      <c r="R161" s="653" t="str">
        <f t="shared" si="152"/>
        <v>2561</v>
      </c>
      <c r="S161" s="654" t="str">
        <f t="shared" si="152"/>
        <v>_</v>
      </c>
      <c r="T161" s="656" t="str">
        <f>+VLOOKUP($L161,Data_Validation!$A:$D,1,0)</f>
        <v>2561</v>
      </c>
      <c r="U161" s="656" t="str">
        <f>+VLOOKUP($L161,Data_Validation!$A:$D,3,0)</f>
        <v>Bilan</v>
      </c>
      <c r="V161" s="656" t="str">
        <f>+VLOOKUP($L161,Data_Validation!$A:$D,4,0)</f>
        <v>Autres Courus</v>
      </c>
      <c r="W161" s="656" t="str">
        <f>+VLOOKUP($L161,Data_Validation!$A:$E,5,0)</f>
        <v>$</v>
      </c>
      <c r="X161" s="656">
        <f>+VLOOKUP($L161,Data_Validation!$A:$F,6,0)</f>
        <v>0</v>
      </c>
    </row>
    <row r="162" spans="1:24" ht="15" customHeight="1">
      <c r="A162" s="1255" t="s">
        <v>950</v>
      </c>
      <c r="B162" s="1255" t="s">
        <v>3379</v>
      </c>
      <c r="C162" s="1257">
        <v>-242566.15</v>
      </c>
      <c r="D162" s="1257">
        <v>0</v>
      </c>
      <c r="E162" s="1257">
        <v>-242566.15</v>
      </c>
      <c r="F162" s="1255" t="s">
        <v>902</v>
      </c>
      <c r="G162" s="1255" t="s">
        <v>951</v>
      </c>
      <c r="H162" s="1255" t="s">
        <v>3950</v>
      </c>
      <c r="I162" s="652"/>
      <c r="J162" s="652"/>
      <c r="K162" s="652"/>
      <c r="L162" s="653" t="str">
        <f t="shared" si="132"/>
        <v>2562</v>
      </c>
      <c r="M162" s="654" t="str">
        <f t="shared" si="0"/>
        <v>PROVISIONS QG</v>
      </c>
      <c r="N162" s="655">
        <f>+IF(OR($Q162=Parametres!$G$2,$Q162=Parametres!$G$3),I162,C162)</f>
        <v>-242566.15</v>
      </c>
      <c r="O162" s="655">
        <f>+IF(OR($Q162=Parametres!$G$2,$Q162=Parametres!$G$3),J162,D162)</f>
        <v>0</v>
      </c>
      <c r="P162" s="655">
        <f>+IF(OR($Q162=Parametres!$G$2,$Q162=Parametres!$G$3),K162,E162)</f>
        <v>-242566.15</v>
      </c>
      <c r="Q162" s="654" t="str">
        <f t="shared" ref="Q162:S162" si="153">+F162</f>
        <v>3-Passifs</v>
      </c>
      <c r="R162" s="653" t="str">
        <f t="shared" si="153"/>
        <v>256</v>
      </c>
      <c r="S162" s="654" t="str">
        <f t="shared" si="153"/>
        <v>_</v>
      </c>
      <c r="T162" s="656" t="str">
        <f>+VLOOKUP($L162,Data_Validation!$A:$D,1,0)</f>
        <v>2562</v>
      </c>
      <c r="U162" s="656" t="str">
        <f>+VLOOKUP($L162,Data_Validation!$A:$D,3,0)</f>
        <v>Bilan</v>
      </c>
      <c r="V162" s="656" t="str">
        <f>+VLOOKUP($L162,Data_Validation!$A:$D,4,0)</f>
        <v>Autres Courus</v>
      </c>
      <c r="W162" s="656" t="str">
        <f>+VLOOKUP($L162,Data_Validation!$A:$E,5,0)</f>
        <v>$</v>
      </c>
      <c r="X162" s="656">
        <f>+VLOOKUP($L162,Data_Validation!$A:$F,6,0)</f>
        <v>0</v>
      </c>
    </row>
    <row r="163" spans="1:24" ht="15.75" customHeight="1">
      <c r="A163" s="1255" t="s">
        <v>956</v>
      </c>
      <c r="B163" s="1255" t="s">
        <v>958</v>
      </c>
      <c r="C163" s="1257">
        <v>-2350000</v>
      </c>
      <c r="D163" s="1257">
        <v>0</v>
      </c>
      <c r="E163" s="1257">
        <v>-2350000</v>
      </c>
      <c r="F163" s="1255" t="s">
        <v>957</v>
      </c>
      <c r="G163" s="1255" t="s">
        <v>958</v>
      </c>
      <c r="H163" s="1255" t="s">
        <v>3950</v>
      </c>
      <c r="I163" s="660"/>
      <c r="J163" s="651"/>
      <c r="K163" s="660"/>
      <c r="L163" s="653" t="str">
        <f t="shared" si="132"/>
        <v>3001</v>
      </c>
      <c r="M163" s="654" t="str">
        <f t="shared" si="0"/>
        <v>ACTIONS CATEGORIE 1</v>
      </c>
      <c r="N163" s="655">
        <f>+IF(OR($Q163=Parametres!$G$2,$Q163=Parametres!$G$3),I163,C163)</f>
        <v>-2350000</v>
      </c>
      <c r="O163" s="655">
        <f>+IF(OR($Q163=Parametres!$G$2,$Q163=Parametres!$G$3),J163,D163)</f>
        <v>0</v>
      </c>
      <c r="P163" s="655">
        <f>+IF(OR($Q163=Parametres!$G$2,$Q163=Parametres!$G$3),K163,E163)</f>
        <v>-2350000</v>
      </c>
      <c r="Q163" s="654" t="str">
        <f t="shared" ref="Q163:S163" si="154">+F163</f>
        <v>4-Valeur nette</v>
      </c>
      <c r="R163" s="653" t="str">
        <f t="shared" si="154"/>
        <v>3001</v>
      </c>
      <c r="S163" s="654" t="str">
        <f t="shared" si="154"/>
        <v>_</v>
      </c>
      <c r="T163" s="656" t="str">
        <f>+VLOOKUP($L163,Data_Validation!$A:$D,1,0)</f>
        <v>3001</v>
      </c>
      <c r="U163" s="656" t="str">
        <f>+VLOOKUP($L163,Data_Validation!$A:$D,3,0)</f>
        <v>Bilan</v>
      </c>
      <c r="V163" s="656" t="str">
        <f>+VLOOKUP($L163,Data_Validation!$A:$D,4,0)</f>
        <v>Capital Actions</v>
      </c>
      <c r="W163" s="656" t="str">
        <f>+VLOOKUP($L163,Data_Validation!$A:$E,5,0)</f>
        <v>$</v>
      </c>
      <c r="X163" s="656">
        <f>+VLOOKUP($L163,Data_Validation!$A:$F,6,0)</f>
        <v>0</v>
      </c>
    </row>
    <row r="164" spans="1:24" ht="15" customHeight="1">
      <c r="A164" s="1255" t="s">
        <v>959</v>
      </c>
      <c r="B164" s="1255" t="s">
        <v>1768</v>
      </c>
      <c r="C164" s="1257">
        <v>-1723617</v>
      </c>
      <c r="D164" s="1257">
        <v>0</v>
      </c>
      <c r="E164" s="1257">
        <v>-1723617</v>
      </c>
      <c r="F164" s="1255" t="s">
        <v>957</v>
      </c>
      <c r="G164" s="1255" t="s">
        <v>958</v>
      </c>
      <c r="H164" s="1255" t="s">
        <v>3950</v>
      </c>
      <c r="I164" s="651"/>
      <c r="J164" s="651"/>
      <c r="K164" s="651"/>
      <c r="L164" s="653" t="str">
        <f t="shared" si="132"/>
        <v>3003</v>
      </c>
      <c r="M164" s="654" t="str">
        <f t="shared" si="0"/>
        <v>APPORT / RETRAIT</v>
      </c>
      <c r="N164" s="655">
        <f>+IF(OR($Q164=Parametres!$G$2,$Q164=Parametres!$G$3),I164,C164)</f>
        <v>-1723617</v>
      </c>
      <c r="O164" s="655">
        <f>+IF(OR($Q164=Parametres!$G$2,$Q164=Parametres!$G$3),J164,D164)</f>
        <v>0</v>
      </c>
      <c r="P164" s="655">
        <f>+IF(OR($Q164=Parametres!$G$2,$Q164=Parametres!$G$3),K164,E164)</f>
        <v>-1723617</v>
      </c>
      <c r="Q164" s="654" t="str">
        <f t="shared" ref="Q164:S164" si="155">+F164</f>
        <v>4-Valeur nette</v>
      </c>
      <c r="R164" s="653" t="str">
        <f t="shared" si="155"/>
        <v>3001</v>
      </c>
      <c r="S164" s="654" t="str">
        <f t="shared" si="155"/>
        <v>_</v>
      </c>
      <c r="T164" s="656" t="str">
        <f>+VLOOKUP($L164,Data_Validation!$A:$D,1,0)</f>
        <v>3003</v>
      </c>
      <c r="U164" s="656" t="str">
        <f>+VLOOKUP($L164,Data_Validation!$A:$D,3,0)</f>
        <v>Bilan</v>
      </c>
      <c r="V164" s="656" t="str">
        <f>+VLOOKUP($L164,Data_Validation!$A:$D,4,0)</f>
        <v>Apport</v>
      </c>
      <c r="W164" s="656" t="str">
        <f>+VLOOKUP($L164,Data_Validation!$A:$E,5,0)</f>
        <v>$</v>
      </c>
      <c r="X164" s="656">
        <f>+VLOOKUP($L164,Data_Validation!$A:$F,6,0)</f>
        <v>0</v>
      </c>
    </row>
    <row r="165" spans="1:24" ht="15" customHeight="1">
      <c r="A165" s="1255" t="s">
        <v>960</v>
      </c>
      <c r="B165" s="1255" t="s">
        <v>1771</v>
      </c>
      <c r="C165" s="1257">
        <v>-347547.5</v>
      </c>
      <c r="D165" s="1257">
        <v>0</v>
      </c>
      <c r="E165" s="1257">
        <v>-347547.5</v>
      </c>
      <c r="F165" s="1255" t="s">
        <v>957</v>
      </c>
      <c r="G165" s="1255" t="s">
        <v>958</v>
      </c>
      <c r="H165" s="1255" t="s">
        <v>3950</v>
      </c>
      <c r="I165" s="660"/>
      <c r="J165" s="660"/>
      <c r="K165" s="660"/>
      <c r="L165" s="653" t="str">
        <f t="shared" si="132"/>
        <v>3007</v>
      </c>
      <c r="M165" s="654" t="str">
        <f t="shared" si="0"/>
        <v>ACTIONS PARTICIPANTES</v>
      </c>
      <c r="N165" s="655">
        <f>+IF(OR($Q165=Parametres!$G$2,$Q165=Parametres!$G$3),I165,C165)</f>
        <v>-347547.5</v>
      </c>
      <c r="O165" s="655">
        <f>+IF(OR($Q165=Parametres!$G$2,$Q165=Parametres!$G$3),J165,D165)</f>
        <v>0</v>
      </c>
      <c r="P165" s="655">
        <f>+IF(OR($Q165=Parametres!$G$2,$Q165=Parametres!$G$3),K165,E165)</f>
        <v>-347547.5</v>
      </c>
      <c r="Q165" s="654" t="str">
        <f t="shared" ref="Q165:S165" si="156">+F165</f>
        <v>4-Valeur nette</v>
      </c>
      <c r="R165" s="653" t="str">
        <f t="shared" si="156"/>
        <v>3001</v>
      </c>
      <c r="S165" s="654" t="str">
        <f t="shared" si="156"/>
        <v>_</v>
      </c>
      <c r="T165" s="656" t="str">
        <f>+VLOOKUP($L165,Data_Validation!$A:$D,1,0)</f>
        <v>3007</v>
      </c>
      <c r="U165" s="656" t="str">
        <f>+VLOOKUP($L165,Data_Validation!$A:$D,3,0)</f>
        <v>Bilan</v>
      </c>
      <c r="V165" s="656" t="str">
        <f>+VLOOKUP($L165,Data_Validation!$A:$D,4,0)</f>
        <v>Capital Actions</v>
      </c>
      <c r="W165" s="656">
        <f>+VLOOKUP($L165,Data_Validation!$A:$E,5,0)</f>
        <v>0</v>
      </c>
      <c r="X165" s="656">
        <f>+VLOOKUP($L165,Data_Validation!$A:$F,6,0)</f>
        <v>0</v>
      </c>
    </row>
    <row r="166" spans="1:24" ht="15" customHeight="1">
      <c r="A166" s="1255" t="s">
        <v>961</v>
      </c>
      <c r="B166" s="1255" t="s">
        <v>1795</v>
      </c>
      <c r="C166" s="1257">
        <v>-8022643.4800000004</v>
      </c>
      <c r="D166" s="1257">
        <v>0</v>
      </c>
      <c r="E166" s="1257">
        <v>-8022643.4800000004</v>
      </c>
      <c r="F166" s="1255" t="s">
        <v>957</v>
      </c>
      <c r="G166" s="1255" t="s">
        <v>958</v>
      </c>
      <c r="H166" s="1255" t="s">
        <v>3950</v>
      </c>
      <c r="I166" s="665"/>
      <c r="J166" s="665"/>
      <c r="K166" s="665"/>
      <c r="L166" s="653" t="str">
        <f t="shared" si="132"/>
        <v>3201</v>
      </c>
      <c r="M166" s="654" t="str">
        <f t="shared" si="0"/>
        <v>BENEFICES NON-REPARTIS</v>
      </c>
      <c r="N166" s="655">
        <f>+IF(OR($Q166=Parametres!$G$2,$Q166=Parametres!$G$3),I166,C166)</f>
        <v>-8022643.4800000004</v>
      </c>
      <c r="O166" s="655">
        <f>+IF(OR($Q166=Parametres!$G$2,$Q166=Parametres!$G$3),J166,D166)</f>
        <v>0</v>
      </c>
      <c r="P166" s="655">
        <f>+IF(OR($Q166=Parametres!$G$2,$Q166=Parametres!$G$3),K166,E166)</f>
        <v>-8022643.4800000004</v>
      </c>
      <c r="Q166" s="654" t="str">
        <f t="shared" ref="Q166:S166" si="157">+F166</f>
        <v>4-Valeur nette</v>
      </c>
      <c r="R166" s="653" t="str">
        <f t="shared" si="157"/>
        <v>3001</v>
      </c>
      <c r="S166" s="654" t="str">
        <f t="shared" si="157"/>
        <v>_</v>
      </c>
      <c r="T166" s="656" t="str">
        <f>+VLOOKUP($L166,Data_Validation!$A:$D,1,0)</f>
        <v>3201</v>
      </c>
      <c r="U166" s="656" t="str">
        <f>+VLOOKUP($L166,Data_Validation!$A:$D,3,0)</f>
        <v>Bilan</v>
      </c>
      <c r="V166" s="656" t="str">
        <f>+VLOOKUP($L166,Data_Validation!$A:$D,4,0)</f>
        <v>Bénéfices non répartis</v>
      </c>
      <c r="W166" s="656" t="str">
        <f>+VLOOKUP($L166,Data_Validation!$A:$E,5,0)</f>
        <v>$</v>
      </c>
      <c r="X166" s="656">
        <f>+VLOOKUP($L166,Data_Validation!$A:$F,6,0)</f>
        <v>0</v>
      </c>
    </row>
    <row r="167" spans="1:24" ht="15" customHeight="1">
      <c r="A167" s="1255" t="s">
        <v>962</v>
      </c>
      <c r="B167" s="1255" t="s">
        <v>964</v>
      </c>
      <c r="C167" s="1257">
        <v>-1167577.52</v>
      </c>
      <c r="D167" s="1257">
        <v>-437646.95</v>
      </c>
      <c r="E167" s="1257">
        <v>-1605224.47</v>
      </c>
      <c r="F167" s="1255" t="s">
        <v>963</v>
      </c>
      <c r="G167" s="1255" t="s">
        <v>964</v>
      </c>
      <c r="H167" s="1255" t="s">
        <v>3950</v>
      </c>
      <c r="I167" s="665"/>
      <c r="J167" s="665"/>
      <c r="K167" s="665"/>
      <c r="L167" s="653" t="str">
        <f t="shared" si="132"/>
        <v>4100</v>
      </c>
      <c r="M167" s="654" t="str">
        <f t="shared" si="0"/>
        <v>VTE - RACHAT BAIL VW</v>
      </c>
      <c r="N167" s="655">
        <f>+IF(OR($Q167=Parametres!$G$2,$Q167=Parametres!$G$3),I167,C167)</f>
        <v>-1167577.52</v>
      </c>
      <c r="O167" s="655">
        <f>+IF(OR($Q167=Parametres!$G$2,$Q167=Parametres!$G$3),J167,D167)</f>
        <v>-437646.95</v>
      </c>
      <c r="P167" s="655">
        <f>+IF(OR($Q167=Parametres!$G$2,$Q167=Parametres!$G$3),K167,E167)</f>
        <v>-1605224.47</v>
      </c>
      <c r="Q167" s="654" t="str">
        <f t="shared" ref="Q167:S167" si="158">+F167</f>
        <v>5-Ventes</v>
      </c>
      <c r="R167" s="653" t="str">
        <f t="shared" si="158"/>
        <v>4100</v>
      </c>
      <c r="S167" s="654" t="str">
        <f t="shared" si="158"/>
        <v>_</v>
      </c>
      <c r="T167" s="656" t="str">
        <f>+VLOOKUP($L167,Data_Validation!$A:$D,1,0)</f>
        <v>4100</v>
      </c>
      <c r="U167" s="656" t="str">
        <f>+VLOOKUP($L167,Data_Validation!$A:$D,3,0)</f>
        <v>Véhicules neufs</v>
      </c>
      <c r="V167" s="656" t="str">
        <f>+VLOOKUP($L167,Data_Validation!$A:$D,4,0)</f>
        <v>Rachat bail</v>
      </c>
      <c r="W167" s="656" t="str">
        <f>+VLOOKUP($L167,Data_Validation!$A:$E,5,0)</f>
        <v>$</v>
      </c>
      <c r="X167" s="656" t="str">
        <f>+VLOOKUP($L167,Data_Validation!$A:$F,6,0)</f>
        <v>Oui</v>
      </c>
    </row>
    <row r="168" spans="1:24" ht="15.75" customHeight="1">
      <c r="A168" s="1255" t="s">
        <v>967</v>
      </c>
      <c r="B168" s="1255" t="s">
        <v>968</v>
      </c>
      <c r="C168" s="1257">
        <v>-579196.72</v>
      </c>
      <c r="D168" s="1257">
        <v>-163724.82999999999</v>
      </c>
      <c r="E168" s="1257">
        <v>-742921.55</v>
      </c>
      <c r="F168" s="1255" t="s">
        <v>963</v>
      </c>
      <c r="G168" s="1255" t="s">
        <v>968</v>
      </c>
      <c r="H168" s="1255" t="s">
        <v>3950</v>
      </c>
      <c r="I168" s="665"/>
      <c r="J168" s="665"/>
      <c r="K168" s="665"/>
      <c r="L168" s="653" t="str">
        <f t="shared" si="132"/>
        <v>4109</v>
      </c>
      <c r="M168" s="654" t="str">
        <f t="shared" si="0"/>
        <v>VTE - GOLF R</v>
      </c>
      <c r="N168" s="655">
        <f>+IF(OR($Q168=Parametres!$G$2,$Q168=Parametres!$G$3),I168,C168)</f>
        <v>-579196.72</v>
      </c>
      <c r="O168" s="655">
        <f>+IF(OR($Q168=Parametres!$G$2,$Q168=Parametres!$G$3),J168,D168)</f>
        <v>-163724.82999999999</v>
      </c>
      <c r="P168" s="655">
        <f>+IF(OR($Q168=Parametres!$G$2,$Q168=Parametres!$G$3),K168,E168)</f>
        <v>-742921.55</v>
      </c>
      <c r="Q168" s="654" t="str">
        <f t="shared" ref="Q168:S168" si="159">+F168</f>
        <v>5-Ventes</v>
      </c>
      <c r="R168" s="653" t="str">
        <f t="shared" si="159"/>
        <v>4109</v>
      </c>
      <c r="S168" s="654" t="str">
        <f t="shared" si="159"/>
        <v>_</v>
      </c>
      <c r="T168" s="656" t="str">
        <f>+VLOOKUP($L168,Data_Validation!$A:$D,1,0)</f>
        <v>4109</v>
      </c>
      <c r="U168" s="656" t="str">
        <f>+VLOOKUP($L168,Data_Validation!$A:$D,3,0)</f>
        <v>Véhicules neufs</v>
      </c>
      <c r="V168" s="656" t="str">
        <f>+VLOOKUP($L168,Data_Validation!$A:$D,4,0)</f>
        <v>Autos détail</v>
      </c>
      <c r="W168" s="656" t="str">
        <f>+VLOOKUP($L168,Data_Validation!$A:$E,5,0)</f>
        <v>$</v>
      </c>
      <c r="X168" s="656" t="str">
        <f>+VLOOKUP($L168,Data_Validation!$A:$F,6,0)</f>
        <v>Oui</v>
      </c>
    </row>
    <row r="169" spans="1:24" ht="15" customHeight="1">
      <c r="A169" s="1255" t="s">
        <v>971</v>
      </c>
      <c r="B169" s="1255" t="s">
        <v>972</v>
      </c>
      <c r="C169" s="1257">
        <v>-708486.79</v>
      </c>
      <c r="D169" s="1257">
        <v>-129411.28</v>
      </c>
      <c r="E169" s="1257">
        <v>-837898.07</v>
      </c>
      <c r="F169" s="1255" t="s">
        <v>963</v>
      </c>
      <c r="G169" s="1255" t="s">
        <v>972</v>
      </c>
      <c r="H169" s="1255" t="s">
        <v>3950</v>
      </c>
      <c r="I169" s="666"/>
      <c r="J169" s="666"/>
      <c r="K169" s="666"/>
      <c r="L169" s="653" t="str">
        <f t="shared" si="132"/>
        <v>4111</v>
      </c>
      <c r="M169" s="654" t="str">
        <f t="shared" si="0"/>
        <v>JETTA/ JETTA GLI</v>
      </c>
      <c r="N169" s="655">
        <f>+IF(OR($Q169=Parametres!$G$2,$Q169=Parametres!$G$3),I169,C169)</f>
        <v>-708486.79</v>
      </c>
      <c r="O169" s="655">
        <f>+IF(OR($Q169=Parametres!$G$2,$Q169=Parametres!$G$3),J169,D169)</f>
        <v>-129411.28</v>
      </c>
      <c r="P169" s="655">
        <f>+IF(OR($Q169=Parametres!$G$2,$Q169=Parametres!$G$3),K169,E169)</f>
        <v>-837898.07</v>
      </c>
      <c r="Q169" s="654" t="str">
        <f t="shared" ref="Q169:S169" si="160">+F169</f>
        <v>5-Ventes</v>
      </c>
      <c r="R169" s="653" t="str">
        <f t="shared" si="160"/>
        <v>4111</v>
      </c>
      <c r="S169" s="654" t="str">
        <f t="shared" si="160"/>
        <v>_</v>
      </c>
      <c r="T169" s="656" t="str">
        <f>+VLOOKUP($L169,Data_Validation!$A:$D,1,0)</f>
        <v>4111</v>
      </c>
      <c r="U169" s="656" t="str">
        <f>+VLOOKUP($L169,Data_Validation!$A:$D,3,0)</f>
        <v>Véhicules neufs</v>
      </c>
      <c r="V169" s="656" t="str">
        <f>+VLOOKUP($L169,Data_Validation!$A:$D,4,0)</f>
        <v>Autos détail</v>
      </c>
      <c r="W169" s="656" t="str">
        <f>+VLOOKUP($L169,Data_Validation!$A:$E,5,0)</f>
        <v>$</v>
      </c>
      <c r="X169" s="656" t="str">
        <f>+VLOOKUP($L169,Data_Validation!$A:$F,6,0)</f>
        <v>Oui</v>
      </c>
    </row>
    <row r="170" spans="1:24" ht="15" customHeight="1">
      <c r="A170" s="1255" t="s">
        <v>974</v>
      </c>
      <c r="B170" s="1255" t="s">
        <v>3380</v>
      </c>
      <c r="C170" s="1257">
        <v>-2544662.81</v>
      </c>
      <c r="D170" s="1257">
        <v>-351798.98</v>
      </c>
      <c r="E170" s="1257">
        <v>-2896461.79</v>
      </c>
      <c r="F170" s="1255" t="s">
        <v>963</v>
      </c>
      <c r="G170" s="1255" t="s">
        <v>975</v>
      </c>
      <c r="H170" s="1255" t="s">
        <v>3950</v>
      </c>
      <c r="I170" s="666"/>
      <c r="J170" s="666"/>
      <c r="K170" s="666"/>
      <c r="L170" s="653" t="str">
        <f t="shared" si="132"/>
        <v>4118</v>
      </c>
      <c r="M170" s="654" t="str">
        <f t="shared" si="0"/>
        <v>VTES -TAOS</v>
      </c>
      <c r="N170" s="655">
        <f>+IF(OR($Q170=Parametres!$G$2,$Q170=Parametres!$G$3),I170,C170)</f>
        <v>-2544662.81</v>
      </c>
      <c r="O170" s="655">
        <f>+IF(OR($Q170=Parametres!$G$2,$Q170=Parametres!$G$3),J170,D170)</f>
        <v>-351798.98</v>
      </c>
      <c r="P170" s="655">
        <f>+IF(OR($Q170=Parametres!$G$2,$Q170=Parametres!$G$3),K170,E170)</f>
        <v>-2896461.79</v>
      </c>
      <c r="Q170" s="654" t="str">
        <f t="shared" ref="Q170:S170" si="161">+F170</f>
        <v>5-Ventes</v>
      </c>
      <c r="R170" s="653" t="str">
        <f t="shared" si="161"/>
        <v>4117</v>
      </c>
      <c r="S170" s="654" t="str">
        <f t="shared" si="161"/>
        <v>_</v>
      </c>
      <c r="T170" s="656" t="str">
        <f>+VLOOKUP($L170,Data_Validation!$A:$D,1,0)</f>
        <v>4118</v>
      </c>
      <c r="U170" s="656" t="str">
        <f>+VLOOKUP($L170,Data_Validation!$A:$D,3,0)</f>
        <v>Véhicules neufs</v>
      </c>
      <c r="V170" s="656" t="str">
        <f>+VLOOKUP($L170,Data_Validation!$A:$D,4,0)</f>
        <v>Camions détail</v>
      </c>
      <c r="W170" s="656" t="str">
        <f>+VLOOKUP($L170,Data_Validation!$A:$E,5,0)</f>
        <v>$</v>
      </c>
      <c r="X170" s="656" t="str">
        <f>+VLOOKUP($L170,Data_Validation!$A:$F,6,0)</f>
        <v>Oui</v>
      </c>
    </row>
    <row r="171" spans="1:24" ht="15" customHeight="1">
      <c r="A171" s="1255" t="s">
        <v>979</v>
      </c>
      <c r="B171" s="1255" t="s">
        <v>980</v>
      </c>
      <c r="C171" s="1257">
        <v>-1365895.17</v>
      </c>
      <c r="D171" s="1257">
        <v>-290319.51</v>
      </c>
      <c r="E171" s="1257">
        <v>-1656214.68</v>
      </c>
      <c r="F171" s="1255" t="s">
        <v>963</v>
      </c>
      <c r="G171" s="1255" t="s">
        <v>980</v>
      </c>
      <c r="H171" s="1255" t="s">
        <v>3950</v>
      </c>
      <c r="I171" s="666"/>
      <c r="J171" s="666"/>
      <c r="K171" s="666"/>
      <c r="L171" s="653" t="str">
        <f t="shared" si="132"/>
        <v>4119</v>
      </c>
      <c r="M171" s="654" t="str">
        <f t="shared" si="0"/>
        <v>VTE - ATLAS</v>
      </c>
      <c r="N171" s="655">
        <f>+IF(OR($Q171=Parametres!$G$2,$Q171=Parametres!$G$3),I171,C171)</f>
        <v>-1365895.17</v>
      </c>
      <c r="O171" s="655">
        <f>+IF(OR($Q171=Parametres!$G$2,$Q171=Parametres!$G$3),J171,D171)</f>
        <v>-290319.51</v>
      </c>
      <c r="P171" s="655">
        <f>+IF(OR($Q171=Parametres!$G$2,$Q171=Parametres!$G$3),K171,E171)</f>
        <v>-1656214.68</v>
      </c>
      <c r="Q171" s="654" t="str">
        <f t="shared" ref="Q171:S171" si="162">+F171</f>
        <v>5-Ventes</v>
      </c>
      <c r="R171" s="653" t="str">
        <f t="shared" si="162"/>
        <v>4119</v>
      </c>
      <c r="S171" s="654" t="str">
        <f t="shared" si="162"/>
        <v>_</v>
      </c>
      <c r="T171" s="656" t="str">
        <f>+VLOOKUP($L171,Data_Validation!$A:$D,1,0)</f>
        <v>4119</v>
      </c>
      <c r="U171" s="656" t="str">
        <f>+VLOOKUP($L171,Data_Validation!$A:$D,3,0)</f>
        <v>Véhicules neufs</v>
      </c>
      <c r="V171" s="656" t="str">
        <f>+VLOOKUP($L171,Data_Validation!$A:$D,4,0)</f>
        <v>Camions détail</v>
      </c>
      <c r="W171" s="656" t="str">
        <f>+VLOOKUP($L171,Data_Validation!$A:$E,5,0)</f>
        <v>$</v>
      </c>
      <c r="X171" s="656" t="str">
        <f>+VLOOKUP($L171,Data_Validation!$A:$F,6,0)</f>
        <v>Oui</v>
      </c>
    </row>
    <row r="172" spans="1:24" ht="15.75" customHeight="1">
      <c r="A172" s="1255" t="s">
        <v>983</v>
      </c>
      <c r="B172" s="1255" t="s">
        <v>3349</v>
      </c>
      <c r="C172" s="1257">
        <v>-573473.97</v>
      </c>
      <c r="D172" s="1257">
        <v>-57625.69</v>
      </c>
      <c r="E172" s="1257">
        <v>-631099.66</v>
      </c>
      <c r="F172" s="1255" t="s">
        <v>963</v>
      </c>
      <c r="G172" s="1255" t="s">
        <v>3349</v>
      </c>
      <c r="H172" s="1255" t="s">
        <v>3950</v>
      </c>
      <c r="I172" s="666"/>
      <c r="J172" s="666"/>
      <c r="K172" s="666"/>
      <c r="L172" s="653" t="str">
        <f t="shared" si="132"/>
        <v>4121</v>
      </c>
      <c r="M172" s="654" t="str">
        <f t="shared" si="0"/>
        <v>VTES -VTE - ATLAS CROSS SPORT</v>
      </c>
      <c r="N172" s="655">
        <f>+IF(OR($Q172=Parametres!$G$2,$Q172=Parametres!$G$3),I172,C172)</f>
        <v>-573473.97</v>
      </c>
      <c r="O172" s="655">
        <f>+IF(OR($Q172=Parametres!$G$2,$Q172=Parametres!$G$3),J172,D172)</f>
        <v>-57625.69</v>
      </c>
      <c r="P172" s="655">
        <f>+IF(OR($Q172=Parametres!$G$2,$Q172=Parametres!$G$3),K172,E172)</f>
        <v>-631099.66</v>
      </c>
      <c r="Q172" s="654" t="str">
        <f t="shared" ref="Q172:S172" si="163">+F172</f>
        <v>5-Ventes</v>
      </c>
      <c r="R172" s="653" t="str">
        <f t="shared" si="163"/>
        <v>4121</v>
      </c>
      <c r="S172" s="654" t="str">
        <f t="shared" si="163"/>
        <v>_</v>
      </c>
      <c r="T172" s="656" t="str">
        <f>+VLOOKUP($L172,Data_Validation!$A:$D,1,0)</f>
        <v>4121</v>
      </c>
      <c r="U172" s="656" t="str">
        <f>+VLOOKUP($L172,Data_Validation!$A:$D,3,0)</f>
        <v>Véhicules neufs</v>
      </c>
      <c r="V172" s="656" t="str">
        <f>+VLOOKUP($L172,Data_Validation!$A:$D,4,0)</f>
        <v>Camions détail</v>
      </c>
      <c r="W172" s="656" t="str">
        <f>+VLOOKUP($L172,Data_Validation!$A:$E,5,0)</f>
        <v>$</v>
      </c>
      <c r="X172" s="656" t="str">
        <f>+VLOOKUP($L172,Data_Validation!$A:$F,6,0)</f>
        <v>oui</v>
      </c>
    </row>
    <row r="173" spans="1:24" ht="15" customHeight="1">
      <c r="A173" s="1255" t="s">
        <v>986</v>
      </c>
      <c r="B173" s="1255" t="s">
        <v>987</v>
      </c>
      <c r="C173" s="1257">
        <v>-379132.93</v>
      </c>
      <c r="D173" s="1257">
        <v>-87555.9</v>
      </c>
      <c r="E173" s="1257">
        <v>-466688.83</v>
      </c>
      <c r="F173" s="1255" t="s">
        <v>963</v>
      </c>
      <c r="G173" s="1255" t="s">
        <v>987</v>
      </c>
      <c r="H173" s="1255" t="s">
        <v>3950</v>
      </c>
      <c r="I173" s="666"/>
      <c r="J173" s="666"/>
      <c r="K173" s="666"/>
      <c r="L173" s="653" t="str">
        <f t="shared" si="132"/>
        <v>4127</v>
      </c>
      <c r="M173" s="654" t="str">
        <f t="shared" si="0"/>
        <v>VTE - GOLF GTI</v>
      </c>
      <c r="N173" s="655">
        <f>+IF(OR($Q173=Parametres!$G$2,$Q173=Parametres!$G$3),I173,C173)</f>
        <v>-379132.93</v>
      </c>
      <c r="O173" s="655">
        <f>+IF(OR($Q173=Parametres!$G$2,$Q173=Parametres!$G$3),J173,D173)</f>
        <v>-87555.9</v>
      </c>
      <c r="P173" s="655">
        <f>+IF(OR($Q173=Parametres!$G$2,$Q173=Parametres!$G$3),K173,E173)</f>
        <v>-466688.83</v>
      </c>
      <c r="Q173" s="654" t="str">
        <f t="shared" ref="Q173:S173" si="164">+F173</f>
        <v>5-Ventes</v>
      </c>
      <c r="R173" s="653" t="str">
        <f t="shared" si="164"/>
        <v>4127</v>
      </c>
      <c r="S173" s="654" t="str">
        <f t="shared" si="164"/>
        <v>_</v>
      </c>
      <c r="T173" s="656" t="str">
        <f>+VLOOKUP($L173,Data_Validation!$A:$D,1,0)</f>
        <v>4127</v>
      </c>
      <c r="U173" s="656" t="str">
        <f>+VLOOKUP($L173,Data_Validation!$A:$D,3,0)</f>
        <v>Véhicules neufs</v>
      </c>
      <c r="V173" s="656" t="str">
        <f>+VLOOKUP($L173,Data_Validation!$A:$D,4,0)</f>
        <v>Autos détail</v>
      </c>
      <c r="W173" s="656" t="str">
        <f>+VLOOKUP($L173,Data_Validation!$A:$E,5,0)</f>
        <v>$</v>
      </c>
      <c r="X173" s="656" t="str">
        <f>+VLOOKUP($L173,Data_Validation!$A:$F,6,0)</f>
        <v>Oui</v>
      </c>
    </row>
    <row r="174" spans="1:24" ht="15" customHeight="1">
      <c r="A174" s="1255" t="s">
        <v>990</v>
      </c>
      <c r="B174" s="1255" t="s">
        <v>991</v>
      </c>
      <c r="C174" s="1257">
        <v>-670080.02</v>
      </c>
      <c r="D174" s="1257">
        <v>-529835.86</v>
      </c>
      <c r="E174" s="1257">
        <v>-1199915.8799999999</v>
      </c>
      <c r="F174" s="1255" t="s">
        <v>963</v>
      </c>
      <c r="G174" s="1255" t="s">
        <v>991</v>
      </c>
      <c r="H174" s="1255" t="s">
        <v>3950</v>
      </c>
      <c r="I174" s="666"/>
      <c r="J174" s="666"/>
      <c r="K174" s="666"/>
      <c r="L174" s="653" t="str">
        <f t="shared" si="132"/>
        <v>4131</v>
      </c>
      <c r="M174" s="654" t="str">
        <f t="shared" si="0"/>
        <v>VTE - TIGUAN LWB</v>
      </c>
      <c r="N174" s="655">
        <f>+IF(OR($Q174=Parametres!$G$2,$Q174=Parametres!$G$3),I174,C174)</f>
        <v>-670080.02</v>
      </c>
      <c r="O174" s="655">
        <f>+IF(OR($Q174=Parametres!$G$2,$Q174=Parametres!$G$3),J174,D174)</f>
        <v>-529835.86</v>
      </c>
      <c r="P174" s="655">
        <f>+IF(OR($Q174=Parametres!$G$2,$Q174=Parametres!$G$3),K174,E174)</f>
        <v>-1199915.8799999999</v>
      </c>
      <c r="Q174" s="654" t="str">
        <f t="shared" ref="Q174:S174" si="165">+F174</f>
        <v>5-Ventes</v>
      </c>
      <c r="R174" s="653" t="str">
        <f t="shared" si="165"/>
        <v>4131</v>
      </c>
      <c r="S174" s="654" t="str">
        <f t="shared" si="165"/>
        <v>_</v>
      </c>
      <c r="T174" s="656" t="str">
        <f>+VLOOKUP($L174,Data_Validation!$A:$D,1,0)</f>
        <v>4131</v>
      </c>
      <c r="U174" s="656" t="str">
        <f>+VLOOKUP($L174,Data_Validation!$A:$D,3,0)</f>
        <v>Véhicules neufs</v>
      </c>
      <c r="V174" s="656" t="str">
        <f>+VLOOKUP($L174,Data_Validation!$A:$D,4,0)</f>
        <v>Camions détail</v>
      </c>
      <c r="W174" s="656" t="str">
        <f>+VLOOKUP($L174,Data_Validation!$A:$E,5,0)</f>
        <v>$</v>
      </c>
      <c r="X174" s="656" t="str">
        <f>+VLOOKUP($L174,Data_Validation!$A:$F,6,0)</f>
        <v>Oui</v>
      </c>
    </row>
    <row r="175" spans="1:24" ht="15" customHeight="1">
      <c r="A175" s="1255" t="s">
        <v>994</v>
      </c>
      <c r="B175" s="1255" t="s">
        <v>995</v>
      </c>
      <c r="C175" s="1257">
        <v>-493957.67</v>
      </c>
      <c r="D175" s="1257">
        <v>0</v>
      </c>
      <c r="E175" s="1257">
        <v>-493957.67</v>
      </c>
      <c r="F175" s="1255" t="s">
        <v>963</v>
      </c>
      <c r="G175" s="1255" t="s">
        <v>995</v>
      </c>
      <c r="H175" s="1255" t="s">
        <v>3950</v>
      </c>
      <c r="I175" s="665"/>
      <c r="J175" s="665"/>
      <c r="K175" s="665"/>
      <c r="L175" s="653" t="str">
        <f t="shared" si="132"/>
        <v>4137</v>
      </c>
      <c r="M175" s="654" t="str">
        <f t="shared" si="0"/>
        <v>VTE - VW-FLOTTE/VENTES ENTR/EMPLOYE/VEH DEMON</v>
      </c>
      <c r="N175" s="655">
        <f>+IF(OR($Q175=Parametres!$G$2,$Q175=Parametres!$G$3),I175,C175)</f>
        <v>-493957.67</v>
      </c>
      <c r="O175" s="655">
        <f>+IF(OR($Q175=Parametres!$G$2,$Q175=Parametres!$G$3),J175,D175)</f>
        <v>0</v>
      </c>
      <c r="P175" s="655">
        <f>+IF(OR($Q175=Parametres!$G$2,$Q175=Parametres!$G$3),K175,E175)</f>
        <v>-493957.67</v>
      </c>
      <c r="Q175" s="654" t="str">
        <f t="shared" ref="Q175:S175" si="166">+F175</f>
        <v>5-Ventes</v>
      </c>
      <c r="R175" s="653" t="str">
        <f t="shared" si="166"/>
        <v>4137</v>
      </c>
      <c r="S175" s="654" t="str">
        <f t="shared" si="166"/>
        <v>_</v>
      </c>
      <c r="T175" s="656" t="str">
        <f>+VLOOKUP($L175,Data_Validation!$A:$D,1,0)</f>
        <v>4137</v>
      </c>
      <c r="U175" s="656" t="str">
        <f>+VLOOKUP($L175,Data_Validation!$A:$D,3,0)</f>
        <v>Véhicules neufs</v>
      </c>
      <c r="V175" s="656" t="str">
        <f>+VLOOKUP($L175,Data_Validation!$A:$D,4,0)</f>
        <v>Flottes</v>
      </c>
      <c r="W175" s="656" t="str">
        <f>+VLOOKUP($L175,Data_Validation!$A:$E,5,0)</f>
        <v>$</v>
      </c>
      <c r="X175" s="656" t="str">
        <f>+VLOOKUP($L175,Data_Validation!$A:$F,6,0)</f>
        <v>Oui</v>
      </c>
    </row>
    <row r="176" spans="1:24" ht="15.75" customHeight="1">
      <c r="A176" s="1255" t="s">
        <v>998</v>
      </c>
      <c r="B176" s="1255" t="s">
        <v>999</v>
      </c>
      <c r="C176" s="1257">
        <v>-415018.8</v>
      </c>
      <c r="D176" s="1257">
        <v>-209897.14</v>
      </c>
      <c r="E176" s="1257">
        <v>-624915.93999999994</v>
      </c>
      <c r="F176" s="1255" t="s">
        <v>963</v>
      </c>
      <c r="G176" s="1255" t="s">
        <v>999</v>
      </c>
      <c r="H176" s="1255" t="s">
        <v>3950</v>
      </c>
      <c r="I176" s="667"/>
      <c r="J176" s="667"/>
      <c r="K176" s="667"/>
      <c r="L176" s="653" t="str">
        <f t="shared" si="132"/>
        <v>4139</v>
      </c>
      <c r="M176" s="654" t="str">
        <f t="shared" si="0"/>
        <v>VTE - VW FLOTTE/VENTE ENTR/EMPLOYE/VEH DEMONS</v>
      </c>
      <c r="N176" s="655">
        <f>+IF(OR($Q176=Parametres!$G$2,$Q176=Parametres!$G$3),I176,C176)</f>
        <v>-415018.8</v>
      </c>
      <c r="O176" s="655">
        <f>+IF(OR($Q176=Parametres!$G$2,$Q176=Parametres!$G$3),J176,D176)</f>
        <v>-209897.14</v>
      </c>
      <c r="P176" s="655">
        <f>+IF(OR($Q176=Parametres!$G$2,$Q176=Parametres!$G$3),K176,E176)</f>
        <v>-624915.93999999994</v>
      </c>
      <c r="Q176" s="654" t="str">
        <f t="shared" ref="Q176:S176" si="167">+F176</f>
        <v>5-Ventes</v>
      </c>
      <c r="R176" s="653" t="str">
        <f t="shared" si="167"/>
        <v>4139</v>
      </c>
      <c r="S176" s="654" t="str">
        <f t="shared" si="167"/>
        <v>_</v>
      </c>
      <c r="T176" s="656" t="str">
        <f>+VLOOKUP($L176,Data_Validation!$A:$D,1,0)</f>
        <v>4139</v>
      </c>
      <c r="U176" s="656" t="str">
        <f>+VLOOKUP($L176,Data_Validation!$A:$D,3,0)</f>
        <v>Véhicules neufs</v>
      </c>
      <c r="V176" s="656" t="str">
        <f>+VLOOKUP($L176,Data_Validation!$A:$D,4,0)</f>
        <v>Ex-Démos et courtoisies</v>
      </c>
      <c r="W176" s="656" t="str">
        <f>+VLOOKUP($L176,Data_Validation!$A:$E,5,0)</f>
        <v>$</v>
      </c>
      <c r="X176" s="656" t="str">
        <f>+VLOOKUP($L176,Data_Validation!$A:$F,6,0)</f>
        <v>Oui</v>
      </c>
    </row>
    <row r="177" spans="1:24" ht="15" customHeight="1">
      <c r="A177" s="1255" t="s">
        <v>3893</v>
      </c>
      <c r="B177" s="1255" t="s">
        <v>3894</v>
      </c>
      <c r="C177" s="1257">
        <v>-1446805.07</v>
      </c>
      <c r="D177" s="1257">
        <v>-821633.68</v>
      </c>
      <c r="E177" s="1257">
        <v>-2268438.75</v>
      </c>
      <c r="F177" s="1255" t="s">
        <v>963</v>
      </c>
      <c r="G177" s="1255" t="s">
        <v>3894</v>
      </c>
      <c r="H177" s="1255" t="s">
        <v>3950</v>
      </c>
      <c r="I177" s="666"/>
      <c r="J177" s="666"/>
      <c r="K177" s="666"/>
      <c r="L177" s="653" t="str">
        <f t="shared" si="132"/>
        <v>4141</v>
      </c>
      <c r="M177" s="654" t="str">
        <f t="shared" si="0"/>
        <v>VTES -VTE - ID4</v>
      </c>
      <c r="N177" s="655">
        <f>+IF(OR($Q177=Parametres!$G$2,$Q177=Parametres!$G$3),I177,C177)</f>
        <v>-1446805.07</v>
      </c>
      <c r="O177" s="655">
        <f>+IF(OR($Q177=Parametres!$G$2,$Q177=Parametres!$G$3),J177,D177)</f>
        <v>-821633.68</v>
      </c>
      <c r="P177" s="655">
        <f>+IF(OR($Q177=Parametres!$G$2,$Q177=Parametres!$G$3),K177,E177)</f>
        <v>-2268438.75</v>
      </c>
      <c r="Q177" s="654" t="str">
        <f t="shared" ref="Q177:S177" si="168">+F177</f>
        <v>5-Ventes</v>
      </c>
      <c r="R177" s="653" t="str">
        <f t="shared" si="168"/>
        <v>4141</v>
      </c>
      <c r="S177" s="654" t="str">
        <f t="shared" si="168"/>
        <v>_</v>
      </c>
      <c r="T177" s="656" t="str">
        <f>+VLOOKUP($L177,Data_Validation!$A:$D,1,0)</f>
        <v>4141</v>
      </c>
      <c r="U177" s="656" t="str">
        <f>+VLOOKUP($L177,Data_Validation!$A:$D,3,0)</f>
        <v>Véhicules neufs</v>
      </c>
      <c r="V177" s="656" t="str">
        <f>+VLOOKUP($L177,Data_Validation!$A:$D,4,0)</f>
        <v>Camions détail</v>
      </c>
      <c r="W177" s="656" t="str">
        <f>+VLOOKUP($L177,Data_Validation!$A:$E,5,0)</f>
        <v>$</v>
      </c>
      <c r="X177" s="656" t="str">
        <f>+VLOOKUP($L177,Data_Validation!$A:$F,6,0)</f>
        <v>Oui</v>
      </c>
    </row>
    <row r="178" spans="1:24" ht="15" customHeight="1">
      <c r="A178" s="1255" t="s">
        <v>1002</v>
      </c>
      <c r="B178" s="1255" t="s">
        <v>3381</v>
      </c>
      <c r="C178" s="1257">
        <v>-187148.83</v>
      </c>
      <c r="D178" s="1257">
        <v>-39276.949999999997</v>
      </c>
      <c r="E178" s="1257">
        <v>-226425.78</v>
      </c>
      <c r="F178" s="1255" t="s">
        <v>963</v>
      </c>
      <c r="G178" s="1255" t="s">
        <v>1003</v>
      </c>
      <c r="H178" s="1255" t="s">
        <v>3950</v>
      </c>
      <c r="I178" s="666"/>
      <c r="J178" s="666"/>
      <c r="K178" s="666"/>
      <c r="L178" s="653" t="str">
        <f t="shared" si="132"/>
        <v>4144</v>
      </c>
      <c r="M178" s="668" t="str">
        <f t="shared" si="0"/>
        <v>VTES -JETTA GLI</v>
      </c>
      <c r="N178" s="655">
        <f>+IF(OR($Q178=Parametres!$G$2,$Q178=Parametres!$G$3),I178,C178)</f>
        <v>-187148.83</v>
      </c>
      <c r="O178" s="659">
        <f>+IF(OR($Q178=Parametres!$G$2,$Q178=Parametres!$G$3),J178,D178)</f>
        <v>-39276.949999999997</v>
      </c>
      <c r="P178" s="669">
        <f>+IF(OR($Q178=Parametres!$G$2,$Q178=Parametres!$G$3),K178,E178)</f>
        <v>-226425.78</v>
      </c>
      <c r="Q178" s="654" t="str">
        <f t="shared" ref="Q178:S178" si="169">+F178</f>
        <v>5-Ventes</v>
      </c>
      <c r="R178" s="653" t="str">
        <f t="shared" si="169"/>
        <v>414</v>
      </c>
      <c r="S178" s="654" t="str">
        <f t="shared" si="169"/>
        <v>_</v>
      </c>
      <c r="T178" s="656" t="str">
        <f>+VLOOKUP($L178,Data_Validation!$A:$D,1,0)</f>
        <v>4144</v>
      </c>
      <c r="U178" s="656" t="str">
        <f>+VLOOKUP($L178,Data_Validation!$A:$D,3,0)</f>
        <v>Véhicules neufs</v>
      </c>
      <c r="V178" s="656" t="str">
        <f>+VLOOKUP($L178,Data_Validation!$A:$D,4,0)</f>
        <v>Autos détail</v>
      </c>
      <c r="W178" s="656" t="str">
        <f>+VLOOKUP($L178,Data_Validation!$A:$E,5,0)</f>
        <v>$</v>
      </c>
      <c r="X178" s="656" t="str">
        <f>+VLOOKUP($L178,Data_Validation!$A:$F,6,0)</f>
        <v>Oui</v>
      </c>
    </row>
    <row r="179" spans="1:24" ht="15" customHeight="1">
      <c r="A179" s="1255" t="s">
        <v>1006</v>
      </c>
      <c r="B179" s="1255" t="s">
        <v>1007</v>
      </c>
      <c r="C179" s="1257">
        <v>-1981680.63</v>
      </c>
      <c r="D179" s="1257">
        <v>-738738.37</v>
      </c>
      <c r="E179" s="1257">
        <v>-2720419</v>
      </c>
      <c r="F179" s="1255" t="s">
        <v>963</v>
      </c>
      <c r="G179" s="1255" t="s">
        <v>1007</v>
      </c>
      <c r="H179" s="1255" t="s">
        <v>3950</v>
      </c>
      <c r="I179" s="666"/>
      <c r="J179" s="666"/>
      <c r="K179" s="666"/>
      <c r="L179" s="653" t="str">
        <f t="shared" si="132"/>
        <v>4201</v>
      </c>
      <c r="M179" s="654" t="str">
        <f t="shared" si="0"/>
        <v>VTE - VEH.USAGE VW DETAIL CERTIFIE</v>
      </c>
      <c r="N179" s="655">
        <f>+IF(OR($Q179=Parametres!$G$2,$Q179=Parametres!$G$3),I179,C179)</f>
        <v>-1981680.63</v>
      </c>
      <c r="O179" s="655">
        <f>+IF(OR($Q179=Parametres!$G$2,$Q179=Parametres!$G$3),J179,D179)</f>
        <v>-738738.37</v>
      </c>
      <c r="P179" s="655">
        <f>+IF(OR($Q179=Parametres!$G$2,$Q179=Parametres!$G$3),K179,E179)</f>
        <v>-2720419</v>
      </c>
      <c r="Q179" s="654" t="str">
        <f t="shared" ref="Q179:S179" si="170">+F179</f>
        <v>5-Ventes</v>
      </c>
      <c r="R179" s="653" t="str">
        <f t="shared" si="170"/>
        <v>4201</v>
      </c>
      <c r="S179" s="654" t="str">
        <f t="shared" si="170"/>
        <v>_</v>
      </c>
      <c r="T179" s="656" t="str">
        <f>+VLOOKUP($L179,Data_Validation!$A:$D,1,0)</f>
        <v>4201</v>
      </c>
      <c r="U179" s="656" t="str">
        <f>+VLOOKUP($L179,Data_Validation!$A:$D,3,0)</f>
        <v>Véhicules usagés</v>
      </c>
      <c r="V179" s="656" t="str">
        <f>+VLOOKUP($L179,Data_Validation!$A:$D,4,0)</f>
        <v>Certifié</v>
      </c>
      <c r="W179" s="656" t="str">
        <f>+VLOOKUP($L179,Data_Validation!$A:$E,5,0)</f>
        <v>$</v>
      </c>
      <c r="X179" s="656" t="str">
        <f>+VLOOKUP($L179,Data_Validation!$A:$F,6,0)</f>
        <v>Oui</v>
      </c>
    </row>
    <row r="180" spans="1:24" ht="15" customHeight="1">
      <c r="A180" s="1255" t="s">
        <v>1010</v>
      </c>
      <c r="B180" s="1255" t="s">
        <v>1011</v>
      </c>
      <c r="C180" s="1257">
        <v>-93330.6</v>
      </c>
      <c r="D180" s="1257">
        <v>-20047.3</v>
      </c>
      <c r="E180" s="1257">
        <v>-113377.9</v>
      </c>
      <c r="F180" s="1255" t="s">
        <v>963</v>
      </c>
      <c r="G180" s="1255" t="s">
        <v>1011</v>
      </c>
      <c r="H180" s="1255" t="s">
        <v>3950</v>
      </c>
      <c r="I180" s="666"/>
      <c r="J180" s="666"/>
      <c r="K180" s="666"/>
      <c r="L180" s="653" t="str">
        <f t="shared" ref="L180:L243" si="171">TEXT(B180,0)</f>
        <v>4211</v>
      </c>
      <c r="M180" s="654" t="str">
        <f t="shared" ref="M180:M243" si="172">+A180</f>
        <v>VTE - VW USAGES DETAIL</v>
      </c>
      <c r="N180" s="655">
        <f>+IF(OR($Q180=Parametres!$G$2,$Q180=Parametres!$G$3),I180,C180)</f>
        <v>-93330.6</v>
      </c>
      <c r="O180" s="659">
        <f>+IF(OR($Q180=Parametres!$G$2,$Q180=Parametres!$G$3),J180,D180)</f>
        <v>-20047.3</v>
      </c>
      <c r="P180" s="655">
        <f>+IF(OR($Q180=Parametres!$G$2,$Q180=Parametres!$G$3),K180,E180)</f>
        <v>-113377.9</v>
      </c>
      <c r="Q180" s="654" t="str">
        <f t="shared" ref="Q180:Q243" si="173">+F180</f>
        <v>5-Ventes</v>
      </c>
      <c r="R180" s="653" t="str">
        <f t="shared" ref="R180:R243" si="174">+G180</f>
        <v>4211</v>
      </c>
      <c r="S180" s="654" t="str">
        <f t="shared" ref="S180:S243" si="175">+H180</f>
        <v>_</v>
      </c>
      <c r="T180" s="656" t="str">
        <f>+VLOOKUP($L180,Data_Validation!$A:$D,1,0)</f>
        <v>4211</v>
      </c>
      <c r="U180" s="656" t="str">
        <f>+VLOOKUP($L180,Data_Validation!$A:$D,3,0)</f>
        <v>Véhicules usagés</v>
      </c>
      <c r="V180" s="656" t="str">
        <f>+VLOOKUP($L180,Data_Validation!$A:$D,4,0)</f>
        <v>Non Certifié</v>
      </c>
      <c r="W180" s="656" t="str">
        <f>+VLOOKUP($L180,Data_Validation!$A:$E,5,0)</f>
        <v>$</v>
      </c>
      <c r="X180" s="656" t="str">
        <f>+VLOOKUP($L180,Data_Validation!$A:$F,6,0)</f>
        <v>Oui</v>
      </c>
    </row>
    <row r="181" spans="1:24" ht="15.75" customHeight="1">
      <c r="A181" s="1255" t="s">
        <v>1014</v>
      </c>
      <c r="B181" s="1255" t="s">
        <v>1933</v>
      </c>
      <c r="C181" s="1257">
        <v>-113901.95</v>
      </c>
      <c r="D181" s="1257">
        <v>0</v>
      </c>
      <c r="E181" s="1257">
        <v>-113901.95</v>
      </c>
      <c r="F181" s="1255" t="s">
        <v>963</v>
      </c>
      <c r="G181" s="1255" t="s">
        <v>1015</v>
      </c>
      <c r="H181" s="1255" t="s">
        <v>3950</v>
      </c>
      <c r="I181" s="666"/>
      <c r="J181" s="666"/>
      <c r="K181" s="666"/>
      <c r="L181" s="653" t="str">
        <f t="shared" si="171"/>
        <v>4285</v>
      </c>
      <c r="M181" s="654" t="str">
        <f t="shared" si="172"/>
        <v>VEH. D'OCC. AUTRE DETAIL</v>
      </c>
      <c r="N181" s="655">
        <f>+IF(OR($Q181=Parametres!$G$2,$Q181=Parametres!$G$3),I181,C181)</f>
        <v>-113901.95</v>
      </c>
      <c r="O181" s="655">
        <f>+IF(OR($Q181=Parametres!$G$2,$Q181=Parametres!$G$3),J181,D181)</f>
        <v>0</v>
      </c>
      <c r="P181" s="655">
        <f>+IF(OR($Q181=Parametres!$G$2,$Q181=Parametres!$G$3),K181,E181)</f>
        <v>-113901.95</v>
      </c>
      <c r="Q181" s="654" t="str">
        <f t="shared" si="173"/>
        <v>5-Ventes</v>
      </c>
      <c r="R181" s="653" t="str">
        <f t="shared" si="174"/>
        <v>4261</v>
      </c>
      <c r="S181" s="654" t="str">
        <f t="shared" si="175"/>
        <v>_</v>
      </c>
      <c r="T181" s="656" t="str">
        <f>+VLOOKUP($L181,Data_Validation!$A:$D,1,0)</f>
        <v>4285</v>
      </c>
      <c r="U181" s="656" t="str">
        <f>+VLOOKUP($L181,Data_Validation!$A:$D,3,0)</f>
        <v>Véhicules usagés</v>
      </c>
      <c r="V181" s="656" t="str">
        <f>+VLOOKUP($L181,Data_Validation!$A:$D,4,0)</f>
        <v>Autres Marques</v>
      </c>
      <c r="W181" s="656" t="str">
        <f>+VLOOKUP($L181,Data_Validation!$A:$E,5,0)</f>
        <v>$</v>
      </c>
      <c r="X181" s="656" t="str">
        <f>+VLOOKUP($L181,Data_Validation!$A:$F,6,0)</f>
        <v>Oui</v>
      </c>
    </row>
    <row r="182" spans="1:24" ht="15.75" customHeight="1">
      <c r="A182" s="1255" t="s">
        <v>1018</v>
      </c>
      <c r="B182" s="1255" t="s">
        <v>1942</v>
      </c>
      <c r="C182" s="1257">
        <v>-947918</v>
      </c>
      <c r="D182" s="1257">
        <v>-471084</v>
      </c>
      <c r="E182" s="1257">
        <v>-1419002</v>
      </c>
      <c r="F182" s="1255" t="s">
        <v>963</v>
      </c>
      <c r="G182" s="1255" t="s">
        <v>1019</v>
      </c>
      <c r="H182" s="1255" t="s">
        <v>3950</v>
      </c>
      <c r="I182" s="666"/>
      <c r="J182" s="666"/>
      <c r="K182" s="666"/>
      <c r="L182" s="653" t="str">
        <f t="shared" si="171"/>
        <v>4291</v>
      </c>
      <c r="M182" s="654" t="str">
        <f t="shared" si="172"/>
        <v>VEH. D'OCC. AU GROS</v>
      </c>
      <c r="N182" s="655">
        <f>+IF(OR($Q182=Parametres!$G$2,$Q182=Parametres!$G$3),I182,C182)</f>
        <v>-947918</v>
      </c>
      <c r="O182" s="655">
        <f>+IF(OR($Q182=Parametres!$G$2,$Q182=Parametres!$G$3),J182,D182)</f>
        <v>-471084</v>
      </c>
      <c r="P182" s="655">
        <f>+IF(OR($Q182=Parametres!$G$2,$Q182=Parametres!$G$3),K182,E182)</f>
        <v>-1419002</v>
      </c>
      <c r="Q182" s="654" t="str">
        <f t="shared" si="173"/>
        <v>5-Ventes</v>
      </c>
      <c r="R182" s="653" t="str">
        <f t="shared" si="174"/>
        <v>4281</v>
      </c>
      <c r="S182" s="654" t="str">
        <f t="shared" si="175"/>
        <v>_</v>
      </c>
      <c r="T182" s="656" t="str">
        <f>+VLOOKUP($L182,Data_Validation!$A:$D,1,0)</f>
        <v>4291</v>
      </c>
      <c r="U182" s="656" t="str">
        <f>+VLOOKUP($L182,Data_Validation!$A:$D,3,0)</f>
        <v>Véhicules usagés</v>
      </c>
      <c r="V182" s="656" t="str">
        <f>+VLOOKUP($L182,Data_Validation!$A:$D,4,0)</f>
        <v>Ventes au Gros</v>
      </c>
      <c r="W182" s="656" t="str">
        <f>+VLOOKUP($L182,Data_Validation!$A:$E,5,0)</f>
        <v>$</v>
      </c>
      <c r="X182" s="656" t="str">
        <f>+VLOOKUP($L182,Data_Validation!$A:$F,6,0)</f>
        <v>Oui</v>
      </c>
    </row>
    <row r="183" spans="1:24" ht="15.75" customHeight="1">
      <c r="A183" s="1255" t="s">
        <v>3671</v>
      </c>
      <c r="B183" s="1255" t="s">
        <v>1023</v>
      </c>
      <c r="C183" s="1257">
        <v>-529725.96</v>
      </c>
      <c r="D183" s="1257">
        <v>-204471.69</v>
      </c>
      <c r="E183" s="1257">
        <v>-734197.65</v>
      </c>
      <c r="F183" s="1255" t="s">
        <v>963</v>
      </c>
      <c r="G183" s="1255" t="s">
        <v>1023</v>
      </c>
      <c r="H183" s="1255" t="s">
        <v>3950</v>
      </c>
      <c r="I183" s="666"/>
      <c r="J183" s="666"/>
      <c r="K183" s="666"/>
      <c r="L183" s="653" t="str">
        <f t="shared" si="171"/>
        <v>4401</v>
      </c>
      <c r="M183" s="654" t="str">
        <f t="shared" si="172"/>
        <v>MAIN-D'OEUVRE - CLIENT VW - MCI</v>
      </c>
      <c r="N183" s="655">
        <f>+IF(OR($Q183=Parametres!$G$2,$Q183=Parametres!$G$3),I183,C183)</f>
        <v>-529725.96</v>
      </c>
      <c r="O183" s="655">
        <f>+IF(OR($Q183=Parametres!$G$2,$Q183=Parametres!$G$3),J183,D183)</f>
        <v>-204471.69</v>
      </c>
      <c r="P183" s="655">
        <f>+IF(OR($Q183=Parametres!$G$2,$Q183=Parametres!$G$3),K183,E183)</f>
        <v>-734197.65</v>
      </c>
      <c r="Q183" s="654" t="str">
        <f t="shared" si="173"/>
        <v>5-Ventes</v>
      </c>
      <c r="R183" s="653" t="str">
        <f t="shared" si="174"/>
        <v>4401</v>
      </c>
      <c r="S183" s="654" t="str">
        <f t="shared" si="175"/>
        <v>_</v>
      </c>
      <c r="T183" s="656" t="str">
        <f>+VLOOKUP($L183,Data_Validation!$A:$D,1,0)</f>
        <v>4401</v>
      </c>
      <c r="U183" s="656" t="str">
        <f>+VLOOKUP($L183,Data_Validation!$A:$D,3,0)</f>
        <v>Service</v>
      </c>
      <c r="V183" s="656" t="str">
        <f>+VLOOKUP($L183,Data_Validation!$A:$D,4,0)</f>
        <v>M/O Client</v>
      </c>
      <c r="W183" s="656" t="str">
        <f>+VLOOKUP($L183,Data_Validation!$A:$E,5,0)</f>
        <v>$</v>
      </c>
      <c r="X183" s="656" t="str">
        <f>+VLOOKUP($L183,Data_Validation!$A:$F,6,0)</f>
        <v>Oui</v>
      </c>
    </row>
    <row r="184" spans="1:24" ht="15.75" customHeight="1">
      <c r="A184" s="1255" t="s">
        <v>1025</v>
      </c>
      <c r="B184" s="1255" t="s">
        <v>1026</v>
      </c>
      <c r="C184" s="1257">
        <v>-40948.79</v>
      </c>
      <c r="D184" s="1257">
        <v>-23911.63</v>
      </c>
      <c r="E184" s="1257">
        <v>-64860.42</v>
      </c>
      <c r="F184" s="1255" t="s">
        <v>963</v>
      </c>
      <c r="G184" s="1255" t="s">
        <v>1026</v>
      </c>
      <c r="H184" s="1255" t="s">
        <v>3950</v>
      </c>
      <c r="I184" s="667"/>
      <c r="J184" s="667"/>
      <c r="K184" s="667"/>
      <c r="L184" s="653" t="str">
        <f t="shared" si="171"/>
        <v>4402</v>
      </c>
      <c r="M184" s="654" t="str">
        <f t="shared" si="172"/>
        <v>VTE - M.O. ESTHETIQUE CLIENT</v>
      </c>
      <c r="N184" s="655">
        <f>+IF(OR($Q184=Parametres!$G$2,$Q184=Parametres!$G$3),I184,C184)</f>
        <v>-40948.79</v>
      </c>
      <c r="O184" s="659">
        <f>+IF(OR($Q184=Parametres!$G$2,$Q184=Parametres!$G$3),J184,D184)</f>
        <v>-23911.63</v>
      </c>
      <c r="P184" s="655">
        <f>+IF(OR($Q184=Parametres!$G$2,$Q184=Parametres!$G$3),K184,E184)</f>
        <v>-64860.42</v>
      </c>
      <c r="Q184" s="654" t="str">
        <f t="shared" si="173"/>
        <v>5-Ventes</v>
      </c>
      <c r="R184" s="653" t="str">
        <f t="shared" si="174"/>
        <v>4402</v>
      </c>
      <c r="S184" s="654" t="str">
        <f t="shared" si="175"/>
        <v>_</v>
      </c>
      <c r="T184" s="656" t="str">
        <f>+VLOOKUP($L184,Data_Validation!$A:$D,1,0)</f>
        <v>4402</v>
      </c>
      <c r="U184" s="656" t="str">
        <f>+VLOOKUP($L184,Data_Validation!$A:$D,3,0)</f>
        <v>Service</v>
      </c>
      <c r="V184" s="656" t="str">
        <f>+VLOOKUP($L184,Data_Validation!$A:$D,4,0)</f>
        <v>M/O Esthétique</v>
      </c>
      <c r="W184" s="656" t="str">
        <f>+VLOOKUP($L184,Data_Validation!$A:$E,5,0)</f>
        <v>$</v>
      </c>
      <c r="X184" s="656" t="str">
        <f>+VLOOKUP($L184,Data_Validation!$A:$F,6,0)</f>
        <v>Oui</v>
      </c>
    </row>
    <row r="185" spans="1:24" ht="15.75" customHeight="1">
      <c r="A185" s="1255" t="s">
        <v>3672</v>
      </c>
      <c r="B185" s="1255" t="s">
        <v>1028</v>
      </c>
      <c r="C185" s="1257">
        <v>-268867.25</v>
      </c>
      <c r="D185" s="1257">
        <v>-42881.71</v>
      </c>
      <c r="E185" s="1257">
        <v>-311748.96000000002</v>
      </c>
      <c r="F185" s="1255" t="s">
        <v>963</v>
      </c>
      <c r="G185" s="1255" t="s">
        <v>1028</v>
      </c>
      <c r="H185" s="1255" t="s">
        <v>3950</v>
      </c>
      <c r="I185" s="666"/>
      <c r="J185" s="666"/>
      <c r="K185" s="666"/>
      <c r="L185" s="653" t="str">
        <f t="shared" si="171"/>
        <v>4403</v>
      </c>
      <c r="M185" s="654" t="str">
        <f t="shared" si="172"/>
        <v>MAIN-D'OEUVRE - GARANTIE VW - MCI</v>
      </c>
      <c r="N185" s="655">
        <f>+IF(OR($Q185=Parametres!$G$2,$Q185=Parametres!$G$3),I185,C185)</f>
        <v>-268867.25</v>
      </c>
      <c r="O185" s="655">
        <f>+IF(OR($Q185=Parametres!$G$2,$Q185=Parametres!$G$3),J185,D185)</f>
        <v>-42881.71</v>
      </c>
      <c r="P185" s="655">
        <f>+IF(OR($Q185=Parametres!$G$2,$Q185=Parametres!$G$3),K185,E185)</f>
        <v>-311748.96000000002</v>
      </c>
      <c r="Q185" s="654" t="str">
        <f t="shared" si="173"/>
        <v>5-Ventes</v>
      </c>
      <c r="R185" s="653" t="str">
        <f t="shared" si="174"/>
        <v>4403</v>
      </c>
      <c r="S185" s="654" t="str">
        <f t="shared" si="175"/>
        <v>_</v>
      </c>
      <c r="T185" s="656" t="str">
        <f>+VLOOKUP($L185,Data_Validation!$A:$D,1,0)</f>
        <v>4403</v>
      </c>
      <c r="U185" s="656" t="str">
        <f>+VLOOKUP($L185,Data_Validation!$A:$D,3,0)</f>
        <v>Service</v>
      </c>
      <c r="V185" s="656" t="str">
        <f>+VLOOKUP($L185,Data_Validation!$A:$D,4,0)</f>
        <v>M/O Garantie</v>
      </c>
      <c r="W185" s="656" t="str">
        <f>+VLOOKUP($L185,Data_Validation!$A:$E,5,0)</f>
        <v>$</v>
      </c>
      <c r="X185" s="656" t="str">
        <f>+VLOOKUP($L185,Data_Validation!$A:$F,6,0)</f>
        <v>Oui</v>
      </c>
    </row>
    <row r="186" spans="1:24" ht="15.75" customHeight="1">
      <c r="A186" s="1255" t="s">
        <v>3673</v>
      </c>
      <c r="B186" s="1255" t="s">
        <v>1031</v>
      </c>
      <c r="C186" s="1257">
        <v>-259538.3</v>
      </c>
      <c r="D186" s="1257">
        <v>-87269.05</v>
      </c>
      <c r="E186" s="1257">
        <v>-346807.35</v>
      </c>
      <c r="F186" s="1255" t="s">
        <v>963</v>
      </c>
      <c r="G186" s="1255" t="s">
        <v>1031</v>
      </c>
      <c r="H186" s="1255" t="s">
        <v>3950</v>
      </c>
      <c r="I186" s="667"/>
      <c r="J186" s="667"/>
      <c r="K186" s="667"/>
      <c r="L186" s="653" t="str">
        <f t="shared" si="171"/>
        <v>4405</v>
      </c>
      <c r="M186" s="654" t="str">
        <f t="shared" si="172"/>
        <v>MAIN-D'OEUVRE - INTERNE VW - MCI</v>
      </c>
      <c r="N186" s="655">
        <f>+IF(OR($Q186=Parametres!$G$2,$Q186=Parametres!$G$3),I186,C186)</f>
        <v>-259538.3</v>
      </c>
      <c r="O186" s="659">
        <f>+IF(OR($Q186=Parametres!$G$2,$Q186=Parametres!$G$3),J186,D186)</f>
        <v>-87269.05</v>
      </c>
      <c r="P186" s="655">
        <f>+IF(OR($Q186=Parametres!$G$2,$Q186=Parametres!$G$3),K186,E186)</f>
        <v>-346807.35</v>
      </c>
      <c r="Q186" s="654" t="str">
        <f t="shared" si="173"/>
        <v>5-Ventes</v>
      </c>
      <c r="R186" s="653" t="str">
        <f t="shared" si="174"/>
        <v>4405</v>
      </c>
      <c r="S186" s="654" t="str">
        <f t="shared" si="175"/>
        <v>_</v>
      </c>
      <c r="T186" s="656" t="str">
        <f>+VLOOKUP($L186,Data_Validation!$A:$D,1,0)</f>
        <v>4405</v>
      </c>
      <c r="U186" s="656" t="str">
        <f>+VLOOKUP($L186,Data_Validation!$A:$D,3,0)</f>
        <v>Service</v>
      </c>
      <c r="V186" s="656" t="str">
        <f>+VLOOKUP($L186,Data_Validation!$A:$D,4,0)</f>
        <v>M/O Interne</v>
      </c>
      <c r="W186" s="656" t="str">
        <f>+VLOOKUP($L186,Data_Validation!$A:$E,5,0)</f>
        <v>$</v>
      </c>
      <c r="X186" s="656" t="str">
        <f>+VLOOKUP($L186,Data_Validation!$A:$F,6,0)</f>
        <v>Oui</v>
      </c>
    </row>
    <row r="187" spans="1:24" ht="15" customHeight="1">
      <c r="A187" s="1255" t="s">
        <v>1033</v>
      </c>
      <c r="B187" s="1255" t="s">
        <v>1974</v>
      </c>
      <c r="C187" s="1257">
        <v>-76723.53</v>
      </c>
      <c r="D187" s="1257">
        <v>-30042.26</v>
      </c>
      <c r="E187" s="1257">
        <v>-106765.79</v>
      </c>
      <c r="F187" s="1255" t="s">
        <v>963</v>
      </c>
      <c r="G187" s="1255" t="s">
        <v>1034</v>
      </c>
      <c r="H187" s="1255" t="s">
        <v>3950</v>
      </c>
      <c r="I187" s="666"/>
      <c r="J187" s="666"/>
      <c r="K187" s="666"/>
      <c r="L187" s="653" t="str">
        <f t="shared" si="171"/>
        <v>4451</v>
      </c>
      <c r="M187" s="654" t="str">
        <f t="shared" si="172"/>
        <v>CARBURANT/HUILE/GRAISSE</v>
      </c>
      <c r="N187" s="655">
        <f>+IF(OR($Q187=Parametres!$G$2,$Q187=Parametres!$G$3),I187,C187)</f>
        <v>-76723.53</v>
      </c>
      <c r="O187" s="655">
        <f>+IF(OR($Q187=Parametres!$G$2,$Q187=Parametres!$G$3),J187,D187)</f>
        <v>-30042.26</v>
      </c>
      <c r="P187" s="655">
        <f>+IF(OR($Q187=Parametres!$G$2,$Q187=Parametres!$G$3),K187,E187)</f>
        <v>-106765.79</v>
      </c>
      <c r="Q187" s="654" t="str">
        <f t="shared" si="173"/>
        <v>5-Ventes</v>
      </c>
      <c r="R187" s="653" t="str">
        <f t="shared" si="174"/>
        <v>4782</v>
      </c>
      <c r="S187" s="654" t="str">
        <f t="shared" si="175"/>
        <v>_</v>
      </c>
      <c r="T187" s="656" t="str">
        <f>+VLOOKUP($L187,Data_Validation!$A:$D,1,0)</f>
        <v>4451</v>
      </c>
      <c r="U187" s="656" t="str">
        <f>+VLOOKUP($L187,Data_Validation!$A:$D,3,0)</f>
        <v>Pièces</v>
      </c>
      <c r="V187" s="656" t="str">
        <f>+VLOOKUP($L187,Data_Validation!$A:$D,4,0)</f>
        <v>Huiles et Graisse</v>
      </c>
      <c r="W187" s="656" t="str">
        <f>+VLOOKUP($L187,Data_Validation!$A:$E,5,0)</f>
        <v>$</v>
      </c>
      <c r="X187" s="656" t="str">
        <f>+VLOOKUP($L187,Data_Validation!$A:$F,6,0)</f>
        <v>Oui</v>
      </c>
    </row>
    <row r="188" spans="1:24" ht="15" customHeight="1">
      <c r="A188" s="1255" t="s">
        <v>1036</v>
      </c>
      <c r="B188" s="1255" t="s">
        <v>1037</v>
      </c>
      <c r="C188" s="1257">
        <v>-17876.169999999998</v>
      </c>
      <c r="D188" s="1257">
        <v>-13362.73</v>
      </c>
      <c r="E188" s="1257">
        <v>-31238.9</v>
      </c>
      <c r="F188" s="1255" t="s">
        <v>963</v>
      </c>
      <c r="G188" s="1255" t="s">
        <v>1037</v>
      </c>
      <c r="H188" s="1255" t="s">
        <v>3950</v>
      </c>
      <c r="I188" s="652"/>
      <c r="J188" s="652"/>
      <c r="K188" s="652"/>
      <c r="L188" s="653" t="str">
        <f t="shared" si="171"/>
        <v>4491</v>
      </c>
      <c r="M188" s="654" t="str">
        <f t="shared" si="172"/>
        <v>REPARATION SOUS-LOC. - GENERAL</v>
      </c>
      <c r="N188" s="655">
        <f>+IF(OR($Q188=Parametres!$G$2,$Q188=Parametres!$G$3),I188,C188)</f>
        <v>-17876.169999999998</v>
      </c>
      <c r="O188" s="655">
        <f>+IF(OR($Q188=Parametres!$G$2,$Q188=Parametres!$G$3),J188,D188)</f>
        <v>-13362.73</v>
      </c>
      <c r="P188" s="655">
        <f>+IF(OR($Q188=Parametres!$G$2,$Q188=Parametres!$G$3),K188,E188)</f>
        <v>-31238.9</v>
      </c>
      <c r="Q188" s="654" t="str">
        <f t="shared" si="173"/>
        <v>5-Ventes</v>
      </c>
      <c r="R188" s="653" t="str">
        <f t="shared" si="174"/>
        <v>4491</v>
      </c>
      <c r="S188" s="654" t="str">
        <f t="shared" si="175"/>
        <v>_</v>
      </c>
      <c r="T188" s="656" t="str">
        <f>+VLOOKUP($L188,Data_Validation!$A:$D,1,0)</f>
        <v>4491</v>
      </c>
      <c r="U188" s="656" t="str">
        <f>+VLOOKUP($L188,Data_Validation!$A:$D,3,0)</f>
        <v>Service</v>
      </c>
      <c r="V188" s="656" t="str">
        <f>+VLOOKUP($L188,Data_Validation!$A:$D,4,0)</f>
        <v>Sous-traitement</v>
      </c>
      <c r="W188" s="656" t="str">
        <f>+VLOOKUP($L188,Data_Validation!$A:$E,5,0)</f>
        <v>$</v>
      </c>
      <c r="X188" s="656" t="str">
        <f>+VLOOKUP($L188,Data_Validation!$A:$F,6,0)</f>
        <v>Oui</v>
      </c>
    </row>
    <row r="189" spans="1:24" ht="15" customHeight="1">
      <c r="A189" s="1255" t="s">
        <v>1039</v>
      </c>
      <c r="B189" s="1255" t="s">
        <v>1040</v>
      </c>
      <c r="C189" s="1257">
        <v>-12280</v>
      </c>
      <c r="D189" s="1257">
        <v>-750.51</v>
      </c>
      <c r="E189" s="1257">
        <v>-13030.51</v>
      </c>
      <c r="F189" s="1255" t="s">
        <v>963</v>
      </c>
      <c r="G189" s="1255" t="s">
        <v>1040</v>
      </c>
      <c r="H189" s="1255" t="s">
        <v>3950</v>
      </c>
      <c r="I189" s="651"/>
      <c r="J189" s="651"/>
      <c r="K189" s="651"/>
      <c r="L189" s="653" t="str">
        <f t="shared" si="171"/>
        <v>4493</v>
      </c>
      <c r="M189" s="654" t="str">
        <f t="shared" si="172"/>
        <v>VTE - SOUS-TRAITANCE GARANTIE</v>
      </c>
      <c r="N189" s="655">
        <f>+IF(OR($Q189=Parametres!$G$2,$Q189=Parametres!$G$3),I189,C189)</f>
        <v>-12280</v>
      </c>
      <c r="O189" s="655">
        <f>+IF(OR($Q189=Parametres!$G$2,$Q189=Parametres!$G$3),J189,D189)</f>
        <v>-750.51</v>
      </c>
      <c r="P189" s="655">
        <f>+IF(OR($Q189=Parametres!$G$2,$Q189=Parametres!$G$3),K189,E189)</f>
        <v>-13030.51</v>
      </c>
      <c r="Q189" s="654" t="str">
        <f t="shared" si="173"/>
        <v>5-Ventes</v>
      </c>
      <c r="R189" s="653" t="str">
        <f t="shared" si="174"/>
        <v>4493</v>
      </c>
      <c r="S189" s="654" t="str">
        <f t="shared" si="175"/>
        <v>_</v>
      </c>
      <c r="T189" s="656" t="str">
        <f>+VLOOKUP($L189,Data_Validation!$A:$D,1,0)</f>
        <v>4493</v>
      </c>
      <c r="U189" s="656" t="str">
        <f>+VLOOKUP($L189,Data_Validation!$A:$D,3,0)</f>
        <v>Service</v>
      </c>
      <c r="V189" s="656" t="str">
        <f>+VLOOKUP($L189,Data_Validation!$A:$D,4,0)</f>
        <v>Sous-traitement</v>
      </c>
      <c r="W189" s="656" t="str">
        <f>+VLOOKUP($L189,Data_Validation!$A:$E,5,0)</f>
        <v>$</v>
      </c>
      <c r="X189" s="656" t="str">
        <f>+VLOOKUP($L189,Data_Validation!$A:$F,6,0)</f>
        <v>Oui</v>
      </c>
    </row>
    <row r="190" spans="1:24" ht="15" customHeight="1">
      <c r="A190" s="1255" t="s">
        <v>1043</v>
      </c>
      <c r="B190" s="1255" t="s">
        <v>1044</v>
      </c>
      <c r="C190" s="1257">
        <v>-34893.5</v>
      </c>
      <c r="D190" s="1257">
        <v>-12251.36</v>
      </c>
      <c r="E190" s="1257">
        <v>-47144.86</v>
      </c>
      <c r="F190" s="1255" t="s">
        <v>963</v>
      </c>
      <c r="G190" s="1255" t="s">
        <v>1044</v>
      </c>
      <c r="H190" s="1255" t="s">
        <v>3950</v>
      </c>
      <c r="I190" s="652"/>
      <c r="J190" s="652"/>
      <c r="K190" s="652"/>
      <c r="L190" s="653" t="str">
        <f t="shared" si="171"/>
        <v>4495</v>
      </c>
      <c r="M190" s="654" t="str">
        <f t="shared" si="172"/>
        <v>VTE - S-TRAITANCE MEC.INTERNE VW</v>
      </c>
      <c r="N190" s="655">
        <f>+IF(OR($Q190=Parametres!$G$2,$Q190=Parametres!$G$3),I190,C190)</f>
        <v>-34893.5</v>
      </c>
      <c r="O190" s="655">
        <f>+IF(OR($Q190=Parametres!$G$2,$Q190=Parametres!$G$3),J190,D190)</f>
        <v>-12251.36</v>
      </c>
      <c r="P190" s="655">
        <f>+IF(OR($Q190=Parametres!$G$2,$Q190=Parametres!$G$3),K190,E190)</f>
        <v>-47144.86</v>
      </c>
      <c r="Q190" s="654" t="str">
        <f t="shared" si="173"/>
        <v>5-Ventes</v>
      </c>
      <c r="R190" s="653" t="str">
        <f t="shared" si="174"/>
        <v>4495</v>
      </c>
      <c r="S190" s="654" t="str">
        <f t="shared" si="175"/>
        <v>_</v>
      </c>
      <c r="T190" s="656" t="str">
        <f>+VLOOKUP($L190,Data_Validation!$A:$D,1,0)</f>
        <v>4495</v>
      </c>
      <c r="U190" s="656" t="str">
        <f>+VLOOKUP($L190,Data_Validation!$A:$D,3,0)</f>
        <v>Service</v>
      </c>
      <c r="V190" s="656" t="str">
        <f>+VLOOKUP($L190,Data_Validation!$A:$D,4,0)</f>
        <v>Sous-traitement</v>
      </c>
      <c r="W190" s="656" t="str">
        <f>+VLOOKUP($L190,Data_Validation!$A:$E,5,0)</f>
        <v>$</v>
      </c>
      <c r="X190" s="656" t="str">
        <f>+VLOOKUP($L190,Data_Validation!$A:$F,6,0)</f>
        <v>Oui</v>
      </c>
    </row>
    <row r="191" spans="1:24" ht="15" customHeight="1">
      <c r="A191" s="1255" t="s">
        <v>3426</v>
      </c>
      <c r="B191" s="1255" t="s">
        <v>3427</v>
      </c>
      <c r="C191" s="1257">
        <v>-32992.35</v>
      </c>
      <c r="D191" s="1257">
        <v>-13699.1</v>
      </c>
      <c r="E191" s="1257">
        <v>-46691.45</v>
      </c>
      <c r="F191" s="1255" t="s">
        <v>963</v>
      </c>
      <c r="G191" s="1255" t="s">
        <v>3427</v>
      </c>
      <c r="H191" s="1255" t="s">
        <v>3950</v>
      </c>
      <c r="I191" s="651"/>
      <c r="J191" s="651"/>
      <c r="K191" s="670"/>
      <c r="L191" s="653" t="str">
        <f t="shared" si="171"/>
        <v>4505</v>
      </c>
      <c r="M191" s="654" t="str">
        <f t="shared" si="172"/>
        <v>VTE - M.O. INTERNE CARROSSERIE</v>
      </c>
      <c r="N191" s="655">
        <f>+IF(OR($Q191=Parametres!$G$2,$Q191=Parametres!$G$3),I191,C191)</f>
        <v>-32992.35</v>
      </c>
      <c r="O191" s="655">
        <f>+IF(OR($Q191=Parametres!$G$2,$Q191=Parametres!$G$3),J191,D191)</f>
        <v>-13699.1</v>
      </c>
      <c r="P191" s="655">
        <f>+IF(OR($Q191=Parametres!$G$2,$Q191=Parametres!$G$3),K191,E191)</f>
        <v>-46691.45</v>
      </c>
      <c r="Q191" s="654" t="str">
        <f t="shared" si="173"/>
        <v>5-Ventes</v>
      </c>
      <c r="R191" s="653" t="str">
        <f t="shared" si="174"/>
        <v>4505</v>
      </c>
      <c r="S191" s="654" t="str">
        <f t="shared" si="175"/>
        <v>_</v>
      </c>
      <c r="T191" s="656" t="str">
        <f>+VLOOKUP($L191,Data_Validation!$A:$D,1,0)</f>
        <v>4505</v>
      </c>
      <c r="U191" s="656" t="str">
        <f>+VLOOKUP($L191,Data_Validation!$A:$D,3,0)</f>
        <v>Service</v>
      </c>
      <c r="V191" s="656" t="str">
        <f>+VLOOKUP($L191,Data_Validation!$A:$D,4,0)</f>
        <v>M.O. Recond. MCPA</v>
      </c>
      <c r="W191" s="656" t="str">
        <f>+VLOOKUP($L191,Data_Validation!$A:$E,5,0)</f>
        <v>$</v>
      </c>
      <c r="X191" s="656" t="str">
        <f>+VLOOKUP($L191,Data_Validation!$A:$F,6,0)</f>
        <v>Oui</v>
      </c>
    </row>
    <row r="192" spans="1:24" ht="15" customHeight="1">
      <c r="A192" s="1255" t="s">
        <v>1050</v>
      </c>
      <c r="B192" s="1255" t="s">
        <v>1051</v>
      </c>
      <c r="C192" s="1257">
        <v>-19386.28</v>
      </c>
      <c r="D192" s="1257">
        <v>-2028.99</v>
      </c>
      <c r="E192" s="1257">
        <v>-21415.27</v>
      </c>
      <c r="F192" s="1255" t="s">
        <v>963</v>
      </c>
      <c r="G192" s="1255" t="s">
        <v>1051</v>
      </c>
      <c r="H192" s="1255" t="s">
        <v>3950</v>
      </c>
      <c r="I192" s="652"/>
      <c r="J192" s="652"/>
      <c r="K192" s="652"/>
      <c r="L192" s="653" t="str">
        <f t="shared" si="171"/>
        <v>4591</v>
      </c>
      <c r="M192" s="654" t="str">
        <f t="shared" si="172"/>
        <v>VTE - S-TRAIT. CARR.</v>
      </c>
      <c r="N192" s="655">
        <f>+IF(OR($Q192=Parametres!$G$2,$Q192=Parametres!$G$3),I192,C192)</f>
        <v>-19386.28</v>
      </c>
      <c r="O192" s="655">
        <f>+IF(OR($Q192=Parametres!$G$2,$Q192=Parametres!$G$3),J192,D192)</f>
        <v>-2028.99</v>
      </c>
      <c r="P192" s="655">
        <f>+IF(OR($Q192=Parametres!$G$2,$Q192=Parametres!$G$3),K192,E192)</f>
        <v>-21415.27</v>
      </c>
      <c r="Q192" s="654" t="str">
        <f t="shared" si="173"/>
        <v>5-Ventes</v>
      </c>
      <c r="R192" s="653" t="str">
        <f t="shared" si="174"/>
        <v>4591</v>
      </c>
      <c r="S192" s="654" t="str">
        <f t="shared" si="175"/>
        <v>_</v>
      </c>
      <c r="T192" s="656" t="str">
        <f>+VLOOKUP($L192,Data_Validation!$A:$D,1,0)</f>
        <v>4591</v>
      </c>
      <c r="U192" s="656" t="str">
        <f>+VLOOKUP($L192,Data_Validation!$A:$D,3,0)</f>
        <v>Carrosserie</v>
      </c>
      <c r="V192" s="656" t="str">
        <f>+VLOOKUP($L192,Data_Validation!$A:$D,4,0)</f>
        <v>M/O Sous-traitement</v>
      </c>
      <c r="W192" s="656" t="str">
        <f>+VLOOKUP($L192,Data_Validation!$A:$E,5,0)</f>
        <v>$</v>
      </c>
      <c r="X192" s="656" t="str">
        <f>+VLOOKUP($L192,Data_Validation!$A:$F,6,0)</f>
        <v>Oui</v>
      </c>
    </row>
    <row r="193" spans="1:24" ht="15" customHeight="1">
      <c r="A193" s="1255" t="s">
        <v>1054</v>
      </c>
      <c r="B193" s="1255" t="s">
        <v>1055</v>
      </c>
      <c r="C193" s="1257">
        <v>-44747.57</v>
      </c>
      <c r="D193" s="1257">
        <v>-5692.02</v>
      </c>
      <c r="E193" s="1257">
        <v>-50439.59</v>
      </c>
      <c r="F193" s="1255" t="s">
        <v>963</v>
      </c>
      <c r="G193" s="1255" t="s">
        <v>1055</v>
      </c>
      <c r="H193" s="1255" t="s">
        <v>3950</v>
      </c>
      <c r="I193" s="651"/>
      <c r="J193" s="651"/>
      <c r="K193" s="670"/>
      <c r="L193" s="653" t="str">
        <f t="shared" si="171"/>
        <v>4593</v>
      </c>
      <c r="M193" s="654" t="str">
        <f t="shared" si="172"/>
        <v>VTE - SOUS-TRAITANCE GARANTIE CARR.</v>
      </c>
      <c r="N193" s="655">
        <f>+IF(OR($Q193=Parametres!$G$2,$Q193=Parametres!$G$3),I193,C193)</f>
        <v>-44747.57</v>
      </c>
      <c r="O193" s="655">
        <f>+IF(OR($Q193=Parametres!$G$2,$Q193=Parametres!$G$3),J193,D193)</f>
        <v>-5692.02</v>
      </c>
      <c r="P193" s="655">
        <f>+IF(OR($Q193=Parametres!$G$2,$Q193=Parametres!$G$3),K193,E193)</f>
        <v>-50439.59</v>
      </c>
      <c r="Q193" s="654" t="str">
        <f t="shared" si="173"/>
        <v>5-Ventes</v>
      </c>
      <c r="R193" s="653" t="str">
        <f t="shared" si="174"/>
        <v>4593</v>
      </c>
      <c r="S193" s="654" t="str">
        <f t="shared" si="175"/>
        <v>_</v>
      </c>
      <c r="T193" s="656" t="str">
        <f>+VLOOKUP($L193,Data_Validation!$A:$D,1,0)</f>
        <v>4593</v>
      </c>
      <c r="U193" s="656" t="str">
        <f>+VLOOKUP($L193,Data_Validation!$A:$D,3,0)</f>
        <v>Carrosserie</v>
      </c>
      <c r="V193" s="656" t="str">
        <f>+VLOOKUP($L193,Data_Validation!$A:$D,4,0)</f>
        <v>M/O Sous-traitement</v>
      </c>
      <c r="W193" s="656" t="str">
        <f>+VLOOKUP($L193,Data_Validation!$A:$E,5,0)</f>
        <v>$</v>
      </c>
      <c r="X193" s="656" t="str">
        <f>+VLOOKUP($L193,Data_Validation!$A:$F,6,0)</f>
        <v>Oui</v>
      </c>
    </row>
    <row r="194" spans="1:24" ht="15.75" customHeight="1">
      <c r="A194" s="1255" t="s">
        <v>1058</v>
      </c>
      <c r="B194" s="1255" t="s">
        <v>1059</v>
      </c>
      <c r="C194" s="1257">
        <v>-4740.22</v>
      </c>
      <c r="D194" s="1257">
        <v>0</v>
      </c>
      <c r="E194" s="1257">
        <v>-4740.22</v>
      </c>
      <c r="F194" s="1255" t="s">
        <v>963</v>
      </c>
      <c r="G194" s="1255" t="s">
        <v>1059</v>
      </c>
      <c r="H194" s="1255" t="s">
        <v>3950</v>
      </c>
      <c r="I194" s="652"/>
      <c r="J194" s="652"/>
      <c r="K194" s="652"/>
      <c r="L194" s="653" t="str">
        <f t="shared" si="171"/>
        <v>4595</v>
      </c>
      <c r="M194" s="654" t="str">
        <f t="shared" si="172"/>
        <v>VTE - SOUS-TRAITANCE INTERNE CARR.</v>
      </c>
      <c r="N194" s="655">
        <f>+IF(OR($Q194=Parametres!$G$2,$Q194=Parametres!$G$3),I194,C194)</f>
        <v>-4740.22</v>
      </c>
      <c r="O194" s="655">
        <f>+IF(OR($Q194=Parametres!$G$2,$Q194=Parametres!$G$3),J194,D194)</f>
        <v>0</v>
      </c>
      <c r="P194" s="655">
        <f>+IF(OR($Q194=Parametres!$G$2,$Q194=Parametres!$G$3),K194,E194)</f>
        <v>-4740.22</v>
      </c>
      <c r="Q194" s="654" t="str">
        <f t="shared" si="173"/>
        <v>5-Ventes</v>
      </c>
      <c r="R194" s="653" t="str">
        <f t="shared" si="174"/>
        <v>4595</v>
      </c>
      <c r="S194" s="654" t="str">
        <f t="shared" si="175"/>
        <v>_</v>
      </c>
      <c r="T194" s="656" t="str">
        <f>+VLOOKUP($L194,Data_Validation!$A:$D,1,0)</f>
        <v>4595</v>
      </c>
      <c r="U194" s="656" t="str">
        <f>+VLOOKUP($L194,Data_Validation!$A:$D,3,0)</f>
        <v>Carrosserie</v>
      </c>
      <c r="V194" s="656" t="str">
        <f>+VLOOKUP($L194,Data_Validation!$A:$D,4,0)</f>
        <v>M/O Sous-traitement</v>
      </c>
      <c r="W194" s="656" t="str">
        <f>+VLOOKUP($L194,Data_Validation!$A:$E,5,0)</f>
        <v>$</v>
      </c>
      <c r="X194" s="656" t="str">
        <f>+VLOOKUP($L194,Data_Validation!$A:$F,6,0)</f>
        <v>Oui</v>
      </c>
    </row>
    <row r="195" spans="1:24" ht="15" customHeight="1">
      <c r="A195" s="1255" t="s">
        <v>3674</v>
      </c>
      <c r="B195" s="1255" t="s">
        <v>1063</v>
      </c>
      <c r="C195" s="1257">
        <v>-269497.14</v>
      </c>
      <c r="D195" s="1257">
        <v>-112334.37</v>
      </c>
      <c r="E195" s="1257">
        <v>-381831.51</v>
      </c>
      <c r="F195" s="1255" t="s">
        <v>963</v>
      </c>
      <c r="G195" s="1255" t="s">
        <v>1063</v>
      </c>
      <c r="H195" s="1255" t="s">
        <v>3950</v>
      </c>
      <c r="I195" s="670"/>
      <c r="J195" s="651"/>
      <c r="K195" s="670"/>
      <c r="L195" s="653" t="str">
        <f t="shared" si="171"/>
        <v>4701</v>
      </c>
      <c r="M195" s="654" t="str">
        <f t="shared" si="172"/>
        <v>VW P&amp;A - BR - CLIENT - MCI</v>
      </c>
      <c r="N195" s="655">
        <f>+IF(OR($Q195=Parametres!$G$2,$Q195=Parametres!$G$3),I195,C195)</f>
        <v>-269497.14</v>
      </c>
      <c r="O195" s="655">
        <f>+IF(OR($Q195=Parametres!$G$2,$Q195=Parametres!$G$3),J195,D195)</f>
        <v>-112334.37</v>
      </c>
      <c r="P195" s="655">
        <f>+IF(OR($Q195=Parametres!$G$2,$Q195=Parametres!$G$3),K195,E195)</f>
        <v>-381831.51</v>
      </c>
      <c r="Q195" s="654" t="str">
        <f t="shared" si="173"/>
        <v>5-Ventes</v>
      </c>
      <c r="R195" s="653" t="str">
        <f t="shared" si="174"/>
        <v>4701</v>
      </c>
      <c r="S195" s="654" t="str">
        <f t="shared" si="175"/>
        <v>_</v>
      </c>
      <c r="T195" s="656" t="str">
        <f>+VLOOKUP($L195,Data_Validation!$A:$D,1,0)</f>
        <v>4701</v>
      </c>
      <c r="U195" s="656" t="str">
        <f>+VLOOKUP($L195,Data_Validation!$A:$D,3,0)</f>
        <v>Pièces</v>
      </c>
      <c r="V195" s="656" t="str">
        <f>+VLOOKUP($L195,Data_Validation!$A:$D,4,0)</f>
        <v>Pièces Ro Clients</v>
      </c>
      <c r="W195" s="656" t="str">
        <f>+VLOOKUP($L195,Data_Validation!$A:$E,5,0)</f>
        <v>$</v>
      </c>
      <c r="X195" s="656" t="str">
        <f>+VLOOKUP($L195,Data_Validation!$A:$F,6,0)</f>
        <v>Oui</v>
      </c>
    </row>
    <row r="196" spans="1:24" ht="15" customHeight="1">
      <c r="A196" s="1255" t="s">
        <v>1066</v>
      </c>
      <c r="B196" s="1255" t="s">
        <v>1067</v>
      </c>
      <c r="C196" s="1257">
        <v>-2370.35</v>
      </c>
      <c r="D196" s="1257">
        <v>-1003.8</v>
      </c>
      <c r="E196" s="1257">
        <v>-3374.15</v>
      </c>
      <c r="F196" s="1255" t="s">
        <v>963</v>
      </c>
      <c r="G196" s="1255" t="s">
        <v>1067</v>
      </c>
      <c r="H196" s="1255" t="s">
        <v>3950</v>
      </c>
      <c r="I196" s="652"/>
      <c r="J196" s="652"/>
      <c r="K196" s="652"/>
      <c r="L196" s="653" t="str">
        <f t="shared" si="171"/>
        <v>4702</v>
      </c>
      <c r="M196" s="654" t="str">
        <f t="shared" si="172"/>
        <v>VTE - SHOP SUPPLY VW</v>
      </c>
      <c r="N196" s="655">
        <f>+IF(OR($Q196=Parametres!$G$2,$Q196=Parametres!$G$3),I196,C196)</f>
        <v>-2370.35</v>
      </c>
      <c r="O196" s="655">
        <f>+IF(OR($Q196=Parametres!$G$2,$Q196=Parametres!$G$3),J196,D196)</f>
        <v>-1003.8</v>
      </c>
      <c r="P196" s="655">
        <f>+IF(OR($Q196=Parametres!$G$2,$Q196=Parametres!$G$3),K196,E196)</f>
        <v>-3374.15</v>
      </c>
      <c r="Q196" s="654" t="str">
        <f t="shared" si="173"/>
        <v>5-Ventes</v>
      </c>
      <c r="R196" s="653" t="str">
        <f t="shared" si="174"/>
        <v>4702</v>
      </c>
      <c r="S196" s="654" t="str">
        <f t="shared" si="175"/>
        <v>_</v>
      </c>
      <c r="T196" s="656" t="str">
        <f>+VLOOKUP($L196,Data_Validation!$A:$D,1,0)</f>
        <v>4702</v>
      </c>
      <c r="U196" s="656" t="str">
        <f>+VLOOKUP($L196,Data_Validation!$A:$D,3,0)</f>
        <v>Service</v>
      </c>
      <c r="V196" s="656" t="str">
        <f>+VLOOKUP($L196,Data_Validation!$A:$D,4,0)</f>
        <v>M/O Client</v>
      </c>
      <c r="W196" s="656" t="str">
        <f>+VLOOKUP($L196,Data_Validation!$A:$E,5,0)</f>
        <v>$</v>
      </c>
      <c r="X196" s="656" t="str">
        <f>+VLOOKUP($L196,Data_Validation!$A:$F,6,0)</f>
        <v>Oui</v>
      </c>
    </row>
    <row r="197" spans="1:24" ht="15" customHeight="1">
      <c r="A197" s="1255" t="s">
        <v>3675</v>
      </c>
      <c r="B197" s="1255" t="s">
        <v>1069</v>
      </c>
      <c r="C197" s="1257">
        <v>-360115.6</v>
      </c>
      <c r="D197" s="1257">
        <v>-85718.31</v>
      </c>
      <c r="E197" s="1257">
        <v>-445833.91</v>
      </c>
      <c r="F197" s="1255" t="s">
        <v>963</v>
      </c>
      <c r="G197" s="1255" t="s">
        <v>1069</v>
      </c>
      <c r="H197" s="1255" t="s">
        <v>3950</v>
      </c>
      <c r="I197" s="651"/>
      <c r="J197" s="651"/>
      <c r="K197" s="670"/>
      <c r="L197" s="653" t="str">
        <f t="shared" si="171"/>
        <v>4703</v>
      </c>
      <c r="M197" s="654" t="str">
        <f t="shared" si="172"/>
        <v>VW P&amp;A - BR - GARANTIE - MCI</v>
      </c>
      <c r="N197" s="655">
        <f>+IF(OR($Q197=Parametres!$G$2,$Q197=Parametres!$G$3),I197,C197)</f>
        <v>-360115.6</v>
      </c>
      <c r="O197" s="659">
        <f>+IF(OR($Q197=Parametres!$G$2,$Q197=Parametres!$G$3),J197,D197)</f>
        <v>-85718.31</v>
      </c>
      <c r="P197" s="655">
        <f>+IF(OR($Q197=Parametres!$G$2,$Q197=Parametres!$G$3),K197,E197)</f>
        <v>-445833.91</v>
      </c>
      <c r="Q197" s="654" t="str">
        <f t="shared" si="173"/>
        <v>5-Ventes</v>
      </c>
      <c r="R197" s="653" t="str">
        <f t="shared" si="174"/>
        <v>4703</v>
      </c>
      <c r="S197" s="654" t="str">
        <f t="shared" si="175"/>
        <v>_</v>
      </c>
      <c r="T197" s="656" t="str">
        <f>+VLOOKUP($L197,Data_Validation!$A:$D,1,0)</f>
        <v>4703</v>
      </c>
      <c r="U197" s="656" t="str">
        <f>+VLOOKUP($L197,Data_Validation!$A:$D,3,0)</f>
        <v>Pièces</v>
      </c>
      <c r="V197" s="656" t="str">
        <f>+VLOOKUP($L197,Data_Validation!$A:$D,4,0)</f>
        <v>P/A Garantie</v>
      </c>
      <c r="W197" s="656" t="str">
        <f>+VLOOKUP($L197,Data_Validation!$A:$E,5,0)</f>
        <v>$</v>
      </c>
      <c r="X197" s="656" t="str">
        <f>+VLOOKUP($L197,Data_Validation!$A:$F,6,0)</f>
        <v>Oui</v>
      </c>
    </row>
    <row r="198" spans="1:24" ht="15" customHeight="1">
      <c r="A198" s="1255" t="s">
        <v>3676</v>
      </c>
      <c r="B198" s="1255" t="s">
        <v>1073</v>
      </c>
      <c r="C198" s="1257">
        <v>-243069.57</v>
      </c>
      <c r="D198" s="1257">
        <v>-56839.72</v>
      </c>
      <c r="E198" s="1257">
        <v>-299909.28999999998</v>
      </c>
      <c r="F198" s="1255" t="s">
        <v>963</v>
      </c>
      <c r="G198" s="1255" t="s">
        <v>1073</v>
      </c>
      <c r="H198" s="1255" t="s">
        <v>3950</v>
      </c>
      <c r="I198" s="652"/>
      <c r="J198" s="652"/>
      <c r="K198" s="652"/>
      <c r="L198" s="653" t="str">
        <f t="shared" si="171"/>
        <v>4705</v>
      </c>
      <c r="M198" s="654" t="str">
        <f t="shared" si="172"/>
        <v>VW P&amp;A - BR - INTERNE - MCI</v>
      </c>
      <c r="N198" s="655">
        <f>+IF(OR($Q198=Parametres!$G$2,$Q198=Parametres!$G$3),I198,C198)</f>
        <v>-243069.57</v>
      </c>
      <c r="O198" s="655">
        <f>+IF(OR($Q198=Parametres!$G$2,$Q198=Parametres!$G$3),J198,D198)</f>
        <v>-56839.72</v>
      </c>
      <c r="P198" s="655">
        <f>+IF(OR($Q198=Parametres!$G$2,$Q198=Parametres!$G$3),K198,E198)</f>
        <v>-299909.28999999998</v>
      </c>
      <c r="Q198" s="654" t="str">
        <f t="shared" si="173"/>
        <v>5-Ventes</v>
      </c>
      <c r="R198" s="653" t="str">
        <f t="shared" si="174"/>
        <v>4705</v>
      </c>
      <c r="S198" s="654" t="str">
        <f t="shared" si="175"/>
        <v>_</v>
      </c>
      <c r="T198" s="656" t="str">
        <f>+VLOOKUP($L198,Data_Validation!$A:$D,1,0)</f>
        <v>4705</v>
      </c>
      <c r="U198" s="656" t="str">
        <f>+VLOOKUP($L198,Data_Validation!$A:$D,3,0)</f>
        <v>Pièces</v>
      </c>
      <c r="V198" s="656" t="str">
        <f>+VLOOKUP($L198,Data_Validation!$A:$D,4,0)</f>
        <v>Ventes Internes</v>
      </c>
      <c r="W198" s="656" t="str">
        <f>+VLOOKUP($L198,Data_Validation!$A:$E,5,0)</f>
        <v>$</v>
      </c>
      <c r="X198" s="656" t="str">
        <f>+VLOOKUP($L198,Data_Validation!$A:$F,6,0)</f>
        <v>Oui</v>
      </c>
    </row>
    <row r="199" spans="1:24" ht="15.75" customHeight="1">
      <c r="A199" s="1255" t="s">
        <v>3677</v>
      </c>
      <c r="B199" s="1255" t="s">
        <v>1076</v>
      </c>
      <c r="C199" s="1257">
        <v>-560.09</v>
      </c>
      <c r="D199" s="1257">
        <v>-225</v>
      </c>
      <c r="E199" s="1257">
        <v>-785.09</v>
      </c>
      <c r="F199" s="1255" t="s">
        <v>963</v>
      </c>
      <c r="G199" s="1255" t="s">
        <v>1076</v>
      </c>
      <c r="H199" s="1255" t="s">
        <v>3950</v>
      </c>
      <c r="I199" s="670"/>
      <c r="J199" s="651"/>
      <c r="K199" s="670"/>
      <c r="L199" s="653" t="str">
        <f t="shared" si="171"/>
        <v>4706</v>
      </c>
      <c r="M199" s="654" t="str">
        <f t="shared" si="172"/>
        <v>VW P&amp;A - BR - CLIENT - VEB</v>
      </c>
      <c r="N199" s="655">
        <f>+IF(OR($Q199=Parametres!$G$2,$Q199=Parametres!$G$3),I199,C199)</f>
        <v>-560.09</v>
      </c>
      <c r="O199" s="655">
        <f>+IF(OR($Q199=Parametres!$G$2,$Q199=Parametres!$G$3),J199,D199)</f>
        <v>-225</v>
      </c>
      <c r="P199" s="655">
        <f>+IF(OR($Q199=Parametres!$G$2,$Q199=Parametres!$G$3),K199,E199)</f>
        <v>-785.09</v>
      </c>
      <c r="Q199" s="654" t="str">
        <f t="shared" si="173"/>
        <v>5-Ventes</v>
      </c>
      <c r="R199" s="653" t="str">
        <f t="shared" si="174"/>
        <v>4706</v>
      </c>
      <c r="S199" s="654" t="str">
        <f t="shared" si="175"/>
        <v>_</v>
      </c>
      <c r="T199" s="656" t="str">
        <f>+VLOOKUP($L199,Data_Validation!$A:$D,1,0)</f>
        <v>4706</v>
      </c>
      <c r="U199" s="656" t="str">
        <f>+VLOOKUP($L199,Data_Validation!$A:$D,3,0)</f>
        <v>Service</v>
      </c>
      <c r="V199" s="656" t="str">
        <f>+VLOOKUP($L199,Data_Validation!$A:$D,4,0)</f>
        <v>M/O Interne</v>
      </c>
      <c r="W199" s="656" t="str">
        <f>+VLOOKUP($L199,Data_Validation!$A:$E,5,0)</f>
        <v>$</v>
      </c>
      <c r="X199" s="656" t="str">
        <f>+VLOOKUP($L199,Data_Validation!$A:$F,6,0)</f>
        <v>Oui</v>
      </c>
    </row>
    <row r="200" spans="1:24" ht="15" customHeight="1">
      <c r="A200" s="1255" t="s">
        <v>1077</v>
      </c>
      <c r="B200" s="1255" t="s">
        <v>1142</v>
      </c>
      <c r="C200" s="1257">
        <v>-14399.79</v>
      </c>
      <c r="D200" s="1257">
        <v>-5687.06</v>
      </c>
      <c r="E200" s="1257">
        <v>-20086.849999999999</v>
      </c>
      <c r="F200" s="1255" t="s">
        <v>963</v>
      </c>
      <c r="G200" s="1255" t="s">
        <v>1078</v>
      </c>
      <c r="H200" s="1255" t="s">
        <v>3950</v>
      </c>
      <c r="I200" s="652"/>
      <c r="J200" s="652"/>
      <c r="K200" s="652"/>
      <c r="L200" s="653" t="str">
        <f t="shared" si="171"/>
        <v>4711</v>
      </c>
      <c r="M200" s="654" t="str">
        <f t="shared" si="172"/>
        <v>VTE - AUTRE PIECE/ACC/CARR B.R. CLIENT</v>
      </c>
      <c r="N200" s="655">
        <f>+IF(OR($Q200=Parametres!$G$2,$Q200=Parametres!$G$3),I200,C200)</f>
        <v>-14399.79</v>
      </c>
      <c r="O200" s="655">
        <f>+IF(OR($Q200=Parametres!$G$2,$Q200=Parametres!$G$3),J200,D200)</f>
        <v>-5687.06</v>
      </c>
      <c r="P200" s="655">
        <f>+IF(OR($Q200=Parametres!$G$2,$Q200=Parametres!$G$3),K200,E200)</f>
        <v>-20086.849999999999</v>
      </c>
      <c r="Q200" s="654" t="str">
        <f t="shared" si="173"/>
        <v>5-Ventes</v>
      </c>
      <c r="R200" s="653" t="str">
        <f t="shared" si="174"/>
        <v>84711</v>
      </c>
      <c r="S200" s="654" t="str">
        <f t="shared" si="175"/>
        <v>_</v>
      </c>
      <c r="T200" s="656" t="str">
        <f>+VLOOKUP($L200,Data_Validation!$A:$D,1,0)</f>
        <v>4711</v>
      </c>
      <c r="U200" s="656" t="str">
        <f>+VLOOKUP($L200,Data_Validation!$A:$D,3,0)</f>
        <v>Pièces</v>
      </c>
      <c r="V200" s="656" t="str">
        <f>+VLOOKUP($L200,Data_Validation!$A:$D,4,0)</f>
        <v>Pièces Ro Clients</v>
      </c>
      <c r="W200" s="656" t="str">
        <f>+VLOOKUP($L200,Data_Validation!$A:$E,5,0)</f>
        <v>$</v>
      </c>
      <c r="X200" s="656" t="str">
        <f>+VLOOKUP($L200,Data_Validation!$A:$F,6,0)</f>
        <v>Oui</v>
      </c>
    </row>
    <row r="201" spans="1:24" ht="15" customHeight="1">
      <c r="A201" s="1255" t="s">
        <v>3678</v>
      </c>
      <c r="B201" s="1255" t="s">
        <v>1086</v>
      </c>
      <c r="C201" s="1257">
        <v>-1365.95</v>
      </c>
      <c r="D201" s="1257">
        <v>0</v>
      </c>
      <c r="E201" s="1257">
        <v>-1365.95</v>
      </c>
      <c r="F201" s="1255" t="s">
        <v>963</v>
      </c>
      <c r="G201" s="1255" t="s">
        <v>1086</v>
      </c>
      <c r="H201" s="1255" t="s">
        <v>3950</v>
      </c>
      <c r="I201" s="652"/>
      <c r="J201" s="652"/>
      <c r="K201" s="652"/>
      <c r="L201" s="653" t="str">
        <f t="shared" si="171"/>
        <v>4731</v>
      </c>
      <c r="M201" s="654" t="str">
        <f t="shared" si="172"/>
        <v>VW-P&amp;A-P&amp;BRO-CLIENT - MCI</v>
      </c>
      <c r="N201" s="655">
        <f>+IF(OR($Q201=Parametres!$G$2,$Q201=Parametres!$G$3),I201,C201)</f>
        <v>-1365.95</v>
      </c>
      <c r="O201" s="655">
        <f>+IF(OR($Q201=Parametres!$G$2,$Q201=Parametres!$G$3),J201,D201)</f>
        <v>0</v>
      </c>
      <c r="P201" s="655">
        <f>+IF(OR($Q201=Parametres!$G$2,$Q201=Parametres!$G$3),K201,E201)</f>
        <v>-1365.95</v>
      </c>
      <c r="Q201" s="654" t="str">
        <f t="shared" si="173"/>
        <v>5-Ventes</v>
      </c>
      <c r="R201" s="653" t="str">
        <f t="shared" si="174"/>
        <v>4731</v>
      </c>
      <c r="S201" s="654" t="str">
        <f t="shared" si="175"/>
        <v>_</v>
      </c>
      <c r="T201" s="656" t="str">
        <f>+VLOOKUP($L201,Data_Validation!$A:$D,1,0)</f>
        <v>4731</v>
      </c>
      <c r="U201" s="656" t="str">
        <f>+VLOOKUP($L201,Data_Validation!$A:$D,3,0)</f>
        <v>Pièces</v>
      </c>
      <c r="V201" s="656" t="str">
        <f>+VLOOKUP($L201,Data_Validation!$A:$D,4,0)</f>
        <v>Pièces Ro Carrosserie</v>
      </c>
      <c r="W201" s="656" t="str">
        <f>+VLOOKUP($L201,Data_Validation!$A:$E,5,0)</f>
        <v>$</v>
      </c>
      <c r="X201" s="656" t="str">
        <f>+VLOOKUP($L201,Data_Validation!$A:$F,6,0)</f>
        <v>Oui</v>
      </c>
    </row>
    <row r="202" spans="1:24" ht="15" customHeight="1">
      <c r="A202" s="1255" t="s">
        <v>3679</v>
      </c>
      <c r="B202" s="1255" t="s">
        <v>1090</v>
      </c>
      <c r="C202" s="1257">
        <v>-21620.39</v>
      </c>
      <c r="D202" s="1257">
        <v>-1379.61</v>
      </c>
      <c r="E202" s="1257">
        <v>-23000</v>
      </c>
      <c r="F202" s="1255" t="s">
        <v>963</v>
      </c>
      <c r="G202" s="1255" t="s">
        <v>1090</v>
      </c>
      <c r="H202" s="1255" t="s">
        <v>3950</v>
      </c>
      <c r="I202" s="652"/>
      <c r="J202" s="652"/>
      <c r="K202" s="652"/>
      <c r="L202" s="653" t="str">
        <f t="shared" si="171"/>
        <v>4733</v>
      </c>
      <c r="M202" s="654" t="str">
        <f t="shared" si="172"/>
        <v>VW-P&amp;A-P&amp;BRO-GARANTIE - MCI</v>
      </c>
      <c r="N202" s="655">
        <f>+IF(OR($Q202=Parametres!$G$2,$Q202=Parametres!$G$3),I202,C202)</f>
        <v>-21620.39</v>
      </c>
      <c r="O202" s="655">
        <f>+IF(OR($Q202=Parametres!$G$2,$Q202=Parametres!$G$3),J202,D202)</f>
        <v>-1379.61</v>
      </c>
      <c r="P202" s="655">
        <f>+IF(OR($Q202=Parametres!$G$2,$Q202=Parametres!$G$3),K202,E202)</f>
        <v>-23000</v>
      </c>
      <c r="Q202" s="654" t="str">
        <f t="shared" si="173"/>
        <v>5-Ventes</v>
      </c>
      <c r="R202" s="653" t="str">
        <f t="shared" si="174"/>
        <v>4733</v>
      </c>
      <c r="S202" s="654" t="str">
        <f t="shared" si="175"/>
        <v>_</v>
      </c>
      <c r="T202" s="656" t="str">
        <f>+VLOOKUP($L202,Data_Validation!$A:$D,1,0)</f>
        <v>4733</v>
      </c>
      <c r="U202" s="656" t="str">
        <f>+VLOOKUP($L202,Data_Validation!$A:$D,3,0)</f>
        <v>Pièces</v>
      </c>
      <c r="V202" s="656" t="str">
        <f>+VLOOKUP($L202,Data_Validation!$A:$D,4,0)</f>
        <v>Pièces Ro Carrosserie</v>
      </c>
      <c r="W202" s="656" t="str">
        <f>+VLOOKUP($L202,Data_Validation!$A:$E,5,0)</f>
        <v>$</v>
      </c>
      <c r="X202" s="656" t="str">
        <f>+VLOOKUP($L202,Data_Validation!$A:$F,6,0)</f>
        <v>Oui</v>
      </c>
    </row>
    <row r="203" spans="1:24" ht="15" customHeight="1">
      <c r="A203" s="1255" t="s">
        <v>3680</v>
      </c>
      <c r="B203" s="1255" t="s">
        <v>1094</v>
      </c>
      <c r="C203" s="1257">
        <v>-633.58000000000004</v>
      </c>
      <c r="D203" s="1257">
        <v>0</v>
      </c>
      <c r="E203" s="1257">
        <v>-633.58000000000004</v>
      </c>
      <c r="F203" s="1255" t="s">
        <v>963</v>
      </c>
      <c r="G203" s="1255" t="s">
        <v>1094</v>
      </c>
      <c r="H203" s="1255" t="s">
        <v>3950</v>
      </c>
      <c r="I203" s="660"/>
      <c r="J203" s="660"/>
      <c r="K203" s="660"/>
      <c r="L203" s="653" t="str">
        <f t="shared" si="171"/>
        <v>4735</v>
      </c>
      <c r="M203" s="654" t="str">
        <f t="shared" si="172"/>
        <v>VW-P&amp;A-P&amp;BRO-INTERNE - MCI</v>
      </c>
      <c r="N203" s="655">
        <f>+IF(OR($Q203=Parametres!$G$2,$Q203=Parametres!$G$3),I203,C203)</f>
        <v>-633.58000000000004</v>
      </c>
      <c r="O203" s="655">
        <f>+IF(OR($Q203=Parametres!$G$2,$Q203=Parametres!$G$3),J203,D203)</f>
        <v>0</v>
      </c>
      <c r="P203" s="655">
        <f>+IF(OR($Q203=Parametres!$G$2,$Q203=Parametres!$G$3),K203,E203)</f>
        <v>-633.58000000000004</v>
      </c>
      <c r="Q203" s="654" t="str">
        <f t="shared" si="173"/>
        <v>5-Ventes</v>
      </c>
      <c r="R203" s="653" t="str">
        <f t="shared" si="174"/>
        <v>4735</v>
      </c>
      <c r="S203" s="654" t="str">
        <f t="shared" si="175"/>
        <v>_</v>
      </c>
      <c r="T203" s="656" t="str">
        <f>+VLOOKUP($L203,Data_Validation!$A:$D,1,0)</f>
        <v>4735</v>
      </c>
      <c r="U203" s="656" t="str">
        <f>+VLOOKUP($L203,Data_Validation!$A:$D,3,0)</f>
        <v>Pièces</v>
      </c>
      <c r="V203" s="656" t="str">
        <f>+VLOOKUP($L203,Data_Validation!$A:$D,4,0)</f>
        <v>Pièces Ro Carrosserie</v>
      </c>
      <c r="W203" s="656" t="str">
        <f>+VLOOKUP($L203,Data_Validation!$A:$E,5,0)</f>
        <v>$</v>
      </c>
      <c r="X203" s="656" t="str">
        <f>+VLOOKUP($L203,Data_Validation!$A:$F,6,0)</f>
        <v>Oui</v>
      </c>
    </row>
    <row r="204" spans="1:24" ht="15" customHeight="1">
      <c r="A204" s="1255" t="s">
        <v>1097</v>
      </c>
      <c r="B204" s="1255" t="s">
        <v>1098</v>
      </c>
      <c r="C204" s="1257">
        <v>-62977.86</v>
      </c>
      <c r="D204" s="1257">
        <v>-22502.2</v>
      </c>
      <c r="E204" s="1257">
        <v>-85480.06</v>
      </c>
      <c r="F204" s="1255" t="s">
        <v>963</v>
      </c>
      <c r="G204" s="1255" t="s">
        <v>1098</v>
      </c>
      <c r="H204" s="1255" t="s">
        <v>3950</v>
      </c>
      <c r="I204" s="652"/>
      <c r="J204" s="652"/>
      <c r="K204" s="652"/>
      <c r="L204" s="653" t="str">
        <f t="shared" si="171"/>
        <v>4761</v>
      </c>
      <c r="M204" s="654" t="str">
        <f t="shared" si="172"/>
        <v>VTE - P&amp;A VW COMPTOIR - DETAIL</v>
      </c>
      <c r="N204" s="655">
        <f>+IF(OR($Q204=Parametres!$G$2,$Q204=Parametres!$G$3),I204,C204)</f>
        <v>-62977.86</v>
      </c>
      <c r="O204" s="659">
        <f>+IF(OR($Q204=Parametres!$G$2,$Q204=Parametres!$G$3),J204,D204)</f>
        <v>-22502.2</v>
      </c>
      <c r="P204" s="655">
        <f>+IF(OR($Q204=Parametres!$G$2,$Q204=Parametres!$G$3),K204,E204)</f>
        <v>-85480.06</v>
      </c>
      <c r="Q204" s="654" t="str">
        <f t="shared" si="173"/>
        <v>5-Ventes</v>
      </c>
      <c r="R204" s="653" t="str">
        <f t="shared" si="174"/>
        <v>4761</v>
      </c>
      <c r="S204" s="654" t="str">
        <f t="shared" si="175"/>
        <v>_</v>
      </c>
      <c r="T204" s="656" t="str">
        <f>+VLOOKUP($L204,Data_Validation!$A:$D,1,0)</f>
        <v>4761</v>
      </c>
      <c r="U204" s="656" t="str">
        <f>+VLOOKUP($L204,Data_Validation!$A:$D,3,0)</f>
        <v>Pièces</v>
      </c>
      <c r="V204" s="656" t="str">
        <f>+VLOOKUP($L204,Data_Validation!$A:$D,4,0)</f>
        <v>Ventes Détails</v>
      </c>
      <c r="W204" s="656" t="str">
        <f>+VLOOKUP($L204,Data_Validation!$A:$E,5,0)</f>
        <v>$</v>
      </c>
      <c r="X204" s="656" t="str">
        <f>+VLOOKUP($L204,Data_Validation!$A:$F,6,0)</f>
        <v>Oui</v>
      </c>
    </row>
    <row r="205" spans="1:24" ht="15" customHeight="1">
      <c r="A205" s="1255" t="s">
        <v>1101</v>
      </c>
      <c r="B205" s="1255" t="s">
        <v>1102</v>
      </c>
      <c r="C205" s="1257">
        <v>-801606.44</v>
      </c>
      <c r="D205" s="1257">
        <v>-196342.46</v>
      </c>
      <c r="E205" s="1257">
        <v>-997948.9</v>
      </c>
      <c r="F205" s="1255" t="s">
        <v>963</v>
      </c>
      <c r="G205" s="1255" t="s">
        <v>1102</v>
      </c>
      <c r="H205" s="1255" t="s">
        <v>3950</v>
      </c>
      <c r="I205" s="670"/>
      <c r="J205" s="651"/>
      <c r="K205" s="670"/>
      <c r="L205" s="653" t="str">
        <f t="shared" si="171"/>
        <v>4763</v>
      </c>
      <c r="M205" s="654" t="str">
        <f t="shared" si="172"/>
        <v>VTE - P&amp;A VW COMPTOIR GROS - ECHANGE</v>
      </c>
      <c r="N205" s="655">
        <f>+IF(OR($Q205=Parametres!$G$2,$Q205=Parametres!$G$3),I205,C205)</f>
        <v>-801606.44</v>
      </c>
      <c r="O205" s="655">
        <f>+IF(OR($Q205=Parametres!$G$2,$Q205=Parametres!$G$3),J205,D205)</f>
        <v>-196342.46</v>
      </c>
      <c r="P205" s="655">
        <f>+IF(OR($Q205=Parametres!$G$2,$Q205=Parametres!$G$3),K205,E205)</f>
        <v>-997948.9</v>
      </c>
      <c r="Q205" s="654" t="str">
        <f t="shared" si="173"/>
        <v>5-Ventes</v>
      </c>
      <c r="R205" s="653" t="str">
        <f t="shared" si="174"/>
        <v>4763</v>
      </c>
      <c r="S205" s="654" t="str">
        <f t="shared" si="175"/>
        <v>_</v>
      </c>
      <c r="T205" s="671" t="str">
        <f>+VLOOKUP($L205,Data_Validation!$A:$D,1,0)</f>
        <v>4763</v>
      </c>
      <c r="U205" s="656" t="str">
        <f>+VLOOKUP($L205,Data_Validation!$A:$D,3,0)</f>
        <v>Pièces</v>
      </c>
      <c r="V205" s="656" t="str">
        <f>+VLOOKUP($L205,Data_Validation!$A:$D,4,0)</f>
        <v>Ventes de Gros</v>
      </c>
      <c r="W205" s="656" t="str">
        <f>+VLOOKUP($L205,Data_Validation!$A:$E,5,0)</f>
        <v>$</v>
      </c>
      <c r="X205" s="656" t="str">
        <f>+VLOOKUP($L205,Data_Validation!$A:$F,6,0)</f>
        <v>Oui</v>
      </c>
    </row>
    <row r="206" spans="1:24" ht="15.75" customHeight="1">
      <c r="A206" s="1255" t="s">
        <v>1105</v>
      </c>
      <c r="B206" s="1255" t="s">
        <v>1106</v>
      </c>
      <c r="C206" s="1257">
        <v>-171176.34</v>
      </c>
      <c r="D206" s="1257">
        <v>-40013.279999999999</v>
      </c>
      <c r="E206" s="1257">
        <v>-211189.62</v>
      </c>
      <c r="F206" s="1255" t="s">
        <v>963</v>
      </c>
      <c r="G206" s="1255" t="s">
        <v>1106</v>
      </c>
      <c r="H206" s="1255" t="s">
        <v>3950</v>
      </c>
      <c r="I206" s="652"/>
      <c r="J206" s="652"/>
      <c r="K206" s="652"/>
      <c r="L206" s="653" t="str">
        <f t="shared" si="171"/>
        <v>4781</v>
      </c>
      <c r="M206" s="654" t="str">
        <f t="shared" si="172"/>
        <v>VENTES PNEUS</v>
      </c>
      <c r="N206" s="655">
        <f>+IF(OR($Q206=Parametres!$G$2,$Q206=Parametres!$G$3),I206,C206)</f>
        <v>-171176.34</v>
      </c>
      <c r="O206" s="655">
        <f>+IF(OR($Q206=Parametres!$G$2,$Q206=Parametres!$G$3),J206,D206)</f>
        <v>-40013.279999999999</v>
      </c>
      <c r="P206" s="655">
        <f>+IF(OR($Q206=Parametres!$G$2,$Q206=Parametres!$G$3),K206,E206)</f>
        <v>-211189.62</v>
      </c>
      <c r="Q206" s="654" t="str">
        <f t="shared" si="173"/>
        <v>5-Ventes</v>
      </c>
      <c r="R206" s="653" t="str">
        <f t="shared" si="174"/>
        <v>4781</v>
      </c>
      <c r="S206" s="654" t="str">
        <f t="shared" si="175"/>
        <v>_</v>
      </c>
      <c r="T206" s="656" t="str">
        <f>+VLOOKUP($L206,Data_Validation!$A:$D,1,0)</f>
        <v>4781</v>
      </c>
      <c r="U206" s="656" t="str">
        <f>+VLOOKUP($L206,Data_Validation!$A:$D,3,0)</f>
        <v>Pièces</v>
      </c>
      <c r="V206" s="656" t="str">
        <f>+VLOOKUP($L206,Data_Validation!$A:$D,4,0)</f>
        <v>Ventes Pneus</v>
      </c>
      <c r="W206" s="656" t="str">
        <f>+VLOOKUP($L206,Data_Validation!$A:$E,5,0)</f>
        <v>$</v>
      </c>
      <c r="X206" s="656" t="str">
        <f>+VLOOKUP($L206,Data_Validation!$A:$F,6,0)</f>
        <v>Oui</v>
      </c>
    </row>
    <row r="207" spans="1:24" ht="15" customHeight="1">
      <c r="A207" s="1255" t="s">
        <v>1108</v>
      </c>
      <c r="B207" s="1255" t="s">
        <v>2050</v>
      </c>
      <c r="C207" s="1257">
        <v>-2746.08</v>
      </c>
      <c r="D207" s="1257">
        <v>-1045.2</v>
      </c>
      <c r="E207" s="1257">
        <v>-3791.28</v>
      </c>
      <c r="F207" s="1255" t="s">
        <v>963</v>
      </c>
      <c r="G207" s="1255" t="s">
        <v>1106</v>
      </c>
      <c r="H207" s="1255" t="s">
        <v>3950</v>
      </c>
      <c r="I207" s="670"/>
      <c r="J207" s="651"/>
      <c r="K207" s="670"/>
      <c r="L207" s="653" t="str">
        <f t="shared" si="171"/>
        <v>4785</v>
      </c>
      <c r="M207" s="654" t="str">
        <f t="shared" si="172"/>
        <v>VTE - VW PNEUS</v>
      </c>
      <c r="N207" s="655">
        <f>+IF(OR($Q207=Parametres!$G$2,$Q207=Parametres!$G$3),I207,C207)</f>
        <v>-2746.08</v>
      </c>
      <c r="O207" s="659">
        <f>+IF(OR($Q207=Parametres!$G$2,$Q207=Parametres!$G$3),J207,D207)</f>
        <v>-1045.2</v>
      </c>
      <c r="P207" s="655">
        <f>+IF(OR($Q207=Parametres!$G$2,$Q207=Parametres!$G$3),K207,E207)</f>
        <v>-3791.28</v>
      </c>
      <c r="Q207" s="654" t="str">
        <f t="shared" si="173"/>
        <v>5-Ventes</v>
      </c>
      <c r="R207" s="653" t="str">
        <f t="shared" si="174"/>
        <v>4781</v>
      </c>
      <c r="S207" s="654" t="str">
        <f t="shared" si="175"/>
        <v>_</v>
      </c>
      <c r="T207" s="656" t="str">
        <f>+VLOOKUP($L207,Data_Validation!$A:$D,1,0)</f>
        <v>4785</v>
      </c>
      <c r="U207" s="656" t="str">
        <f>+VLOOKUP($L207,Data_Validation!$A:$D,3,0)</f>
        <v>Pièces</v>
      </c>
      <c r="V207" s="656" t="str">
        <f>+VLOOKUP($L207,Data_Validation!$A:$D,4,0)</f>
        <v>Ventes Pneus</v>
      </c>
      <c r="W207" s="656" t="str">
        <f>+VLOOKUP($L207,Data_Validation!$A:$E,5,0)</f>
        <v>$</v>
      </c>
      <c r="X207" s="656" t="str">
        <f>+VLOOKUP($L207,Data_Validation!$A:$F,6,0)</f>
        <v>Oui</v>
      </c>
    </row>
    <row r="208" spans="1:24" ht="15" customHeight="1">
      <c r="A208" s="1255" t="s">
        <v>1109</v>
      </c>
      <c r="B208" s="1255" t="s">
        <v>2058</v>
      </c>
      <c r="C208" s="1257">
        <v>1136967.3799999999</v>
      </c>
      <c r="D208" s="1257">
        <v>425879.63</v>
      </c>
      <c r="E208" s="1257">
        <v>1562847.01</v>
      </c>
      <c r="F208" s="1255" t="s">
        <v>1110</v>
      </c>
      <c r="G208" s="1255" t="s">
        <v>964</v>
      </c>
      <c r="H208" s="1255" t="s">
        <v>3950</v>
      </c>
      <c r="I208" s="652"/>
      <c r="J208" s="652"/>
      <c r="K208" s="652"/>
      <c r="L208" s="653" t="str">
        <f t="shared" si="171"/>
        <v>5100</v>
      </c>
      <c r="M208" s="654" t="str">
        <f t="shared" si="172"/>
        <v>C/V - RACHAT DE BAIL</v>
      </c>
      <c r="N208" s="655">
        <f>+IF(OR($Q208=Parametres!$G$2,$Q208=Parametres!$G$3),I208,C208)</f>
        <v>1136967.3799999999</v>
      </c>
      <c r="O208" s="655">
        <f>+IF(OR($Q208=Parametres!$G$2,$Q208=Parametres!$G$3),J208,D208)</f>
        <v>425879.63</v>
      </c>
      <c r="P208" s="655">
        <f>+IF(OR($Q208=Parametres!$G$2,$Q208=Parametres!$G$3),K208,E208)</f>
        <v>1562847.01</v>
      </c>
      <c r="Q208" s="654" t="str">
        <f t="shared" si="173"/>
        <v>6-Coût des ventes</v>
      </c>
      <c r="R208" s="653" t="str">
        <f t="shared" si="174"/>
        <v>4100</v>
      </c>
      <c r="S208" s="654" t="str">
        <f t="shared" si="175"/>
        <v>_</v>
      </c>
      <c r="T208" s="656" t="str">
        <f>+VLOOKUP($L208,Data_Validation!$A:$D,1,0)</f>
        <v>5100</v>
      </c>
      <c r="U208" s="656" t="str">
        <f>+VLOOKUP($L208,Data_Validation!$A:$D,3,0)</f>
        <v>Véhicules neufs</v>
      </c>
      <c r="V208" s="656" t="str">
        <f>+VLOOKUP($L208,Data_Validation!$A:$D,4,0)</f>
        <v>Rachat bail</v>
      </c>
      <c r="W208" s="656" t="str">
        <f>+VLOOKUP($L208,Data_Validation!$A:$E,5,0)</f>
        <v>$</v>
      </c>
      <c r="X208" s="656">
        <f>+VLOOKUP($L208,Data_Validation!$A:$F,6,0)</f>
        <v>0</v>
      </c>
    </row>
    <row r="209" spans="1:24" ht="15" customHeight="1">
      <c r="A209" s="1255" t="s">
        <v>1111</v>
      </c>
      <c r="B209" s="1255" t="s">
        <v>2070</v>
      </c>
      <c r="C209" s="1257">
        <v>549406.22</v>
      </c>
      <c r="D209" s="1257">
        <v>152692.79</v>
      </c>
      <c r="E209" s="1257">
        <v>702099.01</v>
      </c>
      <c r="F209" s="1255" t="s">
        <v>1110</v>
      </c>
      <c r="G209" s="1255" t="s">
        <v>968</v>
      </c>
      <c r="H209" s="1255" t="s">
        <v>3950</v>
      </c>
      <c r="I209" s="670"/>
      <c r="J209" s="651"/>
      <c r="K209" s="670"/>
      <c r="L209" s="653" t="str">
        <f t="shared" si="171"/>
        <v>5109</v>
      </c>
      <c r="M209" s="654" t="str">
        <f t="shared" si="172"/>
        <v>C/V - GOLF R</v>
      </c>
      <c r="N209" s="655">
        <f>+IF(OR($Q209=Parametres!$G$2,$Q209=Parametres!$G$3),I209,C209)</f>
        <v>549406.22</v>
      </c>
      <c r="O209" s="655">
        <f>+IF(OR($Q209=Parametres!$G$2,$Q209=Parametres!$G$3),J209,D209)</f>
        <v>152692.79</v>
      </c>
      <c r="P209" s="655">
        <f>+IF(OR($Q209=Parametres!$G$2,$Q209=Parametres!$G$3),K209,E209)</f>
        <v>702099.01</v>
      </c>
      <c r="Q209" s="654" t="str">
        <f t="shared" si="173"/>
        <v>6-Coût des ventes</v>
      </c>
      <c r="R209" s="653" t="str">
        <f t="shared" si="174"/>
        <v>4109</v>
      </c>
      <c r="S209" s="654" t="str">
        <f t="shared" si="175"/>
        <v>_</v>
      </c>
      <c r="T209" s="671" t="str">
        <f>+VLOOKUP($L209,Data_Validation!$A:$D,1,0)</f>
        <v>5109</v>
      </c>
      <c r="U209" s="656" t="str">
        <f>+VLOOKUP($L209,Data_Validation!$A:$D,3,0)</f>
        <v>Véhicules neufs</v>
      </c>
      <c r="V209" s="656" t="str">
        <f>+VLOOKUP($L209,Data_Validation!$A:$D,4,0)</f>
        <v>Autos détail</v>
      </c>
      <c r="W209" s="656" t="str">
        <f>+VLOOKUP($L209,Data_Validation!$A:$E,5,0)</f>
        <v>$</v>
      </c>
      <c r="X209" s="656">
        <f>+VLOOKUP($L209,Data_Validation!$A:$F,6,0)</f>
        <v>0</v>
      </c>
    </row>
    <row r="210" spans="1:24" ht="15" customHeight="1">
      <c r="A210" s="1255" t="s">
        <v>971</v>
      </c>
      <c r="B210" s="1255" t="s">
        <v>2075</v>
      </c>
      <c r="C210" s="1257">
        <v>673229.67</v>
      </c>
      <c r="D210" s="1257">
        <v>123501.87</v>
      </c>
      <c r="E210" s="1257">
        <v>796731.54</v>
      </c>
      <c r="F210" s="1255" t="s">
        <v>1110</v>
      </c>
      <c r="G210" s="1255" t="s">
        <v>972</v>
      </c>
      <c r="H210" s="1255" t="s">
        <v>3950</v>
      </c>
      <c r="I210" s="652"/>
      <c r="J210" s="652"/>
      <c r="K210" s="652"/>
      <c r="L210" s="653" t="str">
        <f t="shared" si="171"/>
        <v>5111</v>
      </c>
      <c r="M210" s="654" t="str">
        <f t="shared" si="172"/>
        <v>JETTA/ JETTA GLI</v>
      </c>
      <c r="N210" s="655">
        <f>+IF(OR($Q210=Parametres!$G$2,$Q210=Parametres!$G$3),I210,C210)</f>
        <v>673229.67</v>
      </c>
      <c r="O210" s="659">
        <f>+IF(OR($Q210=Parametres!$G$2,$Q210=Parametres!$G$3),J210,D210)</f>
        <v>123501.87</v>
      </c>
      <c r="P210" s="655">
        <f>+IF(OR($Q210=Parametres!$G$2,$Q210=Parametres!$G$3),K210,E210)</f>
        <v>796731.54</v>
      </c>
      <c r="Q210" s="654" t="str">
        <f t="shared" si="173"/>
        <v>6-Coût des ventes</v>
      </c>
      <c r="R210" s="653" t="str">
        <f t="shared" si="174"/>
        <v>4111</v>
      </c>
      <c r="S210" s="654" t="str">
        <f t="shared" si="175"/>
        <v>_</v>
      </c>
      <c r="T210" s="656" t="str">
        <f>+VLOOKUP($L210,Data_Validation!$A:$D,1,0)</f>
        <v>5111</v>
      </c>
      <c r="U210" s="656" t="str">
        <f>+VLOOKUP($L210,Data_Validation!$A:$D,3,0)</f>
        <v>Véhicules neufs</v>
      </c>
      <c r="V210" s="656" t="str">
        <f>+VLOOKUP($L210,Data_Validation!$A:$D,4,0)</f>
        <v>Autos détail</v>
      </c>
      <c r="W210" s="656" t="str">
        <f>+VLOOKUP($L210,Data_Validation!$A:$E,5,0)</f>
        <v>$</v>
      </c>
      <c r="X210" s="656">
        <f>+VLOOKUP($L210,Data_Validation!$A:$F,6,0)</f>
        <v>0</v>
      </c>
    </row>
    <row r="211" spans="1:24" ht="15.75" customHeight="1">
      <c r="A211" s="1255" t="s">
        <v>1112</v>
      </c>
      <c r="B211" s="1255" t="s">
        <v>3384</v>
      </c>
      <c r="C211" s="1257">
        <v>2413593.5699999998</v>
      </c>
      <c r="D211" s="1257">
        <v>336826.6</v>
      </c>
      <c r="E211" s="1257">
        <v>2750420.17</v>
      </c>
      <c r="F211" s="1255" t="s">
        <v>1110</v>
      </c>
      <c r="G211" s="1255" t="s">
        <v>1113</v>
      </c>
      <c r="H211" s="1255" t="s">
        <v>3950</v>
      </c>
      <c r="I211" s="670"/>
      <c r="J211" s="651"/>
      <c r="K211" s="670"/>
      <c r="L211" s="653" t="str">
        <f t="shared" si="171"/>
        <v>5118</v>
      </c>
      <c r="M211" s="654" t="str">
        <f t="shared" si="172"/>
        <v>C/V - TAOS</v>
      </c>
      <c r="N211" s="655">
        <f>+IF(OR($Q211=Parametres!$G$2,$Q211=Parametres!$G$3),I211,C211)</f>
        <v>2413593.5699999998</v>
      </c>
      <c r="O211" s="655">
        <f>+IF(OR($Q211=Parametres!$G$2,$Q211=Parametres!$G$3),J211,D211)</f>
        <v>336826.6</v>
      </c>
      <c r="P211" s="655">
        <f>+IF(OR($Q211=Parametres!$G$2,$Q211=Parametres!$G$3),K211,E211)</f>
        <v>2750420.17</v>
      </c>
      <c r="Q211" s="654" t="str">
        <f t="shared" si="173"/>
        <v>6-Coût des ventes</v>
      </c>
      <c r="R211" s="653" t="str">
        <f t="shared" si="174"/>
        <v>511</v>
      </c>
      <c r="S211" s="654" t="str">
        <f t="shared" si="175"/>
        <v>_</v>
      </c>
      <c r="T211" s="656" t="str">
        <f>+VLOOKUP($L211,Data_Validation!$A:$D,1,0)</f>
        <v>5118</v>
      </c>
      <c r="U211" s="656" t="str">
        <f>+VLOOKUP($L211,Data_Validation!$A:$D,3,0)</f>
        <v>Véhicules neufs</v>
      </c>
      <c r="V211" s="656" t="str">
        <f>+VLOOKUP($L211,Data_Validation!$A:$D,4,0)</f>
        <v>Camions détail</v>
      </c>
      <c r="W211" s="656" t="str">
        <f>+VLOOKUP($L211,Data_Validation!$A:$E,5,0)</f>
        <v>$</v>
      </c>
      <c r="X211" s="656">
        <f>+VLOOKUP($L211,Data_Validation!$A:$F,6,0)</f>
        <v>0</v>
      </c>
    </row>
    <row r="212" spans="1:24" ht="15" customHeight="1">
      <c r="A212" s="1255" t="s">
        <v>1114</v>
      </c>
      <c r="B212" s="1255" t="s">
        <v>2084</v>
      </c>
      <c r="C212" s="1257">
        <v>1283258.8600000001</v>
      </c>
      <c r="D212" s="1257">
        <v>278161.58</v>
      </c>
      <c r="E212" s="1257">
        <v>1561420.44</v>
      </c>
      <c r="F212" s="1255" t="s">
        <v>1110</v>
      </c>
      <c r="G212" s="1255" t="s">
        <v>980</v>
      </c>
      <c r="H212" s="1255" t="s">
        <v>3950</v>
      </c>
      <c r="I212" s="652"/>
      <c r="J212" s="652"/>
      <c r="K212" s="652"/>
      <c r="L212" s="653" t="str">
        <f t="shared" si="171"/>
        <v>5119</v>
      </c>
      <c r="M212" s="654" t="str">
        <f t="shared" si="172"/>
        <v>C/V - ATLAS</v>
      </c>
      <c r="N212" s="655">
        <f>+IF(OR($Q212=Parametres!$G$2,$Q212=Parametres!$G$3),I212,C212)</f>
        <v>1283258.8600000001</v>
      </c>
      <c r="O212" s="655">
        <f>+IF(OR($Q212=Parametres!$G$2,$Q212=Parametres!$G$3),J212,D212)</f>
        <v>278161.58</v>
      </c>
      <c r="P212" s="655">
        <f>+IF(OR($Q212=Parametres!$G$2,$Q212=Parametres!$G$3),K212,E212)</f>
        <v>1561420.44</v>
      </c>
      <c r="Q212" s="654" t="str">
        <f t="shared" si="173"/>
        <v>6-Coût des ventes</v>
      </c>
      <c r="R212" s="653" t="str">
        <f t="shared" si="174"/>
        <v>4119</v>
      </c>
      <c r="S212" s="654" t="str">
        <f t="shared" si="175"/>
        <v>_</v>
      </c>
      <c r="T212" s="656" t="str">
        <f>+VLOOKUP($L212,Data_Validation!$A:$D,1,0)</f>
        <v>5119</v>
      </c>
      <c r="U212" s="656" t="str">
        <f>+VLOOKUP($L212,Data_Validation!$A:$D,3,0)</f>
        <v>Véhicules neufs</v>
      </c>
      <c r="V212" s="656" t="str">
        <f>+VLOOKUP($L212,Data_Validation!$A:$D,4,0)</f>
        <v>Camions détail</v>
      </c>
      <c r="W212" s="656" t="str">
        <f>+VLOOKUP($L212,Data_Validation!$A:$E,5,0)</f>
        <v>$</v>
      </c>
      <c r="X212" s="656">
        <f>+VLOOKUP($L212,Data_Validation!$A:$F,6,0)</f>
        <v>0</v>
      </c>
    </row>
    <row r="213" spans="1:24" ht="15" customHeight="1">
      <c r="A213" s="1255" t="s">
        <v>1115</v>
      </c>
      <c r="B213" s="1255" t="s">
        <v>3385</v>
      </c>
      <c r="C213" s="1257">
        <v>554965.86</v>
      </c>
      <c r="D213" s="1257">
        <v>53256.639999999999</v>
      </c>
      <c r="E213" s="1257">
        <v>608222.5</v>
      </c>
      <c r="F213" s="1255" t="s">
        <v>1110</v>
      </c>
      <c r="G213" s="1255" t="s">
        <v>3349</v>
      </c>
      <c r="H213" s="1255" t="s">
        <v>3950</v>
      </c>
      <c r="I213" s="670"/>
      <c r="J213" s="651"/>
      <c r="K213" s="670"/>
      <c r="L213" s="653" t="str">
        <f t="shared" si="171"/>
        <v>5121</v>
      </c>
      <c r="M213" s="654" t="str">
        <f t="shared" si="172"/>
        <v>C/V - ATLAS CROSS SPORT</v>
      </c>
      <c r="N213" s="655">
        <f>+IF(OR($Q213=Parametres!$G$2,$Q213=Parametres!$G$3),I213,C213)</f>
        <v>554965.86</v>
      </c>
      <c r="O213" s="655">
        <f>+IF(OR($Q213=Parametres!$G$2,$Q213=Parametres!$G$3),J213,D213)</f>
        <v>53256.639999999999</v>
      </c>
      <c r="P213" s="655">
        <f>+IF(OR($Q213=Parametres!$G$2,$Q213=Parametres!$G$3),K213,E213)</f>
        <v>608222.5</v>
      </c>
      <c r="Q213" s="654" t="str">
        <f t="shared" si="173"/>
        <v>6-Coût des ventes</v>
      </c>
      <c r="R213" s="653" t="str">
        <f t="shared" si="174"/>
        <v>4121</v>
      </c>
      <c r="S213" s="654" t="str">
        <f t="shared" si="175"/>
        <v>_</v>
      </c>
      <c r="T213" s="656" t="str">
        <f>+VLOOKUP($L213,Data_Validation!$A:$D,1,0)</f>
        <v>5121</v>
      </c>
      <c r="U213" s="656" t="str">
        <f>+VLOOKUP($L213,Data_Validation!$A:$D,3,0)</f>
        <v>Véhicules neufs</v>
      </c>
      <c r="V213" s="656" t="str">
        <f>+VLOOKUP($L213,Data_Validation!$A:$D,4,0)</f>
        <v>Camions détail</v>
      </c>
      <c r="W213" s="656" t="str">
        <f>+VLOOKUP($L213,Data_Validation!$A:$E,5,0)</f>
        <v>$</v>
      </c>
      <c r="X213" s="656">
        <f>+VLOOKUP($L213,Data_Validation!$A:$F,6,0)</f>
        <v>0</v>
      </c>
    </row>
    <row r="214" spans="1:24" ht="15" customHeight="1">
      <c r="A214" s="1255" t="s">
        <v>1116</v>
      </c>
      <c r="B214" s="1255" t="s">
        <v>2090</v>
      </c>
      <c r="C214" s="1257">
        <v>366352.98</v>
      </c>
      <c r="D214" s="1257">
        <v>81013.69</v>
      </c>
      <c r="E214" s="1257">
        <v>447366.67</v>
      </c>
      <c r="F214" s="1255" t="s">
        <v>1110</v>
      </c>
      <c r="G214" s="1255" t="s">
        <v>987</v>
      </c>
      <c r="H214" s="1255" t="s">
        <v>3950</v>
      </c>
      <c r="I214" s="652"/>
      <c r="J214" s="652"/>
      <c r="K214" s="652"/>
      <c r="L214" s="653" t="str">
        <f t="shared" si="171"/>
        <v>5127</v>
      </c>
      <c r="M214" s="654" t="str">
        <f t="shared" si="172"/>
        <v>C/V - GOLF GTI</v>
      </c>
      <c r="N214" s="655">
        <f>+IF(OR($Q214=Parametres!$G$2,$Q214=Parametres!$G$3),I214,C214)</f>
        <v>366352.98</v>
      </c>
      <c r="O214" s="655">
        <f>+IF(OR($Q214=Parametres!$G$2,$Q214=Parametres!$G$3),J214,D214)</f>
        <v>81013.69</v>
      </c>
      <c r="P214" s="655">
        <f>+IF(OR($Q214=Parametres!$G$2,$Q214=Parametres!$G$3),K214,E214)</f>
        <v>447366.67</v>
      </c>
      <c r="Q214" s="654" t="str">
        <f t="shared" si="173"/>
        <v>6-Coût des ventes</v>
      </c>
      <c r="R214" s="653" t="str">
        <f t="shared" si="174"/>
        <v>4127</v>
      </c>
      <c r="S214" s="654" t="str">
        <f t="shared" si="175"/>
        <v>_</v>
      </c>
      <c r="T214" s="656" t="str">
        <f>+VLOOKUP($L214,Data_Validation!$A:$D,1,0)</f>
        <v>5127</v>
      </c>
      <c r="U214" s="656" t="str">
        <f>+VLOOKUP($L214,Data_Validation!$A:$D,3,0)</f>
        <v>Véhicules neufs</v>
      </c>
      <c r="V214" s="656" t="str">
        <f>+VLOOKUP($L214,Data_Validation!$A:$D,4,0)</f>
        <v>Autos détail</v>
      </c>
      <c r="W214" s="656" t="str">
        <f>+VLOOKUP($L214,Data_Validation!$A:$E,5,0)</f>
        <v>$</v>
      </c>
      <c r="X214" s="656">
        <f>+VLOOKUP($L214,Data_Validation!$A:$F,6,0)</f>
        <v>0</v>
      </c>
    </row>
    <row r="215" spans="1:24" ht="15.75" customHeight="1">
      <c r="A215" s="1255" t="s">
        <v>1117</v>
      </c>
      <c r="B215" s="1255" t="s">
        <v>2093</v>
      </c>
      <c r="C215" s="1257">
        <v>634197</v>
      </c>
      <c r="D215" s="1257">
        <v>502421.2</v>
      </c>
      <c r="E215" s="1257">
        <v>1136618.2</v>
      </c>
      <c r="F215" s="1255" t="s">
        <v>1110</v>
      </c>
      <c r="G215" s="1255" t="s">
        <v>991</v>
      </c>
      <c r="H215" s="1255" t="s">
        <v>3950</v>
      </c>
      <c r="I215" s="670"/>
      <c r="J215" s="670"/>
      <c r="K215" s="670"/>
      <c r="L215" s="653" t="str">
        <f t="shared" si="171"/>
        <v>5131</v>
      </c>
      <c r="M215" s="654" t="str">
        <f t="shared" si="172"/>
        <v>C/V - TIGUAN LWB</v>
      </c>
      <c r="N215" s="655">
        <f>+IF(OR($Q215=Parametres!$G$2,$Q215=Parametres!$G$3),I215,C215)</f>
        <v>634197</v>
      </c>
      <c r="O215" s="655">
        <f>+IF(OR($Q215=Parametres!$G$2,$Q215=Parametres!$G$3),J215,D215)</f>
        <v>502421.2</v>
      </c>
      <c r="P215" s="655">
        <f>+IF(OR($Q215=Parametres!$G$2,$Q215=Parametres!$G$3),K215,E215)</f>
        <v>1136618.2</v>
      </c>
      <c r="Q215" s="654" t="str">
        <f t="shared" si="173"/>
        <v>6-Coût des ventes</v>
      </c>
      <c r="R215" s="653" t="str">
        <f t="shared" si="174"/>
        <v>4131</v>
      </c>
      <c r="S215" s="654" t="str">
        <f t="shared" si="175"/>
        <v>_</v>
      </c>
      <c r="T215" s="656" t="str">
        <f>+VLOOKUP($L215,Data_Validation!$A:$D,1,0)</f>
        <v>5131</v>
      </c>
      <c r="U215" s="656" t="str">
        <f>+VLOOKUP($L215,Data_Validation!$A:$D,3,0)</f>
        <v>Véhicules neufs</v>
      </c>
      <c r="V215" s="656" t="str">
        <f>+VLOOKUP($L215,Data_Validation!$A:$D,4,0)</f>
        <v>Camions détail</v>
      </c>
      <c r="W215" s="656" t="str">
        <f>+VLOOKUP($L215,Data_Validation!$A:$E,5,0)</f>
        <v>$</v>
      </c>
      <c r="X215" s="656">
        <f>+VLOOKUP($L215,Data_Validation!$A:$F,6,0)</f>
        <v>0</v>
      </c>
    </row>
    <row r="216" spans="1:24" ht="15" customHeight="1">
      <c r="A216" s="1255" t="s">
        <v>1118</v>
      </c>
      <c r="B216" s="1255" t="s">
        <v>2099</v>
      </c>
      <c r="C216" s="1257">
        <v>464399.04</v>
      </c>
      <c r="D216" s="1257">
        <v>-1500</v>
      </c>
      <c r="E216" s="1257">
        <v>462899.04</v>
      </c>
      <c r="F216" s="1255" t="s">
        <v>1110</v>
      </c>
      <c r="G216" s="1255" t="s">
        <v>995</v>
      </c>
      <c r="H216" s="1255" t="s">
        <v>3950</v>
      </c>
      <c r="I216" s="670"/>
      <c r="J216" s="660"/>
      <c r="K216" s="670"/>
      <c r="L216" s="653" t="str">
        <f t="shared" si="171"/>
        <v>5137</v>
      </c>
      <c r="M216" s="654" t="str">
        <f t="shared" si="172"/>
        <v>C/V - VW FLOTTE/VENTE ENTR/EMPLOYE/VEH DEMONS</v>
      </c>
      <c r="N216" s="655">
        <f>+IF(OR($Q216=Parametres!$G$2,$Q216=Parametres!$G$3),I216,C216)</f>
        <v>464399.04</v>
      </c>
      <c r="O216" s="655">
        <f>+IF(OR($Q216=Parametres!$G$2,$Q216=Parametres!$G$3),J216,D216)</f>
        <v>-1500</v>
      </c>
      <c r="P216" s="655">
        <f>+IF(OR($Q216=Parametres!$G$2,$Q216=Parametres!$G$3),K216,E216)</f>
        <v>462899.04</v>
      </c>
      <c r="Q216" s="654" t="str">
        <f t="shared" si="173"/>
        <v>6-Coût des ventes</v>
      </c>
      <c r="R216" s="653" t="str">
        <f t="shared" si="174"/>
        <v>4137</v>
      </c>
      <c r="S216" s="654" t="str">
        <f t="shared" si="175"/>
        <v>_</v>
      </c>
      <c r="T216" s="656" t="str">
        <f>+VLOOKUP($L216,Data_Validation!$A:$D,1,0)</f>
        <v>5137</v>
      </c>
      <c r="U216" s="656" t="str">
        <f>+VLOOKUP($L216,Data_Validation!$A:$D,3,0)</f>
        <v>Véhicules neufs</v>
      </c>
      <c r="V216" s="656" t="str">
        <f>+VLOOKUP($L216,Data_Validation!$A:$D,4,0)</f>
        <v>Flottes</v>
      </c>
      <c r="W216" s="656" t="str">
        <f>+VLOOKUP($L216,Data_Validation!$A:$E,5,0)</f>
        <v>$</v>
      </c>
      <c r="X216" s="656">
        <f>+VLOOKUP($L216,Data_Validation!$A:$F,6,0)</f>
        <v>0</v>
      </c>
    </row>
    <row r="217" spans="1:24" ht="15" customHeight="1">
      <c r="A217" s="1255" t="s">
        <v>1118</v>
      </c>
      <c r="B217" s="1255" t="s">
        <v>2102</v>
      </c>
      <c r="C217" s="1257">
        <v>404603.62</v>
      </c>
      <c r="D217" s="1257">
        <v>201317.88</v>
      </c>
      <c r="E217" s="1257">
        <v>605921.5</v>
      </c>
      <c r="F217" s="1255" t="s">
        <v>1110</v>
      </c>
      <c r="G217" s="1255" t="s">
        <v>999</v>
      </c>
      <c r="H217" s="1255" t="s">
        <v>3950</v>
      </c>
      <c r="I217" s="672"/>
      <c r="J217" s="663"/>
      <c r="K217" s="672"/>
      <c r="L217" s="653" t="str">
        <f t="shared" si="171"/>
        <v>5139</v>
      </c>
      <c r="M217" s="654" t="str">
        <f t="shared" si="172"/>
        <v>C/V - VW FLOTTE/VENTE ENTR/EMPLOYE/VEH DEMONS</v>
      </c>
      <c r="N217" s="655">
        <f>+IF(OR($Q217=Parametres!$G$2,$Q217=Parametres!$G$3),I217,C217)</f>
        <v>404603.62</v>
      </c>
      <c r="O217" s="655">
        <f>+IF(OR($Q217=Parametres!$G$2,$Q217=Parametres!$G$3),J217,D217)</f>
        <v>201317.88</v>
      </c>
      <c r="P217" s="655">
        <f>+IF(OR($Q217=Parametres!$G$2,$Q217=Parametres!$G$3),K217,E217)</f>
        <v>605921.5</v>
      </c>
      <c r="Q217" s="654" t="str">
        <f t="shared" si="173"/>
        <v>6-Coût des ventes</v>
      </c>
      <c r="R217" s="653" t="str">
        <f t="shared" si="174"/>
        <v>4139</v>
      </c>
      <c r="S217" s="654" t="str">
        <f t="shared" si="175"/>
        <v>_</v>
      </c>
      <c r="T217" s="656" t="str">
        <f>+VLOOKUP($L217,Data_Validation!$A:$D,1,0)</f>
        <v>5139</v>
      </c>
      <c r="U217" s="656" t="str">
        <f>+VLOOKUP($L217,Data_Validation!$A:$D,3,0)</f>
        <v>Véhicules neufs</v>
      </c>
      <c r="V217" s="656" t="str">
        <f>+VLOOKUP($L217,Data_Validation!$A:$D,4,0)</f>
        <v>Ex-Démos et courtoisies</v>
      </c>
      <c r="W217" s="656" t="str">
        <f>+VLOOKUP($L217,Data_Validation!$A:$E,5,0)</f>
        <v>$</v>
      </c>
      <c r="X217" s="656">
        <f>+VLOOKUP($L217,Data_Validation!$A:$F,6,0)</f>
        <v>0</v>
      </c>
    </row>
    <row r="218" spans="1:24" ht="15" customHeight="1">
      <c r="A218" s="1255" t="s">
        <v>3895</v>
      </c>
      <c r="B218" s="1255" t="s">
        <v>3896</v>
      </c>
      <c r="C218" s="1257">
        <v>1377625.86</v>
      </c>
      <c r="D218" s="1257">
        <v>786713.02</v>
      </c>
      <c r="E218" s="1257">
        <v>2164338.88</v>
      </c>
      <c r="F218" s="1255" t="s">
        <v>1110</v>
      </c>
      <c r="G218" s="1255" t="s">
        <v>3894</v>
      </c>
      <c r="H218" s="1255" t="s">
        <v>3950</v>
      </c>
      <c r="I218" s="652"/>
      <c r="J218" s="652"/>
      <c r="K218" s="652"/>
      <c r="L218" s="653" t="str">
        <f t="shared" si="171"/>
        <v>5141</v>
      </c>
      <c r="M218" s="654" t="str">
        <f t="shared" si="172"/>
        <v>C/V - ID4</v>
      </c>
      <c r="N218" s="655">
        <f>+IF(OR($Q218=Parametres!$G$2,$Q218=Parametres!$G$3),I218,C218)</f>
        <v>1377625.86</v>
      </c>
      <c r="O218" s="655">
        <f>+IF(OR($Q218=Parametres!$G$2,$Q218=Parametres!$G$3),J218,D218)</f>
        <v>786713.02</v>
      </c>
      <c r="P218" s="655">
        <f>+IF(OR($Q218=Parametres!$G$2,$Q218=Parametres!$G$3),K218,E218)</f>
        <v>2164338.88</v>
      </c>
      <c r="Q218" s="654" t="str">
        <f t="shared" si="173"/>
        <v>6-Coût des ventes</v>
      </c>
      <c r="R218" s="653" t="str">
        <f t="shared" si="174"/>
        <v>4141</v>
      </c>
      <c r="S218" s="654" t="str">
        <f t="shared" si="175"/>
        <v>_</v>
      </c>
      <c r="T218" s="656" t="str">
        <f>+VLOOKUP($L218,Data_Validation!$A:$D,1,0)</f>
        <v>5141</v>
      </c>
      <c r="U218" s="656" t="str">
        <f>+VLOOKUP($L218,Data_Validation!$A:$D,3,0)</f>
        <v>Véhicules neufs</v>
      </c>
      <c r="V218" s="656" t="str">
        <f>+VLOOKUP($L218,Data_Validation!$A:$D,4,0)</f>
        <v>Camions détail</v>
      </c>
      <c r="W218" s="656" t="str">
        <f>+VLOOKUP($L218,Data_Validation!$A:$E,5,0)</f>
        <v>$</v>
      </c>
      <c r="X218" s="656">
        <f>+VLOOKUP($L218,Data_Validation!$A:$F,6,0)</f>
        <v>0</v>
      </c>
    </row>
    <row r="219" spans="1:24" ht="15.75" customHeight="1">
      <c r="A219" s="1255" t="s">
        <v>1119</v>
      </c>
      <c r="B219" s="1255" t="s">
        <v>3386</v>
      </c>
      <c r="C219" s="1257">
        <v>177606.96</v>
      </c>
      <c r="D219" s="1257">
        <v>37459.360000000001</v>
      </c>
      <c r="E219" s="1257">
        <v>215066.32</v>
      </c>
      <c r="F219" s="1255" t="s">
        <v>1110</v>
      </c>
      <c r="G219" s="1255" t="s">
        <v>1120</v>
      </c>
      <c r="H219" s="1255" t="s">
        <v>3950</v>
      </c>
      <c r="I219" s="652"/>
      <c r="J219" s="652"/>
      <c r="K219" s="652"/>
      <c r="L219" s="653" t="str">
        <f t="shared" si="171"/>
        <v>5144</v>
      </c>
      <c r="M219" s="654" t="str">
        <f t="shared" si="172"/>
        <v>C/V - JETTA GLI</v>
      </c>
      <c r="N219" s="655">
        <f>+IF(OR($Q219=Parametres!$G$2,$Q219=Parametres!$G$3),I219,C219)</f>
        <v>177606.96</v>
      </c>
      <c r="O219" s="659">
        <f>+IF(OR($Q219=Parametres!$G$2,$Q219=Parametres!$G$3),J219,D219)</f>
        <v>37459.360000000001</v>
      </c>
      <c r="P219" s="655">
        <f>+IF(OR($Q219=Parametres!$G$2,$Q219=Parametres!$G$3),K219,E219)</f>
        <v>215066.32</v>
      </c>
      <c r="Q219" s="654" t="str">
        <f t="shared" si="173"/>
        <v>6-Coût des ventes</v>
      </c>
      <c r="R219" s="653" t="str">
        <f t="shared" si="174"/>
        <v>514</v>
      </c>
      <c r="S219" s="654" t="str">
        <f t="shared" si="175"/>
        <v>_</v>
      </c>
      <c r="T219" s="656" t="str">
        <f>+VLOOKUP($L219,Data_Validation!$A:$D,1,0)</f>
        <v>5144</v>
      </c>
      <c r="U219" s="656" t="str">
        <f>+VLOOKUP($L219,Data_Validation!$A:$D,3,0)</f>
        <v>Véhicules neufs</v>
      </c>
      <c r="V219" s="656" t="str">
        <f>+VLOOKUP($L219,Data_Validation!$A:$D,4,0)</f>
        <v>Autos détail</v>
      </c>
      <c r="W219" s="656" t="str">
        <f>+VLOOKUP($L219,Data_Validation!$A:$E,5,0)</f>
        <v>$</v>
      </c>
      <c r="X219" s="656">
        <f>+VLOOKUP($L219,Data_Validation!$A:$F,6,0)</f>
        <v>0</v>
      </c>
    </row>
    <row r="220" spans="1:24" ht="15" customHeight="1">
      <c r="A220" s="1255" t="s">
        <v>1121</v>
      </c>
      <c r="B220" s="1255" t="s">
        <v>2113</v>
      </c>
      <c r="C220" s="1257">
        <v>1699177.57</v>
      </c>
      <c r="D220" s="1257">
        <v>637636.93999999994</v>
      </c>
      <c r="E220" s="1257">
        <v>2336814.5099999998</v>
      </c>
      <c r="F220" s="1255" t="s">
        <v>1110</v>
      </c>
      <c r="G220" s="1255" t="s">
        <v>1007</v>
      </c>
      <c r="H220" s="1255" t="s">
        <v>3950</v>
      </c>
      <c r="I220" s="672"/>
      <c r="J220" s="663"/>
      <c r="K220" s="672"/>
      <c r="L220" s="653" t="str">
        <f t="shared" si="171"/>
        <v>5201</v>
      </c>
      <c r="M220" s="654" t="str">
        <f t="shared" si="172"/>
        <v>C/V - VEH.USAGE VW DETAIL CERTIFIE</v>
      </c>
      <c r="N220" s="655">
        <f>+IF(OR($Q220=Parametres!$G$2,$Q220=Parametres!$G$3),I220,C220)</f>
        <v>1699177.57</v>
      </c>
      <c r="O220" s="655">
        <f>+IF(OR($Q220=Parametres!$G$2,$Q220=Parametres!$G$3),J220,D220)</f>
        <v>637636.93999999994</v>
      </c>
      <c r="P220" s="655">
        <f>+IF(OR($Q220=Parametres!$G$2,$Q220=Parametres!$G$3),K220,E220)</f>
        <v>2336814.5099999998</v>
      </c>
      <c r="Q220" s="654" t="str">
        <f t="shared" si="173"/>
        <v>6-Coût des ventes</v>
      </c>
      <c r="R220" s="653" t="str">
        <f t="shared" si="174"/>
        <v>4201</v>
      </c>
      <c r="S220" s="654" t="str">
        <f t="shared" si="175"/>
        <v>_</v>
      </c>
      <c r="T220" s="656" t="str">
        <f>+VLOOKUP($L220,Data_Validation!$A:$D,1,0)</f>
        <v>5201</v>
      </c>
      <c r="U220" s="656" t="str">
        <f>+VLOOKUP($L220,Data_Validation!$A:$D,3,0)</f>
        <v>Véhicules usagés</v>
      </c>
      <c r="V220" s="656" t="str">
        <f>+VLOOKUP($L220,Data_Validation!$A:$D,4,0)</f>
        <v>Certifié</v>
      </c>
      <c r="W220" s="656" t="str">
        <f>+VLOOKUP($L220,Data_Validation!$A:$E,5,0)</f>
        <v>$</v>
      </c>
      <c r="X220" s="656">
        <f>+VLOOKUP($L220,Data_Validation!$A:$F,6,0)</f>
        <v>0</v>
      </c>
    </row>
    <row r="221" spans="1:24" ht="15" customHeight="1">
      <c r="A221" s="1255" t="s">
        <v>1122</v>
      </c>
      <c r="B221" s="1255" t="s">
        <v>2116</v>
      </c>
      <c r="C221" s="1257">
        <v>172053.46</v>
      </c>
      <c r="D221" s="1257">
        <v>60380.4</v>
      </c>
      <c r="E221" s="1257">
        <v>232433.86</v>
      </c>
      <c r="F221" s="1255" t="s">
        <v>1110</v>
      </c>
      <c r="G221" s="1255" t="s">
        <v>1007</v>
      </c>
      <c r="H221" s="1255" t="s">
        <v>3950</v>
      </c>
      <c r="I221" s="672"/>
      <c r="J221" s="663"/>
      <c r="K221" s="672"/>
      <c r="L221" s="653" t="str">
        <f t="shared" si="171"/>
        <v>5203</v>
      </c>
      <c r="M221" s="654" t="str">
        <f t="shared" si="172"/>
        <v>C/V - RECOND USAGE VW CERT.</v>
      </c>
      <c r="N221" s="655">
        <f>+IF(OR($Q221=Parametres!$G$2,$Q221=Parametres!$G$3),I221,C221)</f>
        <v>172053.46</v>
      </c>
      <c r="O221" s="655">
        <f>+IF(OR($Q221=Parametres!$G$2,$Q221=Parametres!$G$3),J221,D221)</f>
        <v>60380.4</v>
      </c>
      <c r="P221" s="655">
        <f>+IF(OR($Q221=Parametres!$G$2,$Q221=Parametres!$G$3),K221,E221)</f>
        <v>232433.86</v>
      </c>
      <c r="Q221" s="654" t="str">
        <f t="shared" si="173"/>
        <v>6-Coût des ventes</v>
      </c>
      <c r="R221" s="653" t="str">
        <f t="shared" si="174"/>
        <v>4201</v>
      </c>
      <c r="S221" s="654" t="str">
        <f t="shared" si="175"/>
        <v>_</v>
      </c>
      <c r="T221" s="656" t="str">
        <f>+VLOOKUP($L221,Data_Validation!$A:$D,1,0)</f>
        <v>5203</v>
      </c>
      <c r="U221" s="656" t="str">
        <f>+VLOOKUP($L221,Data_Validation!$A:$D,3,0)</f>
        <v>Véhicules usagés</v>
      </c>
      <c r="V221" s="656" t="str">
        <f>+VLOOKUP($L221,Data_Validation!$A:$D,4,0)</f>
        <v>Certifié</v>
      </c>
      <c r="W221" s="656" t="str">
        <f>+VLOOKUP($L221,Data_Validation!$A:$E,5,0)</f>
        <v>$</v>
      </c>
      <c r="X221" s="656">
        <f>+VLOOKUP($L221,Data_Validation!$A:$F,6,0)</f>
        <v>0</v>
      </c>
    </row>
    <row r="222" spans="1:24" ht="15" customHeight="1">
      <c r="A222" s="1255" t="s">
        <v>1123</v>
      </c>
      <c r="B222" s="1255" t="s">
        <v>2122</v>
      </c>
      <c r="C222" s="1257">
        <v>68588.42</v>
      </c>
      <c r="D222" s="1257">
        <v>17900</v>
      </c>
      <c r="E222" s="1257">
        <v>86488.42</v>
      </c>
      <c r="F222" s="1255" t="s">
        <v>1110</v>
      </c>
      <c r="G222" s="1255" t="s">
        <v>1011</v>
      </c>
      <c r="H222" s="1255" t="s">
        <v>3950</v>
      </c>
      <c r="I222" s="670"/>
      <c r="J222" s="651"/>
      <c r="K222" s="670"/>
      <c r="L222" s="653" t="str">
        <f t="shared" si="171"/>
        <v>5211</v>
      </c>
      <c r="M222" s="654" t="str">
        <f t="shared" si="172"/>
        <v>C/V - VW USAGES DETAIL</v>
      </c>
      <c r="N222" s="655">
        <f>+IF(OR($Q222=Parametres!$G$2,$Q222=Parametres!$G$3),I222,C222)</f>
        <v>68588.42</v>
      </c>
      <c r="O222" s="655">
        <f>+IF(OR($Q222=Parametres!$G$2,$Q222=Parametres!$G$3),J222,D222)</f>
        <v>17900</v>
      </c>
      <c r="P222" s="655">
        <f>+IF(OR($Q222=Parametres!$G$2,$Q222=Parametres!$G$3),K222,E222)</f>
        <v>86488.42</v>
      </c>
      <c r="Q222" s="654" t="str">
        <f t="shared" si="173"/>
        <v>6-Coût des ventes</v>
      </c>
      <c r="R222" s="653" t="str">
        <f t="shared" si="174"/>
        <v>4211</v>
      </c>
      <c r="S222" s="654" t="str">
        <f t="shared" si="175"/>
        <v>_</v>
      </c>
      <c r="T222" s="656" t="str">
        <f>+VLOOKUP($L222,Data_Validation!$A:$D,1,0)</f>
        <v>5211</v>
      </c>
      <c r="U222" s="656" t="str">
        <f>+VLOOKUP($L222,Data_Validation!$A:$D,3,0)</f>
        <v>Véhicules usagés</v>
      </c>
      <c r="V222" s="656" t="str">
        <f>+VLOOKUP($L222,Data_Validation!$A:$D,4,0)</f>
        <v>Non Certifié</v>
      </c>
      <c r="W222" s="656" t="str">
        <f>+VLOOKUP($L222,Data_Validation!$A:$E,5,0)</f>
        <v>$</v>
      </c>
      <c r="X222" s="656">
        <f>+VLOOKUP($L222,Data_Validation!$A:$F,6,0)</f>
        <v>0</v>
      </c>
    </row>
    <row r="223" spans="1:24" ht="15" customHeight="1">
      <c r="A223" s="1255" t="s">
        <v>1124</v>
      </c>
      <c r="B223" s="1255" t="s">
        <v>2125</v>
      </c>
      <c r="C223" s="1257">
        <v>10894.45</v>
      </c>
      <c r="D223" s="1257">
        <v>771.27</v>
      </c>
      <c r="E223" s="1257">
        <v>11665.72</v>
      </c>
      <c r="F223" s="1255" t="s">
        <v>1110</v>
      </c>
      <c r="G223" s="1255" t="s">
        <v>1011</v>
      </c>
      <c r="H223" s="1255" t="s">
        <v>3950</v>
      </c>
      <c r="I223" s="1157"/>
      <c r="J223" s="1157"/>
      <c r="K223" s="1157"/>
      <c r="L223" s="653" t="str">
        <f t="shared" si="171"/>
        <v>5213</v>
      </c>
      <c r="M223" s="654" t="str">
        <f t="shared" si="172"/>
        <v>C/V - RECOND. USAGE VW DETAIL</v>
      </c>
      <c r="N223" s="655">
        <f>+IF(OR($Q223=Parametres!$G$2,$Q223=Parametres!$G$3),I223,C223)</f>
        <v>10894.45</v>
      </c>
      <c r="O223" s="655">
        <f>+IF(OR($Q223=Parametres!$G$2,$Q223=Parametres!$G$3),J223,D223)</f>
        <v>771.27</v>
      </c>
      <c r="P223" s="655">
        <f>+IF(OR($Q223=Parametres!$G$2,$Q223=Parametres!$G$3),K223,E223)</f>
        <v>11665.72</v>
      </c>
      <c r="Q223" s="654" t="str">
        <f t="shared" si="173"/>
        <v>6-Coût des ventes</v>
      </c>
      <c r="R223" s="653" t="str">
        <f t="shared" si="174"/>
        <v>4211</v>
      </c>
      <c r="S223" s="654" t="str">
        <f t="shared" si="175"/>
        <v>_</v>
      </c>
      <c r="T223" s="656" t="str">
        <f>+VLOOKUP($L223,Data_Validation!$A:$D,1,0)</f>
        <v>5213</v>
      </c>
      <c r="U223" s="656" t="str">
        <f>+VLOOKUP($L223,Data_Validation!$A:$D,3,0)</f>
        <v>Véhicules usagés</v>
      </c>
      <c r="V223" s="656" t="str">
        <f>+VLOOKUP($L223,Data_Validation!$A:$D,4,0)</f>
        <v>Non Certifié</v>
      </c>
      <c r="W223" s="656" t="str">
        <f>+VLOOKUP($L223,Data_Validation!$A:$E,5,0)</f>
        <v>$</v>
      </c>
      <c r="X223" s="656">
        <f>+VLOOKUP($L223,Data_Validation!$A:$F,6,0)</f>
        <v>0</v>
      </c>
    </row>
    <row r="224" spans="1:24" ht="15" customHeight="1">
      <c r="A224" s="1255" t="s">
        <v>1014</v>
      </c>
      <c r="B224" s="1255" t="s">
        <v>2136</v>
      </c>
      <c r="C224" s="1257">
        <v>97428.85</v>
      </c>
      <c r="D224" s="1257">
        <v>0</v>
      </c>
      <c r="E224" s="1257">
        <v>97428.85</v>
      </c>
      <c r="F224" s="1255" t="s">
        <v>1110</v>
      </c>
      <c r="G224" s="1255" t="s">
        <v>1015</v>
      </c>
      <c r="H224" s="1255" t="s">
        <v>3950</v>
      </c>
      <c r="I224" s="1157"/>
      <c r="J224" s="1157"/>
      <c r="K224" s="1157"/>
      <c r="L224" s="653" t="str">
        <f t="shared" si="171"/>
        <v>5285</v>
      </c>
      <c r="M224" s="654" t="str">
        <f t="shared" si="172"/>
        <v>VEH. D'OCC. AUTRE DETAIL</v>
      </c>
      <c r="N224" s="655">
        <f>+IF(OR($Q224=Parametres!$G$2,$Q224=Parametres!$G$3),I224,C224)</f>
        <v>97428.85</v>
      </c>
      <c r="O224" s="655">
        <f>+IF(OR($Q224=Parametres!$G$2,$Q224=Parametres!$G$3),J224,D224)</f>
        <v>0</v>
      </c>
      <c r="P224" s="655">
        <f>+IF(OR($Q224=Parametres!$G$2,$Q224=Parametres!$G$3),K224,E224)</f>
        <v>97428.85</v>
      </c>
      <c r="Q224" s="654" t="str">
        <f t="shared" si="173"/>
        <v>6-Coût des ventes</v>
      </c>
      <c r="R224" s="653" t="str">
        <f t="shared" si="174"/>
        <v>4261</v>
      </c>
      <c r="S224" s="654" t="str">
        <f t="shared" si="175"/>
        <v>_</v>
      </c>
      <c r="T224" s="656" t="str">
        <f>+VLOOKUP($L224,Data_Validation!$A:$D,1,0)</f>
        <v>5285</v>
      </c>
      <c r="U224" s="656" t="str">
        <f>+VLOOKUP($L224,Data_Validation!$A:$D,3,0)</f>
        <v>Véhicules usagés</v>
      </c>
      <c r="V224" s="656" t="str">
        <f>+VLOOKUP($L224,Data_Validation!$A:$D,4,0)</f>
        <v>Autres Marques</v>
      </c>
      <c r="W224" s="656" t="str">
        <f>+VLOOKUP($L224,Data_Validation!$A:$E,5,0)</f>
        <v>$</v>
      </c>
      <c r="X224" s="656">
        <f>+VLOOKUP($L224,Data_Validation!$A:$F,6,0)</f>
        <v>0</v>
      </c>
    </row>
    <row r="225" spans="1:24" ht="15.75" customHeight="1">
      <c r="A225" s="1255" t="s">
        <v>1125</v>
      </c>
      <c r="B225" s="1255" t="s">
        <v>2139</v>
      </c>
      <c r="C225" s="1257">
        <v>10625.86</v>
      </c>
      <c r="D225" s="1257">
        <v>0</v>
      </c>
      <c r="E225" s="1257">
        <v>10625.86</v>
      </c>
      <c r="F225" s="1255" t="s">
        <v>1110</v>
      </c>
      <c r="G225" s="1255" t="s">
        <v>1015</v>
      </c>
      <c r="H225" s="1255" t="s">
        <v>3950</v>
      </c>
      <c r="I225" s="1157"/>
      <c r="J225" s="1157"/>
      <c r="K225" s="1157"/>
      <c r="L225" s="653" t="str">
        <f t="shared" si="171"/>
        <v>5286</v>
      </c>
      <c r="M225" s="654" t="str">
        <f t="shared" si="172"/>
        <v>RECOND. AUTRE DETAIL</v>
      </c>
      <c r="N225" s="655">
        <f>+IF(OR($Q225=Parametres!$G$2,$Q225=Parametres!$G$3),I225,C225)</f>
        <v>10625.86</v>
      </c>
      <c r="O225" s="655">
        <f>+IF(OR($Q225=Parametres!$G$2,$Q225=Parametres!$G$3),J225,D225)</f>
        <v>0</v>
      </c>
      <c r="P225" s="655">
        <f>+IF(OR($Q225=Parametres!$G$2,$Q225=Parametres!$G$3),K225,E225)</f>
        <v>10625.86</v>
      </c>
      <c r="Q225" s="654" t="str">
        <f t="shared" si="173"/>
        <v>6-Coût des ventes</v>
      </c>
      <c r="R225" s="653" t="str">
        <f t="shared" si="174"/>
        <v>4261</v>
      </c>
      <c r="S225" s="654" t="str">
        <f t="shared" si="175"/>
        <v>_</v>
      </c>
      <c r="T225" s="656" t="str">
        <f>+VLOOKUP($L225,Data_Validation!$A:$D,1,0)</f>
        <v>5286</v>
      </c>
      <c r="U225" s="656" t="str">
        <f>+VLOOKUP($L225,Data_Validation!$A:$D,3,0)</f>
        <v>Véhicules usagés</v>
      </c>
      <c r="V225" s="656" t="str">
        <f>+VLOOKUP($L225,Data_Validation!$A:$D,4,0)</f>
        <v>Non Certifié</v>
      </c>
      <c r="W225" s="656" t="str">
        <f>+VLOOKUP($L225,Data_Validation!$A:$E,5,0)</f>
        <v>$</v>
      </c>
      <c r="X225" s="656">
        <f>+VLOOKUP($L225,Data_Validation!$A:$F,6,0)</f>
        <v>0</v>
      </c>
    </row>
    <row r="226" spans="1:24" ht="15" customHeight="1">
      <c r="A226" s="1255" t="s">
        <v>1018</v>
      </c>
      <c r="B226" s="1255" t="s">
        <v>2142</v>
      </c>
      <c r="C226" s="1257">
        <v>897306.42</v>
      </c>
      <c r="D226" s="1257">
        <v>454500.38</v>
      </c>
      <c r="E226" s="1257">
        <v>1351806.8</v>
      </c>
      <c r="F226" s="1255" t="s">
        <v>1110</v>
      </c>
      <c r="G226" s="1255" t="s">
        <v>1019</v>
      </c>
      <c r="H226" s="1255" t="s">
        <v>3950</v>
      </c>
      <c r="I226" s="670"/>
      <c r="J226" s="651"/>
      <c r="K226" s="670"/>
      <c r="L226" s="653" t="str">
        <f t="shared" si="171"/>
        <v>5291</v>
      </c>
      <c r="M226" s="654" t="str">
        <f t="shared" si="172"/>
        <v>VEH. D'OCC. AU GROS</v>
      </c>
      <c r="N226" s="655">
        <f>+IF(OR($Q226=Parametres!$G$2,$Q226=Parametres!$G$3),I226,C226)</f>
        <v>897306.42</v>
      </c>
      <c r="O226" s="655">
        <f>+IF(OR($Q226=Parametres!$G$2,$Q226=Parametres!$G$3),J226,D226)</f>
        <v>454500.38</v>
      </c>
      <c r="P226" s="655">
        <f>+IF(OR($Q226=Parametres!$G$2,$Q226=Parametres!$G$3),K226,E226)</f>
        <v>1351806.8</v>
      </c>
      <c r="Q226" s="654" t="str">
        <f t="shared" si="173"/>
        <v>6-Coût des ventes</v>
      </c>
      <c r="R226" s="653" t="str">
        <f t="shared" si="174"/>
        <v>4281</v>
      </c>
      <c r="S226" s="654" t="str">
        <f t="shared" si="175"/>
        <v>_</v>
      </c>
      <c r="T226" s="656" t="str">
        <f>+VLOOKUP($L226,Data_Validation!$A:$D,1,0)</f>
        <v>5291</v>
      </c>
      <c r="U226" s="656" t="str">
        <f>+VLOOKUP($L226,Data_Validation!$A:$D,3,0)</f>
        <v>Véhicules usagés</v>
      </c>
      <c r="V226" s="656" t="str">
        <f>+VLOOKUP($L226,Data_Validation!$A:$D,4,0)</f>
        <v>Ventes au Gros</v>
      </c>
      <c r="W226" s="656" t="str">
        <f>+VLOOKUP($L226,Data_Validation!$A:$E,5,0)</f>
        <v>$</v>
      </c>
      <c r="X226" s="656">
        <f>+VLOOKUP($L226,Data_Validation!$A:$F,6,0)</f>
        <v>0</v>
      </c>
    </row>
    <row r="227" spans="1:24" ht="15" customHeight="1">
      <c r="A227" s="1255" t="s">
        <v>3671</v>
      </c>
      <c r="B227" s="1255" t="s">
        <v>2145</v>
      </c>
      <c r="C227" s="1257">
        <v>110812.49</v>
      </c>
      <c r="D227" s="1257">
        <v>46001.15</v>
      </c>
      <c r="E227" s="1257">
        <v>156813.64000000001</v>
      </c>
      <c r="F227" s="1255" t="s">
        <v>1110</v>
      </c>
      <c r="G227" s="1255" t="s">
        <v>1023</v>
      </c>
      <c r="H227" s="1255" t="s">
        <v>3950</v>
      </c>
      <c r="I227" s="652"/>
      <c r="J227" s="652"/>
      <c r="K227" s="652"/>
      <c r="L227" s="653" t="str">
        <f t="shared" si="171"/>
        <v>5401</v>
      </c>
      <c r="M227" s="654" t="str">
        <f t="shared" si="172"/>
        <v>MAIN-D'OEUVRE - CLIENT VW - MCI</v>
      </c>
      <c r="N227" s="655">
        <f>+IF(OR($Q227=Parametres!$G$2,$Q227=Parametres!$G$3),I227,C227)</f>
        <v>110812.49</v>
      </c>
      <c r="O227" s="655">
        <f>+IF(OR($Q227=Parametres!$G$2,$Q227=Parametres!$G$3),J227,D227)</f>
        <v>46001.15</v>
      </c>
      <c r="P227" s="655">
        <f>+IF(OR($Q227=Parametres!$G$2,$Q227=Parametres!$G$3),K227,E227)</f>
        <v>156813.64000000001</v>
      </c>
      <c r="Q227" s="654" t="str">
        <f t="shared" si="173"/>
        <v>6-Coût des ventes</v>
      </c>
      <c r="R227" s="653" t="str">
        <f t="shared" si="174"/>
        <v>4401</v>
      </c>
      <c r="S227" s="654" t="str">
        <f t="shared" si="175"/>
        <v>_</v>
      </c>
      <c r="T227" s="656" t="str">
        <f>+VLOOKUP($L227,Data_Validation!$A:$D,1,0)</f>
        <v>5401</v>
      </c>
      <c r="U227" s="656" t="str">
        <f>+VLOOKUP($L227,Data_Validation!$A:$D,3,0)</f>
        <v>Service</v>
      </c>
      <c r="V227" s="656" t="str">
        <f>+VLOOKUP($L227,Data_Validation!$A:$D,4,0)</f>
        <v>M/O Client</v>
      </c>
      <c r="W227" s="656" t="str">
        <f>+VLOOKUP($L227,Data_Validation!$A:$E,5,0)</f>
        <v>$</v>
      </c>
      <c r="X227" s="656">
        <f>+VLOOKUP($L227,Data_Validation!$A:$F,6,0)</f>
        <v>0</v>
      </c>
    </row>
    <row r="228" spans="1:24" ht="15" customHeight="1">
      <c r="A228" s="1255" t="s">
        <v>1127</v>
      </c>
      <c r="B228" s="1255" t="s">
        <v>2148</v>
      </c>
      <c r="C228" s="1257">
        <v>8466.6</v>
      </c>
      <c r="D228" s="1257">
        <v>4702.29</v>
      </c>
      <c r="E228" s="1257">
        <v>13168.89</v>
      </c>
      <c r="F228" s="1255" t="s">
        <v>1110</v>
      </c>
      <c r="G228" s="1255" t="s">
        <v>1026</v>
      </c>
      <c r="H228" s="1255" t="s">
        <v>3950</v>
      </c>
      <c r="I228" s="652"/>
      <c r="J228" s="652"/>
      <c r="K228" s="652"/>
      <c r="L228" s="653" t="str">
        <f t="shared" si="171"/>
        <v>5402</v>
      </c>
      <c r="M228" s="654" t="str">
        <f t="shared" si="172"/>
        <v>C/V - M.O. ESTHETIQUE CLIENT</v>
      </c>
      <c r="N228" s="655">
        <f>+IF(OR($Q228=Parametres!$G$2,$Q228=Parametres!$G$3),I228,C228)</f>
        <v>8466.6</v>
      </c>
      <c r="O228" s="655">
        <f>+IF(OR($Q228=Parametres!$G$2,$Q228=Parametres!$G$3),J228,D228)</f>
        <v>4702.29</v>
      </c>
      <c r="P228" s="655">
        <f>+IF(OR($Q228=Parametres!$G$2,$Q228=Parametres!$G$3),K228,E228)</f>
        <v>13168.89</v>
      </c>
      <c r="Q228" s="654" t="str">
        <f t="shared" si="173"/>
        <v>6-Coût des ventes</v>
      </c>
      <c r="R228" s="653" t="str">
        <f t="shared" si="174"/>
        <v>4402</v>
      </c>
      <c r="S228" s="654" t="str">
        <f t="shared" si="175"/>
        <v>_</v>
      </c>
      <c r="T228" s="656" t="str">
        <f>+VLOOKUP($L228,Data_Validation!$A:$D,1,0)</f>
        <v>5402</v>
      </c>
      <c r="U228" s="656" t="str">
        <f>+VLOOKUP($L228,Data_Validation!$A:$D,3,0)</f>
        <v>Service</v>
      </c>
      <c r="V228" s="656" t="str">
        <f>+VLOOKUP($L228,Data_Validation!$A:$D,4,0)</f>
        <v>M/O Esthétique</v>
      </c>
      <c r="W228" s="656" t="str">
        <f>+VLOOKUP($L228,Data_Validation!$A:$E,5,0)</f>
        <v>$</v>
      </c>
      <c r="X228" s="656">
        <f>+VLOOKUP($L228,Data_Validation!$A:$F,6,0)</f>
        <v>0</v>
      </c>
    </row>
    <row r="229" spans="1:24" ht="15.75" customHeight="1">
      <c r="A229" s="1255" t="s">
        <v>3672</v>
      </c>
      <c r="B229" s="1255" t="s">
        <v>2151</v>
      </c>
      <c r="C229" s="1257">
        <v>92374.05</v>
      </c>
      <c r="D229" s="1257">
        <v>17815.96</v>
      </c>
      <c r="E229" s="1257">
        <v>110190.01</v>
      </c>
      <c r="F229" s="1255" t="s">
        <v>1110</v>
      </c>
      <c r="G229" s="1255" t="s">
        <v>1028</v>
      </c>
      <c r="H229" s="1255" t="s">
        <v>3950</v>
      </c>
      <c r="I229" s="672"/>
      <c r="J229" s="663"/>
      <c r="K229" s="672"/>
      <c r="L229" s="653" t="str">
        <f t="shared" si="171"/>
        <v>5403</v>
      </c>
      <c r="M229" s="654" t="str">
        <f t="shared" si="172"/>
        <v>MAIN-D'OEUVRE - GARANTIE VW - MCI</v>
      </c>
      <c r="N229" s="655">
        <f>+IF(OR($Q229=Parametres!$G$2,$Q229=Parametres!$G$3),I229,C229)</f>
        <v>92374.05</v>
      </c>
      <c r="O229" s="655">
        <f>+IF(OR($Q229=Parametres!$G$2,$Q229=Parametres!$G$3),J229,D229)</f>
        <v>17815.96</v>
      </c>
      <c r="P229" s="655">
        <f>+IF(OR($Q229=Parametres!$G$2,$Q229=Parametres!$G$3),K229,E229)</f>
        <v>110190.01</v>
      </c>
      <c r="Q229" s="654" t="str">
        <f t="shared" si="173"/>
        <v>6-Coût des ventes</v>
      </c>
      <c r="R229" s="653" t="str">
        <f t="shared" si="174"/>
        <v>4403</v>
      </c>
      <c r="S229" s="654" t="str">
        <f t="shared" si="175"/>
        <v>_</v>
      </c>
      <c r="T229" s="656" t="str">
        <f>+VLOOKUP($L229,Data_Validation!$A:$D,1,0)</f>
        <v>5403</v>
      </c>
      <c r="U229" s="656" t="str">
        <f>+VLOOKUP($L229,Data_Validation!$A:$D,3,0)</f>
        <v>Service</v>
      </c>
      <c r="V229" s="656" t="str">
        <f>+VLOOKUP($L229,Data_Validation!$A:$D,4,0)</f>
        <v>M/O Garantie</v>
      </c>
      <c r="W229" s="656" t="str">
        <f>+VLOOKUP($L229,Data_Validation!$A:$E,5,0)</f>
        <v>$</v>
      </c>
      <c r="X229" s="656">
        <f>+VLOOKUP($L229,Data_Validation!$A:$F,6,0)</f>
        <v>0</v>
      </c>
    </row>
    <row r="230" spans="1:24" ht="15" customHeight="1">
      <c r="A230" s="1255" t="s">
        <v>3673</v>
      </c>
      <c r="B230" s="1255" t="s">
        <v>2154</v>
      </c>
      <c r="C230" s="1257">
        <v>60333.36</v>
      </c>
      <c r="D230" s="1257">
        <v>20409.8</v>
      </c>
      <c r="E230" s="1257">
        <v>80743.16</v>
      </c>
      <c r="F230" s="1255" t="s">
        <v>1110</v>
      </c>
      <c r="G230" s="1255" t="s">
        <v>1031</v>
      </c>
      <c r="H230" s="1255" t="s">
        <v>3950</v>
      </c>
      <c r="I230" s="670"/>
      <c r="J230" s="651"/>
      <c r="K230" s="670"/>
      <c r="L230" s="653" t="str">
        <f t="shared" si="171"/>
        <v>5405</v>
      </c>
      <c r="M230" s="654" t="str">
        <f t="shared" si="172"/>
        <v>MAIN-D'OEUVRE - INTERNE VW - MCI</v>
      </c>
      <c r="N230" s="655">
        <f>+IF(OR($Q230=Parametres!$G$2,$Q230=Parametres!$G$3),I230,C230)</f>
        <v>60333.36</v>
      </c>
      <c r="O230" s="655">
        <f>+IF(OR($Q230=Parametres!$G$2,$Q230=Parametres!$G$3),J230,D230)</f>
        <v>20409.8</v>
      </c>
      <c r="P230" s="655">
        <f>+IF(OR($Q230=Parametres!$G$2,$Q230=Parametres!$G$3),K230,E230)</f>
        <v>80743.16</v>
      </c>
      <c r="Q230" s="654" t="str">
        <f t="shared" si="173"/>
        <v>6-Coût des ventes</v>
      </c>
      <c r="R230" s="653" t="str">
        <f t="shared" si="174"/>
        <v>4405</v>
      </c>
      <c r="S230" s="654" t="str">
        <f t="shared" si="175"/>
        <v>_</v>
      </c>
      <c r="T230" s="656" t="str">
        <f>+VLOOKUP($L230,Data_Validation!$A:$D,1,0)</f>
        <v>5405</v>
      </c>
      <c r="U230" s="656" t="str">
        <f>+VLOOKUP($L230,Data_Validation!$A:$D,3,0)</f>
        <v>Service</v>
      </c>
      <c r="V230" s="656" t="str">
        <f>+VLOOKUP($L230,Data_Validation!$A:$D,4,0)</f>
        <v>M/O Interne</v>
      </c>
      <c r="W230" s="656" t="str">
        <f>+VLOOKUP($L230,Data_Validation!$A:$E,5,0)</f>
        <v>$</v>
      </c>
      <c r="X230" s="656">
        <f>+VLOOKUP($L230,Data_Validation!$A:$F,6,0)</f>
        <v>0</v>
      </c>
    </row>
    <row r="231" spans="1:24" ht="15" customHeight="1">
      <c r="A231" s="1255" t="s">
        <v>3681</v>
      </c>
      <c r="B231" s="1255" t="s">
        <v>2160</v>
      </c>
      <c r="C231" s="1257">
        <v>8662.58</v>
      </c>
      <c r="D231" s="1257">
        <v>1048.6300000000001</v>
      </c>
      <c r="E231" s="1257">
        <v>9711.2099999999991</v>
      </c>
      <c r="F231" s="1255" t="s">
        <v>1110</v>
      </c>
      <c r="G231" s="1255" t="s">
        <v>1131</v>
      </c>
      <c r="H231" s="1255" t="s">
        <v>3950</v>
      </c>
      <c r="I231" s="652"/>
      <c r="J231" s="652"/>
      <c r="K231" s="652"/>
      <c r="L231" s="653" t="str">
        <f t="shared" si="171"/>
        <v>5416</v>
      </c>
      <c r="M231" s="654" t="str">
        <f t="shared" si="172"/>
        <v>C/V - MAIN D'OEUVRE SVC NON APP - TOUS</v>
      </c>
      <c r="N231" s="655">
        <f>+IF(OR($Q231=Parametres!$G$2,$Q231=Parametres!$G$3),I231,C231)</f>
        <v>8662.58</v>
      </c>
      <c r="O231" s="655">
        <f>+IF(OR($Q231=Parametres!$G$2,$Q231=Parametres!$G$3),J231,D231)</f>
        <v>1048.6300000000001</v>
      </c>
      <c r="P231" s="655">
        <f>+IF(OR($Q231=Parametres!$G$2,$Q231=Parametres!$G$3),K231,E231)</f>
        <v>9711.2099999999991</v>
      </c>
      <c r="Q231" s="654" t="str">
        <f t="shared" si="173"/>
        <v>6-Coût des ventes</v>
      </c>
      <c r="R231" s="653" t="str">
        <f t="shared" si="174"/>
        <v>4416</v>
      </c>
      <c r="S231" s="654" t="str">
        <f t="shared" si="175"/>
        <v>_</v>
      </c>
      <c r="T231" s="656" t="str">
        <f>+VLOOKUP($L231,Data_Validation!$A:$D,1,0)</f>
        <v>5416</v>
      </c>
      <c r="U231" s="656" t="str">
        <f>+VLOOKUP($L231,Data_Validation!$A:$D,3,0)</f>
        <v>Service</v>
      </c>
      <c r="V231" s="656" t="str">
        <f>+VLOOKUP($L231,Data_Validation!$A:$D,4,0)</f>
        <v>Ajustement M/O</v>
      </c>
      <c r="W231" s="656" t="str">
        <f>+VLOOKUP($L231,Data_Validation!$A:$E,5,0)</f>
        <v>$</v>
      </c>
      <c r="X231" s="656">
        <f>+VLOOKUP($L231,Data_Validation!$A:$F,6,0)</f>
        <v>0</v>
      </c>
    </row>
    <row r="232" spans="1:24" ht="15" customHeight="1">
      <c r="A232" s="1255" t="s">
        <v>1033</v>
      </c>
      <c r="B232" s="1255" t="s">
        <v>2166</v>
      </c>
      <c r="C232" s="1257">
        <v>56929.15</v>
      </c>
      <c r="D232" s="1257">
        <v>21942.13</v>
      </c>
      <c r="E232" s="1257">
        <v>78871.28</v>
      </c>
      <c r="F232" s="1255" t="s">
        <v>1110</v>
      </c>
      <c r="G232" s="1255" t="s">
        <v>1034</v>
      </c>
      <c r="H232" s="1255" t="s">
        <v>3950</v>
      </c>
      <c r="I232" s="652"/>
      <c r="J232" s="652"/>
      <c r="K232" s="652"/>
      <c r="L232" s="653" t="str">
        <f t="shared" si="171"/>
        <v>5451</v>
      </c>
      <c r="M232" s="654" t="str">
        <f t="shared" si="172"/>
        <v>CARBURANT/HUILE/GRAISSE</v>
      </c>
      <c r="N232" s="655">
        <f>+IF(OR($Q232=Parametres!$G$2,$Q232=Parametres!$G$3),I232,C232)</f>
        <v>56929.15</v>
      </c>
      <c r="O232" s="655">
        <f>+IF(OR($Q232=Parametres!$G$2,$Q232=Parametres!$G$3),J232,D232)</f>
        <v>21942.13</v>
      </c>
      <c r="P232" s="655">
        <f>+IF(OR($Q232=Parametres!$G$2,$Q232=Parametres!$G$3),K232,E232)</f>
        <v>78871.28</v>
      </c>
      <c r="Q232" s="654" t="str">
        <f t="shared" si="173"/>
        <v>6-Coût des ventes</v>
      </c>
      <c r="R232" s="653" t="str">
        <f t="shared" si="174"/>
        <v>4782</v>
      </c>
      <c r="S232" s="654" t="str">
        <f t="shared" si="175"/>
        <v>_</v>
      </c>
      <c r="T232" s="656" t="str">
        <f>+VLOOKUP($L232,Data_Validation!$A:$D,1,0)</f>
        <v>5451</v>
      </c>
      <c r="U232" s="656" t="str">
        <f>+VLOOKUP($L232,Data_Validation!$A:$D,3,0)</f>
        <v>Pièces</v>
      </c>
      <c r="V232" s="656" t="str">
        <f>+VLOOKUP($L232,Data_Validation!$A:$D,4,0)</f>
        <v>Huiles et Graisse</v>
      </c>
      <c r="W232" s="656" t="str">
        <f>+VLOOKUP($L232,Data_Validation!$A:$E,5,0)</f>
        <v>$</v>
      </c>
      <c r="X232" s="656">
        <f>+VLOOKUP($L232,Data_Validation!$A:$F,6,0)</f>
        <v>0</v>
      </c>
    </row>
    <row r="233" spans="1:24" ht="15" customHeight="1">
      <c r="A233" s="1255" t="s">
        <v>1036</v>
      </c>
      <c r="B233" s="1255" t="s">
        <v>2169</v>
      </c>
      <c r="C233" s="1257">
        <v>12833.5</v>
      </c>
      <c r="D233" s="1257">
        <v>9770.7800000000007</v>
      </c>
      <c r="E233" s="1257">
        <v>22604.28</v>
      </c>
      <c r="F233" s="1255" t="s">
        <v>1110</v>
      </c>
      <c r="G233" s="1255" t="s">
        <v>1037</v>
      </c>
      <c r="H233" s="1255" t="s">
        <v>3950</v>
      </c>
      <c r="I233" s="660"/>
      <c r="J233" s="660"/>
      <c r="K233" s="660"/>
      <c r="L233" s="653" t="str">
        <f t="shared" si="171"/>
        <v>5491</v>
      </c>
      <c r="M233" s="654" t="str">
        <f t="shared" si="172"/>
        <v>REPARATION SOUS-LOC. - GENERAL</v>
      </c>
      <c r="N233" s="655">
        <f>+IF(OR($Q233=Parametres!$G$2,$Q233=Parametres!$G$3),I233,C233)</f>
        <v>12833.5</v>
      </c>
      <c r="O233" s="655">
        <f>+IF(OR($Q233=Parametres!$G$2,$Q233=Parametres!$G$3),J233,D233)</f>
        <v>9770.7800000000007</v>
      </c>
      <c r="P233" s="655">
        <f>+IF(OR($Q233=Parametres!$G$2,$Q233=Parametres!$G$3),K233,E233)</f>
        <v>22604.28</v>
      </c>
      <c r="Q233" s="654" t="str">
        <f t="shared" si="173"/>
        <v>6-Coût des ventes</v>
      </c>
      <c r="R233" s="653" t="str">
        <f t="shared" si="174"/>
        <v>4491</v>
      </c>
      <c r="S233" s="654" t="str">
        <f t="shared" si="175"/>
        <v>_</v>
      </c>
      <c r="T233" s="656" t="str">
        <f>+VLOOKUP($L233,Data_Validation!$A:$D,1,0)</f>
        <v>5491</v>
      </c>
      <c r="U233" s="656" t="str">
        <f>+VLOOKUP($L233,Data_Validation!$A:$D,3,0)</f>
        <v>Service</v>
      </c>
      <c r="V233" s="656" t="str">
        <f>+VLOOKUP($L233,Data_Validation!$A:$D,4,0)</f>
        <v>Sous-traitement</v>
      </c>
      <c r="W233" s="656" t="str">
        <f>+VLOOKUP($L233,Data_Validation!$A:$E,5,0)</f>
        <v>$</v>
      </c>
      <c r="X233" s="656">
        <f>+VLOOKUP($L233,Data_Validation!$A:$F,6,0)</f>
        <v>0</v>
      </c>
    </row>
    <row r="234" spans="1:24" ht="15.75" customHeight="1">
      <c r="A234" s="1255" t="s">
        <v>1132</v>
      </c>
      <c r="B234" s="1255" t="s">
        <v>2172</v>
      </c>
      <c r="C234" s="1257">
        <v>13820.73</v>
      </c>
      <c r="D234" s="1257">
        <v>750.51</v>
      </c>
      <c r="E234" s="1257">
        <v>14571.24</v>
      </c>
      <c r="F234" s="1255" t="s">
        <v>1110</v>
      </c>
      <c r="G234" s="1255" t="s">
        <v>1040</v>
      </c>
      <c r="H234" s="1255" t="s">
        <v>3950</v>
      </c>
      <c r="I234" s="652"/>
      <c r="J234" s="652"/>
      <c r="K234" s="652"/>
      <c r="L234" s="653" t="str">
        <f t="shared" si="171"/>
        <v>5493</v>
      </c>
      <c r="M234" s="654" t="str">
        <f t="shared" si="172"/>
        <v>C/V - SOUS-TRAITANCE GARANTIE</v>
      </c>
      <c r="N234" s="655">
        <f>+IF(OR($Q234=Parametres!$G$2,$Q234=Parametres!$G$3),I234,C234)</f>
        <v>13820.73</v>
      </c>
      <c r="O234" s="655">
        <f>+IF(OR($Q234=Parametres!$G$2,$Q234=Parametres!$G$3),J234,D234)</f>
        <v>750.51</v>
      </c>
      <c r="P234" s="655">
        <f>+IF(OR($Q234=Parametres!$G$2,$Q234=Parametres!$G$3),K234,E234)</f>
        <v>14571.24</v>
      </c>
      <c r="Q234" s="654" t="str">
        <f t="shared" si="173"/>
        <v>6-Coût des ventes</v>
      </c>
      <c r="R234" s="653" t="str">
        <f t="shared" si="174"/>
        <v>4493</v>
      </c>
      <c r="S234" s="654" t="str">
        <f t="shared" si="175"/>
        <v>_</v>
      </c>
      <c r="T234" s="656" t="str">
        <f>+VLOOKUP($L234,Data_Validation!$A:$D,1,0)</f>
        <v>5493</v>
      </c>
      <c r="U234" s="656" t="str">
        <f>+VLOOKUP($L234,Data_Validation!$A:$D,3,0)</f>
        <v>Service</v>
      </c>
      <c r="V234" s="656" t="str">
        <f>+VLOOKUP($L234,Data_Validation!$A:$D,4,0)</f>
        <v>Sous-traitement</v>
      </c>
      <c r="W234" s="656" t="str">
        <f>+VLOOKUP($L234,Data_Validation!$A:$E,5,0)</f>
        <v>$</v>
      </c>
      <c r="X234" s="656">
        <f>+VLOOKUP($L234,Data_Validation!$A:$F,6,0)</f>
        <v>0</v>
      </c>
    </row>
    <row r="235" spans="1:24" ht="15" customHeight="1">
      <c r="A235" s="1255" t="s">
        <v>1133</v>
      </c>
      <c r="B235" s="1255" t="s">
        <v>2175</v>
      </c>
      <c r="C235" s="1257">
        <v>26945</v>
      </c>
      <c r="D235" s="1257">
        <v>9431.2900000000009</v>
      </c>
      <c r="E235" s="1257">
        <v>36376.29</v>
      </c>
      <c r="F235" s="1255" t="s">
        <v>1110</v>
      </c>
      <c r="G235" s="1255" t="s">
        <v>1044</v>
      </c>
      <c r="H235" s="1255" t="s">
        <v>3950</v>
      </c>
      <c r="I235" s="652"/>
      <c r="J235" s="652"/>
      <c r="K235" s="652"/>
      <c r="L235" s="653" t="str">
        <f t="shared" si="171"/>
        <v>5495</v>
      </c>
      <c r="M235" s="654" t="str">
        <f t="shared" si="172"/>
        <v>C/V - SOUS-TRAITANCE INTERNE</v>
      </c>
      <c r="N235" s="655">
        <f>+IF(OR($Q235=Parametres!$G$2,$Q235=Parametres!$G$3),I235,C235)</f>
        <v>26945</v>
      </c>
      <c r="O235" s="655">
        <f>+IF(OR($Q235=Parametres!$G$2,$Q235=Parametres!$G$3),J235,D235)</f>
        <v>9431.2900000000009</v>
      </c>
      <c r="P235" s="655">
        <f>+IF(OR($Q235=Parametres!$G$2,$Q235=Parametres!$G$3),K235,E235)</f>
        <v>36376.29</v>
      </c>
      <c r="Q235" s="654" t="str">
        <f t="shared" si="173"/>
        <v>6-Coût des ventes</v>
      </c>
      <c r="R235" s="653" t="str">
        <f t="shared" si="174"/>
        <v>4495</v>
      </c>
      <c r="S235" s="654" t="str">
        <f t="shared" si="175"/>
        <v>_</v>
      </c>
      <c r="T235" s="656" t="str">
        <f>+VLOOKUP($L235,Data_Validation!$A:$D,1,0)</f>
        <v>5495</v>
      </c>
      <c r="U235" s="656" t="str">
        <f>+VLOOKUP($L235,Data_Validation!$A:$D,3,0)</f>
        <v>Service</v>
      </c>
      <c r="V235" s="656" t="str">
        <f>+VLOOKUP($L235,Data_Validation!$A:$D,4,0)</f>
        <v>Sous-traitement</v>
      </c>
      <c r="W235" s="656" t="str">
        <f>+VLOOKUP($L235,Data_Validation!$A:$E,5,0)</f>
        <v>$</v>
      </c>
      <c r="X235" s="656">
        <f>+VLOOKUP($L235,Data_Validation!$A:$F,6,0)</f>
        <v>0</v>
      </c>
    </row>
    <row r="236" spans="1:24" ht="15" customHeight="1">
      <c r="A236" s="1255" t="s">
        <v>3428</v>
      </c>
      <c r="B236" s="1255" t="s">
        <v>3429</v>
      </c>
      <c r="C236" s="1257">
        <v>8772.6200000000008</v>
      </c>
      <c r="D236" s="1257">
        <v>5018.12</v>
      </c>
      <c r="E236" s="1257">
        <v>13790.74</v>
      </c>
      <c r="F236" s="1255" t="s">
        <v>1110</v>
      </c>
      <c r="G236" s="1255" t="s">
        <v>3427</v>
      </c>
      <c r="H236" s="1255" t="s">
        <v>3950</v>
      </c>
      <c r="I236" s="652"/>
      <c r="J236" s="652"/>
      <c r="K236" s="652"/>
      <c r="L236" s="653" t="str">
        <f t="shared" si="171"/>
        <v>5505</v>
      </c>
      <c r="M236" s="654" t="str">
        <f t="shared" si="172"/>
        <v>C/V - M.O. INTERNE CARROSSERIE</v>
      </c>
      <c r="N236" s="655">
        <f>+IF(OR($Q236=Parametres!$G$2,$Q236=Parametres!$G$3),I236,C236)</f>
        <v>8772.6200000000008</v>
      </c>
      <c r="O236" s="655">
        <f>+IF(OR($Q236=Parametres!$G$2,$Q236=Parametres!$G$3),J236,D236)</f>
        <v>5018.12</v>
      </c>
      <c r="P236" s="655">
        <f>+IF(OR($Q236=Parametres!$G$2,$Q236=Parametres!$G$3),K236,E236)</f>
        <v>13790.74</v>
      </c>
      <c r="Q236" s="654" t="str">
        <f t="shared" si="173"/>
        <v>6-Coût des ventes</v>
      </c>
      <c r="R236" s="653" t="str">
        <f t="shared" si="174"/>
        <v>4505</v>
      </c>
      <c r="S236" s="654" t="str">
        <f t="shared" si="175"/>
        <v>_</v>
      </c>
      <c r="T236" s="656" t="str">
        <f>+VLOOKUP($L236,Data_Validation!$A:$D,1,0)</f>
        <v>5505</v>
      </c>
      <c r="U236" s="656" t="str">
        <f>+VLOOKUP($L236,Data_Validation!$A:$D,3,0)</f>
        <v>Service</v>
      </c>
      <c r="V236" s="656" t="str">
        <f>+VLOOKUP($L236,Data_Validation!$A:$D,4,0)</f>
        <v>M.O. Recond. MCPA</v>
      </c>
      <c r="W236" s="656" t="str">
        <f>+VLOOKUP($L236,Data_Validation!$A:$E,5,0)</f>
        <v>$</v>
      </c>
      <c r="X236" s="656">
        <f>+VLOOKUP($L236,Data_Validation!$A:$F,6,0)</f>
        <v>0</v>
      </c>
    </row>
    <row r="237" spans="1:24" ht="15" customHeight="1">
      <c r="A237" s="1255" t="s">
        <v>1134</v>
      </c>
      <c r="B237" s="1255" t="s">
        <v>2184</v>
      </c>
      <c r="C237" s="1257">
        <v>5134.75</v>
      </c>
      <c r="D237" s="1257">
        <v>0</v>
      </c>
      <c r="E237" s="1257">
        <v>5134.75</v>
      </c>
      <c r="F237" s="1255" t="s">
        <v>1110</v>
      </c>
      <c r="G237" s="1255" t="s">
        <v>1051</v>
      </c>
      <c r="H237" s="1255" t="s">
        <v>3950</v>
      </c>
      <c r="I237" s="670"/>
      <c r="J237" s="651"/>
      <c r="K237" s="670"/>
      <c r="L237" s="653" t="str">
        <f t="shared" si="171"/>
        <v>5591</v>
      </c>
      <c r="M237" s="654" t="str">
        <f t="shared" si="172"/>
        <v>C/V - S-TRAIT. CARR.</v>
      </c>
      <c r="N237" s="655">
        <f>+IF(OR($Q237=Parametres!$G$2,$Q237=Parametres!$G$3),I237,C237)</f>
        <v>5134.75</v>
      </c>
      <c r="O237" s="659">
        <f>+IF(OR($Q237=Parametres!$G$2,$Q237=Parametres!$G$3),J237,D237)</f>
        <v>0</v>
      </c>
      <c r="P237" s="655">
        <f>+IF(OR($Q237=Parametres!$G$2,$Q237=Parametres!$G$3),K237,E237)</f>
        <v>5134.75</v>
      </c>
      <c r="Q237" s="654" t="str">
        <f t="shared" si="173"/>
        <v>6-Coût des ventes</v>
      </c>
      <c r="R237" s="653" t="str">
        <f t="shared" si="174"/>
        <v>4591</v>
      </c>
      <c r="S237" s="654" t="str">
        <f t="shared" si="175"/>
        <v>_</v>
      </c>
      <c r="T237" s="656" t="str">
        <f>+VLOOKUP($L237,Data_Validation!$A:$D,1,0)</f>
        <v>5591</v>
      </c>
      <c r="U237" s="656" t="str">
        <f>+VLOOKUP($L237,Data_Validation!$A:$D,3,0)</f>
        <v>Carrosserie</v>
      </c>
      <c r="V237" s="656" t="str">
        <f>+VLOOKUP($L237,Data_Validation!$A:$D,4,0)</f>
        <v>M/O Sous-traitement</v>
      </c>
      <c r="W237" s="656" t="str">
        <f>+VLOOKUP($L237,Data_Validation!$A:$E,5,0)</f>
        <v>$</v>
      </c>
      <c r="X237" s="656">
        <f>+VLOOKUP($L237,Data_Validation!$A:$F,6,0)</f>
        <v>0</v>
      </c>
    </row>
    <row r="238" spans="1:24" ht="15.75" customHeight="1">
      <c r="A238" s="1255" t="s">
        <v>1135</v>
      </c>
      <c r="B238" s="1255" t="s">
        <v>2187</v>
      </c>
      <c r="C238" s="1257">
        <v>44755.21</v>
      </c>
      <c r="D238" s="1257">
        <v>5692.02</v>
      </c>
      <c r="E238" s="1257">
        <v>50447.23</v>
      </c>
      <c r="F238" s="1255" t="s">
        <v>1110</v>
      </c>
      <c r="G238" s="1255" t="s">
        <v>1055</v>
      </c>
      <c r="H238" s="1255" t="s">
        <v>3950</v>
      </c>
      <c r="I238" s="670"/>
      <c r="J238" s="670"/>
      <c r="K238" s="670"/>
      <c r="L238" s="653" t="str">
        <f t="shared" si="171"/>
        <v>5593</v>
      </c>
      <c r="M238" s="654" t="str">
        <f t="shared" si="172"/>
        <v>C/V - S-TRAIT.GARANTIE CARROS.</v>
      </c>
      <c r="N238" s="655">
        <f>+IF(OR($Q238=Parametres!$G$2,$Q238=Parametres!$G$3),I238,C238)</f>
        <v>44755.21</v>
      </c>
      <c r="O238" s="659">
        <f>+IF(OR($Q238=Parametres!$G$2,$Q238=Parametres!$G$3),J238,D238)</f>
        <v>5692.02</v>
      </c>
      <c r="P238" s="655">
        <f>+IF(OR($Q238=Parametres!$G$2,$Q238=Parametres!$G$3),K238,E238)</f>
        <v>50447.23</v>
      </c>
      <c r="Q238" s="654" t="str">
        <f t="shared" si="173"/>
        <v>6-Coût des ventes</v>
      </c>
      <c r="R238" s="653" t="str">
        <f t="shared" si="174"/>
        <v>4593</v>
      </c>
      <c r="S238" s="654" t="str">
        <f t="shared" si="175"/>
        <v>_</v>
      </c>
      <c r="T238" s="656" t="str">
        <f>+VLOOKUP($L238,Data_Validation!$A:$D,1,0)</f>
        <v>5593</v>
      </c>
      <c r="U238" s="656" t="str">
        <f>+VLOOKUP($L238,Data_Validation!$A:$D,3,0)</f>
        <v>Carrosserie</v>
      </c>
      <c r="V238" s="656" t="str">
        <f>+VLOOKUP($L238,Data_Validation!$A:$D,4,0)</f>
        <v>M/O Sous-traitement</v>
      </c>
      <c r="W238" s="656" t="str">
        <f>+VLOOKUP($L238,Data_Validation!$A:$E,5,0)</f>
        <v>$</v>
      </c>
      <c r="X238" s="656">
        <f>+VLOOKUP($L238,Data_Validation!$A:$F,6,0)</f>
        <v>0</v>
      </c>
    </row>
    <row r="239" spans="1:24" ht="15" customHeight="1">
      <c r="A239" s="1255" t="s">
        <v>1136</v>
      </c>
      <c r="B239" s="1255" t="s">
        <v>2190</v>
      </c>
      <c r="C239" s="1257">
        <v>4740.22</v>
      </c>
      <c r="D239" s="1257">
        <v>0</v>
      </c>
      <c r="E239" s="1257">
        <v>4740.22</v>
      </c>
      <c r="F239" s="1255" t="s">
        <v>1110</v>
      </c>
      <c r="G239" s="1255" t="s">
        <v>1059</v>
      </c>
      <c r="H239" s="1255" t="s">
        <v>3950</v>
      </c>
      <c r="I239" s="652"/>
      <c r="J239" s="652"/>
      <c r="K239" s="652"/>
      <c r="L239" s="653" t="str">
        <f t="shared" si="171"/>
        <v>5595</v>
      </c>
      <c r="M239" s="654" t="str">
        <f t="shared" si="172"/>
        <v>C/V - S-TRAIT.INTERNE CARROS.</v>
      </c>
      <c r="N239" s="655">
        <f>+IF(OR($Q239=Parametres!$G$2,$Q239=Parametres!$G$3),I239,C239)</f>
        <v>4740.22</v>
      </c>
      <c r="O239" s="655">
        <f>+IF(OR($Q239=Parametres!$G$2,$Q239=Parametres!$G$3),J239,D239)</f>
        <v>0</v>
      </c>
      <c r="P239" s="655">
        <f>+IF(OR($Q239=Parametres!$G$2,$Q239=Parametres!$G$3),K239,E239)</f>
        <v>4740.22</v>
      </c>
      <c r="Q239" s="654" t="str">
        <f t="shared" si="173"/>
        <v>6-Coût des ventes</v>
      </c>
      <c r="R239" s="653" t="str">
        <f t="shared" si="174"/>
        <v>4595</v>
      </c>
      <c r="S239" s="654" t="str">
        <f t="shared" si="175"/>
        <v>_</v>
      </c>
      <c r="T239" s="656" t="str">
        <f>+VLOOKUP($L239,Data_Validation!$A:$D,1,0)</f>
        <v>5595</v>
      </c>
      <c r="U239" s="656" t="str">
        <f>+VLOOKUP($L239,Data_Validation!$A:$D,3,0)</f>
        <v>Carrosserie</v>
      </c>
      <c r="V239" s="656" t="str">
        <f>+VLOOKUP($L239,Data_Validation!$A:$D,4,0)</f>
        <v>M/O Sous-traitement</v>
      </c>
      <c r="W239" s="656" t="str">
        <f>+VLOOKUP($L239,Data_Validation!$A:$E,5,0)</f>
        <v>$</v>
      </c>
      <c r="X239" s="656">
        <f>+VLOOKUP($L239,Data_Validation!$A:$F,6,0)</f>
        <v>0</v>
      </c>
    </row>
    <row r="240" spans="1:24" ht="15" customHeight="1">
      <c r="A240" s="1255" t="s">
        <v>3674</v>
      </c>
      <c r="B240" s="1255" t="s">
        <v>2193</v>
      </c>
      <c r="C240" s="1257">
        <v>185787.64</v>
      </c>
      <c r="D240" s="1257">
        <v>76708.14</v>
      </c>
      <c r="E240" s="1257">
        <v>262495.78000000003</v>
      </c>
      <c r="F240" s="1255" t="s">
        <v>1110</v>
      </c>
      <c r="G240" s="1255" t="s">
        <v>1063</v>
      </c>
      <c r="H240" s="1255" t="s">
        <v>3950</v>
      </c>
      <c r="I240" s="667"/>
      <c r="J240" s="667"/>
      <c r="K240" s="667"/>
      <c r="L240" s="653" t="str">
        <f t="shared" si="171"/>
        <v>5701</v>
      </c>
      <c r="M240" s="654" t="str">
        <f t="shared" si="172"/>
        <v>VW P&amp;A - BR - CLIENT - MCI</v>
      </c>
      <c r="N240" s="655">
        <f>+IF(OR($Q240=Parametres!$G$2,$Q240=Parametres!$G$3),I240,C240)</f>
        <v>185787.64</v>
      </c>
      <c r="O240" s="655">
        <f>+IF(OR($Q240=Parametres!$G$2,$Q240=Parametres!$G$3),J240,D240)</f>
        <v>76708.14</v>
      </c>
      <c r="P240" s="655">
        <f>+IF(OR($Q240=Parametres!$G$2,$Q240=Parametres!$G$3),K240,E240)</f>
        <v>262495.78000000003</v>
      </c>
      <c r="Q240" s="654" t="str">
        <f t="shared" si="173"/>
        <v>6-Coût des ventes</v>
      </c>
      <c r="R240" s="653" t="str">
        <f t="shared" si="174"/>
        <v>4701</v>
      </c>
      <c r="S240" s="654" t="str">
        <f t="shared" si="175"/>
        <v>_</v>
      </c>
      <c r="T240" s="656" t="str">
        <f>+VLOOKUP($L240,Data_Validation!$A:$D,1,0)</f>
        <v>5701</v>
      </c>
      <c r="U240" s="656" t="str">
        <f>+VLOOKUP($L240,Data_Validation!$A:$D,3,0)</f>
        <v>Pièces</v>
      </c>
      <c r="V240" s="656" t="str">
        <f>+VLOOKUP($L240,Data_Validation!$A:$D,4,0)</f>
        <v>Pièces Ro Clients</v>
      </c>
      <c r="W240" s="656" t="str">
        <f>+VLOOKUP($L240,Data_Validation!$A:$E,5,0)</f>
        <v>$</v>
      </c>
      <c r="X240" s="656">
        <f>+VLOOKUP($L240,Data_Validation!$A:$F,6,0)</f>
        <v>0</v>
      </c>
    </row>
    <row r="241" spans="1:24" ht="15" customHeight="1">
      <c r="A241" s="1255" t="s">
        <v>1138</v>
      </c>
      <c r="B241" s="1255" t="s">
        <v>2196</v>
      </c>
      <c r="C241" s="1257">
        <v>1616.75</v>
      </c>
      <c r="D241" s="1257">
        <v>684.47</v>
      </c>
      <c r="E241" s="1257">
        <v>2301.2199999999998</v>
      </c>
      <c r="F241" s="1255" t="s">
        <v>1110</v>
      </c>
      <c r="G241" s="1255" t="s">
        <v>1067</v>
      </c>
      <c r="H241" s="1255" t="s">
        <v>3950</v>
      </c>
      <c r="I241" s="666"/>
      <c r="J241" s="666"/>
      <c r="K241" s="666"/>
      <c r="L241" s="653" t="str">
        <f t="shared" si="171"/>
        <v>5702</v>
      </c>
      <c r="M241" s="654" t="str">
        <f t="shared" si="172"/>
        <v>C/V - SHOP SUPPLY VW</v>
      </c>
      <c r="N241" s="655">
        <f>+IF(OR($Q241=Parametres!$G$2,$Q241=Parametres!$G$3),I241,C241)</f>
        <v>1616.75</v>
      </c>
      <c r="O241" s="655">
        <f>+IF(OR($Q241=Parametres!$G$2,$Q241=Parametres!$G$3),J241,D241)</f>
        <v>684.47</v>
      </c>
      <c r="P241" s="655">
        <f>+IF(OR($Q241=Parametres!$G$2,$Q241=Parametres!$G$3),K241,E241)</f>
        <v>2301.2199999999998</v>
      </c>
      <c r="Q241" s="654" t="str">
        <f t="shared" si="173"/>
        <v>6-Coût des ventes</v>
      </c>
      <c r="R241" s="653" t="str">
        <f t="shared" si="174"/>
        <v>4702</v>
      </c>
      <c r="S241" s="654" t="str">
        <f t="shared" si="175"/>
        <v>_</v>
      </c>
      <c r="T241" s="656" t="str">
        <f>+VLOOKUP($L241,Data_Validation!$A:$D,1,0)</f>
        <v>5702</v>
      </c>
      <c r="U241" s="656" t="str">
        <f>+VLOOKUP($L241,Data_Validation!$A:$D,3,0)</f>
        <v>Service</v>
      </c>
      <c r="V241" s="656" t="str">
        <f>+VLOOKUP($L241,Data_Validation!$A:$D,4,0)</f>
        <v>M/O Client</v>
      </c>
      <c r="W241" s="656" t="str">
        <f>+VLOOKUP($L241,Data_Validation!$A:$E,5,0)</f>
        <v>$</v>
      </c>
      <c r="X241" s="656">
        <f>+VLOOKUP($L241,Data_Validation!$A:$F,6,0)</f>
        <v>0</v>
      </c>
    </row>
    <row r="242" spans="1:24" ht="15" customHeight="1">
      <c r="A242" s="1255" t="s">
        <v>3675</v>
      </c>
      <c r="B242" s="1255" t="s">
        <v>2199</v>
      </c>
      <c r="C242" s="1257">
        <v>276265.71999999997</v>
      </c>
      <c r="D242" s="1257">
        <v>65432.85</v>
      </c>
      <c r="E242" s="1257">
        <v>341698.57</v>
      </c>
      <c r="F242" s="1255" t="s">
        <v>1110</v>
      </c>
      <c r="G242" s="1255" t="s">
        <v>1069</v>
      </c>
      <c r="H242" s="1255" t="s">
        <v>3950</v>
      </c>
      <c r="I242" s="666"/>
      <c r="J242" s="666"/>
      <c r="K242" s="666"/>
      <c r="L242" s="653" t="str">
        <f t="shared" si="171"/>
        <v>5703</v>
      </c>
      <c r="M242" s="654" t="str">
        <f t="shared" si="172"/>
        <v>VW P&amp;A - BR - GARANTIE - MCI</v>
      </c>
      <c r="N242" s="655">
        <f>+IF(OR($Q242=Parametres!$G$2,$Q242=Parametres!$G$3),I242,C242)</f>
        <v>276265.71999999997</v>
      </c>
      <c r="O242" s="655">
        <f>+IF(OR($Q242=Parametres!$G$2,$Q242=Parametres!$G$3),J242,D242)</f>
        <v>65432.85</v>
      </c>
      <c r="P242" s="655">
        <f>+IF(OR($Q242=Parametres!$G$2,$Q242=Parametres!$G$3),K242,E242)</f>
        <v>341698.57</v>
      </c>
      <c r="Q242" s="654" t="str">
        <f t="shared" si="173"/>
        <v>6-Coût des ventes</v>
      </c>
      <c r="R242" s="653" t="str">
        <f t="shared" si="174"/>
        <v>4703</v>
      </c>
      <c r="S242" s="654" t="str">
        <f t="shared" si="175"/>
        <v>_</v>
      </c>
      <c r="T242" s="656" t="str">
        <f>+VLOOKUP($L242,Data_Validation!$A:$D,1,0)</f>
        <v>5703</v>
      </c>
      <c r="U242" s="656" t="str">
        <f>+VLOOKUP($L242,Data_Validation!$A:$D,3,0)</f>
        <v>Pièces</v>
      </c>
      <c r="V242" s="656" t="str">
        <f>+VLOOKUP($L242,Data_Validation!$A:$D,4,0)</f>
        <v>P/A Garantie</v>
      </c>
      <c r="W242" s="656" t="str">
        <f>+VLOOKUP($L242,Data_Validation!$A:$E,5,0)</f>
        <v>$</v>
      </c>
      <c r="X242" s="656">
        <f>+VLOOKUP($L242,Data_Validation!$A:$F,6,0)</f>
        <v>0</v>
      </c>
    </row>
    <row r="243" spans="1:24" ht="15.75" customHeight="1">
      <c r="A243" s="1255" t="s">
        <v>3676</v>
      </c>
      <c r="B243" s="1255" t="s">
        <v>2202</v>
      </c>
      <c r="C243" s="1257">
        <v>174963.91</v>
      </c>
      <c r="D243" s="1257">
        <v>40488.39</v>
      </c>
      <c r="E243" s="1257">
        <v>215452.3</v>
      </c>
      <c r="F243" s="1255" t="s">
        <v>1110</v>
      </c>
      <c r="G243" s="1255" t="s">
        <v>1073</v>
      </c>
      <c r="H243" s="1255" t="s">
        <v>3950</v>
      </c>
      <c r="I243" s="667"/>
      <c r="J243" s="667"/>
      <c r="K243" s="667"/>
      <c r="L243" s="653" t="str">
        <f t="shared" si="171"/>
        <v>5705</v>
      </c>
      <c r="M243" s="654" t="str">
        <f t="shared" si="172"/>
        <v>VW P&amp;A - BR - INTERNE - MCI</v>
      </c>
      <c r="N243" s="655">
        <f>+IF(OR($Q243=Parametres!$G$2,$Q243=Parametres!$G$3),I243,C243)</f>
        <v>174963.91</v>
      </c>
      <c r="O243" s="659">
        <f>+IF(OR($Q243=Parametres!$G$2,$Q243=Parametres!$G$3),J243,D243)</f>
        <v>40488.39</v>
      </c>
      <c r="P243" s="655">
        <f>+IF(OR($Q243=Parametres!$G$2,$Q243=Parametres!$G$3),K243,E243)</f>
        <v>215452.3</v>
      </c>
      <c r="Q243" s="654" t="str">
        <f t="shared" si="173"/>
        <v>6-Coût des ventes</v>
      </c>
      <c r="R243" s="653" t="str">
        <f t="shared" si="174"/>
        <v>4705</v>
      </c>
      <c r="S243" s="654" t="str">
        <f t="shared" si="175"/>
        <v>_</v>
      </c>
      <c r="T243" s="656" t="str">
        <f>+VLOOKUP($L243,Data_Validation!$A:$D,1,0)</f>
        <v>5705</v>
      </c>
      <c r="U243" s="656" t="str">
        <f>+VLOOKUP($L243,Data_Validation!$A:$D,3,0)</f>
        <v>Pièces</v>
      </c>
      <c r="V243" s="656" t="str">
        <f>+VLOOKUP($L243,Data_Validation!$A:$D,4,0)</f>
        <v>Ventes Internes</v>
      </c>
      <c r="W243" s="656" t="str">
        <f>+VLOOKUP($L243,Data_Validation!$A:$E,5,0)</f>
        <v>$</v>
      </c>
      <c r="X243" s="656">
        <f>+VLOOKUP($L243,Data_Validation!$A:$F,6,0)</f>
        <v>0</v>
      </c>
    </row>
    <row r="244" spans="1:24" ht="15" customHeight="1">
      <c r="A244" s="1255" t="s">
        <v>3677</v>
      </c>
      <c r="B244" s="1255" t="s">
        <v>2205</v>
      </c>
      <c r="C244" s="1257">
        <v>386.29</v>
      </c>
      <c r="D244" s="1257">
        <v>151.80000000000001</v>
      </c>
      <c r="E244" s="1257">
        <v>538.09</v>
      </c>
      <c r="F244" s="1255" t="s">
        <v>1110</v>
      </c>
      <c r="G244" s="1255" t="s">
        <v>1076</v>
      </c>
      <c r="H244" s="1255" t="s">
        <v>3950</v>
      </c>
      <c r="I244" s="666"/>
      <c r="J244" s="666"/>
      <c r="K244" s="666"/>
      <c r="L244" s="653" t="str">
        <f t="shared" ref="L244:L307" si="176">TEXT(B244,0)</f>
        <v>5706</v>
      </c>
      <c r="M244" s="654" t="str">
        <f t="shared" ref="M244:M307" si="177">+A244</f>
        <v>VW P&amp;A - BR - CLIENT - VEB</v>
      </c>
      <c r="N244" s="655">
        <f>+IF(OR($Q244=Parametres!$G$2,$Q244=Parametres!$G$3),I244,C244)</f>
        <v>386.29</v>
      </c>
      <c r="O244" s="655">
        <f>+IF(OR($Q244=Parametres!$G$2,$Q244=Parametres!$G$3),J244,D244)</f>
        <v>151.80000000000001</v>
      </c>
      <c r="P244" s="655">
        <f>+IF(OR($Q244=Parametres!$G$2,$Q244=Parametres!$G$3),K244,E244)</f>
        <v>538.09</v>
      </c>
      <c r="Q244" s="654" t="str">
        <f t="shared" ref="Q244:Q307" si="178">+F244</f>
        <v>6-Coût des ventes</v>
      </c>
      <c r="R244" s="653" t="str">
        <f t="shared" ref="R244:R307" si="179">+G244</f>
        <v>4706</v>
      </c>
      <c r="S244" s="654" t="str">
        <f t="shared" ref="S244:S307" si="180">+H244</f>
        <v>_</v>
      </c>
      <c r="T244" s="671" t="str">
        <f>+VLOOKUP($L244,Data_Validation!$A:$D,1,0)</f>
        <v>5706</v>
      </c>
      <c r="U244" s="656" t="str">
        <f>+VLOOKUP($L244,Data_Validation!$A:$D,3,0)</f>
        <v>Service</v>
      </c>
      <c r="V244" s="656" t="str">
        <f>+VLOOKUP($L244,Data_Validation!$A:$D,4,0)</f>
        <v>M/O Interne</v>
      </c>
      <c r="W244" s="656" t="str">
        <f>+VLOOKUP($L244,Data_Validation!$A:$E,5,0)</f>
        <v>$</v>
      </c>
      <c r="X244" s="656">
        <f>+VLOOKUP($L244,Data_Validation!$A:$F,6,0)</f>
        <v>0</v>
      </c>
    </row>
    <row r="245" spans="1:24" ht="15" customHeight="1">
      <c r="A245" s="1255" t="s">
        <v>1141</v>
      </c>
      <c r="B245" s="1255" t="s">
        <v>2208</v>
      </c>
      <c r="C245" s="1257">
        <v>9433.61</v>
      </c>
      <c r="D245" s="1257">
        <v>3775.6</v>
      </c>
      <c r="E245" s="1257">
        <v>13209.21</v>
      </c>
      <c r="F245" s="1255" t="s">
        <v>1110</v>
      </c>
      <c r="G245" s="1255" t="s">
        <v>1142</v>
      </c>
      <c r="H245" s="1255" t="s">
        <v>3950</v>
      </c>
      <c r="I245" s="667"/>
      <c r="J245" s="667"/>
      <c r="K245" s="667"/>
      <c r="L245" s="653" t="str">
        <f t="shared" si="176"/>
        <v>5711</v>
      </c>
      <c r="M245" s="654" t="str">
        <f t="shared" si="177"/>
        <v>C/V - AUTRE PIECE/ACC/CARR B.R. CLIENT</v>
      </c>
      <c r="N245" s="655">
        <f>+IF(OR($Q245=Parametres!$G$2,$Q245=Parametres!$G$3),I245,C245)</f>
        <v>9433.61</v>
      </c>
      <c r="O245" s="655">
        <f>+IF(OR($Q245=Parametres!$G$2,$Q245=Parametres!$G$3),J245,D245)</f>
        <v>3775.6</v>
      </c>
      <c r="P245" s="655">
        <f>+IF(OR($Q245=Parametres!$G$2,$Q245=Parametres!$G$3),K245,E245)</f>
        <v>13209.21</v>
      </c>
      <c r="Q245" s="654" t="str">
        <f t="shared" si="178"/>
        <v>6-Coût des ventes</v>
      </c>
      <c r="R245" s="653" t="str">
        <f t="shared" si="179"/>
        <v>4711</v>
      </c>
      <c r="S245" s="654" t="str">
        <f t="shared" si="180"/>
        <v>_</v>
      </c>
      <c r="T245" s="656" t="str">
        <f>+VLOOKUP($L245,Data_Validation!$A:$D,1,0)</f>
        <v>5711</v>
      </c>
      <c r="U245" s="656" t="str">
        <f>+VLOOKUP($L245,Data_Validation!$A:$D,3,0)</f>
        <v>Pièces</v>
      </c>
      <c r="V245" s="656" t="str">
        <f>+VLOOKUP($L245,Data_Validation!$A:$D,4,0)</f>
        <v>Pièces Ro Clients</v>
      </c>
      <c r="W245" s="656" t="str">
        <f>+VLOOKUP($L245,Data_Validation!$A:$E,5,0)</f>
        <v>$</v>
      </c>
      <c r="X245" s="656">
        <f>+VLOOKUP($L245,Data_Validation!$A:$F,6,0)</f>
        <v>0</v>
      </c>
    </row>
    <row r="246" spans="1:24" ht="15" customHeight="1">
      <c r="A246" s="1255" t="s">
        <v>3678</v>
      </c>
      <c r="B246" s="1255" t="s">
        <v>2214</v>
      </c>
      <c r="C246" s="1257">
        <v>1124.9000000000001</v>
      </c>
      <c r="D246" s="1257">
        <v>0</v>
      </c>
      <c r="E246" s="1257">
        <v>1124.9000000000001</v>
      </c>
      <c r="F246" s="1255" t="s">
        <v>1110</v>
      </c>
      <c r="G246" s="1255" t="s">
        <v>1086</v>
      </c>
      <c r="H246" s="1255" t="s">
        <v>3950</v>
      </c>
      <c r="I246" s="666"/>
      <c r="J246" s="666"/>
      <c r="K246" s="666"/>
      <c r="L246" s="653" t="str">
        <f t="shared" si="176"/>
        <v>5731</v>
      </c>
      <c r="M246" s="654" t="str">
        <f t="shared" si="177"/>
        <v>VW-P&amp;A-P&amp;BRO-CLIENT - MCI</v>
      </c>
      <c r="N246" s="655">
        <f>+IF(OR($Q246=Parametres!$G$2,$Q246=Parametres!$G$3),I246,C246)</f>
        <v>1124.9000000000001</v>
      </c>
      <c r="O246" s="655">
        <f>+IF(OR($Q246=Parametres!$G$2,$Q246=Parametres!$G$3),J246,D246)</f>
        <v>0</v>
      </c>
      <c r="P246" s="655">
        <f>+IF(OR($Q246=Parametres!$G$2,$Q246=Parametres!$G$3),K246,E246)</f>
        <v>1124.9000000000001</v>
      </c>
      <c r="Q246" s="654" t="str">
        <f t="shared" si="178"/>
        <v>6-Coût des ventes</v>
      </c>
      <c r="R246" s="653" t="str">
        <f t="shared" si="179"/>
        <v>4731</v>
      </c>
      <c r="S246" s="654" t="str">
        <f t="shared" si="180"/>
        <v>_</v>
      </c>
      <c r="T246" s="656" t="str">
        <f>+VLOOKUP($L246,Data_Validation!$A:$D,1,0)</f>
        <v>5731</v>
      </c>
      <c r="U246" s="656" t="str">
        <f>+VLOOKUP($L246,Data_Validation!$A:$D,3,0)</f>
        <v>Pièces</v>
      </c>
      <c r="V246" s="656" t="str">
        <f>+VLOOKUP($L246,Data_Validation!$A:$D,4,0)</f>
        <v>Pièces Ro Carrosserie</v>
      </c>
      <c r="W246" s="656" t="str">
        <f>+VLOOKUP($L246,Data_Validation!$A:$E,5,0)</f>
        <v>$</v>
      </c>
      <c r="X246" s="656">
        <f>+VLOOKUP($L246,Data_Validation!$A:$F,6,0)</f>
        <v>0</v>
      </c>
    </row>
    <row r="247" spans="1:24" ht="15.75" customHeight="1">
      <c r="A247" s="1255" t="s">
        <v>3679</v>
      </c>
      <c r="B247" s="1255" t="s">
        <v>2217</v>
      </c>
      <c r="C247" s="1257">
        <v>16492.53</v>
      </c>
      <c r="D247" s="1257">
        <v>1061.21</v>
      </c>
      <c r="E247" s="1257">
        <v>17553.740000000002</v>
      </c>
      <c r="F247" s="1255" t="s">
        <v>1110</v>
      </c>
      <c r="G247" s="1255" t="s">
        <v>1090</v>
      </c>
      <c r="H247" s="1255" t="s">
        <v>3950</v>
      </c>
      <c r="I247" s="667"/>
      <c r="J247" s="667"/>
      <c r="K247" s="667"/>
      <c r="L247" s="653" t="str">
        <f t="shared" si="176"/>
        <v>5733</v>
      </c>
      <c r="M247" s="654" t="str">
        <f t="shared" si="177"/>
        <v>VW-P&amp;A-P&amp;BRO-GARANTIE - MCI</v>
      </c>
      <c r="N247" s="655">
        <f>+IF(OR($Q247=Parametres!$G$2,$Q247=Parametres!$G$3),I247,C247)</f>
        <v>16492.53</v>
      </c>
      <c r="O247" s="655">
        <f>+IF(OR($Q247=Parametres!$G$2,$Q247=Parametres!$G$3),J247,D247)</f>
        <v>1061.21</v>
      </c>
      <c r="P247" s="655">
        <f>+IF(OR($Q247=Parametres!$G$2,$Q247=Parametres!$G$3),K247,E247)</f>
        <v>17553.740000000002</v>
      </c>
      <c r="Q247" s="654" t="str">
        <f t="shared" si="178"/>
        <v>6-Coût des ventes</v>
      </c>
      <c r="R247" s="653" t="str">
        <f t="shared" si="179"/>
        <v>4733</v>
      </c>
      <c r="S247" s="654" t="str">
        <f t="shared" si="180"/>
        <v>_</v>
      </c>
      <c r="T247" s="656" t="str">
        <f>+VLOOKUP($L247,Data_Validation!$A:$D,1,0)</f>
        <v>5733</v>
      </c>
      <c r="U247" s="656" t="str">
        <f>+VLOOKUP($L247,Data_Validation!$A:$D,3,0)</f>
        <v>Pièces</v>
      </c>
      <c r="V247" s="656" t="str">
        <f>+VLOOKUP($L247,Data_Validation!$A:$D,4,0)</f>
        <v>Pièces Ro Carrosserie</v>
      </c>
      <c r="W247" s="656" t="str">
        <f>+VLOOKUP($L247,Data_Validation!$A:$E,5,0)</f>
        <v>$</v>
      </c>
      <c r="X247" s="656">
        <f>+VLOOKUP($L247,Data_Validation!$A:$F,6,0)</f>
        <v>0</v>
      </c>
    </row>
    <row r="248" spans="1:24" ht="15" customHeight="1">
      <c r="A248" s="1255" t="s">
        <v>3680</v>
      </c>
      <c r="B248" s="1255" t="s">
        <v>2220</v>
      </c>
      <c r="C248" s="1257">
        <v>391.85</v>
      </c>
      <c r="D248" s="1257">
        <v>0</v>
      </c>
      <c r="E248" s="1257">
        <v>391.85</v>
      </c>
      <c r="F248" s="1255" t="s">
        <v>1110</v>
      </c>
      <c r="G248" s="1255" t="s">
        <v>1094</v>
      </c>
      <c r="H248" s="1255" t="s">
        <v>3950</v>
      </c>
      <c r="I248" s="666"/>
      <c r="J248" s="666"/>
      <c r="K248" s="666"/>
      <c r="L248" s="653" t="str">
        <f t="shared" si="176"/>
        <v>5735</v>
      </c>
      <c r="M248" s="654" t="str">
        <f t="shared" si="177"/>
        <v>VW-P&amp;A-P&amp;BRO-INTERNE - MCI</v>
      </c>
      <c r="N248" s="655">
        <f>+IF(OR($Q248=Parametres!$G$2,$Q248=Parametres!$G$3),I248,C248)</f>
        <v>391.85</v>
      </c>
      <c r="O248" s="655">
        <f>+IF(OR($Q248=Parametres!$G$2,$Q248=Parametres!$G$3),J248,D248)</f>
        <v>0</v>
      </c>
      <c r="P248" s="655">
        <f>+IF(OR($Q248=Parametres!$G$2,$Q248=Parametres!$G$3),K248,E248)</f>
        <v>391.85</v>
      </c>
      <c r="Q248" s="654" t="str">
        <f t="shared" si="178"/>
        <v>6-Coût des ventes</v>
      </c>
      <c r="R248" s="653" t="str">
        <f t="shared" si="179"/>
        <v>4735</v>
      </c>
      <c r="S248" s="654" t="str">
        <f t="shared" si="180"/>
        <v>_</v>
      </c>
      <c r="T248" s="656" t="str">
        <f>+VLOOKUP($L248,Data_Validation!$A:$D,1,0)</f>
        <v>5735</v>
      </c>
      <c r="U248" s="656" t="str">
        <f>+VLOOKUP($L248,Data_Validation!$A:$D,3,0)</f>
        <v>Pièces</v>
      </c>
      <c r="V248" s="656" t="str">
        <f>+VLOOKUP($L248,Data_Validation!$A:$D,4,0)</f>
        <v>Pièces Ro Carrosserie</v>
      </c>
      <c r="W248" s="656" t="str">
        <f>+VLOOKUP($L248,Data_Validation!$A:$E,5,0)</f>
        <v>$</v>
      </c>
      <c r="X248" s="656">
        <f>+VLOOKUP($L248,Data_Validation!$A:$F,6,0)</f>
        <v>0</v>
      </c>
    </row>
    <row r="249" spans="1:24" ht="15" customHeight="1">
      <c r="A249" s="1255" t="s">
        <v>1147</v>
      </c>
      <c r="B249" s="1255" t="s">
        <v>2223</v>
      </c>
      <c r="C249" s="1257">
        <v>44092.86</v>
      </c>
      <c r="D249" s="1257">
        <v>16960.240000000002</v>
      </c>
      <c r="E249" s="1257">
        <v>61053.1</v>
      </c>
      <c r="F249" s="1255" t="s">
        <v>1110</v>
      </c>
      <c r="G249" s="1255" t="s">
        <v>1098</v>
      </c>
      <c r="H249" s="1255" t="s">
        <v>3950</v>
      </c>
      <c r="I249" s="667"/>
      <c r="J249" s="667"/>
      <c r="K249" s="667"/>
      <c r="L249" s="653" t="str">
        <f t="shared" si="176"/>
        <v>5761</v>
      </c>
      <c r="M249" s="654" t="str">
        <f t="shared" si="177"/>
        <v>C/V - P&amp;A VW COMPTOIR - DETAIL</v>
      </c>
      <c r="N249" s="655">
        <f>+IF(OR($Q249=Parametres!$G$2,$Q249=Parametres!$G$3),I249,C249)</f>
        <v>44092.86</v>
      </c>
      <c r="O249" s="655">
        <f>+IF(OR($Q249=Parametres!$G$2,$Q249=Parametres!$G$3),J249,D249)</f>
        <v>16960.240000000002</v>
      </c>
      <c r="P249" s="655">
        <f>+IF(OR($Q249=Parametres!$G$2,$Q249=Parametres!$G$3),K249,E249)</f>
        <v>61053.1</v>
      </c>
      <c r="Q249" s="654" t="str">
        <f t="shared" si="178"/>
        <v>6-Coût des ventes</v>
      </c>
      <c r="R249" s="653" t="str">
        <f t="shared" si="179"/>
        <v>4761</v>
      </c>
      <c r="S249" s="654" t="str">
        <f t="shared" si="180"/>
        <v>_</v>
      </c>
      <c r="T249" s="656" t="str">
        <f>+VLOOKUP($L249,Data_Validation!$A:$D,1,0)</f>
        <v>5761</v>
      </c>
      <c r="U249" s="656" t="str">
        <f>+VLOOKUP($L249,Data_Validation!$A:$D,3,0)</f>
        <v>Pièces</v>
      </c>
      <c r="V249" s="656" t="str">
        <f>+VLOOKUP($L249,Data_Validation!$A:$D,4,0)</f>
        <v>Ventes Détails</v>
      </c>
      <c r="W249" s="656" t="str">
        <f>+VLOOKUP($L249,Data_Validation!$A:$E,5,0)</f>
        <v>$</v>
      </c>
      <c r="X249" s="656">
        <f>+VLOOKUP($L249,Data_Validation!$A:$F,6,0)</f>
        <v>0</v>
      </c>
    </row>
    <row r="250" spans="1:24" ht="15" customHeight="1">
      <c r="A250" s="1255" t="s">
        <v>1148</v>
      </c>
      <c r="B250" s="1255" t="s">
        <v>2226</v>
      </c>
      <c r="C250" s="1257">
        <v>666959.13</v>
      </c>
      <c r="D250" s="1257">
        <v>162521.93</v>
      </c>
      <c r="E250" s="1257">
        <v>829481.06</v>
      </c>
      <c r="F250" s="1255" t="s">
        <v>1110</v>
      </c>
      <c r="G250" s="1255" t="s">
        <v>1102</v>
      </c>
      <c r="H250" s="1255" t="s">
        <v>3950</v>
      </c>
      <c r="I250" s="666"/>
      <c r="J250" s="666"/>
      <c r="K250" s="666"/>
      <c r="L250" s="653" t="str">
        <f t="shared" si="176"/>
        <v>5763</v>
      </c>
      <c r="M250" s="654" t="str">
        <f t="shared" si="177"/>
        <v>C/V - P&amp;A VW COMPTOIR GROS - ECHANGE</v>
      </c>
      <c r="N250" s="655">
        <f>+IF(OR($Q250=Parametres!$G$2,$Q250=Parametres!$G$3),I250,C250)</f>
        <v>666959.13</v>
      </c>
      <c r="O250" s="655">
        <f>+IF(OR($Q250=Parametres!$G$2,$Q250=Parametres!$G$3),J250,D250)</f>
        <v>162521.93</v>
      </c>
      <c r="P250" s="655">
        <f>+IF(OR($Q250=Parametres!$G$2,$Q250=Parametres!$G$3),K250,E250)</f>
        <v>829481.06</v>
      </c>
      <c r="Q250" s="654" t="str">
        <f t="shared" si="178"/>
        <v>6-Coût des ventes</v>
      </c>
      <c r="R250" s="653" t="str">
        <f t="shared" si="179"/>
        <v>4763</v>
      </c>
      <c r="S250" s="654" t="str">
        <f t="shared" si="180"/>
        <v>_</v>
      </c>
      <c r="T250" s="656" t="str">
        <f>+VLOOKUP($L250,Data_Validation!$A:$D,1,0)</f>
        <v>5763</v>
      </c>
      <c r="U250" s="656" t="str">
        <f>+VLOOKUP($L250,Data_Validation!$A:$D,3,0)</f>
        <v>Pièces</v>
      </c>
      <c r="V250" s="656" t="str">
        <f>+VLOOKUP($L250,Data_Validation!$A:$D,4,0)</f>
        <v>Ventes de Gros</v>
      </c>
      <c r="W250" s="656" t="str">
        <f>+VLOOKUP($L250,Data_Validation!$A:$E,5,0)</f>
        <v>$</v>
      </c>
      <c r="X250" s="656">
        <f>+VLOOKUP($L250,Data_Validation!$A:$F,6,0)</f>
        <v>0</v>
      </c>
    </row>
    <row r="251" spans="1:24" ht="15" customHeight="1">
      <c r="A251" s="1255" t="s">
        <v>3683</v>
      </c>
      <c r="B251" s="1255" t="s">
        <v>3684</v>
      </c>
      <c r="C251" s="1257">
        <v>24582.73</v>
      </c>
      <c r="D251" s="1257">
        <v>7649.26</v>
      </c>
      <c r="E251" s="1257">
        <v>32231.99</v>
      </c>
      <c r="F251" s="1255" t="s">
        <v>1110</v>
      </c>
      <c r="G251" s="1255" t="s">
        <v>3685</v>
      </c>
      <c r="H251" s="1255" t="s">
        <v>3950</v>
      </c>
      <c r="I251" s="652"/>
      <c r="J251" s="652"/>
      <c r="K251" s="652"/>
      <c r="L251" s="653" t="str">
        <f t="shared" si="176"/>
        <v>5773</v>
      </c>
      <c r="M251" s="654" t="str">
        <f t="shared" si="177"/>
        <v>C/V - P&amp;A - COMPTOIR - ENGROS - AUDI</v>
      </c>
      <c r="N251" s="655">
        <f>+IF(OR($Q251=Parametres!$G$2,$Q251=Parametres!$G$3),I251,C251)</f>
        <v>24582.73</v>
      </c>
      <c r="O251" s="655">
        <f>+IF(OR($Q251=Parametres!$G$2,$Q251=Parametres!$G$3),J251,D251)</f>
        <v>7649.26</v>
      </c>
      <c r="P251" s="655">
        <f>+IF(OR($Q251=Parametres!$G$2,$Q251=Parametres!$G$3),K251,E251)</f>
        <v>32231.99</v>
      </c>
      <c r="Q251" s="654" t="str">
        <f t="shared" si="178"/>
        <v>6-Coût des ventes</v>
      </c>
      <c r="R251" s="653" t="str">
        <f t="shared" si="179"/>
        <v>4773</v>
      </c>
      <c r="S251" s="654" t="str">
        <f t="shared" si="180"/>
        <v>_</v>
      </c>
      <c r="T251" s="656" t="str">
        <f>+VLOOKUP($L251,Data_Validation!$A:$D,1,0)</f>
        <v>5773</v>
      </c>
      <c r="U251" s="656" t="str">
        <f>+VLOOKUP($L251,Data_Validation!$A:$D,3,0)</f>
        <v>Pièces</v>
      </c>
      <c r="V251" s="656" t="str">
        <f>+VLOOKUP($L251,Data_Validation!$A:$D,4,0)</f>
        <v>Ventes de Gros</v>
      </c>
      <c r="W251" s="656" t="str">
        <f>+VLOOKUP($L251,Data_Validation!$A:$E,5,0)</f>
        <v>$</v>
      </c>
      <c r="X251" s="656">
        <f>+VLOOKUP($L251,Data_Validation!$A:$F,6,0)</f>
        <v>0</v>
      </c>
    </row>
    <row r="252" spans="1:24" ht="15.75" customHeight="1">
      <c r="A252" s="1255" t="s">
        <v>1149</v>
      </c>
      <c r="B252" s="1255" t="s">
        <v>2229</v>
      </c>
      <c r="C252" s="1257">
        <v>143883.20000000001</v>
      </c>
      <c r="D252" s="1257">
        <v>33275.49</v>
      </c>
      <c r="E252" s="1257">
        <v>177158.69</v>
      </c>
      <c r="F252" s="1255" t="s">
        <v>1110</v>
      </c>
      <c r="G252" s="1255" t="s">
        <v>1106</v>
      </c>
      <c r="H252" s="1255" t="s">
        <v>3950</v>
      </c>
      <c r="I252" s="670"/>
      <c r="J252" s="651"/>
      <c r="K252" s="670"/>
      <c r="L252" s="653" t="str">
        <f t="shared" si="176"/>
        <v>5781</v>
      </c>
      <c r="M252" s="654" t="str">
        <f t="shared" si="177"/>
        <v>COUT PNEUS</v>
      </c>
      <c r="N252" s="655">
        <f>+IF(OR($Q252=Parametres!$G$2,$Q252=Parametres!$G$3),I252,C252)</f>
        <v>143883.20000000001</v>
      </c>
      <c r="O252" s="655">
        <f>+IF(OR($Q252=Parametres!$G$2,$Q252=Parametres!$G$3),J252,D252)</f>
        <v>33275.49</v>
      </c>
      <c r="P252" s="655">
        <f>+IF(OR($Q252=Parametres!$G$2,$Q252=Parametres!$G$3),K252,E252)</f>
        <v>177158.69</v>
      </c>
      <c r="Q252" s="654" t="str">
        <f t="shared" si="178"/>
        <v>6-Coût des ventes</v>
      </c>
      <c r="R252" s="653" t="str">
        <f t="shared" si="179"/>
        <v>4781</v>
      </c>
      <c r="S252" s="654" t="str">
        <f t="shared" si="180"/>
        <v>_</v>
      </c>
      <c r="T252" s="656" t="str">
        <f>+VLOOKUP($L252,Data_Validation!$A:$D,1,0)</f>
        <v>5781</v>
      </c>
      <c r="U252" s="656" t="str">
        <f>+VLOOKUP($L252,Data_Validation!$A:$D,3,0)</f>
        <v>Pièces</v>
      </c>
      <c r="V252" s="656" t="str">
        <f>+VLOOKUP($L252,Data_Validation!$A:$D,4,0)</f>
        <v>Ventes Pneus</v>
      </c>
      <c r="W252" s="656" t="str">
        <f>+VLOOKUP($L252,Data_Validation!$A:$E,5,0)</f>
        <v>$</v>
      </c>
      <c r="X252" s="656">
        <f>+VLOOKUP($L252,Data_Validation!$A:$F,6,0)</f>
        <v>0</v>
      </c>
    </row>
    <row r="253" spans="1:24" ht="15" customHeight="1">
      <c r="A253" s="1255" t="s">
        <v>1150</v>
      </c>
      <c r="B253" s="1255" t="s">
        <v>2232</v>
      </c>
      <c r="C253" s="1257">
        <v>2263.56</v>
      </c>
      <c r="D253" s="1257">
        <v>933.04</v>
      </c>
      <c r="E253" s="1257">
        <v>3196.6</v>
      </c>
      <c r="F253" s="1255" t="s">
        <v>1110</v>
      </c>
      <c r="G253" s="1255" t="s">
        <v>1106</v>
      </c>
      <c r="H253" s="1255" t="s">
        <v>3950</v>
      </c>
      <c r="I253" s="652"/>
      <c r="J253" s="652"/>
      <c r="K253" s="652"/>
      <c r="L253" s="653" t="str">
        <f t="shared" si="176"/>
        <v>5785</v>
      </c>
      <c r="M253" s="654" t="str">
        <f t="shared" si="177"/>
        <v>C/V - VW PNEUS</v>
      </c>
      <c r="N253" s="655">
        <f>+IF(OR($Q253=Parametres!$G$2,$Q253=Parametres!$G$3),I253,C253)</f>
        <v>2263.56</v>
      </c>
      <c r="O253" s="655">
        <f>+IF(OR($Q253=Parametres!$G$2,$Q253=Parametres!$G$3),J253,D253)</f>
        <v>933.04</v>
      </c>
      <c r="P253" s="655">
        <f>+IF(OR($Q253=Parametres!$G$2,$Q253=Parametres!$G$3),K253,E253)</f>
        <v>3196.6</v>
      </c>
      <c r="Q253" s="654" t="str">
        <f t="shared" si="178"/>
        <v>6-Coût des ventes</v>
      </c>
      <c r="R253" s="653" t="str">
        <f t="shared" si="179"/>
        <v>4781</v>
      </c>
      <c r="S253" s="654" t="str">
        <f t="shared" si="180"/>
        <v>_</v>
      </c>
      <c r="T253" s="656" t="str">
        <f>+VLOOKUP($L253,Data_Validation!$A:$D,1,0)</f>
        <v>5785</v>
      </c>
      <c r="U253" s="656" t="str">
        <f>+VLOOKUP($L253,Data_Validation!$A:$D,3,0)</f>
        <v>Pièces</v>
      </c>
      <c r="V253" s="656" t="str">
        <f>+VLOOKUP($L253,Data_Validation!$A:$D,4,0)</f>
        <v>Ventes Pneus</v>
      </c>
      <c r="W253" s="656" t="str">
        <f>+VLOOKUP($L253,Data_Validation!$A:$E,5,0)</f>
        <v>$</v>
      </c>
      <c r="X253" s="656">
        <f>+VLOOKUP($L253,Data_Validation!$A:$F,6,0)</f>
        <v>0</v>
      </c>
    </row>
    <row r="254" spans="1:24" ht="15" customHeight="1">
      <c r="A254" s="1255" t="s">
        <v>1151</v>
      </c>
      <c r="B254" s="1255" t="s">
        <v>2237</v>
      </c>
      <c r="C254" s="1257">
        <v>13634.05</v>
      </c>
      <c r="D254" s="1257">
        <v>4000.08</v>
      </c>
      <c r="E254" s="1257">
        <v>17634.13</v>
      </c>
      <c r="F254" s="1255" t="s">
        <v>1110</v>
      </c>
      <c r="G254" s="1255" t="s">
        <v>1152</v>
      </c>
      <c r="H254" s="1255" t="s">
        <v>3950</v>
      </c>
      <c r="I254" s="670"/>
      <c r="J254" s="651"/>
      <c r="K254" s="670"/>
      <c r="L254" s="653" t="str">
        <f t="shared" si="176"/>
        <v>5796</v>
      </c>
      <c r="M254" s="654" t="str">
        <f t="shared" si="177"/>
        <v>C/V - BONI / ESCPTE PI VW</v>
      </c>
      <c r="N254" s="655">
        <f>+IF(OR($Q254=Parametres!$G$2,$Q254=Parametres!$G$3),I254,C254)</f>
        <v>13634.05</v>
      </c>
      <c r="O254" s="655">
        <f>+IF(OR($Q254=Parametres!$G$2,$Q254=Parametres!$G$3),J254,D254)</f>
        <v>4000.08</v>
      </c>
      <c r="P254" s="655">
        <f>+IF(OR($Q254=Parametres!$G$2,$Q254=Parametres!$G$3),K254,E254)</f>
        <v>17634.13</v>
      </c>
      <c r="Q254" s="654" t="str">
        <f t="shared" si="178"/>
        <v>6-Coût des ventes</v>
      </c>
      <c r="R254" s="653" t="str">
        <f t="shared" si="179"/>
        <v>5792</v>
      </c>
      <c r="S254" s="654" t="str">
        <f t="shared" si="180"/>
        <v>_</v>
      </c>
      <c r="T254" s="656" t="str">
        <f>+VLOOKUP($L254,Data_Validation!$A:$D,1,0)</f>
        <v>5796</v>
      </c>
      <c r="U254" s="656" t="str">
        <f>+VLOOKUP($L254,Data_Validation!$A:$D,3,0)</f>
        <v>Pièces</v>
      </c>
      <c r="V254" s="656" t="str">
        <f>+VLOOKUP($L254,Data_Validation!$A:$D,4,0)</f>
        <v>Escomptes</v>
      </c>
      <c r="W254" s="656" t="str">
        <f>+VLOOKUP($L254,Data_Validation!$A:$E,5,0)</f>
        <v>$</v>
      </c>
      <c r="X254" s="656">
        <f>+VLOOKUP($L254,Data_Validation!$A:$F,6,0)</f>
        <v>0</v>
      </c>
    </row>
    <row r="255" spans="1:24" ht="15" customHeight="1">
      <c r="A255" s="1255" t="s">
        <v>1153</v>
      </c>
      <c r="B255" s="1255" t="s">
        <v>1155</v>
      </c>
      <c r="C255" s="1257">
        <v>142258.41</v>
      </c>
      <c r="D255" s="1257">
        <v>39055.040000000001</v>
      </c>
      <c r="E255" s="1257">
        <v>181313.45</v>
      </c>
      <c r="F255" s="1255" t="s">
        <v>1154</v>
      </c>
      <c r="G255" s="1255" t="s">
        <v>1155</v>
      </c>
      <c r="H255" s="1255" t="s">
        <v>3950</v>
      </c>
      <c r="I255" s="652"/>
      <c r="J255" s="652"/>
      <c r="K255" s="652"/>
      <c r="L255" s="653" t="str">
        <f t="shared" si="176"/>
        <v>6101</v>
      </c>
      <c r="M255" s="654" t="str">
        <f t="shared" si="177"/>
        <v>COMMISSION VENDEUR NEUFS</v>
      </c>
      <c r="N255" s="655">
        <f>+IF(OR($Q255=Parametres!$G$2,$Q255=Parametres!$G$3),I255,C255)</f>
        <v>142258.41</v>
      </c>
      <c r="O255" s="655">
        <f>+IF(OR($Q255=Parametres!$G$2,$Q255=Parametres!$G$3),J255,D255)</f>
        <v>39055.040000000001</v>
      </c>
      <c r="P255" s="655">
        <f>+IF(OR($Q255=Parametres!$G$2,$Q255=Parametres!$G$3),K255,E255)</f>
        <v>181313.45</v>
      </c>
      <c r="Q255" s="654" t="str">
        <f t="shared" si="178"/>
        <v>7-Dépenses</v>
      </c>
      <c r="R255" s="653" t="str">
        <f t="shared" si="179"/>
        <v>6101</v>
      </c>
      <c r="S255" s="654" t="str">
        <f t="shared" si="180"/>
        <v>_</v>
      </c>
      <c r="T255" s="656" t="str">
        <f>+VLOOKUP($L255,Data_Validation!$A:$D,1,0)</f>
        <v>6101</v>
      </c>
      <c r="U255" s="656" t="str">
        <f>+VLOOKUP($L255,Data_Validation!$A:$D,3,0)</f>
        <v>Véhicules neufs</v>
      </c>
      <c r="V255" s="656" t="str">
        <f>+VLOOKUP($L255,Data_Validation!$A:$D,4,0)</f>
        <v>Comm. vendeurs</v>
      </c>
      <c r="W255" s="656" t="str">
        <f>+VLOOKUP($L255,Data_Validation!$A:$E,5,0)</f>
        <v>$</v>
      </c>
      <c r="X255" s="656">
        <f>+VLOOKUP($L255,Data_Validation!$A:$F,6,0)</f>
        <v>0</v>
      </c>
    </row>
    <row r="256" spans="1:24" ht="15.75" customHeight="1">
      <c r="A256" s="1255" t="s">
        <v>1156</v>
      </c>
      <c r="B256" s="1255" t="s">
        <v>1157</v>
      </c>
      <c r="C256" s="1257">
        <v>46968.77</v>
      </c>
      <c r="D256" s="1257">
        <v>18915.45</v>
      </c>
      <c r="E256" s="1257">
        <v>65884.22</v>
      </c>
      <c r="F256" s="1255" t="s">
        <v>1154</v>
      </c>
      <c r="G256" s="1255" t="s">
        <v>1157</v>
      </c>
      <c r="H256" s="1255" t="s">
        <v>3950</v>
      </c>
      <c r="I256" s="670"/>
      <c r="J256" s="651"/>
      <c r="K256" s="670"/>
      <c r="L256" s="653" t="str">
        <f t="shared" si="176"/>
        <v>6102</v>
      </c>
      <c r="M256" s="654" t="str">
        <f t="shared" si="177"/>
        <v>RENUMERATION F &amp; I</v>
      </c>
      <c r="N256" s="655">
        <f>+IF(OR($Q256=Parametres!$G$2,$Q256=Parametres!$G$3),I256,C256)</f>
        <v>46968.77</v>
      </c>
      <c r="O256" s="655">
        <f>+IF(OR($Q256=Parametres!$G$2,$Q256=Parametres!$G$3),J256,D256)</f>
        <v>18915.45</v>
      </c>
      <c r="P256" s="655">
        <f>+IF(OR($Q256=Parametres!$G$2,$Q256=Parametres!$G$3),K256,E256)</f>
        <v>65884.22</v>
      </c>
      <c r="Q256" s="654" t="str">
        <f t="shared" si="178"/>
        <v>7-Dépenses</v>
      </c>
      <c r="R256" s="653" t="str">
        <f t="shared" si="179"/>
        <v>6102</v>
      </c>
      <c r="S256" s="654" t="str">
        <f t="shared" si="180"/>
        <v>_</v>
      </c>
      <c r="T256" s="656" t="str">
        <f>+VLOOKUP($L256,Data_Validation!$A:$D,1,0)</f>
        <v>6102</v>
      </c>
      <c r="U256" s="656" t="str">
        <f>+VLOOKUP($L256,Data_Validation!$A:$D,3,0)</f>
        <v>Véhicules neufs</v>
      </c>
      <c r="V256" s="656" t="str">
        <f>+VLOOKUP($L256,Data_Validation!$A:$D,4,0)</f>
        <v>Comm. F&amp;I</v>
      </c>
      <c r="W256" s="656" t="str">
        <f>+VLOOKUP($L256,Data_Validation!$A:$E,5,0)</f>
        <v>$</v>
      </c>
      <c r="X256" s="656">
        <f>+VLOOKUP($L256,Data_Validation!$A:$F,6,0)</f>
        <v>0</v>
      </c>
    </row>
    <row r="257" spans="1:24" ht="15" customHeight="1">
      <c r="A257" s="1255" t="s">
        <v>1158</v>
      </c>
      <c r="B257" s="1255" t="s">
        <v>1159</v>
      </c>
      <c r="C257" s="1257">
        <v>1975.08</v>
      </c>
      <c r="D257" s="1257">
        <v>3.78</v>
      </c>
      <c r="E257" s="1257">
        <v>1978.86</v>
      </c>
      <c r="F257" s="1255" t="s">
        <v>1154</v>
      </c>
      <c r="G257" s="1255" t="s">
        <v>1159</v>
      </c>
      <c r="H257" s="1255" t="s">
        <v>3950</v>
      </c>
      <c r="I257" s="670"/>
      <c r="J257" s="651"/>
      <c r="K257" s="670"/>
      <c r="L257" s="653" t="str">
        <f t="shared" si="176"/>
        <v>6103</v>
      </c>
      <c r="M257" s="654" t="str">
        <f t="shared" si="177"/>
        <v>RELAT. A LA CLIENTELE &amp; AJUST.</v>
      </c>
      <c r="N257" s="655">
        <f>+IF(OR($Q257=Parametres!$G$2,$Q257=Parametres!$G$3),I257,C257)</f>
        <v>1975.08</v>
      </c>
      <c r="O257" s="655">
        <f>+IF(OR($Q257=Parametres!$G$2,$Q257=Parametres!$G$3),J257,D257)</f>
        <v>3.78</v>
      </c>
      <c r="P257" s="655">
        <f>+IF(OR($Q257=Parametres!$G$2,$Q257=Parametres!$G$3),K257,E257)</f>
        <v>1978.86</v>
      </c>
      <c r="Q257" s="654" t="str">
        <f t="shared" si="178"/>
        <v>7-Dépenses</v>
      </c>
      <c r="R257" s="653" t="str">
        <f t="shared" si="179"/>
        <v>6103</v>
      </c>
      <c r="S257" s="654" t="str">
        <f t="shared" si="180"/>
        <v>_</v>
      </c>
      <c r="T257" s="656" t="str">
        <f>+VLOOKUP($L257,Data_Validation!$A:$D,1,0)</f>
        <v>6103</v>
      </c>
      <c r="U257" s="656" t="str">
        <f>+VLOOKUP($L257,Data_Validation!$A:$D,3,0)</f>
        <v>Véhicules neufs</v>
      </c>
      <c r="V257" s="656" t="str">
        <f>+VLOOKUP($L257,Data_Validation!$A:$D,4,0)</f>
        <v>Service gratuit 1</v>
      </c>
      <c r="W257" s="656" t="str">
        <f>+VLOOKUP($L257,Data_Validation!$A:$E,5,0)</f>
        <v>$</v>
      </c>
      <c r="X257" s="656">
        <f>+VLOOKUP($L257,Data_Validation!$A:$F,6,0)</f>
        <v>0</v>
      </c>
    </row>
    <row r="258" spans="1:24" ht="15" customHeight="1">
      <c r="A258" s="1255" t="s">
        <v>1160</v>
      </c>
      <c r="B258" s="1255" t="s">
        <v>1161</v>
      </c>
      <c r="C258" s="1257">
        <v>28639.57</v>
      </c>
      <c r="D258" s="1257">
        <v>9572.89</v>
      </c>
      <c r="E258" s="1257">
        <v>38212.46</v>
      </c>
      <c r="F258" s="1255" t="s">
        <v>1154</v>
      </c>
      <c r="G258" s="1255" t="s">
        <v>1161</v>
      </c>
      <c r="H258" s="1255" t="s">
        <v>3950</v>
      </c>
      <c r="I258" s="670"/>
      <c r="J258" s="651"/>
      <c r="K258" s="670"/>
      <c r="L258" s="653" t="str">
        <f t="shared" si="176"/>
        <v>6106</v>
      </c>
      <c r="M258" s="654" t="str">
        <f t="shared" si="177"/>
        <v>ENTRETIEN DES STOCKS</v>
      </c>
      <c r="N258" s="655">
        <f>+IF(OR($Q258=Parametres!$G$2,$Q258=Parametres!$G$3),I258,C258)</f>
        <v>28639.57</v>
      </c>
      <c r="O258" s="655">
        <f>+IF(OR($Q258=Parametres!$G$2,$Q258=Parametres!$G$3),J258,D258)</f>
        <v>9572.89</v>
      </c>
      <c r="P258" s="655">
        <f>+IF(OR($Q258=Parametres!$G$2,$Q258=Parametres!$G$3),K258,E258)</f>
        <v>38212.46</v>
      </c>
      <c r="Q258" s="654" t="str">
        <f t="shared" si="178"/>
        <v>7-Dépenses</v>
      </c>
      <c r="R258" s="653" t="str">
        <f t="shared" si="179"/>
        <v>6106</v>
      </c>
      <c r="S258" s="654" t="str">
        <f t="shared" si="180"/>
        <v>_</v>
      </c>
      <c r="T258" s="656" t="str">
        <f>+VLOOKUP($L258,Data_Validation!$A:$D,1,0)</f>
        <v>6106</v>
      </c>
      <c r="U258" s="656" t="str">
        <f>+VLOOKUP($L258,Data_Validation!$A:$D,3,0)</f>
        <v>Véhicules neufs</v>
      </c>
      <c r="V258" s="656" t="str">
        <f>+VLOOKUP($L258,Data_Validation!$A:$D,4,0)</f>
        <v>Entretien stock</v>
      </c>
      <c r="W258" s="656" t="str">
        <f>+VLOOKUP($L258,Data_Validation!$A:$E,5,0)</f>
        <v>$</v>
      </c>
      <c r="X258" s="656">
        <f>+VLOOKUP($L258,Data_Validation!$A:$F,6,0)</f>
        <v>0</v>
      </c>
    </row>
    <row r="259" spans="1:24" ht="15" customHeight="1">
      <c r="A259" s="1255" t="s">
        <v>1162</v>
      </c>
      <c r="B259" s="1255" t="s">
        <v>1163</v>
      </c>
      <c r="C259" s="1257">
        <v>34692.92</v>
      </c>
      <c r="D259" s="1257">
        <v>12951.22</v>
      </c>
      <c r="E259" s="1257">
        <v>47644.14</v>
      </c>
      <c r="F259" s="1255" t="s">
        <v>1154</v>
      </c>
      <c r="G259" s="1255" t="s">
        <v>1163</v>
      </c>
      <c r="H259" s="1255" t="s">
        <v>3950</v>
      </c>
      <c r="I259" s="670"/>
      <c r="J259" s="651"/>
      <c r="K259" s="670"/>
      <c r="L259" s="653" t="str">
        <f t="shared" si="176"/>
        <v>6107</v>
      </c>
      <c r="M259" s="654" t="str">
        <f t="shared" si="177"/>
        <v>INTERET-PLAN DE FINANCEMENT</v>
      </c>
      <c r="N259" s="655">
        <f>+IF(OR($Q259=Parametres!$G$2,$Q259=Parametres!$G$3),I259,C259)</f>
        <v>34692.92</v>
      </c>
      <c r="O259" s="659">
        <f>+IF(OR($Q259=Parametres!$G$2,$Q259=Parametres!$G$3),J259,D259)</f>
        <v>12951.22</v>
      </c>
      <c r="P259" s="655">
        <f>+IF(OR($Q259=Parametres!$G$2,$Q259=Parametres!$G$3),K259,E259)</f>
        <v>47644.14</v>
      </c>
      <c r="Q259" s="654" t="str">
        <f t="shared" si="178"/>
        <v>7-Dépenses</v>
      </c>
      <c r="R259" s="653" t="str">
        <f t="shared" si="179"/>
        <v>6107</v>
      </c>
      <c r="S259" s="654" t="str">
        <f t="shared" si="180"/>
        <v>_</v>
      </c>
      <c r="T259" s="656" t="str">
        <f>+VLOOKUP($L259,Data_Validation!$A:$D,1,0)</f>
        <v>6107</v>
      </c>
      <c r="U259" s="656" t="str">
        <f>+VLOOKUP($L259,Data_Validation!$A:$D,3,0)</f>
        <v>Véhicules neufs</v>
      </c>
      <c r="V259" s="656" t="str">
        <f>+VLOOKUP($L259,Data_Validation!$A:$D,4,0)</f>
        <v>Intérêt de gros</v>
      </c>
      <c r="W259" s="656" t="str">
        <f>+VLOOKUP($L259,Data_Validation!$A:$E,5,0)</f>
        <v>$</v>
      </c>
      <c r="X259" s="656">
        <f>+VLOOKUP($L259,Data_Validation!$A:$F,6,0)</f>
        <v>0</v>
      </c>
    </row>
    <row r="260" spans="1:24" ht="15" customHeight="1">
      <c r="A260" s="1255" t="s">
        <v>1164</v>
      </c>
      <c r="B260" s="1255" t="s">
        <v>1165</v>
      </c>
      <c r="C260" s="1257">
        <v>19154.080000000002</v>
      </c>
      <c r="D260" s="1257">
        <v>7894.18</v>
      </c>
      <c r="E260" s="1257">
        <v>27048.26</v>
      </c>
      <c r="F260" s="1255" t="s">
        <v>1154</v>
      </c>
      <c r="G260" s="1255" t="s">
        <v>1165</v>
      </c>
      <c r="H260" s="1255" t="s">
        <v>3950</v>
      </c>
      <c r="I260" s="670"/>
      <c r="J260" s="651"/>
      <c r="K260" s="670"/>
      <c r="L260" s="653" t="str">
        <f t="shared" si="176"/>
        <v>6108</v>
      </c>
      <c r="M260" s="654" t="str">
        <f t="shared" si="177"/>
        <v>FRAIS DE LIVRAISON</v>
      </c>
      <c r="N260" s="655">
        <f>+IF(OR($Q260=Parametres!$G$2,$Q260=Parametres!$G$3),I260,C260)</f>
        <v>19154.080000000002</v>
      </c>
      <c r="O260" s="655">
        <f>+IF(OR($Q260=Parametres!$G$2,$Q260=Parametres!$G$3),J260,D260)</f>
        <v>7894.18</v>
      </c>
      <c r="P260" s="655">
        <f>+IF(OR($Q260=Parametres!$G$2,$Q260=Parametres!$G$3),K260,E260)</f>
        <v>27048.26</v>
      </c>
      <c r="Q260" s="654" t="str">
        <f t="shared" si="178"/>
        <v>7-Dépenses</v>
      </c>
      <c r="R260" s="653" t="str">
        <f t="shared" si="179"/>
        <v>6108</v>
      </c>
      <c r="S260" s="654" t="str">
        <f t="shared" si="180"/>
        <v>_</v>
      </c>
      <c r="T260" s="656" t="str">
        <f>+VLOOKUP($L260,Data_Validation!$A:$D,1,0)</f>
        <v>6108</v>
      </c>
      <c r="U260" s="656" t="str">
        <f>+VLOOKUP($L260,Data_Validation!$A:$D,3,0)</f>
        <v>Véhicules neufs</v>
      </c>
      <c r="V260" s="656" t="str">
        <f>+VLOOKUP($L260,Data_Validation!$A:$D,4,0)</f>
        <v>Frais de livraison</v>
      </c>
      <c r="W260" s="656" t="str">
        <f>+VLOOKUP($L260,Data_Validation!$A:$E,5,0)</f>
        <v>$</v>
      </c>
      <c r="X260" s="656">
        <f>+VLOOKUP($L260,Data_Validation!$A:$F,6,0)</f>
        <v>0</v>
      </c>
    </row>
    <row r="261" spans="1:24" ht="15" customHeight="1">
      <c r="A261" s="1255" t="s">
        <v>1166</v>
      </c>
      <c r="B261" s="1255" t="s">
        <v>1167</v>
      </c>
      <c r="C261" s="1257">
        <v>74505.009999999995</v>
      </c>
      <c r="D261" s="1257">
        <v>18330.09</v>
      </c>
      <c r="E261" s="1257">
        <v>92835.1</v>
      </c>
      <c r="F261" s="1255" t="s">
        <v>1154</v>
      </c>
      <c r="G261" s="1255" t="s">
        <v>1167</v>
      </c>
      <c r="H261" s="1255" t="s">
        <v>3950</v>
      </c>
      <c r="I261" s="652"/>
      <c r="J261" s="652"/>
      <c r="K261" s="652"/>
      <c r="L261" s="653" t="str">
        <f t="shared" si="176"/>
        <v>6114</v>
      </c>
      <c r="M261" s="654" t="str">
        <f t="shared" si="177"/>
        <v>PUBLICITE</v>
      </c>
      <c r="N261" s="655">
        <f>+IF(OR($Q261=Parametres!$G$2,$Q261=Parametres!$G$3),I261,C261)</f>
        <v>74505.009999999995</v>
      </c>
      <c r="O261" s="655">
        <f>+IF(OR($Q261=Parametres!$G$2,$Q261=Parametres!$G$3),J261,D261)</f>
        <v>18330.09</v>
      </c>
      <c r="P261" s="655">
        <f>+IF(OR($Q261=Parametres!$G$2,$Q261=Parametres!$G$3),K261,E261)</f>
        <v>92835.1</v>
      </c>
      <c r="Q261" s="654" t="str">
        <f t="shared" si="178"/>
        <v>7-Dépenses</v>
      </c>
      <c r="R261" s="653" t="str">
        <f t="shared" si="179"/>
        <v>6114</v>
      </c>
      <c r="S261" s="654" t="str">
        <f t="shared" si="180"/>
        <v>_</v>
      </c>
      <c r="T261" s="656" t="str">
        <f>+VLOOKUP($L261,Data_Validation!$A:$D,1,0)</f>
        <v>6114</v>
      </c>
      <c r="U261" s="656" t="str">
        <f>+VLOOKUP($L261,Data_Validation!$A:$D,3,0)</f>
        <v>Véhicules neufs</v>
      </c>
      <c r="V261" s="656" t="str">
        <f>+VLOOKUP($L261,Data_Validation!$A:$D,4,0)</f>
        <v>Publicité 1</v>
      </c>
      <c r="W261" s="656" t="str">
        <f>+VLOOKUP($L261,Data_Validation!$A:$E,5,0)</f>
        <v>$</v>
      </c>
      <c r="X261" s="656">
        <f>+VLOOKUP($L261,Data_Validation!$A:$F,6,0)</f>
        <v>0</v>
      </c>
    </row>
    <row r="262" spans="1:24" ht="15.75" customHeight="1">
      <c r="A262" s="1255" t="s">
        <v>1168</v>
      </c>
      <c r="B262" s="1255" t="s">
        <v>2257</v>
      </c>
      <c r="C262" s="1257">
        <v>-31050</v>
      </c>
      <c r="D262" s="1257">
        <v>-8550</v>
      </c>
      <c r="E262" s="1257">
        <v>-39600</v>
      </c>
      <c r="F262" s="1255" t="s">
        <v>1154</v>
      </c>
      <c r="G262" s="1255" t="s">
        <v>1167</v>
      </c>
      <c r="H262" s="1255" t="s">
        <v>3950</v>
      </c>
      <c r="I262" s="672"/>
      <c r="J262" s="663"/>
      <c r="K262" s="672"/>
      <c r="L262" s="653" t="str">
        <f t="shared" si="176"/>
        <v>6115</v>
      </c>
      <c r="M262" s="654" t="str">
        <f t="shared" si="177"/>
        <v>CREDIT PUBLICITE NEUF</v>
      </c>
      <c r="N262" s="655">
        <f>+IF(OR($Q262=Parametres!$G$2,$Q262=Parametres!$G$3),I262,C262)</f>
        <v>-31050</v>
      </c>
      <c r="O262" s="655">
        <f>+IF(OR($Q262=Parametres!$G$2,$Q262=Parametres!$G$3),J262,D262)</f>
        <v>-8550</v>
      </c>
      <c r="P262" s="655">
        <f>+IF(OR($Q262=Parametres!$G$2,$Q262=Parametres!$G$3),K262,E262)</f>
        <v>-39600</v>
      </c>
      <c r="Q262" s="654" t="str">
        <f t="shared" si="178"/>
        <v>7-Dépenses</v>
      </c>
      <c r="R262" s="653" t="str">
        <f t="shared" si="179"/>
        <v>6114</v>
      </c>
      <c r="S262" s="654" t="str">
        <f t="shared" si="180"/>
        <v>_</v>
      </c>
      <c r="T262" s="671" t="str">
        <f>+VLOOKUP($L262,Data_Validation!$A:$D,1,0)</f>
        <v>6115</v>
      </c>
      <c r="U262" s="656" t="str">
        <f>+VLOOKUP($L262,Data_Validation!$A:$D,3,0)</f>
        <v>Véhicules neufs</v>
      </c>
      <c r="V262" s="656" t="str">
        <f>+VLOOKUP($L262,Data_Validation!$A:$D,4,0)</f>
        <v>Publicité 1</v>
      </c>
      <c r="W262" s="656" t="str">
        <f>+VLOOKUP($L262,Data_Validation!$A:$E,5,0)</f>
        <v>$</v>
      </c>
      <c r="X262" s="656">
        <f>+VLOOKUP($L262,Data_Validation!$A:$F,6,0)</f>
        <v>0</v>
      </c>
    </row>
    <row r="263" spans="1:24" ht="15" customHeight="1">
      <c r="A263" s="1255" t="s">
        <v>1169</v>
      </c>
      <c r="B263" s="1255" t="s">
        <v>1170</v>
      </c>
      <c r="C263" s="1257">
        <v>25283.26</v>
      </c>
      <c r="D263" s="1257">
        <v>8291.7000000000007</v>
      </c>
      <c r="E263" s="1257">
        <v>33574.959999999999</v>
      </c>
      <c r="F263" s="1255" t="s">
        <v>1154</v>
      </c>
      <c r="G263" s="1255" t="s">
        <v>1170</v>
      </c>
      <c r="H263" s="1255" t="s">
        <v>3950</v>
      </c>
      <c r="I263" s="670"/>
      <c r="J263" s="651"/>
      <c r="K263" s="670"/>
      <c r="L263" s="653" t="str">
        <f t="shared" si="176"/>
        <v>6121</v>
      </c>
      <c r="M263" s="654" t="str">
        <f t="shared" si="177"/>
        <v>SALAIRES - PROPRIETAIRES</v>
      </c>
      <c r="N263" s="655">
        <f>+IF(OR($Q263=Parametres!$G$2,$Q263=Parametres!$G$3),I263,C263)</f>
        <v>25283.26</v>
      </c>
      <c r="O263" s="655">
        <f>+IF(OR($Q263=Parametres!$G$2,$Q263=Parametres!$G$3),J263,D263)</f>
        <v>8291.7000000000007</v>
      </c>
      <c r="P263" s="655">
        <f>+IF(OR($Q263=Parametres!$G$2,$Q263=Parametres!$G$3),K263,E263)</f>
        <v>33574.959999999999</v>
      </c>
      <c r="Q263" s="654" t="str">
        <f t="shared" si="178"/>
        <v>7-Dépenses</v>
      </c>
      <c r="R263" s="653" t="str">
        <f t="shared" si="179"/>
        <v>6121</v>
      </c>
      <c r="S263" s="654" t="str">
        <f t="shared" si="180"/>
        <v>_</v>
      </c>
      <c r="T263" s="656" t="str">
        <f>+VLOOKUP($L263,Data_Validation!$A:$D,1,0)</f>
        <v>6121</v>
      </c>
      <c r="U263" s="656" t="str">
        <f>+VLOOKUP($L263,Data_Validation!$A:$D,3,0)</f>
        <v>Véhicules neufs</v>
      </c>
      <c r="V263" s="656" t="str">
        <f>+VLOOKUP($L263,Data_Validation!$A:$D,4,0)</f>
        <v>Salaires propriétaire</v>
      </c>
      <c r="W263" s="656" t="str">
        <f>+VLOOKUP($L263,Data_Validation!$A:$E,5,0)</f>
        <v>$</v>
      </c>
      <c r="X263" s="656">
        <f>+VLOOKUP($L263,Data_Validation!$A:$F,6,0)</f>
        <v>0</v>
      </c>
    </row>
    <row r="264" spans="1:24" ht="15" customHeight="1">
      <c r="A264" s="1255" t="s">
        <v>1171</v>
      </c>
      <c r="B264" s="1255" t="s">
        <v>1172</v>
      </c>
      <c r="C264" s="1257">
        <v>90192.39</v>
      </c>
      <c r="D264" s="1257">
        <v>14469.05</v>
      </c>
      <c r="E264" s="1257">
        <v>104661.44</v>
      </c>
      <c r="F264" s="1255" t="s">
        <v>1154</v>
      </c>
      <c r="G264" s="1255" t="s">
        <v>1172</v>
      </c>
      <c r="H264" s="1255" t="s">
        <v>3950</v>
      </c>
      <c r="I264" s="652"/>
      <c r="J264" s="652"/>
      <c r="K264" s="652"/>
      <c r="L264" s="653" t="str">
        <f t="shared" si="176"/>
        <v>6122</v>
      </c>
      <c r="M264" s="654" t="str">
        <f t="shared" si="177"/>
        <v>SAL SUPERVISION / GERANT</v>
      </c>
      <c r="N264" s="655">
        <f>+IF(OR($Q264=Parametres!$G$2,$Q264=Parametres!$G$3),I264,C264)</f>
        <v>90192.39</v>
      </c>
      <c r="O264" s="659">
        <f>+IF(OR($Q264=Parametres!$G$2,$Q264=Parametres!$G$3),J264,D264)</f>
        <v>14469.05</v>
      </c>
      <c r="P264" s="655">
        <f>+IF(OR($Q264=Parametres!$G$2,$Q264=Parametres!$G$3),K264,E264)</f>
        <v>104661.44</v>
      </c>
      <c r="Q264" s="654" t="str">
        <f t="shared" si="178"/>
        <v>7-Dépenses</v>
      </c>
      <c r="R264" s="653" t="str">
        <f t="shared" si="179"/>
        <v>6122</v>
      </c>
      <c r="S264" s="654" t="str">
        <f t="shared" si="180"/>
        <v>_</v>
      </c>
      <c r="T264" s="656" t="str">
        <f>+VLOOKUP($L264,Data_Validation!$A:$D,1,0)</f>
        <v>6122</v>
      </c>
      <c r="U264" s="656" t="str">
        <f>+VLOOKUP($L264,Data_Validation!$A:$D,3,0)</f>
        <v>Véhicules neufs</v>
      </c>
      <c r="V264" s="656" t="str">
        <f>+VLOOKUP($L264,Data_Validation!$A:$D,4,0)</f>
        <v>Salaires cadres</v>
      </c>
      <c r="W264" s="656" t="str">
        <f>+VLOOKUP($L264,Data_Validation!$A:$E,5,0)</f>
        <v>$</v>
      </c>
      <c r="X264" s="656">
        <f>+VLOOKUP($L264,Data_Validation!$A:$F,6,0)</f>
        <v>0</v>
      </c>
    </row>
    <row r="265" spans="1:24" ht="15" customHeight="1">
      <c r="A265" s="1255" t="s">
        <v>1173</v>
      </c>
      <c r="B265" s="1255" t="s">
        <v>1174</v>
      </c>
      <c r="C265" s="1257">
        <v>50818.21</v>
      </c>
      <c r="D265" s="1257">
        <v>13963.37</v>
      </c>
      <c r="E265" s="1257">
        <v>64781.58</v>
      </c>
      <c r="F265" s="1255" t="s">
        <v>1154</v>
      </c>
      <c r="G265" s="1255" t="s">
        <v>1174</v>
      </c>
      <c r="H265" s="1255" t="s">
        <v>3950</v>
      </c>
      <c r="I265" s="651"/>
      <c r="J265" s="651"/>
      <c r="K265" s="651"/>
      <c r="L265" s="653" t="str">
        <f t="shared" si="176"/>
        <v>6123</v>
      </c>
      <c r="M265" s="654" t="str">
        <f t="shared" si="177"/>
        <v>SAL. &amp; RENUM. - CLERICAL</v>
      </c>
      <c r="N265" s="655">
        <f>+IF(OR($Q265=Parametres!$G$2,$Q265=Parametres!$G$3),I265,C265)</f>
        <v>50818.21</v>
      </c>
      <c r="O265" s="659">
        <f>+IF(OR($Q265=Parametres!$G$2,$Q265=Parametres!$G$3),J265,D265)</f>
        <v>13963.37</v>
      </c>
      <c r="P265" s="655">
        <f>+IF(OR($Q265=Parametres!$G$2,$Q265=Parametres!$G$3),K265,E265)</f>
        <v>64781.58</v>
      </c>
      <c r="Q265" s="654" t="str">
        <f t="shared" si="178"/>
        <v>7-Dépenses</v>
      </c>
      <c r="R265" s="653" t="str">
        <f t="shared" si="179"/>
        <v>6123</v>
      </c>
      <c r="S265" s="654" t="str">
        <f t="shared" si="180"/>
        <v>_</v>
      </c>
      <c r="T265" s="656" t="str">
        <f>+VLOOKUP($L265,Data_Validation!$A:$D,1,0)</f>
        <v>6123</v>
      </c>
      <c r="U265" s="656" t="str">
        <f>+VLOOKUP($L265,Data_Validation!$A:$D,3,0)</f>
        <v>Véhicules neufs</v>
      </c>
      <c r="V265" s="656" t="str">
        <f>+VLOOKUP($L265,Data_Validation!$A:$D,4,0)</f>
        <v>Salaires commis</v>
      </c>
      <c r="W265" s="656" t="str">
        <f>+VLOOKUP($L265,Data_Validation!$A:$E,5,0)</f>
        <v>$</v>
      </c>
      <c r="X265" s="656">
        <f>+VLOOKUP($L265,Data_Validation!$A:$F,6,0)</f>
        <v>0</v>
      </c>
    </row>
    <row r="266" spans="1:24" ht="15" customHeight="1">
      <c r="A266" s="1255" t="s">
        <v>1175</v>
      </c>
      <c r="B266" s="1255" t="s">
        <v>1176</v>
      </c>
      <c r="C266" s="1257">
        <v>4960.75</v>
      </c>
      <c r="D266" s="1257">
        <v>2903.5</v>
      </c>
      <c r="E266" s="1257">
        <v>7864.25</v>
      </c>
      <c r="F266" s="1255" t="s">
        <v>1154</v>
      </c>
      <c r="G266" s="1255" t="s">
        <v>1176</v>
      </c>
      <c r="H266" s="1255" t="s">
        <v>3950</v>
      </c>
      <c r="I266" s="670"/>
      <c r="J266" s="651"/>
      <c r="K266" s="670"/>
      <c r="L266" s="653" t="str">
        <f t="shared" si="176"/>
        <v>6124</v>
      </c>
      <c r="M266" s="654" t="str">
        <f t="shared" si="177"/>
        <v>SALAIRES &amp; RENUM. - AUTRES</v>
      </c>
      <c r="N266" s="655">
        <f>+IF(OR($Q266=Parametres!$G$2,$Q266=Parametres!$G$3),I266,C266)</f>
        <v>4960.75</v>
      </c>
      <c r="O266" s="655">
        <f>+IF(OR($Q266=Parametres!$G$2,$Q266=Parametres!$G$3),J266,D266)</f>
        <v>2903.5</v>
      </c>
      <c r="P266" s="655">
        <f>+IF(OR($Q266=Parametres!$G$2,$Q266=Parametres!$G$3),K266,E266)</f>
        <v>7864.25</v>
      </c>
      <c r="Q266" s="654" t="str">
        <f t="shared" si="178"/>
        <v>7-Dépenses</v>
      </c>
      <c r="R266" s="653" t="str">
        <f t="shared" si="179"/>
        <v>6124</v>
      </c>
      <c r="S266" s="654" t="str">
        <f t="shared" si="180"/>
        <v>_</v>
      </c>
      <c r="T266" s="656" t="str">
        <f>+VLOOKUP($L266,Data_Validation!$A:$D,1,0)</f>
        <v>6124</v>
      </c>
      <c r="U266" s="656" t="str">
        <f>+VLOOKUP($L266,Data_Validation!$A:$D,3,0)</f>
        <v>Véhicules neufs</v>
      </c>
      <c r="V266" s="656" t="str">
        <f>+VLOOKUP($L266,Data_Validation!$A:$D,4,0)</f>
        <v>Salaires autres</v>
      </c>
      <c r="W266" s="656" t="str">
        <f>+VLOOKUP($L266,Data_Validation!$A:$E,5,0)</f>
        <v>$</v>
      </c>
      <c r="X266" s="656">
        <f>+VLOOKUP($L266,Data_Validation!$A:$F,6,0)</f>
        <v>0</v>
      </c>
    </row>
    <row r="267" spans="1:24" ht="15" customHeight="1">
      <c r="A267" s="1255" t="s">
        <v>1177</v>
      </c>
      <c r="B267" s="1255" t="s">
        <v>1178</v>
      </c>
      <c r="C267" s="1257">
        <v>44822.78</v>
      </c>
      <c r="D267" s="1257">
        <v>14676.27</v>
      </c>
      <c r="E267" s="1257">
        <v>59499.05</v>
      </c>
      <c r="F267" s="1255" t="s">
        <v>1154</v>
      </c>
      <c r="G267" s="1255" t="s">
        <v>1178</v>
      </c>
      <c r="H267" s="1255" t="s">
        <v>3950</v>
      </c>
      <c r="I267" s="670"/>
      <c r="J267" s="651"/>
      <c r="K267" s="670"/>
      <c r="L267" s="653" t="str">
        <f t="shared" si="176"/>
        <v>6129</v>
      </c>
      <c r="M267" s="654" t="str">
        <f t="shared" si="177"/>
        <v>ABS., VACANCE &amp; SAL. JOURS FER</v>
      </c>
      <c r="N267" s="655">
        <f>+IF(OR($Q267=Parametres!$G$2,$Q267=Parametres!$G$3),I267,C267)</f>
        <v>44822.78</v>
      </c>
      <c r="O267" s="655">
        <f>+IF(OR($Q267=Parametres!$G$2,$Q267=Parametres!$G$3),J267,D267)</f>
        <v>14676.27</v>
      </c>
      <c r="P267" s="655">
        <f>+IF(OR($Q267=Parametres!$G$2,$Q267=Parametres!$G$3),K267,E267)</f>
        <v>59499.05</v>
      </c>
      <c r="Q267" s="654" t="str">
        <f t="shared" si="178"/>
        <v>7-Dépenses</v>
      </c>
      <c r="R267" s="653" t="str">
        <f t="shared" si="179"/>
        <v>6129</v>
      </c>
      <c r="S267" s="654" t="str">
        <f t="shared" si="180"/>
        <v>_</v>
      </c>
      <c r="T267" s="656" t="str">
        <f>+VLOOKUP($L267,Data_Validation!$A:$D,1,0)</f>
        <v>6129</v>
      </c>
      <c r="U267" s="656" t="str">
        <f>+VLOOKUP($L267,Data_Validation!$A:$D,3,0)</f>
        <v>Véhicules neufs</v>
      </c>
      <c r="V267" s="656" t="str">
        <f>+VLOOKUP($L267,Data_Validation!$A:$D,4,0)</f>
        <v>Salaires en absences</v>
      </c>
      <c r="W267" s="656" t="str">
        <f>+VLOOKUP($L267,Data_Validation!$A:$E,5,0)</f>
        <v>$</v>
      </c>
      <c r="X267" s="656">
        <f>+VLOOKUP($L267,Data_Validation!$A:$F,6,0)</f>
        <v>0</v>
      </c>
    </row>
    <row r="268" spans="1:24" ht="15" customHeight="1">
      <c r="A268" s="1255" t="s">
        <v>1179</v>
      </c>
      <c r="B268" s="1255" t="s">
        <v>1180</v>
      </c>
      <c r="C268" s="1257">
        <v>11105.44</v>
      </c>
      <c r="D268" s="1257">
        <v>2876.17</v>
      </c>
      <c r="E268" s="1257">
        <v>13981.61</v>
      </c>
      <c r="F268" s="1255" t="s">
        <v>1154</v>
      </c>
      <c r="G268" s="1255" t="s">
        <v>1180</v>
      </c>
      <c r="H268" s="1255" t="s">
        <v>3950</v>
      </c>
      <c r="I268" s="670"/>
      <c r="J268" s="651"/>
      <c r="K268" s="670"/>
      <c r="L268" s="653" t="str">
        <f t="shared" si="176"/>
        <v>6131</v>
      </c>
      <c r="M268" s="654" t="str">
        <f t="shared" si="177"/>
        <v>CSST</v>
      </c>
      <c r="N268" s="655">
        <f>+IF(OR($Q268=Parametres!$G$2,$Q268=Parametres!$G$3),I268,C268)</f>
        <v>11105.44</v>
      </c>
      <c r="O268" s="655">
        <f>+IF(OR($Q268=Parametres!$G$2,$Q268=Parametres!$G$3),J268,D268)</f>
        <v>2876.17</v>
      </c>
      <c r="P268" s="655">
        <f>+IF(OR($Q268=Parametres!$G$2,$Q268=Parametres!$G$3),K268,E268)</f>
        <v>13981.61</v>
      </c>
      <c r="Q268" s="654" t="str">
        <f t="shared" si="178"/>
        <v>7-Dépenses</v>
      </c>
      <c r="R268" s="653" t="str">
        <f t="shared" si="179"/>
        <v>6131</v>
      </c>
      <c r="S268" s="654" t="str">
        <f t="shared" si="180"/>
        <v>_</v>
      </c>
      <c r="T268" s="656" t="str">
        <f>+VLOOKUP($L268,Data_Validation!$A:$D,1,0)</f>
        <v>6131</v>
      </c>
      <c r="U268" s="656" t="str">
        <f>+VLOOKUP($L268,Data_Validation!$A:$D,3,0)</f>
        <v>Véhicules neufs</v>
      </c>
      <c r="V268" s="656" t="str">
        <f>+VLOOKUP($L268,Data_Validation!$A:$D,4,0)</f>
        <v>Csst</v>
      </c>
      <c r="W268" s="656" t="str">
        <f>+VLOOKUP($L268,Data_Validation!$A:$E,5,0)</f>
        <v>$</v>
      </c>
      <c r="X268" s="656">
        <f>+VLOOKUP($L268,Data_Validation!$A:$F,6,0)</f>
        <v>0</v>
      </c>
    </row>
    <row r="269" spans="1:24" ht="15" customHeight="1">
      <c r="A269" s="1255" t="s">
        <v>1181</v>
      </c>
      <c r="B269" s="1255" t="s">
        <v>1182</v>
      </c>
      <c r="C269" s="1257">
        <v>57190.14</v>
      </c>
      <c r="D269" s="1257">
        <v>17960</v>
      </c>
      <c r="E269" s="1257">
        <v>75150.14</v>
      </c>
      <c r="F269" s="1255" t="s">
        <v>1154</v>
      </c>
      <c r="G269" s="1255" t="s">
        <v>1182</v>
      </c>
      <c r="H269" s="1255" t="s">
        <v>3950</v>
      </c>
      <c r="I269" s="652"/>
      <c r="J269" s="652"/>
      <c r="K269" s="652"/>
      <c r="L269" s="653" t="str">
        <f t="shared" si="176"/>
        <v>6132</v>
      </c>
      <c r="M269" s="654" t="str">
        <f t="shared" si="177"/>
        <v>RRQ RAMQ AC</v>
      </c>
      <c r="N269" s="655">
        <f>+IF(OR($Q269=Parametres!$G$2,$Q269=Parametres!$G$3),I269,C269)</f>
        <v>57190.14</v>
      </c>
      <c r="O269" s="655">
        <f>+IF(OR($Q269=Parametres!$G$2,$Q269=Parametres!$G$3),J269,D269)</f>
        <v>17960</v>
      </c>
      <c r="P269" s="655">
        <f>+IF(OR($Q269=Parametres!$G$2,$Q269=Parametres!$G$3),K269,E269)</f>
        <v>75150.14</v>
      </c>
      <c r="Q269" s="654" t="str">
        <f t="shared" si="178"/>
        <v>7-Dépenses</v>
      </c>
      <c r="R269" s="653" t="str">
        <f t="shared" si="179"/>
        <v>6132</v>
      </c>
      <c r="S269" s="654" t="str">
        <f t="shared" si="180"/>
        <v>_</v>
      </c>
      <c r="T269" s="656" t="str">
        <f>+VLOOKUP($L269,Data_Validation!$A:$D,1,0)</f>
        <v>6132</v>
      </c>
      <c r="U269" s="656" t="str">
        <f>+VLOOKUP($L269,Data_Validation!$A:$D,3,0)</f>
        <v>Véhicules neufs</v>
      </c>
      <c r="V269" s="656" t="str">
        <f>+VLOOKUP($L269,Data_Validation!$A:$D,4,0)</f>
        <v>Déduction à la source</v>
      </c>
      <c r="W269" s="656" t="str">
        <f>+VLOOKUP($L269,Data_Validation!$A:$E,5,0)</f>
        <v>$</v>
      </c>
      <c r="X269" s="656">
        <f>+VLOOKUP($L269,Data_Validation!$A:$F,6,0)</f>
        <v>0</v>
      </c>
    </row>
    <row r="270" spans="1:24" ht="15" customHeight="1">
      <c r="A270" s="1255" t="s">
        <v>1183</v>
      </c>
      <c r="B270" s="1255" t="s">
        <v>1184</v>
      </c>
      <c r="C270" s="1257">
        <v>16618.28</v>
      </c>
      <c r="D270" s="1257">
        <v>5661.42</v>
      </c>
      <c r="E270" s="1257">
        <v>22279.7</v>
      </c>
      <c r="F270" s="1255" t="s">
        <v>1154</v>
      </c>
      <c r="G270" s="1255" t="s">
        <v>1184</v>
      </c>
      <c r="H270" s="1255" t="s">
        <v>3950</v>
      </c>
      <c r="I270" s="652"/>
      <c r="J270" s="652"/>
      <c r="K270" s="652"/>
      <c r="L270" s="653" t="str">
        <f t="shared" si="176"/>
        <v>6133</v>
      </c>
      <c r="M270" s="654" t="str">
        <f t="shared" si="177"/>
        <v>FOND PENSION - NEUF</v>
      </c>
      <c r="N270" s="655">
        <f>+IF(OR($Q270=Parametres!$G$2,$Q270=Parametres!$G$3),I270,C270)</f>
        <v>16618.28</v>
      </c>
      <c r="O270" s="655">
        <f>+IF(OR($Q270=Parametres!$G$2,$Q270=Parametres!$G$3),J270,D270)</f>
        <v>5661.42</v>
      </c>
      <c r="P270" s="655">
        <f>+IF(OR($Q270=Parametres!$G$2,$Q270=Parametres!$G$3),K270,E270)</f>
        <v>22279.7</v>
      </c>
      <c r="Q270" s="654" t="str">
        <f t="shared" si="178"/>
        <v>7-Dépenses</v>
      </c>
      <c r="R270" s="653" t="str">
        <f t="shared" si="179"/>
        <v>6133</v>
      </c>
      <c r="S270" s="654" t="str">
        <f t="shared" si="180"/>
        <v>_</v>
      </c>
      <c r="T270" s="656" t="str">
        <f>+VLOOKUP($L270,Data_Validation!$A:$D,1,0)</f>
        <v>6133</v>
      </c>
      <c r="U270" s="656" t="str">
        <f>+VLOOKUP($L270,Data_Validation!$A:$D,3,0)</f>
        <v>Véhicules neufs</v>
      </c>
      <c r="V270" s="656" t="str">
        <f>+VLOOKUP($L270,Data_Validation!$A:$D,4,0)</f>
        <v>Bénéfices marginaux</v>
      </c>
      <c r="W270" s="656" t="str">
        <f>+VLOOKUP($L270,Data_Validation!$A:$E,5,0)</f>
        <v>$</v>
      </c>
      <c r="X270" s="656">
        <f>+VLOOKUP($L270,Data_Validation!$A:$F,6,0)</f>
        <v>0</v>
      </c>
    </row>
    <row r="271" spans="1:24" ht="15" customHeight="1">
      <c r="A271" s="1255" t="s">
        <v>1185</v>
      </c>
      <c r="B271" s="1255" t="s">
        <v>1186</v>
      </c>
      <c r="C271" s="1257">
        <v>11491.45</v>
      </c>
      <c r="D271" s="1257">
        <v>2824.6</v>
      </c>
      <c r="E271" s="1257">
        <v>14316.05</v>
      </c>
      <c r="F271" s="1255" t="s">
        <v>1154</v>
      </c>
      <c r="G271" s="1255" t="s">
        <v>1186</v>
      </c>
      <c r="H271" s="1255" t="s">
        <v>3950</v>
      </c>
      <c r="I271" s="670"/>
      <c r="J271" s="651"/>
      <c r="K271" s="670"/>
      <c r="L271" s="653" t="str">
        <f t="shared" si="176"/>
        <v>6139</v>
      </c>
      <c r="M271" s="654" t="str">
        <f t="shared" si="177"/>
        <v>ASSURANCE GROUPS</v>
      </c>
      <c r="N271" s="655">
        <f>+IF(OR($Q271=Parametres!$G$2,$Q271=Parametres!$G$3),I271,C271)</f>
        <v>11491.45</v>
      </c>
      <c r="O271" s="655">
        <f>+IF(OR($Q271=Parametres!$G$2,$Q271=Parametres!$G$3),J271,D271)</f>
        <v>2824.6</v>
      </c>
      <c r="P271" s="655">
        <f>+IF(OR($Q271=Parametres!$G$2,$Q271=Parametres!$G$3),K271,E271)</f>
        <v>14316.05</v>
      </c>
      <c r="Q271" s="654" t="str">
        <f t="shared" si="178"/>
        <v>7-Dépenses</v>
      </c>
      <c r="R271" s="653" t="str">
        <f t="shared" si="179"/>
        <v>6139</v>
      </c>
      <c r="S271" s="654" t="str">
        <f t="shared" si="180"/>
        <v>_</v>
      </c>
      <c r="T271" s="656" t="str">
        <f>+VLOOKUP($L271,Data_Validation!$A:$D,1,0)</f>
        <v>6139</v>
      </c>
      <c r="U271" s="656" t="str">
        <f>+VLOOKUP($L271,Data_Validation!$A:$D,3,0)</f>
        <v>Véhicules neufs</v>
      </c>
      <c r="V271" s="656" t="str">
        <f>+VLOOKUP($L271,Data_Validation!$A:$D,4,0)</f>
        <v>Bénéfices marginaux</v>
      </c>
      <c r="W271" s="656" t="str">
        <f>+VLOOKUP($L271,Data_Validation!$A:$E,5,0)</f>
        <v>$</v>
      </c>
      <c r="X271" s="656">
        <f>+VLOOKUP($L271,Data_Validation!$A:$F,6,0)</f>
        <v>0</v>
      </c>
    </row>
    <row r="272" spans="1:24" ht="15.75" customHeight="1">
      <c r="A272" s="1255" t="s">
        <v>1187</v>
      </c>
      <c r="B272" s="1255" t="s">
        <v>1188</v>
      </c>
      <c r="C272" s="1257">
        <v>306.39</v>
      </c>
      <c r="D272" s="1257">
        <v>0</v>
      </c>
      <c r="E272" s="1257">
        <v>306.39</v>
      </c>
      <c r="F272" s="1255" t="s">
        <v>1154</v>
      </c>
      <c r="G272" s="1255" t="s">
        <v>1188</v>
      </c>
      <c r="H272" s="1255" t="s">
        <v>3950</v>
      </c>
      <c r="I272" s="672"/>
      <c r="J272" s="663"/>
      <c r="K272" s="672"/>
      <c r="L272" s="653" t="str">
        <f t="shared" si="176"/>
        <v>6142</v>
      </c>
      <c r="M272" s="654" t="str">
        <f t="shared" si="177"/>
        <v>FOURNITURES &amp; PETITS OUTILS</v>
      </c>
      <c r="N272" s="655">
        <f>+IF(OR($Q272=Parametres!$G$2,$Q272=Parametres!$G$3),I272,C272)</f>
        <v>306.39</v>
      </c>
      <c r="O272" s="655">
        <f>+IF(OR($Q272=Parametres!$G$2,$Q272=Parametres!$G$3),J272,D272)</f>
        <v>0</v>
      </c>
      <c r="P272" s="655">
        <f>+IF(OR($Q272=Parametres!$G$2,$Q272=Parametres!$G$3),K272,E272)</f>
        <v>306.39</v>
      </c>
      <c r="Q272" s="654" t="str">
        <f t="shared" si="178"/>
        <v>7-Dépenses</v>
      </c>
      <c r="R272" s="653" t="str">
        <f t="shared" si="179"/>
        <v>6142</v>
      </c>
      <c r="S272" s="654" t="str">
        <f t="shared" si="180"/>
        <v>_</v>
      </c>
      <c r="T272" s="656" t="str">
        <f>+VLOOKUP($L272,Data_Validation!$A:$D,1,0)</f>
        <v>6142</v>
      </c>
      <c r="U272" s="656" t="str">
        <f>+VLOOKUP($L272,Data_Validation!$A:$D,3,0)</f>
        <v>Véhicules neufs</v>
      </c>
      <c r="V272" s="656" t="str">
        <f>+VLOOKUP($L272,Data_Validation!$A:$D,4,0)</f>
        <v>Fournitures autres</v>
      </c>
      <c r="W272" s="656" t="str">
        <f>+VLOOKUP($L272,Data_Validation!$A:$E,5,0)</f>
        <v>$</v>
      </c>
      <c r="X272" s="656">
        <f>+VLOOKUP($L272,Data_Validation!$A:$F,6,0)</f>
        <v>0</v>
      </c>
    </row>
    <row r="273" spans="1:24" ht="15" customHeight="1">
      <c r="A273" s="1255" t="s">
        <v>1189</v>
      </c>
      <c r="B273" s="1255" t="s">
        <v>1190</v>
      </c>
      <c r="C273" s="1257">
        <v>623</v>
      </c>
      <c r="D273" s="1257">
        <v>0</v>
      </c>
      <c r="E273" s="1257">
        <v>623</v>
      </c>
      <c r="F273" s="1255" t="s">
        <v>1154</v>
      </c>
      <c r="G273" s="1255" t="s">
        <v>1190</v>
      </c>
      <c r="H273" s="1255" t="s">
        <v>3950</v>
      </c>
      <c r="I273" s="652"/>
      <c r="J273" s="652"/>
      <c r="K273" s="652"/>
      <c r="L273" s="653" t="str">
        <f t="shared" si="176"/>
        <v>6143</v>
      </c>
      <c r="M273" s="654" t="str">
        <f t="shared" si="177"/>
        <v>UNIFORMES &amp; LESSIVE</v>
      </c>
      <c r="N273" s="655">
        <f>+IF(OR($Q273=Parametres!$G$2,$Q273=Parametres!$G$3),I273,C273)</f>
        <v>623</v>
      </c>
      <c r="O273" s="659">
        <f>+IF(OR($Q273=Parametres!$G$2,$Q273=Parametres!$G$3),J273,D273)</f>
        <v>0</v>
      </c>
      <c r="P273" s="655">
        <f>+IF(OR($Q273=Parametres!$G$2,$Q273=Parametres!$G$3),K273,E273)</f>
        <v>623</v>
      </c>
      <c r="Q273" s="654" t="str">
        <f t="shared" si="178"/>
        <v>7-Dépenses</v>
      </c>
      <c r="R273" s="653" t="str">
        <f t="shared" si="179"/>
        <v>6143</v>
      </c>
      <c r="S273" s="654" t="str">
        <f t="shared" si="180"/>
        <v>_</v>
      </c>
      <c r="T273" s="656" t="str">
        <f>+VLOOKUP($L273,Data_Validation!$A:$D,1,0)</f>
        <v>6143</v>
      </c>
      <c r="U273" s="656" t="str">
        <f>+VLOOKUP($L273,Data_Validation!$A:$D,3,0)</f>
        <v>Véhicules neufs</v>
      </c>
      <c r="V273" s="656" t="str">
        <f>+VLOOKUP($L273,Data_Validation!$A:$D,4,0)</f>
        <v>Uniformes</v>
      </c>
      <c r="W273" s="656" t="str">
        <f>+VLOOKUP($L273,Data_Validation!$A:$E,5,0)</f>
        <v>$</v>
      </c>
      <c r="X273" s="656">
        <f>+VLOOKUP($L273,Data_Validation!$A:$F,6,0)</f>
        <v>0</v>
      </c>
    </row>
    <row r="274" spans="1:24" ht="15" customHeight="1">
      <c r="A274" s="1255" t="s">
        <v>1191</v>
      </c>
      <c r="B274" s="1255" t="s">
        <v>1192</v>
      </c>
      <c r="C274" s="1257">
        <v>10718.75</v>
      </c>
      <c r="D274" s="1257">
        <v>-43.66</v>
      </c>
      <c r="E274" s="1257">
        <v>10675.09</v>
      </c>
      <c r="F274" s="1255" t="s">
        <v>1154</v>
      </c>
      <c r="G274" s="1255" t="s">
        <v>1192</v>
      </c>
      <c r="H274" s="1255" t="s">
        <v>3950</v>
      </c>
      <c r="I274" s="670"/>
      <c r="J274" s="651"/>
      <c r="K274" s="670"/>
      <c r="L274" s="653" t="str">
        <f t="shared" si="176"/>
        <v>6144</v>
      </c>
      <c r="M274" s="654" t="str">
        <f t="shared" si="177"/>
        <v>FORMATION</v>
      </c>
      <c r="N274" s="655">
        <f>+IF(OR($Q274=Parametres!$G$2,$Q274=Parametres!$G$3),I274,C274)</f>
        <v>10718.75</v>
      </c>
      <c r="O274" s="655">
        <f>+IF(OR($Q274=Parametres!$G$2,$Q274=Parametres!$G$3),J274,D274)</f>
        <v>-43.66</v>
      </c>
      <c r="P274" s="655">
        <f>+IF(OR($Q274=Parametres!$G$2,$Q274=Parametres!$G$3),K274,E274)</f>
        <v>10675.09</v>
      </c>
      <c r="Q274" s="654" t="str">
        <f t="shared" si="178"/>
        <v>7-Dépenses</v>
      </c>
      <c r="R274" s="653" t="str">
        <f t="shared" si="179"/>
        <v>6144</v>
      </c>
      <c r="S274" s="654" t="str">
        <f t="shared" si="180"/>
        <v>_</v>
      </c>
      <c r="T274" s="656" t="str">
        <f>+VLOOKUP($L274,Data_Validation!$A:$D,1,0)</f>
        <v>6144</v>
      </c>
      <c r="U274" s="656" t="str">
        <f>+VLOOKUP($L274,Data_Validation!$A:$D,3,0)</f>
        <v>Véhicules neufs</v>
      </c>
      <c r="V274" s="656" t="str">
        <f>+VLOOKUP($L274,Data_Validation!$A:$D,4,0)</f>
        <v>Formation</v>
      </c>
      <c r="W274" s="656" t="str">
        <f>+VLOOKUP($L274,Data_Validation!$A:$E,5,0)</f>
        <v>$</v>
      </c>
      <c r="X274" s="656">
        <f>+VLOOKUP($L274,Data_Validation!$A:$F,6,0)</f>
        <v>0</v>
      </c>
    </row>
    <row r="275" spans="1:24" ht="15" customHeight="1">
      <c r="A275" s="1255" t="s">
        <v>1193</v>
      </c>
      <c r="B275" s="1255" t="s">
        <v>1194</v>
      </c>
      <c r="C275" s="1257">
        <v>35867.26</v>
      </c>
      <c r="D275" s="1257">
        <v>13630.57</v>
      </c>
      <c r="E275" s="1257">
        <v>49497.83</v>
      </c>
      <c r="F275" s="1255" t="s">
        <v>1154</v>
      </c>
      <c r="G275" s="1255" t="s">
        <v>1194</v>
      </c>
      <c r="H275" s="1255" t="s">
        <v>3950</v>
      </c>
      <c r="I275" s="652"/>
      <c r="J275" s="652"/>
      <c r="K275" s="652"/>
      <c r="L275" s="653" t="str">
        <f t="shared" si="176"/>
        <v>6145</v>
      </c>
      <c r="M275" s="654" t="str">
        <f t="shared" si="177"/>
        <v>VEHICULE DE COMPAGNIE - DEPENS</v>
      </c>
      <c r="N275" s="655">
        <f>+IF(OR($Q275=Parametres!$G$2,$Q275=Parametres!$G$3),I275,C275)</f>
        <v>35867.26</v>
      </c>
      <c r="O275" s="655">
        <f>+IF(OR($Q275=Parametres!$G$2,$Q275=Parametres!$G$3),J275,D275)</f>
        <v>13630.57</v>
      </c>
      <c r="P275" s="655">
        <f>+IF(OR($Q275=Parametres!$G$2,$Q275=Parametres!$G$3),K275,E275)</f>
        <v>49497.83</v>
      </c>
      <c r="Q275" s="654" t="str">
        <f t="shared" si="178"/>
        <v>7-Dépenses</v>
      </c>
      <c r="R275" s="653" t="str">
        <f t="shared" si="179"/>
        <v>6145</v>
      </c>
      <c r="S275" s="654" t="str">
        <f t="shared" si="180"/>
        <v>_</v>
      </c>
      <c r="T275" s="656" t="str">
        <f>+VLOOKUP($L275,Data_Validation!$A:$D,1,0)</f>
        <v>6145</v>
      </c>
      <c r="U275" s="656" t="str">
        <f>+VLOOKUP($L275,Data_Validation!$A:$D,3,0)</f>
        <v>Véhicules neufs</v>
      </c>
      <c r="V275" s="656" t="str">
        <f>+VLOOKUP($L275,Data_Validation!$A:$D,4,0)</f>
        <v>Frais véhicules de cie</v>
      </c>
      <c r="W275" s="656" t="str">
        <f>+VLOOKUP($L275,Data_Validation!$A:$E,5,0)</f>
        <v>$</v>
      </c>
      <c r="X275" s="656">
        <f>+VLOOKUP($L275,Data_Validation!$A:$F,6,0)</f>
        <v>0</v>
      </c>
    </row>
    <row r="276" spans="1:24" ht="15" customHeight="1">
      <c r="A276" s="1255" t="s">
        <v>1195</v>
      </c>
      <c r="B276" s="1255" t="s">
        <v>1196</v>
      </c>
      <c r="C276" s="1257">
        <v>1710.8</v>
      </c>
      <c r="D276" s="1257">
        <v>211.16</v>
      </c>
      <c r="E276" s="1257">
        <v>1921.96</v>
      </c>
      <c r="F276" s="1255" t="s">
        <v>1154</v>
      </c>
      <c r="G276" s="1255" t="s">
        <v>1196</v>
      </c>
      <c r="H276" s="1255" t="s">
        <v>3950</v>
      </c>
      <c r="I276" s="670"/>
      <c r="J276" s="651"/>
      <c r="K276" s="670"/>
      <c r="L276" s="653" t="str">
        <f t="shared" si="176"/>
        <v>6147</v>
      </c>
      <c r="M276" s="654" t="str">
        <f t="shared" si="177"/>
        <v>FRET/EXPRESS/TRANS. PAR CAMION</v>
      </c>
      <c r="N276" s="655">
        <f>+IF(OR($Q276=Parametres!$G$2,$Q276=Parametres!$G$3),I276,C276)</f>
        <v>1710.8</v>
      </c>
      <c r="O276" s="655">
        <f>+IF(OR($Q276=Parametres!$G$2,$Q276=Parametres!$G$3),J276,D276)</f>
        <v>211.16</v>
      </c>
      <c r="P276" s="655">
        <f>+IF(OR($Q276=Parametres!$G$2,$Q276=Parametres!$G$3),K276,E276)</f>
        <v>1921.96</v>
      </c>
      <c r="Q276" s="654" t="str">
        <f t="shared" si="178"/>
        <v>7-Dépenses</v>
      </c>
      <c r="R276" s="653" t="str">
        <f t="shared" si="179"/>
        <v>6147</v>
      </c>
      <c r="S276" s="654" t="str">
        <f t="shared" si="180"/>
        <v>_</v>
      </c>
      <c r="T276" s="656" t="str">
        <f>+VLOOKUP($L276,Data_Validation!$A:$D,1,0)</f>
        <v>6147</v>
      </c>
      <c r="U276" s="656" t="str">
        <f>+VLOOKUP($L276,Data_Validation!$A:$D,3,0)</f>
        <v>Véhicules neufs</v>
      </c>
      <c r="V276" s="656" t="str">
        <f>+VLOOKUP($L276,Data_Validation!$A:$D,4,0)</f>
        <v>Frais postaux</v>
      </c>
      <c r="W276" s="656" t="str">
        <f>+VLOOKUP($L276,Data_Validation!$A:$E,5,0)</f>
        <v>$</v>
      </c>
      <c r="X276" s="656">
        <f>+VLOOKUP($L276,Data_Validation!$A:$F,6,0)</f>
        <v>0</v>
      </c>
    </row>
    <row r="277" spans="1:24" ht="15" customHeight="1">
      <c r="A277" s="1255" t="s">
        <v>1197</v>
      </c>
      <c r="B277" s="1255" t="s">
        <v>1198</v>
      </c>
      <c r="C277" s="1257">
        <v>27562.46</v>
      </c>
      <c r="D277" s="1257">
        <v>9063.09</v>
      </c>
      <c r="E277" s="1257">
        <v>36625.550000000003</v>
      </c>
      <c r="F277" s="1255" t="s">
        <v>1154</v>
      </c>
      <c r="G277" s="1255" t="s">
        <v>1198</v>
      </c>
      <c r="H277" s="1255" t="s">
        <v>3950</v>
      </c>
      <c r="I277" s="652"/>
      <c r="J277" s="652"/>
      <c r="K277" s="652"/>
      <c r="L277" s="653" t="str">
        <f t="shared" si="176"/>
        <v>6151</v>
      </c>
      <c r="M277" s="654" t="str">
        <f t="shared" si="177"/>
        <v>DEP. DU TRAITEMENT DES DONNEES</v>
      </c>
      <c r="N277" s="655">
        <f>+IF(OR($Q277=Parametres!$G$2,$Q277=Parametres!$G$3),I277,C277)</f>
        <v>27562.46</v>
      </c>
      <c r="O277" s="655">
        <f>+IF(OR($Q277=Parametres!$G$2,$Q277=Parametres!$G$3),J277,D277)</f>
        <v>9063.09</v>
      </c>
      <c r="P277" s="655">
        <f>+IF(OR($Q277=Parametres!$G$2,$Q277=Parametres!$G$3),K277,E277)</f>
        <v>36625.550000000003</v>
      </c>
      <c r="Q277" s="654" t="str">
        <f t="shared" si="178"/>
        <v>7-Dépenses</v>
      </c>
      <c r="R277" s="653" t="str">
        <f t="shared" si="179"/>
        <v>6151</v>
      </c>
      <c r="S277" s="654" t="str">
        <f t="shared" si="180"/>
        <v>_</v>
      </c>
      <c r="T277" s="656" t="str">
        <f>+VLOOKUP($L277,Data_Validation!$A:$D,1,0)</f>
        <v>6151</v>
      </c>
      <c r="U277" s="656" t="str">
        <f>+VLOOKUP($L277,Data_Validation!$A:$D,3,0)</f>
        <v>Véhicules neufs</v>
      </c>
      <c r="V277" s="656" t="str">
        <f>+VLOOKUP($L277,Data_Validation!$A:$D,4,0)</f>
        <v>Informatique</v>
      </c>
      <c r="W277" s="656" t="str">
        <f>+VLOOKUP($L277,Data_Validation!$A:$E,5,0)</f>
        <v>$</v>
      </c>
      <c r="X277" s="656">
        <f>+VLOOKUP($L277,Data_Validation!$A:$F,6,0)</f>
        <v>0</v>
      </c>
    </row>
    <row r="278" spans="1:24" ht="15" customHeight="1">
      <c r="A278" s="1255" t="s">
        <v>1199</v>
      </c>
      <c r="B278" s="1255" t="s">
        <v>1200</v>
      </c>
      <c r="C278" s="1257">
        <v>1804.84</v>
      </c>
      <c r="D278" s="1257">
        <v>1047.3499999999999</v>
      </c>
      <c r="E278" s="1257">
        <v>2852.19</v>
      </c>
      <c r="F278" s="1255" t="s">
        <v>1154</v>
      </c>
      <c r="G278" s="1255" t="s">
        <v>1200</v>
      </c>
      <c r="H278" s="1255" t="s">
        <v>3950</v>
      </c>
      <c r="I278" s="670"/>
      <c r="J278" s="651"/>
      <c r="K278" s="670"/>
      <c r="L278" s="653" t="str">
        <f t="shared" si="176"/>
        <v>6152</v>
      </c>
      <c r="M278" s="654" t="str">
        <f t="shared" si="177"/>
        <v>PAPETERIE</v>
      </c>
      <c r="N278" s="655">
        <f>+IF(OR($Q278=Parametres!$G$2,$Q278=Parametres!$G$3),I278,C278)</f>
        <v>1804.84</v>
      </c>
      <c r="O278" s="659">
        <f>+IF(OR($Q278=Parametres!$G$2,$Q278=Parametres!$G$3),J278,D278)</f>
        <v>1047.3499999999999</v>
      </c>
      <c r="P278" s="655">
        <f>+IF(OR($Q278=Parametres!$G$2,$Q278=Parametres!$G$3),K278,E278)</f>
        <v>2852.19</v>
      </c>
      <c r="Q278" s="654" t="str">
        <f t="shared" si="178"/>
        <v>7-Dépenses</v>
      </c>
      <c r="R278" s="653" t="str">
        <f t="shared" si="179"/>
        <v>6152</v>
      </c>
      <c r="S278" s="654" t="str">
        <f t="shared" si="180"/>
        <v>_</v>
      </c>
      <c r="T278" s="656" t="str">
        <f>+VLOOKUP($L278,Data_Validation!$A:$D,1,0)</f>
        <v>6152</v>
      </c>
      <c r="U278" s="656" t="str">
        <f>+VLOOKUP($L278,Data_Validation!$A:$D,3,0)</f>
        <v>Véhicules neufs</v>
      </c>
      <c r="V278" s="656" t="str">
        <f>+VLOOKUP($L278,Data_Validation!$A:$D,4,0)</f>
        <v>Papeterie</v>
      </c>
      <c r="W278" s="656" t="str">
        <f>+VLOOKUP($L278,Data_Validation!$A:$E,5,0)</f>
        <v>$</v>
      </c>
      <c r="X278" s="656">
        <f>+VLOOKUP($L278,Data_Validation!$A:$F,6,0)</f>
        <v>0</v>
      </c>
    </row>
    <row r="279" spans="1:24" ht="15.75" customHeight="1">
      <c r="A279" s="1255" t="s">
        <v>1201</v>
      </c>
      <c r="B279" s="1255" t="s">
        <v>1202</v>
      </c>
      <c r="C279" s="1257">
        <v>1693.46</v>
      </c>
      <c r="D279" s="1257">
        <v>471.73</v>
      </c>
      <c r="E279" s="1257">
        <v>2165.19</v>
      </c>
      <c r="F279" s="1255" t="s">
        <v>1154</v>
      </c>
      <c r="G279" s="1255" t="s">
        <v>1202</v>
      </c>
      <c r="H279" s="1255" t="s">
        <v>3950</v>
      </c>
      <c r="I279" s="652"/>
      <c r="J279" s="652"/>
      <c r="K279" s="652"/>
      <c r="L279" s="653" t="str">
        <f t="shared" si="176"/>
        <v>6153</v>
      </c>
      <c r="M279" s="654" t="str">
        <f t="shared" si="177"/>
        <v>TELEPHONE ET TELEX</v>
      </c>
      <c r="N279" s="655">
        <f>+IF(OR($Q279=Parametres!$G$2,$Q279=Parametres!$G$3),I279,C279)</f>
        <v>1693.46</v>
      </c>
      <c r="O279" s="659">
        <f>+IF(OR($Q279=Parametres!$G$2,$Q279=Parametres!$G$3),J279,D279)</f>
        <v>471.73</v>
      </c>
      <c r="P279" s="655">
        <f>+IF(OR($Q279=Parametres!$G$2,$Q279=Parametres!$G$3),K279,E279)</f>
        <v>2165.19</v>
      </c>
      <c r="Q279" s="654" t="str">
        <f t="shared" si="178"/>
        <v>7-Dépenses</v>
      </c>
      <c r="R279" s="653" t="str">
        <f t="shared" si="179"/>
        <v>6153</v>
      </c>
      <c r="S279" s="654" t="str">
        <f t="shared" si="180"/>
        <v>_</v>
      </c>
      <c r="T279" s="656" t="str">
        <f>+VLOOKUP($L279,Data_Validation!$A:$D,1,0)</f>
        <v>6153</v>
      </c>
      <c r="U279" s="656" t="str">
        <f>+VLOOKUP($L279,Data_Validation!$A:$D,3,0)</f>
        <v>Véhicules neufs</v>
      </c>
      <c r="V279" s="656" t="str">
        <f>+VLOOKUP($L279,Data_Validation!$A:$D,4,0)</f>
        <v>Téléphone</v>
      </c>
      <c r="W279" s="656" t="str">
        <f>+VLOOKUP($L279,Data_Validation!$A:$E,5,0)</f>
        <v>$</v>
      </c>
      <c r="X279" s="656">
        <f>+VLOOKUP($L279,Data_Validation!$A:$F,6,0)</f>
        <v>0</v>
      </c>
    </row>
    <row r="280" spans="1:24" ht="15" customHeight="1">
      <c r="A280" s="1255" t="s">
        <v>1203</v>
      </c>
      <c r="B280" s="1255" t="s">
        <v>1204</v>
      </c>
      <c r="C280" s="1257">
        <v>352.92</v>
      </c>
      <c r="D280" s="1257">
        <v>111.68</v>
      </c>
      <c r="E280" s="1257">
        <v>464.6</v>
      </c>
      <c r="F280" s="1255" t="s">
        <v>1154</v>
      </c>
      <c r="G280" s="1255" t="s">
        <v>1204</v>
      </c>
      <c r="H280" s="1255" t="s">
        <v>3950</v>
      </c>
      <c r="I280" s="652"/>
      <c r="J280" s="652"/>
      <c r="K280" s="652"/>
      <c r="L280" s="653" t="str">
        <f t="shared" si="176"/>
        <v>6155</v>
      </c>
      <c r="M280" s="654" t="str">
        <f t="shared" si="177"/>
        <v>DEPENSES DIVERS</v>
      </c>
      <c r="N280" s="655">
        <f>+IF(OR($Q280=Parametres!$G$2,$Q280=Parametres!$G$3),I280,C280)</f>
        <v>352.92</v>
      </c>
      <c r="O280" s="655">
        <f>+IF(OR($Q280=Parametres!$G$2,$Q280=Parametres!$G$3),J280,D280)</f>
        <v>111.68</v>
      </c>
      <c r="P280" s="655">
        <f>+IF(OR($Q280=Parametres!$G$2,$Q280=Parametres!$G$3),K280,E280)</f>
        <v>464.6</v>
      </c>
      <c r="Q280" s="654" t="str">
        <f t="shared" si="178"/>
        <v>7-Dépenses</v>
      </c>
      <c r="R280" s="653" t="str">
        <f t="shared" si="179"/>
        <v>6155</v>
      </c>
      <c r="S280" s="654" t="str">
        <f t="shared" si="180"/>
        <v>_</v>
      </c>
      <c r="T280" s="656" t="str">
        <f>+VLOOKUP($L280,Data_Validation!$A:$D,1,0)</f>
        <v>6155</v>
      </c>
      <c r="U280" s="656" t="str">
        <f>+VLOOKUP($L280,Data_Validation!$A:$D,3,0)</f>
        <v>Véhicules neufs</v>
      </c>
      <c r="V280" s="656" t="str">
        <f>+VLOOKUP($L280,Data_Validation!$A:$D,4,0)</f>
        <v>Divers</v>
      </c>
      <c r="W280" s="656" t="str">
        <f>+VLOOKUP($L280,Data_Validation!$A:$E,5,0)</f>
        <v>$</v>
      </c>
      <c r="X280" s="656">
        <f>+VLOOKUP($L280,Data_Validation!$A:$F,6,0)</f>
        <v>0</v>
      </c>
    </row>
    <row r="281" spans="1:24" ht="15" customHeight="1">
      <c r="A281" s="1255" t="s">
        <v>1205</v>
      </c>
      <c r="B281" s="1255" t="s">
        <v>1206</v>
      </c>
      <c r="C281" s="1257">
        <v>5368.37</v>
      </c>
      <c r="D281" s="1257">
        <v>1778.24</v>
      </c>
      <c r="E281" s="1257">
        <v>7146.61</v>
      </c>
      <c r="F281" s="1255" t="s">
        <v>1154</v>
      </c>
      <c r="G281" s="1255" t="s">
        <v>1206</v>
      </c>
      <c r="H281" s="1255" t="s">
        <v>3950</v>
      </c>
      <c r="I281" s="670"/>
      <c r="J281" s="660"/>
      <c r="K281" s="670"/>
      <c r="L281" s="653" t="str">
        <f t="shared" si="176"/>
        <v>6156</v>
      </c>
      <c r="M281" s="668" t="str">
        <f t="shared" si="177"/>
        <v>FRAIS REPRESENTATION - NEUF</v>
      </c>
      <c r="N281" s="655">
        <f>+IF(OR($Q281=Parametres!$G$2,$Q281=Parametres!$G$3),I281,C281)</f>
        <v>5368.37</v>
      </c>
      <c r="O281" s="659">
        <f>+IF(OR($Q281=Parametres!$G$2,$Q281=Parametres!$G$3),J281,D281)</f>
        <v>1778.24</v>
      </c>
      <c r="P281" s="669">
        <f>+IF(OR($Q281=Parametres!$G$2,$Q281=Parametres!$G$3),K281,E281)</f>
        <v>7146.61</v>
      </c>
      <c r="Q281" s="654" t="str">
        <f t="shared" si="178"/>
        <v>7-Dépenses</v>
      </c>
      <c r="R281" s="653" t="str">
        <f t="shared" si="179"/>
        <v>6156</v>
      </c>
      <c r="S281" s="654" t="str">
        <f t="shared" si="180"/>
        <v>_</v>
      </c>
      <c r="T281" s="656" t="str">
        <f>+VLOOKUP($L281,Data_Validation!$A:$D,1,0)</f>
        <v>6156</v>
      </c>
      <c r="U281" s="656" t="str">
        <f>+VLOOKUP($L281,Data_Validation!$A:$D,3,0)</f>
        <v>Véhicules neufs</v>
      </c>
      <c r="V281" s="656" t="str">
        <f>+VLOOKUP($L281,Data_Validation!$A:$D,4,0)</f>
        <v>Frais de déplacement</v>
      </c>
      <c r="W281" s="656" t="str">
        <f>+VLOOKUP($L281,Data_Validation!$A:$E,5,0)</f>
        <v>$</v>
      </c>
      <c r="X281" s="656">
        <f>+VLOOKUP($L281,Data_Validation!$A:$F,6,0)</f>
        <v>0</v>
      </c>
    </row>
    <row r="282" spans="1:24" ht="15" customHeight="1">
      <c r="A282" s="1255" t="s">
        <v>1207</v>
      </c>
      <c r="B282" s="1255" t="s">
        <v>3388</v>
      </c>
      <c r="C282" s="1257">
        <v>13296.56</v>
      </c>
      <c r="D282" s="1257">
        <v>4559.6400000000003</v>
      </c>
      <c r="E282" s="1257">
        <v>17856.2</v>
      </c>
      <c r="F282" s="1255" t="s">
        <v>1154</v>
      </c>
      <c r="G282" s="1255" t="s">
        <v>1208</v>
      </c>
      <c r="H282" s="1255" t="s">
        <v>3950</v>
      </c>
      <c r="I282" s="652"/>
      <c r="J282" s="652"/>
      <c r="K282" s="652"/>
      <c r="L282" s="653" t="str">
        <f t="shared" si="176"/>
        <v>6157</v>
      </c>
      <c r="M282" s="654" t="str">
        <f t="shared" si="177"/>
        <v>FRAIS BANCAIRES - NEUF</v>
      </c>
      <c r="N282" s="655">
        <f>+IF(OR($Q282=Parametres!$G$2,$Q282=Parametres!$G$3),I282,C282)</f>
        <v>13296.56</v>
      </c>
      <c r="O282" s="655">
        <f>+IF(OR($Q282=Parametres!$G$2,$Q282=Parametres!$G$3),J282,D282)</f>
        <v>4559.6400000000003</v>
      </c>
      <c r="P282" s="655">
        <f>+IF(OR($Q282=Parametres!$G$2,$Q282=Parametres!$G$3),K282,E282)</f>
        <v>17856.2</v>
      </c>
      <c r="Q282" s="654" t="str">
        <f t="shared" si="178"/>
        <v>7-Dépenses</v>
      </c>
      <c r="R282" s="653" t="str">
        <f t="shared" si="179"/>
        <v>615</v>
      </c>
      <c r="S282" s="654" t="str">
        <f t="shared" si="180"/>
        <v>_</v>
      </c>
      <c r="T282" s="656" t="str">
        <f>+VLOOKUP($L282,Data_Validation!$A:$D,1,0)</f>
        <v>6157</v>
      </c>
      <c r="U282" s="656" t="str">
        <f>+VLOOKUP($L282,Data_Validation!$A:$D,3,0)</f>
        <v>Véhicules neufs</v>
      </c>
      <c r="V282" s="656" t="str">
        <f>+VLOOKUP($L282,Data_Validation!$A:$D,4,0)</f>
        <v>Frais bancaires</v>
      </c>
      <c r="W282" s="656" t="str">
        <f>+VLOOKUP($L282,Data_Validation!$A:$E,5,0)</f>
        <v>$</v>
      </c>
      <c r="X282" s="656">
        <f>+VLOOKUP($L282,Data_Validation!$A:$F,6,0)</f>
        <v>0</v>
      </c>
    </row>
    <row r="283" spans="1:24" ht="15.75" customHeight="1">
      <c r="A283" s="1255" t="s">
        <v>1209</v>
      </c>
      <c r="B283" s="1255" t="s">
        <v>1210</v>
      </c>
      <c r="C283" s="1257">
        <v>33315.26</v>
      </c>
      <c r="D283" s="1257">
        <v>7261.42</v>
      </c>
      <c r="E283" s="1257">
        <v>40576.68</v>
      </c>
      <c r="F283" s="1255" t="s">
        <v>1154</v>
      </c>
      <c r="G283" s="1255" t="s">
        <v>1210</v>
      </c>
      <c r="H283" s="1255" t="s">
        <v>3950</v>
      </c>
      <c r="I283" s="663"/>
      <c r="J283" s="663"/>
      <c r="K283" s="663"/>
      <c r="L283" s="653" t="str">
        <f t="shared" si="176"/>
        <v>6159</v>
      </c>
      <c r="M283" s="654" t="str">
        <f t="shared" si="177"/>
        <v>SERVICE EXTERIEUR</v>
      </c>
      <c r="N283" s="655">
        <f>+IF(OR($Q283=Parametres!$G$2,$Q283=Parametres!$G$3),I283,C283)</f>
        <v>33315.26</v>
      </c>
      <c r="O283" s="655">
        <f>+IF(OR($Q283=Parametres!$G$2,$Q283=Parametres!$G$3),J283,D283)</f>
        <v>7261.42</v>
      </c>
      <c r="P283" s="655">
        <f>+IF(OR($Q283=Parametres!$G$2,$Q283=Parametres!$G$3),K283,E283)</f>
        <v>40576.68</v>
      </c>
      <c r="Q283" s="654" t="str">
        <f t="shared" si="178"/>
        <v>7-Dépenses</v>
      </c>
      <c r="R283" s="653" t="str">
        <f t="shared" si="179"/>
        <v>6159</v>
      </c>
      <c r="S283" s="654" t="str">
        <f t="shared" si="180"/>
        <v>_</v>
      </c>
      <c r="T283" s="656" t="str">
        <f>+VLOOKUP($L283,Data_Validation!$A:$D,1,0)</f>
        <v>6159</v>
      </c>
      <c r="U283" s="656" t="str">
        <f>+VLOOKUP($L283,Data_Validation!$A:$D,3,0)</f>
        <v>Véhicules neufs</v>
      </c>
      <c r="V283" s="656" t="str">
        <f>+VLOOKUP($L283,Data_Validation!$A:$D,4,0)</f>
        <v>Services extérieurs</v>
      </c>
      <c r="W283" s="656" t="str">
        <f>+VLOOKUP($L283,Data_Validation!$A:$E,5,0)</f>
        <v>$</v>
      </c>
      <c r="X283" s="656">
        <f>+VLOOKUP($L283,Data_Validation!$A:$F,6,0)</f>
        <v>0</v>
      </c>
    </row>
    <row r="284" spans="1:24" ht="15" customHeight="1">
      <c r="A284" s="1255" t="s">
        <v>1211</v>
      </c>
      <c r="B284" s="1255" t="s">
        <v>1212</v>
      </c>
      <c r="C284" s="1257">
        <v>54589.440000000002</v>
      </c>
      <c r="D284" s="1257">
        <v>13647.36</v>
      </c>
      <c r="E284" s="1257">
        <v>68236.800000000003</v>
      </c>
      <c r="F284" s="1255" t="s">
        <v>1154</v>
      </c>
      <c r="G284" s="1255" t="s">
        <v>1212</v>
      </c>
      <c r="H284" s="1255" t="s">
        <v>3950</v>
      </c>
      <c r="I284" s="651"/>
      <c r="J284" s="651"/>
      <c r="K284" s="670"/>
      <c r="L284" s="653" t="str">
        <f t="shared" si="176"/>
        <v>6161</v>
      </c>
      <c r="M284" s="654" t="str">
        <f t="shared" si="177"/>
        <v>DEPRECIATION EQUIP. &amp; FIXTURES</v>
      </c>
      <c r="N284" s="655">
        <f>+IF(OR($Q284=Parametres!$G$2,$Q284=Parametres!$G$3),I284,C284)</f>
        <v>54589.440000000002</v>
      </c>
      <c r="O284" s="659">
        <f>+IF(OR($Q284=Parametres!$G$2,$Q284=Parametres!$G$3),J284,D284)</f>
        <v>13647.36</v>
      </c>
      <c r="P284" s="655">
        <f>+IF(OR($Q284=Parametres!$G$2,$Q284=Parametres!$G$3),K284,E284)</f>
        <v>68236.800000000003</v>
      </c>
      <c r="Q284" s="654" t="str">
        <f t="shared" si="178"/>
        <v>7-Dépenses</v>
      </c>
      <c r="R284" s="653" t="str">
        <f t="shared" si="179"/>
        <v>6161</v>
      </c>
      <c r="S284" s="654" t="str">
        <f t="shared" si="180"/>
        <v>_</v>
      </c>
      <c r="T284" s="656" t="str">
        <f>+VLOOKUP($L284,Data_Validation!$A:$D,1,0)</f>
        <v>6161</v>
      </c>
      <c r="U284" s="656" t="str">
        <f>+VLOOKUP($L284,Data_Validation!$A:$D,3,0)</f>
        <v>Véhicules neufs</v>
      </c>
      <c r="V284" s="656" t="str">
        <f>+VLOOKUP($L284,Data_Validation!$A:$D,4,0)</f>
        <v>Amortissement</v>
      </c>
      <c r="W284" s="656" t="str">
        <f>+VLOOKUP($L284,Data_Validation!$A:$E,5,0)</f>
        <v>$</v>
      </c>
      <c r="X284" s="656">
        <f>+VLOOKUP($L284,Data_Validation!$A:$F,6,0)</f>
        <v>0</v>
      </c>
    </row>
    <row r="285" spans="1:24" ht="15" customHeight="1">
      <c r="A285" s="1255" t="s">
        <v>1213</v>
      </c>
      <c r="B285" s="1255" t="s">
        <v>1214</v>
      </c>
      <c r="C285" s="1257">
        <v>10362.9</v>
      </c>
      <c r="D285" s="1257">
        <v>1877.78</v>
      </c>
      <c r="E285" s="1257">
        <v>12240.68</v>
      </c>
      <c r="F285" s="1255" t="s">
        <v>1154</v>
      </c>
      <c r="G285" s="1255" t="s">
        <v>1214</v>
      </c>
      <c r="H285" s="1255" t="s">
        <v>3950</v>
      </c>
      <c r="I285" s="652"/>
      <c r="J285" s="652"/>
      <c r="K285" s="652"/>
      <c r="L285" s="653" t="str">
        <f t="shared" si="176"/>
        <v>6181</v>
      </c>
      <c r="M285" s="654" t="str">
        <f t="shared" si="177"/>
        <v>ELECTRICITE CHAUFFAGE</v>
      </c>
      <c r="N285" s="655">
        <f>+IF(OR($Q285=Parametres!$G$2,$Q285=Parametres!$G$3),I285,C285)</f>
        <v>10362.9</v>
      </c>
      <c r="O285" s="655">
        <f>+IF(OR($Q285=Parametres!$G$2,$Q285=Parametres!$G$3),J285,D285)</f>
        <v>1877.78</v>
      </c>
      <c r="P285" s="655">
        <f>+IF(OR($Q285=Parametres!$G$2,$Q285=Parametres!$G$3),K285,E285)</f>
        <v>12240.68</v>
      </c>
      <c r="Q285" s="654" t="str">
        <f t="shared" si="178"/>
        <v>7-Dépenses</v>
      </c>
      <c r="R285" s="653" t="str">
        <f t="shared" si="179"/>
        <v>6181</v>
      </c>
      <c r="S285" s="654" t="str">
        <f t="shared" si="180"/>
        <v>_</v>
      </c>
      <c r="T285" s="656" t="str">
        <f>+VLOOKUP($L285,Data_Validation!$A:$D,1,0)</f>
        <v>6181</v>
      </c>
      <c r="U285" s="656" t="str">
        <f>+VLOOKUP($L285,Data_Validation!$A:$D,3,0)</f>
        <v>Véhicules neufs</v>
      </c>
      <c r="V285" s="656" t="str">
        <f>+VLOOKUP($L285,Data_Validation!$A:$D,4,0)</f>
        <v>Chauffage, éclairage</v>
      </c>
      <c r="W285" s="656" t="str">
        <f>+VLOOKUP($L285,Data_Validation!$A:$E,5,0)</f>
        <v>$</v>
      </c>
      <c r="X285" s="656">
        <f>+VLOOKUP($L285,Data_Validation!$A:$F,6,0)</f>
        <v>0</v>
      </c>
    </row>
    <row r="286" spans="1:24" ht="15" customHeight="1">
      <c r="A286" s="1255" t="s">
        <v>1215</v>
      </c>
      <c r="B286" s="1255" t="s">
        <v>1216</v>
      </c>
      <c r="C286" s="1257">
        <v>46080</v>
      </c>
      <c r="D286" s="1257">
        <v>11520</v>
      </c>
      <c r="E286" s="1257">
        <v>57600</v>
      </c>
      <c r="F286" s="1255" t="s">
        <v>1154</v>
      </c>
      <c r="G286" s="1255" t="s">
        <v>1216</v>
      </c>
      <c r="H286" s="1255" t="s">
        <v>3950</v>
      </c>
      <c r="I286" s="652"/>
      <c r="J286" s="652"/>
      <c r="K286" s="652"/>
      <c r="L286" s="653" t="str">
        <f t="shared" si="176"/>
        <v>6182</v>
      </c>
      <c r="M286" s="654" t="str">
        <f t="shared" si="177"/>
        <v>LOYER NEUFS</v>
      </c>
      <c r="N286" s="655">
        <f>+IF(OR($Q286=Parametres!$G$2,$Q286=Parametres!$G$3),I286,C286)</f>
        <v>46080</v>
      </c>
      <c r="O286" s="659">
        <f>+IF(OR($Q286=Parametres!$G$2,$Q286=Parametres!$G$3),J286,D286)</f>
        <v>11520</v>
      </c>
      <c r="P286" s="655">
        <f>+IF(OR($Q286=Parametres!$G$2,$Q286=Parametres!$G$3),K286,E286)</f>
        <v>57600</v>
      </c>
      <c r="Q286" s="654" t="str">
        <f t="shared" si="178"/>
        <v>7-Dépenses</v>
      </c>
      <c r="R286" s="653" t="str">
        <f t="shared" si="179"/>
        <v>6182</v>
      </c>
      <c r="S286" s="654" t="str">
        <f t="shared" si="180"/>
        <v>_</v>
      </c>
      <c r="T286" s="656" t="str">
        <f>+VLOOKUP($L286,Data_Validation!$A:$D,1,0)</f>
        <v>6182</v>
      </c>
      <c r="U286" s="656" t="str">
        <f>+VLOOKUP($L286,Data_Validation!$A:$D,3,0)</f>
        <v>Véhicules neufs</v>
      </c>
      <c r="V286" s="656" t="str">
        <f>+VLOOKUP($L286,Data_Validation!$A:$D,4,0)</f>
        <v>Loyer</v>
      </c>
      <c r="W286" s="656" t="str">
        <f>+VLOOKUP($L286,Data_Validation!$A:$E,5,0)</f>
        <v>$</v>
      </c>
      <c r="X286" s="656">
        <f>+VLOOKUP($L286,Data_Validation!$A:$F,6,0)</f>
        <v>0</v>
      </c>
    </row>
    <row r="287" spans="1:24" ht="15.75" customHeight="1">
      <c r="A287" s="1255" t="s">
        <v>1217</v>
      </c>
      <c r="B287" s="1255" t="s">
        <v>1218</v>
      </c>
      <c r="C287" s="1257">
        <v>5560.64</v>
      </c>
      <c r="D287" s="1257">
        <v>1390.16</v>
      </c>
      <c r="E287" s="1257">
        <v>6950.8</v>
      </c>
      <c r="F287" s="1255" t="s">
        <v>1154</v>
      </c>
      <c r="G287" s="1255" t="s">
        <v>1218</v>
      </c>
      <c r="H287" s="1255" t="s">
        <v>3950</v>
      </c>
      <c r="I287" s="652"/>
      <c r="J287" s="652"/>
      <c r="K287" s="652"/>
      <c r="L287" s="653" t="str">
        <f t="shared" si="176"/>
        <v>6186</v>
      </c>
      <c r="M287" s="654" t="str">
        <f t="shared" si="177"/>
        <v>ASSURANCE BATIMENT</v>
      </c>
      <c r="N287" s="655">
        <f>+IF(OR($Q287=Parametres!$G$2,$Q287=Parametres!$G$3),I287,C287)</f>
        <v>5560.64</v>
      </c>
      <c r="O287" s="655">
        <f>+IF(OR($Q287=Parametres!$G$2,$Q287=Parametres!$G$3),J287,D287)</f>
        <v>1390.16</v>
      </c>
      <c r="P287" s="655">
        <f>+IF(OR($Q287=Parametres!$G$2,$Q287=Parametres!$G$3),K287,E287)</f>
        <v>6950.8</v>
      </c>
      <c r="Q287" s="654" t="str">
        <f t="shared" si="178"/>
        <v>7-Dépenses</v>
      </c>
      <c r="R287" s="653" t="str">
        <f t="shared" si="179"/>
        <v>6186</v>
      </c>
      <c r="S287" s="654" t="str">
        <f t="shared" si="180"/>
        <v>_</v>
      </c>
      <c r="T287" s="656" t="str">
        <f>+VLOOKUP($L287,Data_Validation!$A:$D,1,0)</f>
        <v>6186</v>
      </c>
      <c r="U287" s="656" t="str">
        <f>+VLOOKUP($L287,Data_Validation!$A:$D,3,0)</f>
        <v>Véhicules neufs</v>
      </c>
      <c r="V287" s="656" t="str">
        <f>+VLOOKUP($L287,Data_Validation!$A:$D,4,0)</f>
        <v>Assurances</v>
      </c>
      <c r="W287" s="656" t="str">
        <f>+VLOOKUP($L287,Data_Validation!$A:$E,5,0)</f>
        <v>$</v>
      </c>
      <c r="X287" s="656">
        <f>+VLOOKUP($L287,Data_Validation!$A:$F,6,0)</f>
        <v>0</v>
      </c>
    </row>
    <row r="288" spans="1:24" ht="15" customHeight="1">
      <c r="A288" s="1255" t="s">
        <v>1219</v>
      </c>
      <c r="B288" s="1255" t="s">
        <v>1220</v>
      </c>
      <c r="C288" s="1257">
        <v>6941.44</v>
      </c>
      <c r="D288" s="1257">
        <v>1735.36</v>
      </c>
      <c r="E288" s="1257">
        <v>8676.7999999999993</v>
      </c>
      <c r="F288" s="1255" t="s">
        <v>1154</v>
      </c>
      <c r="G288" s="1255" t="s">
        <v>1220</v>
      </c>
      <c r="H288" s="1255" t="s">
        <v>3950</v>
      </c>
      <c r="I288" s="663"/>
      <c r="J288" s="663"/>
      <c r="K288" s="663"/>
      <c r="L288" s="653" t="str">
        <f t="shared" si="176"/>
        <v>6187</v>
      </c>
      <c r="M288" s="654" t="str">
        <f t="shared" si="177"/>
        <v>TAXE SUR PROPRIETE</v>
      </c>
      <c r="N288" s="655">
        <f>+IF(OR($Q288=Parametres!$G$2,$Q288=Parametres!$G$3),I288,C288)</f>
        <v>6941.44</v>
      </c>
      <c r="O288" s="655">
        <f>+IF(OR($Q288=Parametres!$G$2,$Q288=Parametres!$G$3),J288,D288)</f>
        <v>1735.36</v>
      </c>
      <c r="P288" s="655">
        <f>+IF(OR($Q288=Parametres!$G$2,$Q288=Parametres!$G$3),K288,E288)</f>
        <v>8676.7999999999993</v>
      </c>
      <c r="Q288" s="654" t="str">
        <f t="shared" si="178"/>
        <v>7-Dépenses</v>
      </c>
      <c r="R288" s="653" t="str">
        <f t="shared" si="179"/>
        <v>6187</v>
      </c>
      <c r="S288" s="654" t="str">
        <f t="shared" si="180"/>
        <v>_</v>
      </c>
      <c r="T288" s="656" t="str">
        <f>+VLOOKUP($L288,Data_Validation!$A:$D,1,0)</f>
        <v>6187</v>
      </c>
      <c r="U288" s="656" t="str">
        <f>+VLOOKUP($L288,Data_Validation!$A:$D,3,0)</f>
        <v>Véhicules neufs</v>
      </c>
      <c r="V288" s="656" t="str">
        <f>+VLOOKUP($L288,Data_Validation!$A:$D,4,0)</f>
        <v>Taxes foncières</v>
      </c>
      <c r="W288" s="656" t="str">
        <f>+VLOOKUP($L288,Data_Validation!$A:$E,5,0)</f>
        <v>$</v>
      </c>
      <c r="X288" s="656">
        <f>+VLOOKUP($L288,Data_Validation!$A:$F,6,0)</f>
        <v>0</v>
      </c>
    </row>
    <row r="289" spans="1:24" ht="15" customHeight="1">
      <c r="A289" s="1255" t="s">
        <v>1221</v>
      </c>
      <c r="B289" s="1255" t="s">
        <v>1222</v>
      </c>
      <c r="C289" s="1257">
        <v>5451.52</v>
      </c>
      <c r="D289" s="1257">
        <v>1154.8800000000001</v>
      </c>
      <c r="E289" s="1257">
        <v>6606.4</v>
      </c>
      <c r="F289" s="1255" t="s">
        <v>1154</v>
      </c>
      <c r="G289" s="1255" t="s">
        <v>1222</v>
      </c>
      <c r="H289" s="1255" t="s">
        <v>3950</v>
      </c>
      <c r="I289" s="670"/>
      <c r="J289" s="651"/>
      <c r="K289" s="670"/>
      <c r="L289" s="653" t="str">
        <f t="shared" si="176"/>
        <v>6193</v>
      </c>
      <c r="M289" s="654" t="str">
        <f t="shared" si="177"/>
        <v>TAXES AUTRES PERMIS LICENCE</v>
      </c>
      <c r="N289" s="655">
        <f>+IF(OR($Q289=Parametres!$G$2,$Q289=Parametres!$G$3),I289,C289)</f>
        <v>5451.52</v>
      </c>
      <c r="O289" s="655">
        <f>+IF(OR($Q289=Parametres!$G$2,$Q289=Parametres!$G$3),J289,D289)</f>
        <v>1154.8800000000001</v>
      </c>
      <c r="P289" s="655">
        <f>+IF(OR($Q289=Parametres!$G$2,$Q289=Parametres!$G$3),K289,E289)</f>
        <v>6606.4</v>
      </c>
      <c r="Q289" s="654" t="str">
        <f t="shared" si="178"/>
        <v>7-Dépenses</v>
      </c>
      <c r="R289" s="653" t="str">
        <f t="shared" si="179"/>
        <v>6193</v>
      </c>
      <c r="S289" s="654" t="str">
        <f t="shared" si="180"/>
        <v>_</v>
      </c>
      <c r="T289" s="656" t="str">
        <f>+VLOOKUP($L289,Data_Validation!$A:$D,1,0)</f>
        <v>6193</v>
      </c>
      <c r="U289" s="656" t="str">
        <f>+VLOOKUP($L289,Data_Validation!$A:$D,3,0)</f>
        <v>Véhicules neufs</v>
      </c>
      <c r="V289" s="656" t="str">
        <f>+VLOOKUP($L289,Data_Validation!$A:$D,4,0)</f>
        <v>Taxes d`affaires</v>
      </c>
      <c r="W289" s="656" t="str">
        <f>+VLOOKUP($L289,Data_Validation!$A:$E,5,0)</f>
        <v>$</v>
      </c>
      <c r="X289" s="656">
        <f>+VLOOKUP($L289,Data_Validation!$A:$F,6,0)</f>
        <v>0</v>
      </c>
    </row>
    <row r="290" spans="1:24" ht="15" customHeight="1">
      <c r="A290" s="1255" t="s">
        <v>1223</v>
      </c>
      <c r="B290" s="1255" t="s">
        <v>1224</v>
      </c>
      <c r="C290" s="1257">
        <v>8675.6299999999992</v>
      </c>
      <c r="D290" s="1257">
        <v>2646.71</v>
      </c>
      <c r="E290" s="1257">
        <v>11322.34</v>
      </c>
      <c r="F290" s="1255" t="s">
        <v>1154</v>
      </c>
      <c r="G290" s="1255" t="s">
        <v>1224</v>
      </c>
      <c r="H290" s="1255" t="s">
        <v>3950</v>
      </c>
      <c r="I290" s="652"/>
      <c r="J290" s="652"/>
      <c r="K290" s="652"/>
      <c r="L290" s="653" t="str">
        <f t="shared" si="176"/>
        <v>6194</v>
      </c>
      <c r="M290" s="654" t="str">
        <f t="shared" si="177"/>
        <v>HONORAIRES PROFESSIONNELS</v>
      </c>
      <c r="N290" s="655">
        <f>+IF(OR($Q290=Parametres!$G$2,$Q290=Parametres!$G$3),I290,C290)</f>
        <v>8675.6299999999992</v>
      </c>
      <c r="O290" s="655">
        <f>+IF(OR($Q290=Parametres!$G$2,$Q290=Parametres!$G$3),J290,D290)</f>
        <v>2646.71</v>
      </c>
      <c r="P290" s="655">
        <f>+IF(OR($Q290=Parametres!$G$2,$Q290=Parametres!$G$3),K290,E290)</f>
        <v>11322.34</v>
      </c>
      <c r="Q290" s="654" t="str">
        <f t="shared" si="178"/>
        <v>7-Dépenses</v>
      </c>
      <c r="R290" s="653" t="str">
        <f t="shared" si="179"/>
        <v>6194</v>
      </c>
      <c r="S290" s="654" t="str">
        <f t="shared" si="180"/>
        <v>_</v>
      </c>
      <c r="T290" s="656" t="str">
        <f>+VLOOKUP($L290,Data_Validation!$A:$D,1,0)</f>
        <v>6194</v>
      </c>
      <c r="U290" s="656" t="str">
        <f>+VLOOKUP($L290,Data_Validation!$A:$D,3,0)</f>
        <v>Véhicules neufs</v>
      </c>
      <c r="V290" s="656" t="str">
        <f>+VLOOKUP($L290,Data_Validation!$A:$D,4,0)</f>
        <v>Honoraires</v>
      </c>
      <c r="W290" s="656" t="str">
        <f>+VLOOKUP($L290,Data_Validation!$A:$E,5,0)</f>
        <v>$</v>
      </c>
      <c r="X290" s="656">
        <f>+VLOOKUP($L290,Data_Validation!$A:$F,6,0)</f>
        <v>0</v>
      </c>
    </row>
    <row r="291" spans="1:24" ht="15.75" customHeight="1">
      <c r="A291" s="1255" t="s">
        <v>1225</v>
      </c>
      <c r="B291" s="1255" t="s">
        <v>2319</v>
      </c>
      <c r="C291" s="1257">
        <v>46832.78</v>
      </c>
      <c r="D291" s="1257">
        <v>12629.27</v>
      </c>
      <c r="E291" s="1257">
        <v>59462.05</v>
      </c>
      <c r="F291" s="1255" t="s">
        <v>1154</v>
      </c>
      <c r="G291" s="1255" t="s">
        <v>1155</v>
      </c>
      <c r="H291" s="1255" t="s">
        <v>3950</v>
      </c>
      <c r="I291" s="651"/>
      <c r="J291" s="651"/>
      <c r="K291" s="670"/>
      <c r="L291" s="653" t="str">
        <f t="shared" si="176"/>
        <v>6201</v>
      </c>
      <c r="M291" s="654" t="str">
        <f t="shared" si="177"/>
        <v>COMMISSION USAGES</v>
      </c>
      <c r="N291" s="655">
        <f>+IF(OR($Q291=Parametres!$G$2,$Q291=Parametres!$G$3),I291,C291)</f>
        <v>46832.78</v>
      </c>
      <c r="O291" s="659">
        <f>+IF(OR($Q291=Parametres!$G$2,$Q291=Parametres!$G$3),J291,D291)</f>
        <v>12629.27</v>
      </c>
      <c r="P291" s="655">
        <f>+IF(OR($Q291=Parametres!$G$2,$Q291=Parametres!$G$3),K291,E291)</f>
        <v>59462.05</v>
      </c>
      <c r="Q291" s="654" t="str">
        <f t="shared" si="178"/>
        <v>7-Dépenses</v>
      </c>
      <c r="R291" s="653" t="str">
        <f t="shared" si="179"/>
        <v>6101</v>
      </c>
      <c r="S291" s="654" t="str">
        <f t="shared" si="180"/>
        <v>_</v>
      </c>
      <c r="T291" s="656" t="str">
        <f>+VLOOKUP($L291,Data_Validation!$A:$D,1,0)</f>
        <v>6201</v>
      </c>
      <c r="U291" s="656" t="str">
        <f>+VLOOKUP($L291,Data_Validation!$A:$D,3,0)</f>
        <v>Véhicules usagés</v>
      </c>
      <c r="V291" s="656" t="str">
        <f>+VLOOKUP($L291,Data_Validation!$A:$D,4,0)</f>
        <v>Comm. vendeurs</v>
      </c>
      <c r="W291" s="656" t="str">
        <f>+VLOOKUP($L291,Data_Validation!$A:$E,5,0)</f>
        <v>$</v>
      </c>
      <c r="X291" s="656">
        <f>+VLOOKUP($L291,Data_Validation!$A:$F,6,0)</f>
        <v>0</v>
      </c>
    </row>
    <row r="292" spans="1:24" ht="15" customHeight="1">
      <c r="A292" s="1255" t="s">
        <v>1156</v>
      </c>
      <c r="B292" s="1255" t="s">
        <v>2322</v>
      </c>
      <c r="C292" s="1257">
        <v>54048.06</v>
      </c>
      <c r="D292" s="1257">
        <v>18252.73</v>
      </c>
      <c r="E292" s="1257">
        <v>72300.789999999994</v>
      </c>
      <c r="F292" s="1255" t="s">
        <v>1154</v>
      </c>
      <c r="G292" s="1255" t="s">
        <v>1157</v>
      </c>
      <c r="H292" s="1255" t="s">
        <v>3950</v>
      </c>
      <c r="I292" s="652"/>
      <c r="J292" s="652"/>
      <c r="K292" s="652"/>
      <c r="L292" s="653" t="str">
        <f t="shared" si="176"/>
        <v>6202</v>
      </c>
      <c r="M292" s="654" t="str">
        <f t="shared" si="177"/>
        <v>RENUMERATION F &amp; I</v>
      </c>
      <c r="N292" s="655">
        <f>+IF(OR($Q292=Parametres!$G$2,$Q292=Parametres!$G$3),I292,C292)</f>
        <v>54048.06</v>
      </c>
      <c r="O292" s="655">
        <f>+IF(OR($Q292=Parametres!$G$2,$Q292=Parametres!$G$3),J292,D292)</f>
        <v>18252.73</v>
      </c>
      <c r="P292" s="655">
        <f>+IF(OR($Q292=Parametres!$G$2,$Q292=Parametres!$G$3),K292,E292)</f>
        <v>72300.789999999994</v>
      </c>
      <c r="Q292" s="654" t="str">
        <f t="shared" si="178"/>
        <v>7-Dépenses</v>
      </c>
      <c r="R292" s="653" t="str">
        <f t="shared" si="179"/>
        <v>6102</v>
      </c>
      <c r="S292" s="654" t="str">
        <f t="shared" si="180"/>
        <v>_</v>
      </c>
      <c r="T292" s="656" t="str">
        <f>+VLOOKUP($L292,Data_Validation!$A:$D,1,0)</f>
        <v>6202</v>
      </c>
      <c r="U292" s="656" t="str">
        <f>+VLOOKUP($L292,Data_Validation!$A:$D,3,0)</f>
        <v>Véhicules usagés</v>
      </c>
      <c r="V292" s="656" t="str">
        <f>+VLOOKUP($L292,Data_Validation!$A:$D,4,0)</f>
        <v>Comm. F&amp;I</v>
      </c>
      <c r="W292" s="656" t="str">
        <f>+VLOOKUP($L292,Data_Validation!$A:$E,5,0)</f>
        <v>$</v>
      </c>
      <c r="X292" s="656">
        <f>+VLOOKUP($L292,Data_Validation!$A:$F,6,0)</f>
        <v>0</v>
      </c>
    </row>
    <row r="293" spans="1:24" ht="15" customHeight="1">
      <c r="A293" s="1255" t="s">
        <v>1226</v>
      </c>
      <c r="B293" s="1255" t="s">
        <v>2325</v>
      </c>
      <c r="C293" s="1257">
        <v>3454.46</v>
      </c>
      <c r="D293" s="1257">
        <v>2691.69</v>
      </c>
      <c r="E293" s="1257">
        <v>6146.15</v>
      </c>
      <c r="F293" s="1255" t="s">
        <v>1154</v>
      </c>
      <c r="G293" s="1255" t="s">
        <v>1159</v>
      </c>
      <c r="H293" s="1255" t="s">
        <v>3950</v>
      </c>
      <c r="I293" s="651"/>
      <c r="J293" s="651"/>
      <c r="K293" s="651"/>
      <c r="L293" s="653" t="str">
        <f t="shared" si="176"/>
        <v>6203</v>
      </c>
      <c r="M293" s="654" t="str">
        <f t="shared" si="177"/>
        <v>RELAT. A LA CLIENTELLE &amp; AJUST</v>
      </c>
      <c r="N293" s="655">
        <f>+IF(OR($Q293=Parametres!$G$2,$Q293=Parametres!$G$3),I293,C293)</f>
        <v>3454.46</v>
      </c>
      <c r="O293" s="655">
        <f>+IF(OR($Q293=Parametres!$G$2,$Q293=Parametres!$G$3),J293,D293)</f>
        <v>2691.69</v>
      </c>
      <c r="P293" s="655">
        <f>+IF(OR($Q293=Parametres!$G$2,$Q293=Parametres!$G$3),K293,E293)</f>
        <v>6146.15</v>
      </c>
      <c r="Q293" s="654" t="str">
        <f t="shared" si="178"/>
        <v>7-Dépenses</v>
      </c>
      <c r="R293" s="653" t="str">
        <f t="shared" si="179"/>
        <v>6103</v>
      </c>
      <c r="S293" s="654" t="str">
        <f t="shared" si="180"/>
        <v>_</v>
      </c>
      <c r="T293" s="656" t="str">
        <f>+VLOOKUP($L293,Data_Validation!$A:$D,1,0)</f>
        <v>6203</v>
      </c>
      <c r="U293" s="656" t="str">
        <f>+VLOOKUP($L293,Data_Validation!$A:$D,3,0)</f>
        <v>Véhicules usagés</v>
      </c>
      <c r="V293" s="656" t="str">
        <f>+VLOOKUP($L293,Data_Validation!$A:$D,4,0)</f>
        <v>Service gratuit 1</v>
      </c>
      <c r="W293" s="656" t="str">
        <f>+VLOOKUP($L293,Data_Validation!$A:$E,5,0)</f>
        <v>$</v>
      </c>
      <c r="X293" s="656">
        <f>+VLOOKUP($L293,Data_Validation!$A:$F,6,0)</f>
        <v>0</v>
      </c>
    </row>
    <row r="294" spans="1:24" ht="15" customHeight="1">
      <c r="A294" s="1255" t="s">
        <v>1160</v>
      </c>
      <c r="B294" s="1255" t="s">
        <v>2328</v>
      </c>
      <c r="C294" s="1257">
        <v>15244.48</v>
      </c>
      <c r="D294" s="1257">
        <v>4307.83</v>
      </c>
      <c r="E294" s="1257">
        <v>19552.310000000001</v>
      </c>
      <c r="F294" s="1255" t="s">
        <v>1154</v>
      </c>
      <c r="G294" s="1255" t="s">
        <v>1161</v>
      </c>
      <c r="H294" s="1255" t="s">
        <v>3950</v>
      </c>
      <c r="I294" s="651"/>
      <c r="J294" s="651"/>
      <c r="K294" s="651"/>
      <c r="L294" s="653" t="str">
        <f t="shared" si="176"/>
        <v>6206</v>
      </c>
      <c r="M294" s="654" t="str">
        <f t="shared" si="177"/>
        <v>ENTRETIEN DES STOCKS</v>
      </c>
      <c r="N294" s="655">
        <f>+IF(OR($Q294=Parametres!$G$2,$Q294=Parametres!$G$3),I294,C294)</f>
        <v>15244.48</v>
      </c>
      <c r="O294" s="655">
        <f>+IF(OR($Q294=Parametres!$G$2,$Q294=Parametres!$G$3),J294,D294)</f>
        <v>4307.83</v>
      </c>
      <c r="P294" s="655">
        <f>+IF(OR($Q294=Parametres!$G$2,$Q294=Parametres!$G$3),K294,E294)</f>
        <v>19552.310000000001</v>
      </c>
      <c r="Q294" s="654" t="str">
        <f t="shared" si="178"/>
        <v>7-Dépenses</v>
      </c>
      <c r="R294" s="653" t="str">
        <f t="shared" si="179"/>
        <v>6106</v>
      </c>
      <c r="S294" s="654" t="str">
        <f t="shared" si="180"/>
        <v>_</v>
      </c>
      <c r="T294" s="656" t="str">
        <f>+VLOOKUP($L294,Data_Validation!$A:$D,1,0)</f>
        <v>6206</v>
      </c>
      <c r="U294" s="656" t="str">
        <f>+VLOOKUP($L294,Data_Validation!$A:$D,3,0)</f>
        <v>Véhicules usagés</v>
      </c>
      <c r="V294" s="656" t="str">
        <f>+VLOOKUP($L294,Data_Validation!$A:$D,4,0)</f>
        <v>Entretien stock</v>
      </c>
      <c r="W294" s="656" t="str">
        <f>+VLOOKUP($L294,Data_Validation!$A:$E,5,0)</f>
        <v>$</v>
      </c>
      <c r="X294" s="656">
        <f>+VLOOKUP($L294,Data_Validation!$A:$F,6,0)</f>
        <v>0</v>
      </c>
    </row>
    <row r="295" spans="1:24" ht="15" customHeight="1">
      <c r="A295" s="1255" t="s">
        <v>1162</v>
      </c>
      <c r="B295" s="1255" t="s">
        <v>2331</v>
      </c>
      <c r="C295" s="1257">
        <v>9721.81</v>
      </c>
      <c r="D295" s="1257">
        <v>4081.16</v>
      </c>
      <c r="E295" s="1257">
        <v>13802.97</v>
      </c>
      <c r="F295" s="1255" t="s">
        <v>1154</v>
      </c>
      <c r="G295" s="1255" t="s">
        <v>1163</v>
      </c>
      <c r="H295" s="1255" t="s">
        <v>3950</v>
      </c>
      <c r="I295" s="663"/>
      <c r="J295" s="663"/>
      <c r="K295" s="663"/>
      <c r="L295" s="653" t="str">
        <f t="shared" si="176"/>
        <v>6207</v>
      </c>
      <c r="M295" s="654" t="str">
        <f t="shared" si="177"/>
        <v>INTERET-PLAN DE FINANCEMENT</v>
      </c>
      <c r="N295" s="655">
        <f>+IF(OR($Q295=Parametres!$G$2,$Q295=Parametres!$G$3),I295,C295)</f>
        <v>9721.81</v>
      </c>
      <c r="O295" s="655">
        <f>+IF(OR($Q295=Parametres!$G$2,$Q295=Parametres!$G$3),J295,D295)</f>
        <v>4081.16</v>
      </c>
      <c r="P295" s="655">
        <f>+IF(OR($Q295=Parametres!$G$2,$Q295=Parametres!$G$3),K295,E295)</f>
        <v>13802.97</v>
      </c>
      <c r="Q295" s="654" t="str">
        <f t="shared" si="178"/>
        <v>7-Dépenses</v>
      </c>
      <c r="R295" s="653" t="str">
        <f t="shared" si="179"/>
        <v>6107</v>
      </c>
      <c r="S295" s="654" t="str">
        <f t="shared" si="180"/>
        <v>_</v>
      </c>
      <c r="T295" s="656" t="str">
        <f>+VLOOKUP($L295,Data_Validation!$A:$D,1,0)</f>
        <v>6207</v>
      </c>
      <c r="U295" s="656" t="str">
        <f>+VLOOKUP($L295,Data_Validation!$A:$D,3,0)</f>
        <v>Véhicules usagés</v>
      </c>
      <c r="V295" s="656" t="str">
        <f>+VLOOKUP($L295,Data_Validation!$A:$D,4,0)</f>
        <v>Intérêt de gros</v>
      </c>
      <c r="W295" s="656" t="str">
        <f>+VLOOKUP($L295,Data_Validation!$A:$E,5,0)</f>
        <v>$</v>
      </c>
      <c r="X295" s="656">
        <f>+VLOOKUP($L295,Data_Validation!$A:$F,6,0)</f>
        <v>0</v>
      </c>
    </row>
    <row r="296" spans="1:24" ht="15" customHeight="1">
      <c r="A296" s="1255" t="s">
        <v>1164</v>
      </c>
      <c r="B296" s="1255" t="s">
        <v>2334</v>
      </c>
      <c r="C296" s="1257">
        <v>-6302.16</v>
      </c>
      <c r="D296" s="1257">
        <v>-1828.08</v>
      </c>
      <c r="E296" s="1257">
        <v>-8130.24</v>
      </c>
      <c r="F296" s="1255" t="s">
        <v>1154</v>
      </c>
      <c r="G296" s="1255" t="s">
        <v>1165</v>
      </c>
      <c r="H296" s="1255" t="s">
        <v>3950</v>
      </c>
      <c r="I296" s="652"/>
      <c r="J296" s="652"/>
      <c r="K296" s="652"/>
      <c r="L296" s="653" t="str">
        <f t="shared" si="176"/>
        <v>6208</v>
      </c>
      <c r="M296" s="654" t="str">
        <f t="shared" si="177"/>
        <v>FRAIS DE LIVRAISON</v>
      </c>
      <c r="N296" s="655">
        <f>+IF(OR($Q296=Parametres!$G$2,$Q296=Parametres!$G$3),I296,C296)</f>
        <v>-6302.16</v>
      </c>
      <c r="O296" s="655">
        <f>+IF(OR($Q296=Parametres!$G$2,$Q296=Parametres!$G$3),J296,D296)</f>
        <v>-1828.08</v>
      </c>
      <c r="P296" s="655">
        <f>+IF(OR($Q296=Parametres!$G$2,$Q296=Parametres!$G$3),K296,E296)</f>
        <v>-8130.24</v>
      </c>
      <c r="Q296" s="654" t="str">
        <f t="shared" si="178"/>
        <v>7-Dépenses</v>
      </c>
      <c r="R296" s="653" t="str">
        <f t="shared" si="179"/>
        <v>6108</v>
      </c>
      <c r="S296" s="654" t="str">
        <f t="shared" si="180"/>
        <v>_</v>
      </c>
      <c r="T296" s="656" t="str">
        <f>+VLOOKUP($L296,Data_Validation!$A:$D,1,0)</f>
        <v>6208</v>
      </c>
      <c r="U296" s="656" t="str">
        <f>+VLOOKUP($L296,Data_Validation!$A:$D,3,0)</f>
        <v>Véhicules usagés</v>
      </c>
      <c r="V296" s="656" t="str">
        <f>+VLOOKUP($L296,Data_Validation!$A:$D,4,0)</f>
        <v>Frais de livraison</v>
      </c>
      <c r="W296" s="656" t="str">
        <f>+VLOOKUP($L296,Data_Validation!$A:$E,5,0)</f>
        <v>$</v>
      </c>
      <c r="X296" s="656">
        <f>+VLOOKUP($L296,Data_Validation!$A:$F,6,0)</f>
        <v>0</v>
      </c>
    </row>
    <row r="297" spans="1:24" ht="15.75" customHeight="1">
      <c r="A297" s="1255" t="s">
        <v>1166</v>
      </c>
      <c r="B297" s="1255" t="s">
        <v>2340</v>
      </c>
      <c r="C297" s="1257">
        <v>52790.69</v>
      </c>
      <c r="D297" s="1257">
        <v>14679.81</v>
      </c>
      <c r="E297" s="1257">
        <v>67470.5</v>
      </c>
      <c r="F297" s="1255" t="s">
        <v>1154</v>
      </c>
      <c r="G297" s="1255" t="s">
        <v>1167</v>
      </c>
      <c r="H297" s="1255" t="s">
        <v>3950</v>
      </c>
      <c r="I297" s="663"/>
      <c r="J297" s="663"/>
      <c r="K297" s="663"/>
      <c r="L297" s="653" t="str">
        <f t="shared" si="176"/>
        <v>6214</v>
      </c>
      <c r="M297" s="654" t="str">
        <f t="shared" si="177"/>
        <v>PUBLICITE</v>
      </c>
      <c r="N297" s="655">
        <f>+IF(OR($Q297=Parametres!$G$2,$Q297=Parametres!$G$3),I297,C297)</f>
        <v>52790.69</v>
      </c>
      <c r="O297" s="655">
        <f>+IF(OR($Q297=Parametres!$G$2,$Q297=Parametres!$G$3),J297,D297)</f>
        <v>14679.81</v>
      </c>
      <c r="P297" s="655">
        <f>+IF(OR($Q297=Parametres!$G$2,$Q297=Parametres!$G$3),K297,E297)</f>
        <v>67470.5</v>
      </c>
      <c r="Q297" s="654" t="str">
        <f t="shared" si="178"/>
        <v>7-Dépenses</v>
      </c>
      <c r="R297" s="653" t="str">
        <f t="shared" si="179"/>
        <v>6114</v>
      </c>
      <c r="S297" s="654" t="str">
        <f t="shared" si="180"/>
        <v>_</v>
      </c>
      <c r="T297" s="656" t="str">
        <f>+VLOOKUP($L297,Data_Validation!$A:$D,1,0)</f>
        <v>6214</v>
      </c>
      <c r="U297" s="656" t="str">
        <f>+VLOOKUP($L297,Data_Validation!$A:$D,3,0)</f>
        <v>Véhicules usagés</v>
      </c>
      <c r="V297" s="656" t="str">
        <f>+VLOOKUP($L297,Data_Validation!$A:$D,4,0)</f>
        <v>Publicité 1</v>
      </c>
      <c r="W297" s="656" t="str">
        <f>+VLOOKUP($L297,Data_Validation!$A:$E,5,0)</f>
        <v>$</v>
      </c>
      <c r="X297" s="656">
        <f>+VLOOKUP($L297,Data_Validation!$A:$F,6,0)</f>
        <v>0</v>
      </c>
    </row>
    <row r="298" spans="1:24" ht="15" customHeight="1">
      <c r="A298" s="1255" t="s">
        <v>1227</v>
      </c>
      <c r="B298" s="1255" t="s">
        <v>2343</v>
      </c>
      <c r="C298" s="1257">
        <v>-10000</v>
      </c>
      <c r="D298" s="1257">
        <v>-3000</v>
      </c>
      <c r="E298" s="1257">
        <v>-13000</v>
      </c>
      <c r="F298" s="1255" t="s">
        <v>1154</v>
      </c>
      <c r="G298" s="1255" t="s">
        <v>1167</v>
      </c>
      <c r="H298" s="1255" t="s">
        <v>3950</v>
      </c>
      <c r="I298" s="651"/>
      <c r="J298" s="651"/>
      <c r="K298" s="651"/>
      <c r="L298" s="653" t="str">
        <f t="shared" si="176"/>
        <v>6215</v>
      </c>
      <c r="M298" s="654" t="str">
        <f t="shared" si="177"/>
        <v>CREDIT PUBLICITE USAGES</v>
      </c>
      <c r="N298" s="655">
        <f>+IF(OR($Q298=Parametres!$G$2,$Q298=Parametres!$G$3),I298,C298)</f>
        <v>-10000</v>
      </c>
      <c r="O298" s="655">
        <f>+IF(OR($Q298=Parametres!$G$2,$Q298=Parametres!$G$3),J298,D298)</f>
        <v>-3000</v>
      </c>
      <c r="P298" s="655">
        <f>+IF(OR($Q298=Parametres!$G$2,$Q298=Parametres!$G$3),K298,E298)</f>
        <v>-13000</v>
      </c>
      <c r="Q298" s="654" t="str">
        <f t="shared" si="178"/>
        <v>7-Dépenses</v>
      </c>
      <c r="R298" s="653" t="str">
        <f t="shared" si="179"/>
        <v>6114</v>
      </c>
      <c r="S298" s="654" t="str">
        <f t="shared" si="180"/>
        <v>_</v>
      </c>
      <c r="T298" s="656" t="str">
        <f>+VLOOKUP($L298,Data_Validation!$A:$D,1,0)</f>
        <v>6215</v>
      </c>
      <c r="U298" s="656" t="str">
        <f>+VLOOKUP($L298,Data_Validation!$A:$D,3,0)</f>
        <v>Véhicules usagés</v>
      </c>
      <c r="V298" s="656" t="str">
        <f>+VLOOKUP($L298,Data_Validation!$A:$D,4,0)</f>
        <v>Publicité 1</v>
      </c>
      <c r="W298" s="656" t="str">
        <f>+VLOOKUP($L298,Data_Validation!$A:$E,5,0)</f>
        <v>$</v>
      </c>
      <c r="X298" s="656">
        <f>+VLOOKUP($L298,Data_Validation!$A:$F,6,0)</f>
        <v>0</v>
      </c>
    </row>
    <row r="299" spans="1:24" ht="15" customHeight="1">
      <c r="A299" s="1255" t="s">
        <v>1169</v>
      </c>
      <c r="B299" s="1255" t="s">
        <v>2349</v>
      </c>
      <c r="C299" s="1257">
        <v>5618.51</v>
      </c>
      <c r="D299" s="1257">
        <v>1842.6</v>
      </c>
      <c r="E299" s="1257">
        <v>7461.11</v>
      </c>
      <c r="F299" s="1255" t="s">
        <v>1154</v>
      </c>
      <c r="G299" s="1255" t="s">
        <v>1170</v>
      </c>
      <c r="H299" s="1255" t="s">
        <v>3950</v>
      </c>
      <c r="I299" s="651"/>
      <c r="J299" s="651"/>
      <c r="K299" s="651"/>
      <c r="L299" s="653" t="str">
        <f t="shared" si="176"/>
        <v>6221</v>
      </c>
      <c r="M299" s="654" t="str">
        <f t="shared" si="177"/>
        <v>SALAIRES - PROPRIETAIRES</v>
      </c>
      <c r="N299" s="655">
        <f>+IF(OR($Q299=Parametres!$G$2,$Q299=Parametres!$G$3),I299,C299)</f>
        <v>5618.51</v>
      </c>
      <c r="O299" s="655">
        <f>+IF(OR($Q299=Parametres!$G$2,$Q299=Parametres!$G$3),J299,D299)</f>
        <v>1842.6</v>
      </c>
      <c r="P299" s="655">
        <f>+IF(OR($Q299=Parametres!$G$2,$Q299=Parametres!$G$3),K299,E299)</f>
        <v>7461.11</v>
      </c>
      <c r="Q299" s="654" t="str">
        <f t="shared" si="178"/>
        <v>7-Dépenses</v>
      </c>
      <c r="R299" s="653" t="str">
        <f t="shared" si="179"/>
        <v>6121</v>
      </c>
      <c r="S299" s="654" t="str">
        <f t="shared" si="180"/>
        <v>_</v>
      </c>
      <c r="T299" s="656" t="str">
        <f>+VLOOKUP($L299,Data_Validation!$A:$D,1,0)</f>
        <v>6221</v>
      </c>
      <c r="U299" s="656" t="str">
        <f>+VLOOKUP($L299,Data_Validation!$A:$D,3,0)</f>
        <v>Véhicules usagés</v>
      </c>
      <c r="V299" s="656" t="str">
        <f>+VLOOKUP($L299,Data_Validation!$A:$D,4,0)</f>
        <v>Salaires propriétaire</v>
      </c>
      <c r="W299" s="656" t="str">
        <f>+VLOOKUP($L299,Data_Validation!$A:$E,5,0)</f>
        <v>$</v>
      </c>
      <c r="X299" s="656">
        <f>+VLOOKUP($L299,Data_Validation!$A:$F,6,0)</f>
        <v>0</v>
      </c>
    </row>
    <row r="300" spans="1:24" ht="15" customHeight="1">
      <c r="A300" s="1255" t="s">
        <v>1171</v>
      </c>
      <c r="B300" s="1255" t="s">
        <v>2352</v>
      </c>
      <c r="C300" s="1257">
        <v>37819.760000000002</v>
      </c>
      <c r="D300" s="1257">
        <v>5873.01</v>
      </c>
      <c r="E300" s="1257">
        <v>43692.77</v>
      </c>
      <c r="F300" s="1255" t="s">
        <v>1154</v>
      </c>
      <c r="G300" s="1255" t="s">
        <v>1172</v>
      </c>
      <c r="H300" s="1255" t="s">
        <v>3950</v>
      </c>
      <c r="I300" s="651"/>
      <c r="J300" s="651"/>
      <c r="K300" s="670"/>
      <c r="L300" s="653" t="str">
        <f t="shared" si="176"/>
        <v>6222</v>
      </c>
      <c r="M300" s="654" t="str">
        <f t="shared" si="177"/>
        <v>SAL SUPERVISION / GERANT</v>
      </c>
      <c r="N300" s="655">
        <f>+IF(OR($Q300=Parametres!$G$2,$Q300=Parametres!$G$3),I300,C300)</f>
        <v>37819.760000000002</v>
      </c>
      <c r="O300" s="655">
        <f>+IF(OR($Q300=Parametres!$G$2,$Q300=Parametres!$G$3),J300,D300)</f>
        <v>5873.01</v>
      </c>
      <c r="P300" s="655">
        <f>+IF(OR($Q300=Parametres!$G$2,$Q300=Parametres!$G$3),K300,E300)</f>
        <v>43692.77</v>
      </c>
      <c r="Q300" s="654" t="str">
        <f t="shared" si="178"/>
        <v>7-Dépenses</v>
      </c>
      <c r="R300" s="653" t="str">
        <f t="shared" si="179"/>
        <v>6122</v>
      </c>
      <c r="S300" s="654" t="str">
        <f t="shared" si="180"/>
        <v>_</v>
      </c>
      <c r="T300" s="656" t="str">
        <f>+VLOOKUP($L300,Data_Validation!$A:$D,1,0)</f>
        <v>6222</v>
      </c>
      <c r="U300" s="656" t="str">
        <f>+VLOOKUP($L300,Data_Validation!$A:$D,3,0)</f>
        <v>Véhicules usagés</v>
      </c>
      <c r="V300" s="656" t="str">
        <f>+VLOOKUP($L300,Data_Validation!$A:$D,4,0)</f>
        <v>Salaires cadres</v>
      </c>
      <c r="W300" s="656" t="str">
        <f>+VLOOKUP($L300,Data_Validation!$A:$E,5,0)</f>
        <v>$</v>
      </c>
      <c r="X300" s="656">
        <f>+VLOOKUP($L300,Data_Validation!$A:$F,6,0)</f>
        <v>0</v>
      </c>
    </row>
    <row r="301" spans="1:24" ht="15.75" customHeight="1">
      <c r="A301" s="1255" t="s">
        <v>1173</v>
      </c>
      <c r="B301" s="1255" t="s">
        <v>2355</v>
      </c>
      <c r="C301" s="1257">
        <v>18773.349999999999</v>
      </c>
      <c r="D301" s="1257">
        <v>2166.67</v>
      </c>
      <c r="E301" s="1257">
        <v>20940.02</v>
      </c>
      <c r="F301" s="1255" t="s">
        <v>1154</v>
      </c>
      <c r="G301" s="1255" t="s">
        <v>1174</v>
      </c>
      <c r="H301" s="1255" t="s">
        <v>3950</v>
      </c>
      <c r="I301" s="652"/>
      <c r="J301" s="652"/>
      <c r="K301" s="652"/>
      <c r="L301" s="653" t="str">
        <f t="shared" si="176"/>
        <v>6223</v>
      </c>
      <c r="M301" s="654" t="str">
        <f t="shared" si="177"/>
        <v>SAL. &amp; RENUM. - CLERICAL</v>
      </c>
      <c r="N301" s="655">
        <f>+IF(OR($Q301=Parametres!$G$2,$Q301=Parametres!$G$3),I301,C301)</f>
        <v>18773.349999999999</v>
      </c>
      <c r="O301" s="655">
        <f>+IF(OR($Q301=Parametres!$G$2,$Q301=Parametres!$G$3),J301,D301)</f>
        <v>2166.67</v>
      </c>
      <c r="P301" s="655">
        <f>+IF(OR($Q301=Parametres!$G$2,$Q301=Parametres!$G$3),K301,E301)</f>
        <v>20940.02</v>
      </c>
      <c r="Q301" s="654" t="str">
        <f t="shared" si="178"/>
        <v>7-Dépenses</v>
      </c>
      <c r="R301" s="653" t="str">
        <f t="shared" si="179"/>
        <v>6123</v>
      </c>
      <c r="S301" s="654" t="str">
        <f t="shared" si="180"/>
        <v>_</v>
      </c>
      <c r="T301" s="656" t="str">
        <f>+VLOOKUP($L301,Data_Validation!$A:$D,1,0)</f>
        <v>6223</v>
      </c>
      <c r="U301" s="656" t="str">
        <f>+VLOOKUP($L301,Data_Validation!$A:$D,3,0)</f>
        <v>Véhicules usagés</v>
      </c>
      <c r="V301" s="656" t="str">
        <f>+VLOOKUP($L301,Data_Validation!$A:$D,4,0)</f>
        <v>Salaires commis</v>
      </c>
      <c r="W301" s="656" t="str">
        <f>+VLOOKUP($L301,Data_Validation!$A:$E,5,0)</f>
        <v>$</v>
      </c>
      <c r="X301" s="656">
        <f>+VLOOKUP($L301,Data_Validation!$A:$F,6,0)</f>
        <v>0</v>
      </c>
    </row>
    <row r="302" spans="1:24" ht="15" customHeight="1">
      <c r="A302" s="1255" t="s">
        <v>1228</v>
      </c>
      <c r="B302" s="1255" t="s">
        <v>2358</v>
      </c>
      <c r="C302" s="1257">
        <v>19008.75</v>
      </c>
      <c r="D302" s="1257">
        <v>5875.5</v>
      </c>
      <c r="E302" s="1257">
        <v>24884.25</v>
      </c>
      <c r="F302" s="1255" t="s">
        <v>1154</v>
      </c>
      <c r="G302" s="1255" t="s">
        <v>1176</v>
      </c>
      <c r="H302" s="1255" t="s">
        <v>3950</v>
      </c>
      <c r="I302" s="663"/>
      <c r="J302" s="663"/>
      <c r="K302" s="663"/>
      <c r="L302" s="653" t="str">
        <f t="shared" si="176"/>
        <v>6224</v>
      </c>
      <c r="M302" s="654" t="str">
        <f t="shared" si="177"/>
        <v>SALAIRE &amp; RENUM. - AUTRES</v>
      </c>
      <c r="N302" s="655">
        <f>+IF(OR($Q302=Parametres!$G$2,$Q302=Parametres!$G$3),I302,C302)</f>
        <v>19008.75</v>
      </c>
      <c r="O302" s="655">
        <f>+IF(OR($Q302=Parametres!$G$2,$Q302=Parametres!$G$3),J302,D302)</f>
        <v>5875.5</v>
      </c>
      <c r="P302" s="655">
        <f>+IF(OR($Q302=Parametres!$G$2,$Q302=Parametres!$G$3),K302,E302)</f>
        <v>24884.25</v>
      </c>
      <c r="Q302" s="654" t="str">
        <f t="shared" si="178"/>
        <v>7-Dépenses</v>
      </c>
      <c r="R302" s="653" t="str">
        <f t="shared" si="179"/>
        <v>6124</v>
      </c>
      <c r="S302" s="654" t="str">
        <f t="shared" si="180"/>
        <v>_</v>
      </c>
      <c r="T302" s="656" t="str">
        <f>+VLOOKUP($L302,Data_Validation!$A:$D,1,0)</f>
        <v>6224</v>
      </c>
      <c r="U302" s="656" t="str">
        <f>+VLOOKUP($L302,Data_Validation!$A:$D,3,0)</f>
        <v>Véhicules usagés</v>
      </c>
      <c r="V302" s="656" t="str">
        <f>+VLOOKUP($L302,Data_Validation!$A:$D,4,0)</f>
        <v>Salaires autres</v>
      </c>
      <c r="W302" s="656" t="str">
        <f>+VLOOKUP($L302,Data_Validation!$A:$E,5,0)</f>
        <v>$</v>
      </c>
      <c r="X302" s="656">
        <f>+VLOOKUP($L302,Data_Validation!$A:$F,6,0)</f>
        <v>0</v>
      </c>
    </row>
    <row r="303" spans="1:24" ht="15" customHeight="1">
      <c r="A303" s="1255" t="s">
        <v>1229</v>
      </c>
      <c r="B303" s="1255" t="s">
        <v>2359</v>
      </c>
      <c r="C303" s="1257">
        <v>31214.2</v>
      </c>
      <c r="D303" s="1257">
        <v>9327.2199999999993</v>
      </c>
      <c r="E303" s="1257">
        <v>40541.42</v>
      </c>
      <c r="F303" s="1255" t="s">
        <v>1154</v>
      </c>
      <c r="G303" s="1255" t="s">
        <v>1178</v>
      </c>
      <c r="H303" s="1255" t="s">
        <v>3950</v>
      </c>
      <c r="I303" s="652"/>
      <c r="J303" s="652"/>
      <c r="K303" s="652"/>
      <c r="L303" s="653" t="str">
        <f t="shared" si="176"/>
        <v>6229</v>
      </c>
      <c r="M303" s="654" t="str">
        <f t="shared" si="177"/>
        <v>ABS.,VACANCES &amp; SAL. JOURS FER</v>
      </c>
      <c r="N303" s="655">
        <f>+IF(OR($Q303=Parametres!$G$2,$Q303=Parametres!$G$3),I303,C303)</f>
        <v>31214.2</v>
      </c>
      <c r="O303" s="655">
        <f>+IF(OR($Q303=Parametres!$G$2,$Q303=Parametres!$G$3),J303,D303)</f>
        <v>9327.2199999999993</v>
      </c>
      <c r="P303" s="655">
        <f>+IF(OR($Q303=Parametres!$G$2,$Q303=Parametres!$G$3),K303,E303)</f>
        <v>40541.42</v>
      </c>
      <c r="Q303" s="654" t="str">
        <f t="shared" si="178"/>
        <v>7-Dépenses</v>
      </c>
      <c r="R303" s="653" t="str">
        <f t="shared" si="179"/>
        <v>6129</v>
      </c>
      <c r="S303" s="654" t="str">
        <f t="shared" si="180"/>
        <v>_</v>
      </c>
      <c r="T303" s="656" t="str">
        <f>+VLOOKUP($L303,Data_Validation!$A:$D,1,0)</f>
        <v>6229</v>
      </c>
      <c r="U303" s="656" t="str">
        <f>+VLOOKUP($L303,Data_Validation!$A:$D,3,0)</f>
        <v>Véhicules usagés</v>
      </c>
      <c r="V303" s="656" t="str">
        <f>+VLOOKUP($L303,Data_Validation!$A:$D,4,0)</f>
        <v>Salaires en absences</v>
      </c>
      <c r="W303" s="656" t="str">
        <f>+VLOOKUP($L303,Data_Validation!$A:$E,5,0)</f>
        <v>$</v>
      </c>
      <c r="X303" s="656">
        <f>+VLOOKUP($L303,Data_Validation!$A:$F,6,0)</f>
        <v>0</v>
      </c>
    </row>
    <row r="304" spans="1:24" ht="15" customHeight="1">
      <c r="A304" s="1255" t="s">
        <v>1179</v>
      </c>
      <c r="B304" s="1255" t="s">
        <v>2362</v>
      </c>
      <c r="C304" s="1257">
        <v>5430.27</v>
      </c>
      <c r="D304" s="1257">
        <v>1387.06</v>
      </c>
      <c r="E304" s="1257">
        <v>6817.33</v>
      </c>
      <c r="F304" s="1255" t="s">
        <v>1154</v>
      </c>
      <c r="G304" s="1255" t="s">
        <v>1180</v>
      </c>
      <c r="H304" s="1255" t="s">
        <v>3950</v>
      </c>
      <c r="I304" s="652"/>
      <c r="J304" s="652"/>
      <c r="K304" s="652"/>
      <c r="L304" s="653" t="str">
        <f t="shared" si="176"/>
        <v>6231</v>
      </c>
      <c r="M304" s="654" t="str">
        <f t="shared" si="177"/>
        <v>CSST</v>
      </c>
      <c r="N304" s="655">
        <f>+IF(OR($Q304=Parametres!$G$2,$Q304=Parametres!$G$3),I304,C304)</f>
        <v>5430.27</v>
      </c>
      <c r="O304" s="655">
        <f>+IF(OR($Q304=Parametres!$G$2,$Q304=Parametres!$G$3),J304,D304)</f>
        <v>1387.06</v>
      </c>
      <c r="P304" s="655">
        <f>+IF(OR($Q304=Parametres!$G$2,$Q304=Parametres!$G$3),K304,E304)</f>
        <v>6817.33</v>
      </c>
      <c r="Q304" s="654" t="str">
        <f t="shared" si="178"/>
        <v>7-Dépenses</v>
      </c>
      <c r="R304" s="653" t="str">
        <f t="shared" si="179"/>
        <v>6131</v>
      </c>
      <c r="S304" s="654" t="str">
        <f t="shared" si="180"/>
        <v>_</v>
      </c>
      <c r="T304" s="656" t="str">
        <f>+VLOOKUP($L304,Data_Validation!$A:$D,1,0)</f>
        <v>6231</v>
      </c>
      <c r="U304" s="656" t="str">
        <f>+VLOOKUP($L304,Data_Validation!$A:$D,3,0)</f>
        <v>Véhicules usagés</v>
      </c>
      <c r="V304" s="656" t="str">
        <f>+VLOOKUP($L304,Data_Validation!$A:$D,4,0)</f>
        <v>Csst</v>
      </c>
      <c r="W304" s="656" t="str">
        <f>+VLOOKUP($L304,Data_Validation!$A:$E,5,0)</f>
        <v>$</v>
      </c>
      <c r="X304" s="656">
        <f>+VLOOKUP($L304,Data_Validation!$A:$F,6,0)</f>
        <v>0</v>
      </c>
    </row>
    <row r="305" spans="1:24" ht="15.75" customHeight="1">
      <c r="A305" s="1255" t="s">
        <v>1181</v>
      </c>
      <c r="B305" s="1255" t="s">
        <v>2365</v>
      </c>
      <c r="C305" s="1257">
        <v>36177.370000000003</v>
      </c>
      <c r="D305" s="1257">
        <v>11184.74</v>
      </c>
      <c r="E305" s="1257">
        <v>47362.11</v>
      </c>
      <c r="F305" s="1255" t="s">
        <v>1154</v>
      </c>
      <c r="G305" s="1255" t="s">
        <v>1182</v>
      </c>
      <c r="H305" s="1255" t="s">
        <v>3950</v>
      </c>
      <c r="I305" s="663"/>
      <c r="J305" s="663"/>
      <c r="K305" s="663"/>
      <c r="L305" s="653" t="str">
        <f t="shared" si="176"/>
        <v>6232</v>
      </c>
      <c r="M305" s="654" t="str">
        <f t="shared" si="177"/>
        <v>RRQ RAMQ AC</v>
      </c>
      <c r="N305" s="655">
        <f>+IF(OR($Q305=Parametres!$G$2,$Q305=Parametres!$G$3),I305,C305)</f>
        <v>36177.370000000003</v>
      </c>
      <c r="O305" s="655">
        <f>+IF(OR($Q305=Parametres!$G$2,$Q305=Parametres!$G$3),J305,D305)</f>
        <v>11184.74</v>
      </c>
      <c r="P305" s="655">
        <f>+IF(OR($Q305=Parametres!$G$2,$Q305=Parametres!$G$3),K305,E305)</f>
        <v>47362.11</v>
      </c>
      <c r="Q305" s="654" t="str">
        <f t="shared" si="178"/>
        <v>7-Dépenses</v>
      </c>
      <c r="R305" s="653" t="str">
        <f t="shared" si="179"/>
        <v>6132</v>
      </c>
      <c r="S305" s="654" t="str">
        <f t="shared" si="180"/>
        <v>_</v>
      </c>
      <c r="T305" s="656" t="str">
        <f>+VLOOKUP($L305,Data_Validation!$A:$D,1,0)</f>
        <v>6232</v>
      </c>
      <c r="U305" s="656" t="str">
        <f>+VLOOKUP($L305,Data_Validation!$A:$D,3,0)</f>
        <v>Véhicules usagés</v>
      </c>
      <c r="V305" s="656" t="str">
        <f>+VLOOKUP($L305,Data_Validation!$A:$D,4,0)</f>
        <v>Déduction à la source</v>
      </c>
      <c r="W305" s="656" t="str">
        <f>+VLOOKUP($L305,Data_Validation!$A:$E,5,0)</f>
        <v>$</v>
      </c>
      <c r="X305" s="656">
        <f>+VLOOKUP($L305,Data_Validation!$A:$F,6,0)</f>
        <v>0</v>
      </c>
    </row>
    <row r="306" spans="1:24" ht="15" customHeight="1">
      <c r="A306" s="1255" t="s">
        <v>1230</v>
      </c>
      <c r="B306" s="1255" t="s">
        <v>3390</v>
      </c>
      <c r="C306" s="1257">
        <v>14430.86</v>
      </c>
      <c r="D306" s="1257">
        <v>5248.04</v>
      </c>
      <c r="E306" s="1257">
        <v>19678.900000000001</v>
      </c>
      <c r="F306" s="1255" t="s">
        <v>1154</v>
      </c>
      <c r="G306" s="1255" t="s">
        <v>1184</v>
      </c>
      <c r="H306" s="1255" t="s">
        <v>3950</v>
      </c>
      <c r="I306" s="670"/>
      <c r="J306" s="651"/>
      <c r="K306" s="670"/>
      <c r="L306" s="653" t="str">
        <f t="shared" si="176"/>
        <v>6233</v>
      </c>
      <c r="M306" s="654" t="str">
        <f t="shared" si="177"/>
        <v>FOND PENSION - USAGE</v>
      </c>
      <c r="N306" s="655">
        <f>+IF(OR($Q306=Parametres!$G$2,$Q306=Parametres!$G$3),I306,C306)</f>
        <v>14430.86</v>
      </c>
      <c r="O306" s="659">
        <f>+IF(OR($Q306=Parametres!$G$2,$Q306=Parametres!$G$3),J306,D306)</f>
        <v>5248.04</v>
      </c>
      <c r="P306" s="655">
        <f>+IF(OR($Q306=Parametres!$G$2,$Q306=Parametres!$G$3),K306,E306)</f>
        <v>19678.900000000001</v>
      </c>
      <c r="Q306" s="654" t="str">
        <f t="shared" si="178"/>
        <v>7-Dépenses</v>
      </c>
      <c r="R306" s="653" t="str">
        <f t="shared" si="179"/>
        <v>6133</v>
      </c>
      <c r="S306" s="654" t="str">
        <f t="shared" si="180"/>
        <v>_</v>
      </c>
      <c r="T306" s="656" t="str">
        <f>+VLOOKUP($L306,Data_Validation!$A:$D,1,0)</f>
        <v>6233</v>
      </c>
      <c r="U306" s="656" t="str">
        <f>+VLOOKUP($L306,Data_Validation!$A:$D,3,0)</f>
        <v>Véhicules usagés</v>
      </c>
      <c r="V306" s="656" t="str">
        <f>+VLOOKUP($L306,Data_Validation!$A:$D,4,0)</f>
        <v>Bénéfices marginaux</v>
      </c>
      <c r="W306" s="656" t="str">
        <f>+VLOOKUP($L306,Data_Validation!$A:$E,5,0)</f>
        <v>$</v>
      </c>
      <c r="X306" s="656">
        <f>+VLOOKUP($L306,Data_Validation!$A:$F,6,0)</f>
        <v>0</v>
      </c>
    </row>
    <row r="307" spans="1:24" ht="15" customHeight="1">
      <c r="A307" s="1255" t="s">
        <v>1231</v>
      </c>
      <c r="B307" s="1255" t="s">
        <v>2368</v>
      </c>
      <c r="C307" s="1257">
        <v>3459.82</v>
      </c>
      <c r="D307" s="1257">
        <v>827.31</v>
      </c>
      <c r="E307" s="1257">
        <v>4287.13</v>
      </c>
      <c r="F307" s="1255" t="s">
        <v>1154</v>
      </c>
      <c r="G307" s="1255" t="s">
        <v>1186</v>
      </c>
      <c r="H307" s="1255" t="s">
        <v>3950</v>
      </c>
      <c r="I307" s="651"/>
      <c r="J307" s="651"/>
      <c r="K307" s="651"/>
      <c r="L307" s="653" t="str">
        <f t="shared" si="176"/>
        <v>6239</v>
      </c>
      <c r="M307" s="654" t="str">
        <f t="shared" si="177"/>
        <v>ASSURANCE GROUPE</v>
      </c>
      <c r="N307" s="655">
        <f>+IF(OR($Q307=Parametres!$G$2,$Q307=Parametres!$G$3),I307,C307)</f>
        <v>3459.82</v>
      </c>
      <c r="O307" s="659">
        <f>+IF(OR($Q307=Parametres!$G$2,$Q307=Parametres!$G$3),J307,D307)</f>
        <v>827.31</v>
      </c>
      <c r="P307" s="655">
        <f>+IF(OR($Q307=Parametres!$G$2,$Q307=Parametres!$G$3),K307,E307)</f>
        <v>4287.13</v>
      </c>
      <c r="Q307" s="654" t="str">
        <f t="shared" si="178"/>
        <v>7-Dépenses</v>
      </c>
      <c r="R307" s="653" t="str">
        <f t="shared" si="179"/>
        <v>6139</v>
      </c>
      <c r="S307" s="654" t="str">
        <f t="shared" si="180"/>
        <v>_</v>
      </c>
      <c r="T307" s="656" t="str">
        <f>+VLOOKUP($L307,Data_Validation!$A:$D,1,0)</f>
        <v>6239</v>
      </c>
      <c r="U307" s="656" t="str">
        <f>+VLOOKUP($L307,Data_Validation!$A:$D,3,0)</f>
        <v>Véhicules usagés</v>
      </c>
      <c r="V307" s="656" t="str">
        <f>+VLOOKUP($L307,Data_Validation!$A:$D,4,0)</f>
        <v>Bénéfices marginaux</v>
      </c>
      <c r="W307" s="656" t="str">
        <f>+VLOOKUP($L307,Data_Validation!$A:$E,5,0)</f>
        <v>$</v>
      </c>
      <c r="X307" s="656">
        <f>+VLOOKUP($L307,Data_Validation!$A:$F,6,0)</f>
        <v>0</v>
      </c>
    </row>
    <row r="308" spans="1:24" ht="15" customHeight="1">
      <c r="A308" s="1255" t="s">
        <v>1187</v>
      </c>
      <c r="B308" s="1255" t="s">
        <v>2374</v>
      </c>
      <c r="C308" s="1257">
        <v>306.39</v>
      </c>
      <c r="D308" s="1257">
        <v>0</v>
      </c>
      <c r="E308" s="1257">
        <v>306.39</v>
      </c>
      <c r="F308" s="1255" t="s">
        <v>1154</v>
      </c>
      <c r="G308" s="1255" t="s">
        <v>1188</v>
      </c>
      <c r="H308" s="1255" t="s">
        <v>3950</v>
      </c>
      <c r="I308" s="652"/>
      <c r="J308" s="652"/>
      <c r="K308" s="652"/>
      <c r="L308" s="653" t="str">
        <f t="shared" ref="L308:L371" si="181">TEXT(B308,0)</f>
        <v>6242</v>
      </c>
      <c r="M308" s="654" t="str">
        <f t="shared" ref="M308:M371" si="182">+A308</f>
        <v>FOURNITURES &amp; PETITS OUTILS</v>
      </c>
      <c r="N308" s="655">
        <f>+IF(OR($Q308=Parametres!$G$2,$Q308=Parametres!$G$3),I308,C308)</f>
        <v>306.39</v>
      </c>
      <c r="O308" s="655">
        <f>+IF(OR($Q308=Parametres!$G$2,$Q308=Parametres!$G$3),J308,D308)</f>
        <v>0</v>
      </c>
      <c r="P308" s="655">
        <f>+IF(OR($Q308=Parametres!$G$2,$Q308=Parametres!$G$3),K308,E308)</f>
        <v>306.39</v>
      </c>
      <c r="Q308" s="654" t="str">
        <f t="shared" ref="Q308:Q371" si="183">+F308</f>
        <v>7-Dépenses</v>
      </c>
      <c r="R308" s="653" t="str">
        <f t="shared" ref="R308:R371" si="184">+G308</f>
        <v>6142</v>
      </c>
      <c r="S308" s="654" t="str">
        <f t="shared" ref="S308:S371" si="185">+H308</f>
        <v>_</v>
      </c>
      <c r="T308" s="656" t="str">
        <f>+VLOOKUP($L308,Data_Validation!$A:$D,1,0)</f>
        <v>6242</v>
      </c>
      <c r="U308" s="656" t="str">
        <f>+VLOOKUP($L308,Data_Validation!$A:$D,3,0)</f>
        <v>Véhicules usagés</v>
      </c>
      <c r="V308" s="656" t="str">
        <f>+VLOOKUP($L308,Data_Validation!$A:$D,4,0)</f>
        <v>Fournitures autres</v>
      </c>
      <c r="W308" s="656" t="str">
        <f>+VLOOKUP($L308,Data_Validation!$A:$E,5,0)</f>
        <v>$</v>
      </c>
      <c r="X308" s="656">
        <f>+VLOOKUP($L308,Data_Validation!$A:$F,6,0)</f>
        <v>0</v>
      </c>
    </row>
    <row r="309" spans="1:24" ht="15.75" customHeight="1">
      <c r="A309" s="1255" t="s">
        <v>1191</v>
      </c>
      <c r="B309" s="1255" t="s">
        <v>2379</v>
      </c>
      <c r="C309" s="1257">
        <v>2084.1999999999998</v>
      </c>
      <c r="D309" s="1257">
        <v>-16.37</v>
      </c>
      <c r="E309" s="1257">
        <v>2067.83</v>
      </c>
      <c r="F309" s="1255" t="s">
        <v>1154</v>
      </c>
      <c r="G309" s="1255" t="s">
        <v>1192</v>
      </c>
      <c r="H309" s="1255" t="s">
        <v>3950</v>
      </c>
      <c r="I309" s="663"/>
      <c r="J309" s="663"/>
      <c r="K309" s="663"/>
      <c r="L309" s="653" t="str">
        <f t="shared" si="181"/>
        <v>6244</v>
      </c>
      <c r="M309" s="654" t="str">
        <f t="shared" si="182"/>
        <v>FORMATION</v>
      </c>
      <c r="N309" s="655">
        <f>+IF(OR($Q309=Parametres!$G$2,$Q309=Parametres!$G$3),I309,C309)</f>
        <v>2084.1999999999998</v>
      </c>
      <c r="O309" s="655">
        <f>+IF(OR($Q309=Parametres!$G$2,$Q309=Parametres!$G$3),J309,D309)</f>
        <v>-16.37</v>
      </c>
      <c r="P309" s="655">
        <f>+IF(OR($Q309=Parametres!$G$2,$Q309=Parametres!$G$3),K309,E309)</f>
        <v>2067.83</v>
      </c>
      <c r="Q309" s="654" t="str">
        <f t="shared" si="183"/>
        <v>7-Dépenses</v>
      </c>
      <c r="R309" s="653" t="str">
        <f t="shared" si="184"/>
        <v>6144</v>
      </c>
      <c r="S309" s="654" t="str">
        <f t="shared" si="185"/>
        <v>_</v>
      </c>
      <c r="T309" s="656" t="str">
        <f>+VLOOKUP($L309,Data_Validation!$A:$D,1,0)</f>
        <v>6244</v>
      </c>
      <c r="U309" s="656" t="str">
        <f>+VLOOKUP($L309,Data_Validation!$A:$D,3,0)</f>
        <v>Véhicules usagés</v>
      </c>
      <c r="V309" s="656" t="str">
        <f>+VLOOKUP($L309,Data_Validation!$A:$D,4,0)</f>
        <v>Formation</v>
      </c>
      <c r="W309" s="656" t="str">
        <f>+VLOOKUP($L309,Data_Validation!$A:$E,5,0)</f>
        <v>$</v>
      </c>
      <c r="X309" s="656">
        <f>+VLOOKUP($L309,Data_Validation!$A:$F,6,0)</f>
        <v>0</v>
      </c>
    </row>
    <row r="310" spans="1:24" ht="15" customHeight="1">
      <c r="A310" s="1255" t="s">
        <v>1193</v>
      </c>
      <c r="B310" s="1255" t="s">
        <v>2382</v>
      </c>
      <c r="C310" s="1257">
        <v>10240.92</v>
      </c>
      <c r="D310" s="1257">
        <v>7333.27</v>
      </c>
      <c r="E310" s="1257">
        <v>17574.189999999999</v>
      </c>
      <c r="F310" s="1255" t="s">
        <v>1154</v>
      </c>
      <c r="G310" s="1255" t="s">
        <v>1194</v>
      </c>
      <c r="H310" s="1255" t="s">
        <v>3950</v>
      </c>
      <c r="I310" s="663"/>
      <c r="J310" s="663"/>
      <c r="K310" s="663"/>
      <c r="L310" s="653" t="str">
        <f t="shared" si="181"/>
        <v>6245</v>
      </c>
      <c r="M310" s="654" t="str">
        <f t="shared" si="182"/>
        <v>VEHICULE DE COMPAGNIE - DEPENS</v>
      </c>
      <c r="N310" s="655">
        <f>+IF(OR($Q310=Parametres!$G$2,$Q310=Parametres!$G$3),I310,C310)</f>
        <v>10240.92</v>
      </c>
      <c r="O310" s="655">
        <f>+IF(OR($Q310=Parametres!$G$2,$Q310=Parametres!$G$3),J310,D310)</f>
        <v>7333.27</v>
      </c>
      <c r="P310" s="655">
        <f>+IF(OR($Q310=Parametres!$G$2,$Q310=Parametres!$G$3),K310,E310)</f>
        <v>17574.189999999999</v>
      </c>
      <c r="Q310" s="654" t="str">
        <f t="shared" si="183"/>
        <v>7-Dépenses</v>
      </c>
      <c r="R310" s="653" t="str">
        <f t="shared" si="184"/>
        <v>6145</v>
      </c>
      <c r="S310" s="654" t="str">
        <f t="shared" si="185"/>
        <v>_</v>
      </c>
      <c r="T310" s="656" t="str">
        <f>+VLOOKUP($L310,Data_Validation!$A:$D,1,0)</f>
        <v>6245</v>
      </c>
      <c r="U310" s="656" t="str">
        <f>+VLOOKUP($L310,Data_Validation!$A:$D,3,0)</f>
        <v>Véhicules usagés</v>
      </c>
      <c r="V310" s="656" t="str">
        <f>+VLOOKUP($L310,Data_Validation!$A:$D,4,0)</f>
        <v>Frais véhicules de cie</v>
      </c>
      <c r="W310" s="656" t="str">
        <f>+VLOOKUP($L310,Data_Validation!$A:$E,5,0)</f>
        <v>$</v>
      </c>
      <c r="X310" s="656">
        <f>+VLOOKUP($L310,Data_Validation!$A:$F,6,0)</f>
        <v>0</v>
      </c>
    </row>
    <row r="311" spans="1:24" ht="15" customHeight="1">
      <c r="A311" s="1255" t="s">
        <v>1195</v>
      </c>
      <c r="B311" s="1255" t="s">
        <v>2385</v>
      </c>
      <c r="C311" s="1257">
        <v>686.64</v>
      </c>
      <c r="D311" s="1257">
        <v>79.180000000000007</v>
      </c>
      <c r="E311" s="1257">
        <v>765.82</v>
      </c>
      <c r="F311" s="1255" t="s">
        <v>1154</v>
      </c>
      <c r="G311" s="1255" t="s">
        <v>1196</v>
      </c>
      <c r="H311" s="1255" t="s">
        <v>3950</v>
      </c>
      <c r="I311" s="663"/>
      <c r="J311" s="663"/>
      <c r="K311" s="663"/>
      <c r="L311" s="653" t="str">
        <f t="shared" si="181"/>
        <v>6247</v>
      </c>
      <c r="M311" s="654" t="str">
        <f t="shared" si="182"/>
        <v>FRET/EXPRESS/TRANS. PAR CAMION</v>
      </c>
      <c r="N311" s="655">
        <f>+IF(OR($Q311=Parametres!$G$2,$Q311=Parametres!$G$3),I311,C311)</f>
        <v>686.64</v>
      </c>
      <c r="O311" s="655">
        <f>+IF(OR($Q311=Parametres!$G$2,$Q311=Parametres!$G$3),J311,D311)</f>
        <v>79.180000000000007</v>
      </c>
      <c r="P311" s="655">
        <f>+IF(OR($Q311=Parametres!$G$2,$Q311=Parametres!$G$3),K311,E311)</f>
        <v>765.82</v>
      </c>
      <c r="Q311" s="654" t="str">
        <f t="shared" si="183"/>
        <v>7-Dépenses</v>
      </c>
      <c r="R311" s="653" t="str">
        <f t="shared" si="184"/>
        <v>6147</v>
      </c>
      <c r="S311" s="654" t="str">
        <f t="shared" si="185"/>
        <v>_</v>
      </c>
      <c r="T311" s="656" t="str">
        <f>+VLOOKUP($L311,Data_Validation!$A:$D,1,0)</f>
        <v>6247</v>
      </c>
      <c r="U311" s="656" t="str">
        <f>+VLOOKUP($L311,Data_Validation!$A:$D,3,0)</f>
        <v>Véhicules usagés</v>
      </c>
      <c r="V311" s="656" t="str">
        <f>+VLOOKUP($L311,Data_Validation!$A:$D,4,0)</f>
        <v>Frais postaux</v>
      </c>
      <c r="W311" s="656" t="str">
        <f>+VLOOKUP($L311,Data_Validation!$A:$E,5,0)</f>
        <v>$</v>
      </c>
      <c r="X311" s="656">
        <f>+VLOOKUP($L311,Data_Validation!$A:$F,6,0)</f>
        <v>0</v>
      </c>
    </row>
    <row r="312" spans="1:24" ht="15" customHeight="1">
      <c r="A312" s="1255" t="s">
        <v>1197</v>
      </c>
      <c r="B312" s="1255" t="s">
        <v>2388</v>
      </c>
      <c r="C312" s="1257">
        <v>13693.14</v>
      </c>
      <c r="D312" s="1257">
        <v>3875.95</v>
      </c>
      <c r="E312" s="1257">
        <v>17569.09</v>
      </c>
      <c r="F312" s="1255" t="s">
        <v>1154</v>
      </c>
      <c r="G312" s="1255" t="s">
        <v>1198</v>
      </c>
      <c r="H312" s="1255" t="s">
        <v>3950</v>
      </c>
      <c r="I312" s="651"/>
      <c r="J312" s="651"/>
      <c r="K312" s="651"/>
      <c r="L312" s="653" t="str">
        <f t="shared" si="181"/>
        <v>6251</v>
      </c>
      <c r="M312" s="654" t="str">
        <f t="shared" si="182"/>
        <v>DEP. DU TRAITEMENT DES DONNEES</v>
      </c>
      <c r="N312" s="655">
        <f>+IF(OR($Q312=Parametres!$G$2,$Q312=Parametres!$G$3),I312,C312)</f>
        <v>13693.14</v>
      </c>
      <c r="O312" s="655">
        <f>+IF(OR($Q312=Parametres!$G$2,$Q312=Parametres!$G$3),J312,D312)</f>
        <v>3875.95</v>
      </c>
      <c r="P312" s="655">
        <f>+IF(OR($Q312=Parametres!$G$2,$Q312=Parametres!$G$3),K312,E312)</f>
        <v>17569.09</v>
      </c>
      <c r="Q312" s="654" t="str">
        <f t="shared" si="183"/>
        <v>7-Dépenses</v>
      </c>
      <c r="R312" s="653" t="str">
        <f t="shared" si="184"/>
        <v>6151</v>
      </c>
      <c r="S312" s="654" t="str">
        <f t="shared" si="185"/>
        <v>_</v>
      </c>
      <c r="T312" s="656" t="str">
        <f>+VLOOKUP($L312,Data_Validation!$A:$D,1,0)</f>
        <v>6251</v>
      </c>
      <c r="U312" s="656" t="str">
        <f>+VLOOKUP($L312,Data_Validation!$A:$D,3,0)</f>
        <v>Véhicules usagés</v>
      </c>
      <c r="V312" s="656" t="str">
        <f>+VLOOKUP($L312,Data_Validation!$A:$D,4,0)</f>
        <v>Informatique</v>
      </c>
      <c r="W312" s="656" t="str">
        <f>+VLOOKUP($L312,Data_Validation!$A:$E,5,0)</f>
        <v>$</v>
      </c>
      <c r="X312" s="656">
        <f>+VLOOKUP($L312,Data_Validation!$A:$F,6,0)</f>
        <v>0</v>
      </c>
    </row>
    <row r="313" spans="1:24" ht="15" customHeight="1">
      <c r="A313" s="1255" t="s">
        <v>1199</v>
      </c>
      <c r="B313" s="1255" t="s">
        <v>2391</v>
      </c>
      <c r="C313" s="1257">
        <v>676.83</v>
      </c>
      <c r="D313" s="1257">
        <v>392.75</v>
      </c>
      <c r="E313" s="1257">
        <v>1069.58</v>
      </c>
      <c r="F313" s="1255" t="s">
        <v>1154</v>
      </c>
      <c r="G313" s="1255" t="s">
        <v>1200</v>
      </c>
      <c r="H313" s="1255" t="s">
        <v>3950</v>
      </c>
      <c r="I313" s="652"/>
      <c r="J313" s="652"/>
      <c r="K313" s="652"/>
      <c r="L313" s="653" t="str">
        <f t="shared" si="181"/>
        <v>6252</v>
      </c>
      <c r="M313" s="654" t="str">
        <f t="shared" si="182"/>
        <v>PAPETERIE</v>
      </c>
      <c r="N313" s="655">
        <f>+IF(OR($Q313=Parametres!$G$2,$Q313=Parametres!$G$3),I313,C313)</f>
        <v>676.83</v>
      </c>
      <c r="O313" s="655">
        <f>+IF(OR($Q313=Parametres!$G$2,$Q313=Parametres!$G$3),J313,D313)</f>
        <v>392.75</v>
      </c>
      <c r="P313" s="655">
        <f>+IF(OR($Q313=Parametres!$G$2,$Q313=Parametres!$G$3),K313,E313)</f>
        <v>1069.58</v>
      </c>
      <c r="Q313" s="654" t="str">
        <f t="shared" si="183"/>
        <v>7-Dépenses</v>
      </c>
      <c r="R313" s="653" t="str">
        <f t="shared" si="184"/>
        <v>6152</v>
      </c>
      <c r="S313" s="654" t="str">
        <f t="shared" si="185"/>
        <v>_</v>
      </c>
      <c r="T313" s="656" t="str">
        <f>+VLOOKUP($L313,Data_Validation!$A:$D,1,0)</f>
        <v>6252</v>
      </c>
      <c r="U313" s="656" t="str">
        <f>+VLOOKUP($L313,Data_Validation!$A:$D,3,0)</f>
        <v>Véhicules usagés</v>
      </c>
      <c r="V313" s="656" t="str">
        <f>+VLOOKUP($L313,Data_Validation!$A:$D,4,0)</f>
        <v>Papeterie</v>
      </c>
      <c r="W313" s="656" t="str">
        <f>+VLOOKUP($L313,Data_Validation!$A:$E,5,0)</f>
        <v>$</v>
      </c>
      <c r="X313" s="656">
        <f>+VLOOKUP($L313,Data_Validation!$A:$F,6,0)</f>
        <v>0</v>
      </c>
    </row>
    <row r="314" spans="1:24" ht="15" customHeight="1">
      <c r="A314" s="1255" t="s">
        <v>1201</v>
      </c>
      <c r="B314" s="1255" t="s">
        <v>2394</v>
      </c>
      <c r="C314" s="1257">
        <v>364.93</v>
      </c>
      <c r="D314" s="1257">
        <v>70.14</v>
      </c>
      <c r="E314" s="1257">
        <v>435.07</v>
      </c>
      <c r="F314" s="1255" t="s">
        <v>1154</v>
      </c>
      <c r="G314" s="1255" t="s">
        <v>1202</v>
      </c>
      <c r="H314" s="1255" t="s">
        <v>3950</v>
      </c>
      <c r="I314" s="651"/>
      <c r="J314" s="651"/>
      <c r="K314" s="651"/>
      <c r="L314" s="653" t="str">
        <f t="shared" si="181"/>
        <v>6253</v>
      </c>
      <c r="M314" s="654" t="str">
        <f t="shared" si="182"/>
        <v>TELEPHONE ET TELEX</v>
      </c>
      <c r="N314" s="655">
        <f>+IF(OR($Q314=Parametres!$G$2,$Q314=Parametres!$G$3),I314,C314)</f>
        <v>364.93</v>
      </c>
      <c r="O314" s="659">
        <f>+IF(OR($Q314=Parametres!$G$2,$Q314=Parametres!$G$3),J314,D314)</f>
        <v>70.14</v>
      </c>
      <c r="P314" s="655">
        <f>+IF(OR($Q314=Parametres!$G$2,$Q314=Parametres!$G$3),K314,E314)</f>
        <v>435.07</v>
      </c>
      <c r="Q314" s="654" t="str">
        <f t="shared" si="183"/>
        <v>7-Dépenses</v>
      </c>
      <c r="R314" s="653" t="str">
        <f t="shared" si="184"/>
        <v>6153</v>
      </c>
      <c r="S314" s="654" t="str">
        <f t="shared" si="185"/>
        <v>_</v>
      </c>
      <c r="T314" s="656" t="str">
        <f>+VLOOKUP($L314,Data_Validation!$A:$D,1,0)</f>
        <v>6253</v>
      </c>
      <c r="U314" s="656" t="str">
        <f>+VLOOKUP($L314,Data_Validation!$A:$D,3,0)</f>
        <v>Véhicules usagés</v>
      </c>
      <c r="V314" s="656" t="str">
        <f>+VLOOKUP($L314,Data_Validation!$A:$D,4,0)</f>
        <v>Téléphone</v>
      </c>
      <c r="W314" s="656" t="str">
        <f>+VLOOKUP($L314,Data_Validation!$A:$E,5,0)</f>
        <v>$</v>
      </c>
      <c r="X314" s="656">
        <f>+VLOOKUP($L314,Data_Validation!$A:$F,6,0)</f>
        <v>0</v>
      </c>
    </row>
    <row r="315" spans="1:24" ht="15" customHeight="1">
      <c r="A315" s="1255" t="s">
        <v>1203</v>
      </c>
      <c r="B315" s="1255" t="s">
        <v>2397</v>
      </c>
      <c r="C315" s="1257">
        <v>132.34</v>
      </c>
      <c r="D315" s="1257">
        <v>41.88</v>
      </c>
      <c r="E315" s="1257">
        <v>174.22</v>
      </c>
      <c r="F315" s="1255" t="s">
        <v>1154</v>
      </c>
      <c r="G315" s="1255" t="s">
        <v>1204</v>
      </c>
      <c r="H315" s="1255" t="s">
        <v>3950</v>
      </c>
      <c r="I315" s="652"/>
      <c r="J315" s="652"/>
      <c r="K315" s="652"/>
      <c r="L315" s="653" t="str">
        <f t="shared" si="181"/>
        <v>6255</v>
      </c>
      <c r="M315" s="654" t="str">
        <f t="shared" si="182"/>
        <v>DEPENSES DIVERS</v>
      </c>
      <c r="N315" s="655">
        <f>+IF(OR($Q315=Parametres!$G$2,$Q315=Parametres!$G$3),I315,C315)</f>
        <v>132.34</v>
      </c>
      <c r="O315" s="655">
        <f>+IF(OR($Q315=Parametres!$G$2,$Q315=Parametres!$G$3),J315,D315)</f>
        <v>41.88</v>
      </c>
      <c r="P315" s="655">
        <f>+IF(OR($Q315=Parametres!$G$2,$Q315=Parametres!$G$3),K315,E315)</f>
        <v>174.22</v>
      </c>
      <c r="Q315" s="654" t="str">
        <f t="shared" si="183"/>
        <v>7-Dépenses</v>
      </c>
      <c r="R315" s="653" t="str">
        <f t="shared" si="184"/>
        <v>6155</v>
      </c>
      <c r="S315" s="654" t="str">
        <f t="shared" si="185"/>
        <v>_</v>
      </c>
      <c r="T315" s="656" t="str">
        <f>+VLOOKUP($L315,Data_Validation!$A:$D,1,0)</f>
        <v>6255</v>
      </c>
      <c r="U315" s="656" t="str">
        <f>+VLOOKUP($L315,Data_Validation!$A:$D,3,0)</f>
        <v>Véhicules usagés</v>
      </c>
      <c r="V315" s="656" t="str">
        <f>+VLOOKUP($L315,Data_Validation!$A:$D,4,0)</f>
        <v>Divers</v>
      </c>
      <c r="W315" s="656" t="str">
        <f>+VLOOKUP($L315,Data_Validation!$A:$E,5,0)</f>
        <v>$</v>
      </c>
      <c r="X315" s="656">
        <f>+VLOOKUP($L315,Data_Validation!$A:$F,6,0)</f>
        <v>0</v>
      </c>
    </row>
    <row r="316" spans="1:24" ht="15" customHeight="1">
      <c r="A316" s="1255" t="s">
        <v>1232</v>
      </c>
      <c r="B316" s="1255" t="s">
        <v>2400</v>
      </c>
      <c r="C316" s="1257">
        <v>2142.8000000000002</v>
      </c>
      <c r="D316" s="1257">
        <v>481.14</v>
      </c>
      <c r="E316" s="1257">
        <v>2623.94</v>
      </c>
      <c r="F316" s="1255" t="s">
        <v>1154</v>
      </c>
      <c r="G316" s="1255" t="s">
        <v>1206</v>
      </c>
      <c r="H316" s="1255" t="s">
        <v>3950</v>
      </c>
      <c r="I316" s="651"/>
      <c r="J316" s="651"/>
      <c r="K316" s="651"/>
      <c r="L316" s="653" t="str">
        <f t="shared" si="181"/>
        <v>6256</v>
      </c>
      <c r="M316" s="654" t="str">
        <f t="shared" si="182"/>
        <v>FRAIS REPRESENTATION - USAGE</v>
      </c>
      <c r="N316" s="655">
        <f>+IF(OR($Q316=Parametres!$G$2,$Q316=Parametres!$G$3),I316,C316)</f>
        <v>2142.8000000000002</v>
      </c>
      <c r="O316" s="655">
        <f>+IF(OR($Q316=Parametres!$G$2,$Q316=Parametres!$G$3),J316,D316)</f>
        <v>481.14</v>
      </c>
      <c r="P316" s="655">
        <f>+IF(OR($Q316=Parametres!$G$2,$Q316=Parametres!$G$3),K316,E316)</f>
        <v>2623.94</v>
      </c>
      <c r="Q316" s="654" t="str">
        <f t="shared" si="183"/>
        <v>7-Dépenses</v>
      </c>
      <c r="R316" s="653" t="str">
        <f t="shared" si="184"/>
        <v>6156</v>
      </c>
      <c r="S316" s="654" t="str">
        <f t="shared" si="185"/>
        <v>_</v>
      </c>
      <c r="T316" s="656" t="str">
        <f>+VLOOKUP($L316,Data_Validation!$A:$D,1,0)</f>
        <v>6256</v>
      </c>
      <c r="U316" s="656" t="str">
        <f>+VLOOKUP($L316,Data_Validation!$A:$D,3,0)</f>
        <v>Véhicules usagés</v>
      </c>
      <c r="V316" s="656" t="str">
        <f>+VLOOKUP($L316,Data_Validation!$A:$D,4,0)</f>
        <v>Frais de déplacement</v>
      </c>
      <c r="W316" s="656" t="str">
        <f>+VLOOKUP($L316,Data_Validation!$A:$E,5,0)</f>
        <v>$</v>
      </c>
      <c r="X316" s="656">
        <f>+VLOOKUP($L316,Data_Validation!$A:$F,6,0)</f>
        <v>0</v>
      </c>
    </row>
    <row r="317" spans="1:24" ht="15" customHeight="1">
      <c r="A317" s="1255" t="s">
        <v>1233</v>
      </c>
      <c r="B317" s="1255" t="s">
        <v>3391</v>
      </c>
      <c r="C317" s="1257">
        <v>2999.2</v>
      </c>
      <c r="D317" s="1257">
        <v>1013.26</v>
      </c>
      <c r="E317" s="1257">
        <v>4012.46</v>
      </c>
      <c r="F317" s="1255" t="s">
        <v>1154</v>
      </c>
      <c r="G317" s="1255" t="s">
        <v>1234</v>
      </c>
      <c r="H317" s="1255" t="s">
        <v>3950</v>
      </c>
      <c r="I317" s="652"/>
      <c r="J317" s="652"/>
      <c r="K317" s="652"/>
      <c r="L317" s="653" t="str">
        <f t="shared" si="181"/>
        <v>6257</v>
      </c>
      <c r="M317" s="654" t="str">
        <f t="shared" si="182"/>
        <v>FRAIS BANCAIRES - USAGE</v>
      </c>
      <c r="N317" s="655">
        <f>+IF(OR($Q317=Parametres!$G$2,$Q317=Parametres!$G$3),I317,C317)</f>
        <v>2999.2</v>
      </c>
      <c r="O317" s="659">
        <f>+IF(OR($Q317=Parametres!$G$2,$Q317=Parametres!$G$3),J317,D317)</f>
        <v>1013.26</v>
      </c>
      <c r="P317" s="655">
        <f>+IF(OR($Q317=Parametres!$G$2,$Q317=Parametres!$G$3),K317,E317)</f>
        <v>4012.46</v>
      </c>
      <c r="Q317" s="654" t="str">
        <f t="shared" si="183"/>
        <v>7-Dépenses</v>
      </c>
      <c r="R317" s="653" t="str">
        <f t="shared" si="184"/>
        <v>625</v>
      </c>
      <c r="S317" s="654" t="str">
        <f t="shared" si="185"/>
        <v>_</v>
      </c>
      <c r="T317" s="656" t="str">
        <f>+VLOOKUP($L317,Data_Validation!$A:$D,1,0)</f>
        <v>6257</v>
      </c>
      <c r="U317" s="656" t="str">
        <f>+VLOOKUP($L317,Data_Validation!$A:$D,3,0)</f>
        <v>Véhicules usagés</v>
      </c>
      <c r="V317" s="656" t="str">
        <f>+VLOOKUP($L317,Data_Validation!$A:$D,4,0)</f>
        <v>Frais bancaires</v>
      </c>
      <c r="W317" s="656" t="str">
        <f>+VLOOKUP($L317,Data_Validation!$A:$E,5,0)</f>
        <v>$</v>
      </c>
      <c r="X317" s="656">
        <f>+VLOOKUP($L317,Data_Validation!$A:$F,6,0)</f>
        <v>0</v>
      </c>
    </row>
    <row r="318" spans="1:24" ht="15.75" customHeight="1">
      <c r="A318" s="1255" t="s">
        <v>1209</v>
      </c>
      <c r="B318" s="1255" t="s">
        <v>2403</v>
      </c>
      <c r="C318" s="1257">
        <v>14849.94</v>
      </c>
      <c r="D318" s="1257">
        <v>2496.9699999999998</v>
      </c>
      <c r="E318" s="1257">
        <v>17346.91</v>
      </c>
      <c r="F318" s="1255" t="s">
        <v>1154</v>
      </c>
      <c r="G318" s="1255" t="s">
        <v>1210</v>
      </c>
      <c r="H318" s="1255" t="s">
        <v>3950</v>
      </c>
      <c r="I318" s="651"/>
      <c r="J318" s="651"/>
      <c r="K318" s="651"/>
      <c r="L318" s="653" t="str">
        <f t="shared" si="181"/>
        <v>6259</v>
      </c>
      <c r="M318" s="654" t="str">
        <f t="shared" si="182"/>
        <v>SERVICE EXTERIEUR</v>
      </c>
      <c r="N318" s="655">
        <f>+IF(OR($Q318=Parametres!$G$2,$Q318=Parametres!$G$3),I318,C318)</f>
        <v>14849.94</v>
      </c>
      <c r="O318" s="655">
        <f>+IF(OR($Q318=Parametres!$G$2,$Q318=Parametres!$G$3),J318,D318)</f>
        <v>2496.9699999999998</v>
      </c>
      <c r="P318" s="655">
        <f>+IF(OR($Q318=Parametres!$G$2,$Q318=Parametres!$G$3),K318,E318)</f>
        <v>17346.91</v>
      </c>
      <c r="Q318" s="654" t="str">
        <f t="shared" si="183"/>
        <v>7-Dépenses</v>
      </c>
      <c r="R318" s="653" t="str">
        <f t="shared" si="184"/>
        <v>6159</v>
      </c>
      <c r="S318" s="654" t="str">
        <f t="shared" si="185"/>
        <v>_</v>
      </c>
      <c r="T318" s="656" t="str">
        <f>+VLOOKUP($L318,Data_Validation!$A:$D,1,0)</f>
        <v>6259</v>
      </c>
      <c r="U318" s="656" t="str">
        <f>+VLOOKUP($L318,Data_Validation!$A:$D,3,0)</f>
        <v>Véhicules usagés</v>
      </c>
      <c r="V318" s="656" t="str">
        <f>+VLOOKUP($L318,Data_Validation!$A:$D,4,0)</f>
        <v>Services extérieurs</v>
      </c>
      <c r="W318" s="656" t="str">
        <f>+VLOOKUP($L318,Data_Validation!$A:$E,5,0)</f>
        <v>$</v>
      </c>
      <c r="X318" s="656">
        <f>+VLOOKUP($L318,Data_Validation!$A:$F,6,0)</f>
        <v>0</v>
      </c>
    </row>
    <row r="319" spans="1:24" ht="15" customHeight="1">
      <c r="A319" s="1255" t="s">
        <v>1211</v>
      </c>
      <c r="B319" s="1255" t="s">
        <v>2406</v>
      </c>
      <c r="C319" s="1257">
        <v>20471.04</v>
      </c>
      <c r="D319" s="1257">
        <v>5117.76</v>
      </c>
      <c r="E319" s="1257">
        <v>25588.799999999999</v>
      </c>
      <c r="F319" s="1255" t="s">
        <v>1154</v>
      </c>
      <c r="G319" s="1255" t="s">
        <v>1212</v>
      </c>
      <c r="H319" s="1255" t="s">
        <v>3950</v>
      </c>
      <c r="I319" s="652"/>
      <c r="J319" s="652"/>
      <c r="K319" s="652"/>
      <c r="L319" s="653" t="str">
        <f t="shared" si="181"/>
        <v>6261</v>
      </c>
      <c r="M319" s="654" t="str">
        <f t="shared" si="182"/>
        <v>DEPRECIATION EQUIP. &amp; FIXTURES</v>
      </c>
      <c r="N319" s="655">
        <f>+IF(OR($Q319=Parametres!$G$2,$Q319=Parametres!$G$3),I319,C319)</f>
        <v>20471.04</v>
      </c>
      <c r="O319" s="659">
        <f>+IF(OR($Q319=Parametres!$G$2,$Q319=Parametres!$G$3),J319,D319)</f>
        <v>5117.76</v>
      </c>
      <c r="P319" s="655">
        <f>+IF(OR($Q319=Parametres!$G$2,$Q319=Parametres!$G$3),K319,E319)</f>
        <v>25588.799999999999</v>
      </c>
      <c r="Q319" s="654" t="str">
        <f t="shared" si="183"/>
        <v>7-Dépenses</v>
      </c>
      <c r="R319" s="653" t="str">
        <f t="shared" si="184"/>
        <v>6161</v>
      </c>
      <c r="S319" s="654" t="str">
        <f t="shared" si="185"/>
        <v>_</v>
      </c>
      <c r="T319" s="656" t="str">
        <f>+VLOOKUP($L319,Data_Validation!$A:$D,1,0)</f>
        <v>6261</v>
      </c>
      <c r="U319" s="656" t="str">
        <f>+VLOOKUP($L319,Data_Validation!$A:$D,3,0)</f>
        <v>Véhicules usagés</v>
      </c>
      <c r="V319" s="656" t="str">
        <f>+VLOOKUP($L319,Data_Validation!$A:$D,4,0)</f>
        <v>Amortissement</v>
      </c>
      <c r="W319" s="656" t="str">
        <f>+VLOOKUP($L319,Data_Validation!$A:$E,5,0)</f>
        <v>$</v>
      </c>
      <c r="X319" s="656">
        <f>+VLOOKUP($L319,Data_Validation!$A:$F,6,0)</f>
        <v>0</v>
      </c>
    </row>
    <row r="320" spans="1:24" ht="15" customHeight="1">
      <c r="A320" s="1255" t="s">
        <v>1235</v>
      </c>
      <c r="B320" s="1255" t="s">
        <v>2412</v>
      </c>
      <c r="C320" s="1257">
        <v>3886.09</v>
      </c>
      <c r="D320" s="1257">
        <v>704.17</v>
      </c>
      <c r="E320" s="1257">
        <v>4590.26</v>
      </c>
      <c r="F320" s="1255" t="s">
        <v>1154</v>
      </c>
      <c r="G320" s="1255" t="s">
        <v>1214</v>
      </c>
      <c r="H320" s="1255" t="s">
        <v>3950</v>
      </c>
      <c r="I320" s="663"/>
      <c r="J320" s="663"/>
      <c r="K320" s="663"/>
      <c r="L320" s="653" t="str">
        <f t="shared" si="181"/>
        <v>6281</v>
      </c>
      <c r="M320" s="654" t="str">
        <f t="shared" si="182"/>
        <v>CHAUFFAGE,ELECTRICITE,EAU-USAGE</v>
      </c>
      <c r="N320" s="655">
        <f>+IF(OR($Q320=Parametres!$G$2,$Q320=Parametres!$G$3),I320,C320)</f>
        <v>3886.09</v>
      </c>
      <c r="O320" s="655">
        <f>+IF(OR($Q320=Parametres!$G$2,$Q320=Parametres!$G$3),J320,D320)</f>
        <v>704.17</v>
      </c>
      <c r="P320" s="655">
        <f>+IF(OR($Q320=Parametres!$G$2,$Q320=Parametres!$G$3),K320,E320)</f>
        <v>4590.26</v>
      </c>
      <c r="Q320" s="654" t="str">
        <f t="shared" si="183"/>
        <v>7-Dépenses</v>
      </c>
      <c r="R320" s="653" t="str">
        <f t="shared" si="184"/>
        <v>6181</v>
      </c>
      <c r="S320" s="654" t="str">
        <f t="shared" si="185"/>
        <v>_</v>
      </c>
      <c r="T320" s="656" t="str">
        <f>+VLOOKUP($L320,Data_Validation!$A:$D,1,0)</f>
        <v>6281</v>
      </c>
      <c r="U320" s="656" t="str">
        <f>+VLOOKUP($L320,Data_Validation!$A:$D,3,0)</f>
        <v>Véhicules usagés</v>
      </c>
      <c r="V320" s="656" t="str">
        <f>+VLOOKUP($L320,Data_Validation!$A:$D,4,0)</f>
        <v>Chauffage, éclairage</v>
      </c>
      <c r="W320" s="656" t="str">
        <f>+VLOOKUP($L320,Data_Validation!$A:$E,5,0)</f>
        <v>$</v>
      </c>
      <c r="X320" s="656">
        <f>+VLOOKUP($L320,Data_Validation!$A:$F,6,0)</f>
        <v>0</v>
      </c>
    </row>
    <row r="321" spans="1:24" ht="15" customHeight="1">
      <c r="A321" s="1255" t="s">
        <v>1236</v>
      </c>
      <c r="B321" s="1255" t="s">
        <v>2415</v>
      </c>
      <c r="C321" s="1257">
        <v>17280</v>
      </c>
      <c r="D321" s="1257">
        <v>4320</v>
      </c>
      <c r="E321" s="1257">
        <v>21600</v>
      </c>
      <c r="F321" s="1255" t="s">
        <v>1154</v>
      </c>
      <c r="G321" s="1255" t="s">
        <v>1216</v>
      </c>
      <c r="H321" s="1255" t="s">
        <v>3950</v>
      </c>
      <c r="I321" s="663"/>
      <c r="J321" s="663"/>
      <c r="K321" s="663"/>
      <c r="L321" s="653" t="str">
        <f t="shared" si="181"/>
        <v>6282</v>
      </c>
      <c r="M321" s="654" t="str">
        <f t="shared" si="182"/>
        <v>LOYER - USAGE</v>
      </c>
      <c r="N321" s="655">
        <f>+IF(OR($Q321=Parametres!$G$2,$Q321=Parametres!$G$3),I321,C321)</f>
        <v>17280</v>
      </c>
      <c r="O321" s="655">
        <f>+IF(OR($Q321=Parametres!$G$2,$Q321=Parametres!$G$3),J321,D321)</f>
        <v>4320</v>
      </c>
      <c r="P321" s="655">
        <f>+IF(OR($Q321=Parametres!$G$2,$Q321=Parametres!$G$3),K321,E321)</f>
        <v>21600</v>
      </c>
      <c r="Q321" s="654" t="str">
        <f t="shared" si="183"/>
        <v>7-Dépenses</v>
      </c>
      <c r="R321" s="653" t="str">
        <f t="shared" si="184"/>
        <v>6182</v>
      </c>
      <c r="S321" s="654" t="str">
        <f t="shared" si="185"/>
        <v>_</v>
      </c>
      <c r="T321" s="656" t="str">
        <f>+VLOOKUP($L321,Data_Validation!$A:$D,1,0)</f>
        <v>6282</v>
      </c>
      <c r="U321" s="656" t="str">
        <f>+VLOOKUP($L321,Data_Validation!$A:$D,3,0)</f>
        <v>Véhicules usagés</v>
      </c>
      <c r="V321" s="656" t="str">
        <f>+VLOOKUP($L321,Data_Validation!$A:$D,4,0)</f>
        <v>Loyer</v>
      </c>
      <c r="W321" s="656" t="str">
        <f>+VLOOKUP($L321,Data_Validation!$A:$E,5,0)</f>
        <v>$</v>
      </c>
      <c r="X321" s="656">
        <f>+VLOOKUP($L321,Data_Validation!$A:$F,6,0)</f>
        <v>0</v>
      </c>
    </row>
    <row r="322" spans="1:24" ht="15.75" customHeight="1">
      <c r="A322" s="1255" t="s">
        <v>1237</v>
      </c>
      <c r="B322" s="1255" t="s">
        <v>2418</v>
      </c>
      <c r="C322" s="1257">
        <v>2085.2399999999998</v>
      </c>
      <c r="D322" s="1257">
        <v>521.30999999999995</v>
      </c>
      <c r="E322" s="1257">
        <v>2606.5500000000002</v>
      </c>
      <c r="F322" s="1255" t="s">
        <v>1154</v>
      </c>
      <c r="G322" s="1255" t="s">
        <v>1218</v>
      </c>
      <c r="H322" s="1255" t="s">
        <v>3950</v>
      </c>
      <c r="I322" s="651"/>
      <c r="J322" s="651"/>
      <c r="K322" s="651"/>
      <c r="L322" s="653" t="str">
        <f t="shared" si="181"/>
        <v>6286</v>
      </c>
      <c r="M322" s="654" t="str">
        <f t="shared" si="182"/>
        <v>ASSURANCE BATISSE &amp; AMEL.-USAGE</v>
      </c>
      <c r="N322" s="655">
        <f>+IF(OR($Q322=Parametres!$G$2,$Q322=Parametres!$G$3),I322,C322)</f>
        <v>2085.2399999999998</v>
      </c>
      <c r="O322" s="659">
        <f>+IF(OR($Q322=Parametres!$G$2,$Q322=Parametres!$G$3),J322,D322)</f>
        <v>521.30999999999995</v>
      </c>
      <c r="P322" s="655">
        <f>+IF(OR($Q322=Parametres!$G$2,$Q322=Parametres!$G$3),K322,E322)</f>
        <v>2606.5500000000002</v>
      </c>
      <c r="Q322" s="654" t="str">
        <f t="shared" si="183"/>
        <v>7-Dépenses</v>
      </c>
      <c r="R322" s="653" t="str">
        <f t="shared" si="184"/>
        <v>6186</v>
      </c>
      <c r="S322" s="654" t="str">
        <f t="shared" si="185"/>
        <v>_</v>
      </c>
      <c r="T322" s="656" t="str">
        <f>+VLOOKUP($L322,Data_Validation!$A:$D,1,0)</f>
        <v>6286</v>
      </c>
      <c r="U322" s="656" t="str">
        <f>+VLOOKUP($L322,Data_Validation!$A:$D,3,0)</f>
        <v>Véhicules usagés</v>
      </c>
      <c r="V322" s="656" t="str">
        <f>+VLOOKUP($L322,Data_Validation!$A:$D,4,0)</f>
        <v>Assurances</v>
      </c>
      <c r="W322" s="656" t="str">
        <f>+VLOOKUP($L322,Data_Validation!$A:$E,5,0)</f>
        <v>$</v>
      </c>
      <c r="X322" s="656">
        <f>+VLOOKUP($L322,Data_Validation!$A:$F,6,0)</f>
        <v>0</v>
      </c>
    </row>
    <row r="323" spans="1:24" ht="15" customHeight="1">
      <c r="A323" s="1255" t="s">
        <v>1238</v>
      </c>
      <c r="B323" s="1255" t="s">
        <v>2421</v>
      </c>
      <c r="C323" s="1257">
        <v>2603.04</v>
      </c>
      <c r="D323" s="1257">
        <v>650.76</v>
      </c>
      <c r="E323" s="1257">
        <v>3253.8</v>
      </c>
      <c r="F323" s="1255" t="s">
        <v>1154</v>
      </c>
      <c r="G323" s="1255" t="s">
        <v>1220</v>
      </c>
      <c r="H323" s="1255" t="s">
        <v>3950</v>
      </c>
      <c r="I323" s="652"/>
      <c r="J323" s="652"/>
      <c r="K323" s="652"/>
      <c r="L323" s="653" t="str">
        <f t="shared" si="181"/>
        <v>6287</v>
      </c>
      <c r="M323" s="654" t="str">
        <f t="shared" si="182"/>
        <v>TAXES FONCIERES - USAGE</v>
      </c>
      <c r="N323" s="655">
        <f>+IF(OR($Q323=Parametres!$G$2,$Q323=Parametres!$G$3),I323,C323)</f>
        <v>2603.04</v>
      </c>
      <c r="O323" s="659">
        <f>+IF(OR($Q323=Parametres!$G$2,$Q323=Parametres!$G$3),J323,D323)</f>
        <v>650.76</v>
      </c>
      <c r="P323" s="655">
        <f>+IF(OR($Q323=Parametres!$G$2,$Q323=Parametres!$G$3),K323,E323)</f>
        <v>3253.8</v>
      </c>
      <c r="Q323" s="654" t="str">
        <f t="shared" si="183"/>
        <v>7-Dépenses</v>
      </c>
      <c r="R323" s="653" t="str">
        <f t="shared" si="184"/>
        <v>6187</v>
      </c>
      <c r="S323" s="654" t="str">
        <f t="shared" si="185"/>
        <v>_</v>
      </c>
      <c r="T323" s="656" t="str">
        <f>+VLOOKUP($L323,Data_Validation!$A:$D,1,0)</f>
        <v>6287</v>
      </c>
      <c r="U323" s="656" t="str">
        <f>+VLOOKUP($L323,Data_Validation!$A:$D,3,0)</f>
        <v>Véhicules usagés</v>
      </c>
      <c r="V323" s="656" t="str">
        <f>+VLOOKUP($L323,Data_Validation!$A:$D,4,0)</f>
        <v>Taxes foncières</v>
      </c>
      <c r="W323" s="656" t="str">
        <f>+VLOOKUP($L323,Data_Validation!$A:$E,5,0)</f>
        <v>$</v>
      </c>
      <c r="X323" s="656">
        <f>+VLOOKUP($L323,Data_Validation!$A:$F,6,0)</f>
        <v>0</v>
      </c>
    </row>
    <row r="324" spans="1:24" ht="15" customHeight="1">
      <c r="A324" s="1255" t="s">
        <v>1239</v>
      </c>
      <c r="B324" s="1255" t="s">
        <v>2424</v>
      </c>
      <c r="C324" s="1257">
        <v>2044.32</v>
      </c>
      <c r="D324" s="1257">
        <v>433.08</v>
      </c>
      <c r="E324" s="1257">
        <v>2477.4</v>
      </c>
      <c r="F324" s="1255" t="s">
        <v>1154</v>
      </c>
      <c r="G324" s="1255" t="s">
        <v>1222</v>
      </c>
      <c r="H324" s="1255" t="s">
        <v>3950</v>
      </c>
      <c r="I324" s="670"/>
      <c r="J324" s="651"/>
      <c r="K324" s="670"/>
      <c r="L324" s="653" t="str">
        <f t="shared" si="181"/>
        <v>6293</v>
      </c>
      <c r="M324" s="654" t="str">
        <f t="shared" si="182"/>
        <v>AUTRE TAXES - USAGES</v>
      </c>
      <c r="N324" s="655">
        <f>+IF(OR($Q324=Parametres!$G$2,$Q324=Parametres!$G$3),I324,C324)</f>
        <v>2044.32</v>
      </c>
      <c r="O324" s="655">
        <f>+IF(OR($Q324=Parametres!$G$2,$Q324=Parametres!$G$3),J324,D324)</f>
        <v>433.08</v>
      </c>
      <c r="P324" s="655">
        <f>+IF(OR($Q324=Parametres!$G$2,$Q324=Parametres!$G$3),K324,E324)</f>
        <v>2477.4</v>
      </c>
      <c r="Q324" s="654" t="str">
        <f t="shared" si="183"/>
        <v>7-Dépenses</v>
      </c>
      <c r="R324" s="653" t="str">
        <f t="shared" si="184"/>
        <v>6193</v>
      </c>
      <c r="S324" s="654" t="str">
        <f t="shared" si="185"/>
        <v>_</v>
      </c>
      <c r="T324" s="656" t="str">
        <f>+VLOOKUP($L324,Data_Validation!$A:$D,1,0)</f>
        <v>6293</v>
      </c>
      <c r="U324" s="656" t="str">
        <f>+VLOOKUP($L324,Data_Validation!$A:$D,3,0)</f>
        <v>Véhicules usagés</v>
      </c>
      <c r="V324" s="656" t="str">
        <f>+VLOOKUP($L324,Data_Validation!$A:$D,4,0)</f>
        <v>Taxes d`affaires</v>
      </c>
      <c r="W324" s="656" t="str">
        <f>+VLOOKUP($L324,Data_Validation!$A:$E,5,0)</f>
        <v>$</v>
      </c>
      <c r="X324" s="656">
        <f>+VLOOKUP($L324,Data_Validation!$A:$F,6,0)</f>
        <v>0</v>
      </c>
    </row>
    <row r="325" spans="1:24" ht="15" customHeight="1">
      <c r="A325" s="1255" t="s">
        <v>1240</v>
      </c>
      <c r="B325" s="1255" t="s">
        <v>2427</v>
      </c>
      <c r="C325" s="1257">
        <v>3253.35</v>
      </c>
      <c r="D325" s="1257">
        <v>770.8</v>
      </c>
      <c r="E325" s="1257">
        <v>4024.15</v>
      </c>
      <c r="F325" s="1255" t="s">
        <v>1154</v>
      </c>
      <c r="G325" s="1255" t="s">
        <v>1224</v>
      </c>
      <c r="H325" s="1255" t="s">
        <v>3950</v>
      </c>
      <c r="I325" s="670"/>
      <c r="J325" s="651"/>
      <c r="K325" s="670"/>
      <c r="L325" s="653" t="str">
        <f t="shared" si="181"/>
        <v>6294</v>
      </c>
      <c r="M325" s="654" t="str">
        <f t="shared" si="182"/>
        <v>FRAIS PROFESSIONNEL-USAGE</v>
      </c>
      <c r="N325" s="655">
        <f>+IF(OR($Q325=Parametres!$G$2,$Q325=Parametres!$G$3),I325,C325)</f>
        <v>3253.35</v>
      </c>
      <c r="O325" s="659">
        <f>+IF(OR($Q325=Parametres!$G$2,$Q325=Parametres!$G$3),J325,D325)</f>
        <v>770.8</v>
      </c>
      <c r="P325" s="655">
        <f>+IF(OR($Q325=Parametres!$G$2,$Q325=Parametres!$G$3),K325,E325)</f>
        <v>4024.15</v>
      </c>
      <c r="Q325" s="654" t="str">
        <f t="shared" si="183"/>
        <v>7-Dépenses</v>
      </c>
      <c r="R325" s="653" t="str">
        <f t="shared" si="184"/>
        <v>6194</v>
      </c>
      <c r="S325" s="654" t="str">
        <f t="shared" si="185"/>
        <v>_</v>
      </c>
      <c r="T325" s="656" t="str">
        <f>+VLOOKUP($L325,Data_Validation!$A:$D,1,0)</f>
        <v>6294</v>
      </c>
      <c r="U325" s="656" t="str">
        <f>+VLOOKUP($L325,Data_Validation!$A:$D,3,0)</f>
        <v>Véhicules usagés</v>
      </c>
      <c r="V325" s="656" t="str">
        <f>+VLOOKUP($L325,Data_Validation!$A:$D,4,0)</f>
        <v>Honoraires</v>
      </c>
      <c r="W325" s="656" t="str">
        <f>+VLOOKUP($L325,Data_Validation!$A:$E,5,0)</f>
        <v>$</v>
      </c>
      <c r="X325" s="656">
        <f>+VLOOKUP($L325,Data_Validation!$A:$F,6,0)</f>
        <v>0</v>
      </c>
    </row>
    <row r="326" spans="1:24" ht="15" customHeight="1">
      <c r="A326" s="1255" t="s">
        <v>1241</v>
      </c>
      <c r="B326" s="1255" t="s">
        <v>2430</v>
      </c>
      <c r="C326" s="1257">
        <v>10249.790000000001</v>
      </c>
      <c r="D326" s="1257">
        <v>3243.72</v>
      </c>
      <c r="E326" s="1257">
        <v>13493.51</v>
      </c>
      <c r="F326" s="1255" t="s">
        <v>1154</v>
      </c>
      <c r="G326" s="1255" t="s">
        <v>1242</v>
      </c>
      <c r="H326" s="1255" t="s">
        <v>3950</v>
      </c>
      <c r="I326" s="652"/>
      <c r="J326" s="652"/>
      <c r="K326" s="652"/>
      <c r="L326" s="653" t="str">
        <f t="shared" si="181"/>
        <v>6403</v>
      </c>
      <c r="M326" s="654" t="str">
        <f t="shared" si="182"/>
        <v>RELAT. A LA CLIENTELE &amp; AJUST</v>
      </c>
      <c r="N326" s="655">
        <f>+IF(OR($Q326=Parametres!$G$2,$Q326=Parametres!$G$3),I326,C326)</f>
        <v>10249.790000000001</v>
      </c>
      <c r="O326" s="659">
        <f>+IF(OR($Q326=Parametres!$G$2,$Q326=Parametres!$G$3),J326,D326)</f>
        <v>3243.72</v>
      </c>
      <c r="P326" s="655">
        <f>+IF(OR($Q326=Parametres!$G$2,$Q326=Parametres!$G$3),K326,E326)</f>
        <v>13493.51</v>
      </c>
      <c r="Q326" s="654" t="str">
        <f t="shared" si="183"/>
        <v>7-Dépenses</v>
      </c>
      <c r="R326" s="653" t="str">
        <f t="shared" si="184"/>
        <v>6112</v>
      </c>
      <c r="S326" s="654" t="str">
        <f t="shared" si="185"/>
        <v>_</v>
      </c>
      <c r="T326" s="656" t="str">
        <f>+VLOOKUP($L326,Data_Validation!$A:$D,1,0)</f>
        <v>6403</v>
      </c>
      <c r="U326" s="656" t="str">
        <f>+VLOOKUP($L326,Data_Validation!$A:$D,3,0)</f>
        <v>Service</v>
      </c>
      <c r="V326" s="656" t="str">
        <f>+VLOOKUP($L326,Data_Validation!$A:$D,4,0)</f>
        <v>Service gratuit 2</v>
      </c>
      <c r="W326" s="656" t="str">
        <f>+VLOOKUP($L326,Data_Validation!$A:$E,5,0)</f>
        <v>$</v>
      </c>
      <c r="X326" s="656">
        <f>+VLOOKUP($L326,Data_Validation!$A:$F,6,0)</f>
        <v>0</v>
      </c>
    </row>
    <row r="327" spans="1:24" ht="15.75" customHeight="1">
      <c r="A327" s="1255" t="s">
        <v>1243</v>
      </c>
      <c r="B327" s="1255" t="s">
        <v>2433</v>
      </c>
      <c r="C327" s="1257">
        <v>2247.5500000000002</v>
      </c>
      <c r="D327" s="1257">
        <v>13.26</v>
      </c>
      <c r="E327" s="1257">
        <v>2260.81</v>
      </c>
      <c r="F327" s="1255" t="s">
        <v>1154</v>
      </c>
      <c r="G327" s="1255" t="s">
        <v>1242</v>
      </c>
      <c r="H327" s="1255" t="s">
        <v>3950</v>
      </c>
      <c r="I327" s="652"/>
      <c r="J327" s="652"/>
      <c r="K327" s="652"/>
      <c r="L327" s="653" t="str">
        <f t="shared" si="181"/>
        <v>6412</v>
      </c>
      <c r="M327" s="654" t="str">
        <f t="shared" si="182"/>
        <v>AUTORISATION &amp; GAR./VEH. USA</v>
      </c>
      <c r="N327" s="655">
        <f>+IF(OR($Q327=Parametres!$G$2,$Q327=Parametres!$G$3),I327,C327)</f>
        <v>2247.5500000000002</v>
      </c>
      <c r="O327" s="655">
        <f>+IF(OR($Q327=Parametres!$G$2,$Q327=Parametres!$G$3),J327,D327)</f>
        <v>13.26</v>
      </c>
      <c r="P327" s="655">
        <f>+IF(OR($Q327=Parametres!$G$2,$Q327=Parametres!$G$3),K327,E327)</f>
        <v>2260.81</v>
      </c>
      <c r="Q327" s="654" t="str">
        <f t="shared" si="183"/>
        <v>7-Dépenses</v>
      </c>
      <c r="R327" s="653" t="str">
        <f t="shared" si="184"/>
        <v>6112</v>
      </c>
      <c r="S327" s="654" t="str">
        <f t="shared" si="185"/>
        <v>_</v>
      </c>
      <c r="T327" s="656" t="str">
        <f>+VLOOKUP($L327,Data_Validation!$A:$D,1,0)</f>
        <v>6412</v>
      </c>
      <c r="U327" s="656" t="str">
        <f>+VLOOKUP($L327,Data_Validation!$A:$D,3,0)</f>
        <v>Service</v>
      </c>
      <c r="V327" s="656" t="str">
        <f>+VLOOKUP($L327,Data_Validation!$A:$D,4,0)</f>
        <v>Service gratuit 2</v>
      </c>
      <c r="W327" s="656" t="str">
        <f>+VLOOKUP($L327,Data_Validation!$A:$E,5,0)</f>
        <v>$</v>
      </c>
      <c r="X327" s="656">
        <f>+VLOOKUP($L327,Data_Validation!$A:$F,6,0)</f>
        <v>0</v>
      </c>
    </row>
    <row r="328" spans="1:24" ht="15" customHeight="1">
      <c r="A328" s="1255" t="s">
        <v>1166</v>
      </c>
      <c r="B328" s="1255" t="s">
        <v>2436</v>
      </c>
      <c r="C328" s="1257">
        <v>60804.46</v>
      </c>
      <c r="D328" s="1257">
        <v>15357.7</v>
      </c>
      <c r="E328" s="1257">
        <v>76162.16</v>
      </c>
      <c r="F328" s="1255" t="s">
        <v>1154</v>
      </c>
      <c r="G328" s="1255" t="s">
        <v>1167</v>
      </c>
      <c r="H328" s="1255" t="s">
        <v>3950</v>
      </c>
      <c r="I328" s="652"/>
      <c r="J328" s="652"/>
      <c r="K328" s="652"/>
      <c r="L328" s="653" t="str">
        <f t="shared" si="181"/>
        <v>6414</v>
      </c>
      <c r="M328" s="654" t="str">
        <f t="shared" si="182"/>
        <v>PUBLICITE</v>
      </c>
      <c r="N328" s="655">
        <f>+IF(OR($Q328=Parametres!$G$2,$Q328=Parametres!$G$3),I328,C328)</f>
        <v>60804.46</v>
      </c>
      <c r="O328" s="655">
        <f>+IF(OR($Q328=Parametres!$G$2,$Q328=Parametres!$G$3),J328,D328)</f>
        <v>15357.7</v>
      </c>
      <c r="P328" s="655">
        <f>+IF(OR($Q328=Parametres!$G$2,$Q328=Parametres!$G$3),K328,E328)</f>
        <v>76162.16</v>
      </c>
      <c r="Q328" s="654" t="str">
        <f t="shared" si="183"/>
        <v>7-Dépenses</v>
      </c>
      <c r="R328" s="653" t="str">
        <f t="shared" si="184"/>
        <v>6114</v>
      </c>
      <c r="S328" s="654" t="str">
        <f t="shared" si="185"/>
        <v>_</v>
      </c>
      <c r="T328" s="656" t="str">
        <f>+VLOOKUP($L328,Data_Validation!$A:$D,1,0)</f>
        <v>6414</v>
      </c>
      <c r="U328" s="656" t="str">
        <f>+VLOOKUP($L328,Data_Validation!$A:$D,3,0)</f>
        <v>Service</v>
      </c>
      <c r="V328" s="656" t="str">
        <f>+VLOOKUP($L328,Data_Validation!$A:$D,4,0)</f>
        <v>Publicité 2</v>
      </c>
      <c r="W328" s="656" t="str">
        <f>+VLOOKUP($L328,Data_Validation!$A:$E,5,0)</f>
        <v>$</v>
      </c>
      <c r="X328" s="656">
        <f>+VLOOKUP($L328,Data_Validation!$A:$F,6,0)</f>
        <v>0</v>
      </c>
    </row>
    <row r="329" spans="1:24" ht="15" customHeight="1">
      <c r="A329" s="1255" t="s">
        <v>1169</v>
      </c>
      <c r="B329" s="1255" t="s">
        <v>2439</v>
      </c>
      <c r="C329" s="1257">
        <v>12641.66</v>
      </c>
      <c r="D329" s="1257">
        <v>4145.8500000000004</v>
      </c>
      <c r="E329" s="1257">
        <v>16787.509999999998</v>
      </c>
      <c r="F329" s="1255" t="s">
        <v>1154</v>
      </c>
      <c r="G329" s="1255" t="s">
        <v>1170</v>
      </c>
      <c r="H329" s="1255" t="s">
        <v>3950</v>
      </c>
      <c r="I329" s="651"/>
      <c r="J329" s="651"/>
      <c r="K329" s="651"/>
      <c r="L329" s="653" t="str">
        <f t="shared" si="181"/>
        <v>6421</v>
      </c>
      <c r="M329" s="654" t="str">
        <f t="shared" si="182"/>
        <v>SALAIRES - PROPRIETAIRES</v>
      </c>
      <c r="N329" s="655">
        <f>+IF(OR($Q329=Parametres!$G$2,$Q329=Parametres!$G$3),I329,C329)</f>
        <v>12641.66</v>
      </c>
      <c r="O329" s="655">
        <f>+IF(OR($Q329=Parametres!$G$2,$Q329=Parametres!$G$3),J329,D329)</f>
        <v>4145.8500000000004</v>
      </c>
      <c r="P329" s="655">
        <f>+IF(OR($Q329=Parametres!$G$2,$Q329=Parametres!$G$3),K329,E329)</f>
        <v>16787.509999999998</v>
      </c>
      <c r="Q329" s="654" t="str">
        <f t="shared" si="183"/>
        <v>7-Dépenses</v>
      </c>
      <c r="R329" s="653" t="str">
        <f t="shared" si="184"/>
        <v>6121</v>
      </c>
      <c r="S329" s="654" t="str">
        <f t="shared" si="185"/>
        <v>_</v>
      </c>
      <c r="T329" s="656" t="str">
        <f>+VLOOKUP($L329,Data_Validation!$A:$D,1,0)</f>
        <v>6421</v>
      </c>
      <c r="U329" s="656" t="str">
        <f>+VLOOKUP($L329,Data_Validation!$A:$D,3,0)</f>
        <v>Service</v>
      </c>
      <c r="V329" s="656" t="str">
        <f>+VLOOKUP($L329,Data_Validation!$A:$D,4,0)</f>
        <v>Salaires propriétaire</v>
      </c>
      <c r="W329" s="656" t="str">
        <f>+VLOOKUP($L329,Data_Validation!$A:$E,5,0)</f>
        <v>$</v>
      </c>
      <c r="X329" s="656">
        <f>+VLOOKUP($L329,Data_Validation!$A:$F,6,0)</f>
        <v>0</v>
      </c>
    </row>
    <row r="330" spans="1:24" ht="15" customHeight="1">
      <c r="A330" s="1255" t="s">
        <v>1171</v>
      </c>
      <c r="B330" s="1255" t="s">
        <v>2442</v>
      </c>
      <c r="C330" s="1257">
        <v>60815.33</v>
      </c>
      <c r="D330" s="1257">
        <v>13576.1</v>
      </c>
      <c r="E330" s="1257">
        <v>74391.429999999993</v>
      </c>
      <c r="F330" s="1255" t="s">
        <v>1154</v>
      </c>
      <c r="G330" s="1255" t="s">
        <v>1172</v>
      </c>
      <c r="H330" s="1255" t="s">
        <v>3950</v>
      </c>
      <c r="I330" s="663"/>
      <c r="J330" s="663"/>
      <c r="K330" s="663"/>
      <c r="L330" s="653" t="str">
        <f t="shared" si="181"/>
        <v>6422</v>
      </c>
      <c r="M330" s="654" t="str">
        <f t="shared" si="182"/>
        <v>SAL SUPERVISION / GERANT</v>
      </c>
      <c r="N330" s="655">
        <f>+IF(OR($Q330=Parametres!$G$2,$Q330=Parametres!$G$3),I330,C330)</f>
        <v>60815.33</v>
      </c>
      <c r="O330" s="655">
        <f>+IF(OR($Q330=Parametres!$G$2,$Q330=Parametres!$G$3),J330,D330)</f>
        <v>13576.1</v>
      </c>
      <c r="P330" s="655">
        <f>+IF(OR($Q330=Parametres!$G$2,$Q330=Parametres!$G$3),K330,E330)</f>
        <v>74391.429999999993</v>
      </c>
      <c r="Q330" s="654" t="str">
        <f t="shared" si="183"/>
        <v>7-Dépenses</v>
      </c>
      <c r="R330" s="653" t="str">
        <f t="shared" si="184"/>
        <v>6122</v>
      </c>
      <c r="S330" s="654" t="str">
        <f t="shared" si="185"/>
        <v>_</v>
      </c>
      <c r="T330" s="656" t="str">
        <f>+VLOOKUP($L330,Data_Validation!$A:$D,1,0)</f>
        <v>6422</v>
      </c>
      <c r="U330" s="656" t="str">
        <f>+VLOOKUP($L330,Data_Validation!$A:$D,3,0)</f>
        <v>Service</v>
      </c>
      <c r="V330" s="656" t="str">
        <f>+VLOOKUP($L330,Data_Validation!$A:$D,4,0)</f>
        <v>Salaires cadres</v>
      </c>
      <c r="W330" s="656" t="str">
        <f>+VLOOKUP($L330,Data_Validation!$A:$E,5,0)</f>
        <v>$</v>
      </c>
      <c r="X330" s="656">
        <f>+VLOOKUP($L330,Data_Validation!$A:$F,6,0)</f>
        <v>0</v>
      </c>
    </row>
    <row r="331" spans="1:24" ht="15" customHeight="1">
      <c r="A331" s="1255" t="s">
        <v>1244</v>
      </c>
      <c r="B331" s="1255" t="s">
        <v>2445</v>
      </c>
      <c r="C331" s="1257">
        <v>34116.269999999997</v>
      </c>
      <c r="D331" s="1257">
        <v>6435.82</v>
      </c>
      <c r="E331" s="1257">
        <v>40552.089999999997</v>
      </c>
      <c r="F331" s="1255" t="s">
        <v>1154</v>
      </c>
      <c r="G331" s="1255" t="s">
        <v>1174</v>
      </c>
      <c r="H331" s="1255" t="s">
        <v>3950</v>
      </c>
      <c r="I331" s="663"/>
      <c r="J331" s="663"/>
      <c r="K331" s="663"/>
      <c r="L331" s="653" t="str">
        <f t="shared" si="181"/>
        <v>6423</v>
      </c>
      <c r="M331" s="654" t="str">
        <f t="shared" si="182"/>
        <v>SAL. &amp; RENUM. CLERICAL</v>
      </c>
      <c r="N331" s="655">
        <f>+IF(OR($Q331=Parametres!$G$2,$Q331=Parametres!$G$3),I331,C331)</f>
        <v>34116.269999999997</v>
      </c>
      <c r="O331" s="655">
        <f>+IF(OR($Q331=Parametres!$G$2,$Q331=Parametres!$G$3),J331,D331)</f>
        <v>6435.82</v>
      </c>
      <c r="P331" s="655">
        <f>+IF(OR($Q331=Parametres!$G$2,$Q331=Parametres!$G$3),K331,E331)</f>
        <v>40552.089999999997</v>
      </c>
      <c r="Q331" s="654" t="str">
        <f t="shared" si="183"/>
        <v>7-Dépenses</v>
      </c>
      <c r="R331" s="653" t="str">
        <f t="shared" si="184"/>
        <v>6123</v>
      </c>
      <c r="S331" s="654" t="str">
        <f t="shared" si="185"/>
        <v>_</v>
      </c>
      <c r="T331" s="656" t="str">
        <f>+VLOOKUP($L331,Data_Validation!$A:$D,1,0)</f>
        <v>6423</v>
      </c>
      <c r="U331" s="656" t="str">
        <f>+VLOOKUP($L331,Data_Validation!$A:$D,3,0)</f>
        <v>Service</v>
      </c>
      <c r="V331" s="656" t="str">
        <f>+VLOOKUP($L331,Data_Validation!$A:$D,4,0)</f>
        <v>Salaires commis</v>
      </c>
      <c r="W331" s="656" t="str">
        <f>+VLOOKUP($L331,Data_Validation!$A:$E,5,0)</f>
        <v>$</v>
      </c>
      <c r="X331" s="656">
        <f>+VLOOKUP($L331,Data_Validation!$A:$F,6,0)</f>
        <v>0</v>
      </c>
    </row>
    <row r="332" spans="1:24" ht="15" customHeight="1">
      <c r="A332" s="1255" t="s">
        <v>1175</v>
      </c>
      <c r="B332" s="1255" t="s">
        <v>2448</v>
      </c>
      <c r="C332" s="1257">
        <v>71158.89</v>
      </c>
      <c r="D332" s="1257">
        <v>23882.37</v>
      </c>
      <c r="E332" s="1257">
        <v>95041.26</v>
      </c>
      <c r="F332" s="1255" t="s">
        <v>1154</v>
      </c>
      <c r="G332" s="1255" t="s">
        <v>1176</v>
      </c>
      <c r="H332" s="1255" t="s">
        <v>3950</v>
      </c>
      <c r="I332" s="663"/>
      <c r="J332" s="663"/>
      <c r="K332" s="663"/>
      <c r="L332" s="653" t="str">
        <f t="shared" si="181"/>
        <v>6424</v>
      </c>
      <c r="M332" s="654" t="str">
        <f t="shared" si="182"/>
        <v>SALAIRES &amp; RENUM. - AUTRES</v>
      </c>
      <c r="N332" s="655">
        <f>+IF(OR($Q332=Parametres!$G$2,$Q332=Parametres!$G$3),I332,C332)</f>
        <v>71158.89</v>
      </c>
      <c r="O332" s="655">
        <f>+IF(OR($Q332=Parametres!$G$2,$Q332=Parametres!$G$3),J332,D332)</f>
        <v>23882.37</v>
      </c>
      <c r="P332" s="655">
        <f>+IF(OR($Q332=Parametres!$G$2,$Q332=Parametres!$G$3),K332,E332)</f>
        <v>95041.26</v>
      </c>
      <c r="Q332" s="654" t="str">
        <f t="shared" si="183"/>
        <v>7-Dépenses</v>
      </c>
      <c r="R332" s="653" t="str">
        <f t="shared" si="184"/>
        <v>6124</v>
      </c>
      <c r="S332" s="654" t="str">
        <f t="shared" si="185"/>
        <v>_</v>
      </c>
      <c r="T332" s="656" t="str">
        <f>+VLOOKUP($L332,Data_Validation!$A:$D,1,0)</f>
        <v>6424</v>
      </c>
      <c r="U332" s="656" t="str">
        <f>+VLOOKUP($L332,Data_Validation!$A:$D,3,0)</f>
        <v>Service</v>
      </c>
      <c r="V332" s="656" t="str">
        <f>+VLOOKUP($L332,Data_Validation!$A:$D,4,0)</f>
        <v>Salaires autres</v>
      </c>
      <c r="W332" s="656" t="str">
        <f>+VLOOKUP($L332,Data_Validation!$A:$E,5,0)</f>
        <v>$</v>
      </c>
      <c r="X332" s="656">
        <f>+VLOOKUP($L332,Data_Validation!$A:$F,6,0)</f>
        <v>0</v>
      </c>
    </row>
    <row r="333" spans="1:24" ht="15.75" customHeight="1">
      <c r="A333" s="1255" t="s">
        <v>1245</v>
      </c>
      <c r="B333" s="1255" t="s">
        <v>2451</v>
      </c>
      <c r="C333" s="1257">
        <v>71869.789999999994</v>
      </c>
      <c r="D333" s="1257">
        <v>30524.63</v>
      </c>
      <c r="E333" s="1257">
        <v>102394.42</v>
      </c>
      <c r="F333" s="1255" t="s">
        <v>1154</v>
      </c>
      <c r="G333" s="1255" t="s">
        <v>1246</v>
      </c>
      <c r="H333" s="1255" t="s">
        <v>3950</v>
      </c>
      <c r="I333" s="652"/>
      <c r="J333" s="652"/>
      <c r="K333" s="652"/>
      <c r="L333" s="653" t="str">
        <f t="shared" si="181"/>
        <v>6425</v>
      </c>
      <c r="M333" s="654" t="str">
        <f t="shared" si="182"/>
        <v>SALAIRE SPECIALISTES</v>
      </c>
      <c r="N333" s="655">
        <f>+IF(OR($Q333=Parametres!$G$2,$Q333=Parametres!$G$3),I333,C333)</f>
        <v>71869.789999999994</v>
      </c>
      <c r="O333" s="655">
        <f>+IF(OR($Q333=Parametres!$G$2,$Q333=Parametres!$G$3),J333,D333)</f>
        <v>30524.63</v>
      </c>
      <c r="P333" s="655">
        <f>+IF(OR($Q333=Parametres!$G$2,$Q333=Parametres!$G$3),K333,E333)</f>
        <v>102394.42</v>
      </c>
      <c r="Q333" s="654" t="str">
        <f t="shared" si="183"/>
        <v>7-Dépenses</v>
      </c>
      <c r="R333" s="653" t="str">
        <f t="shared" si="184"/>
        <v>6125</v>
      </c>
      <c r="S333" s="654" t="str">
        <f t="shared" si="185"/>
        <v>_</v>
      </c>
      <c r="T333" s="656" t="str">
        <f>+VLOOKUP($L333,Data_Validation!$A:$D,1,0)</f>
        <v>6425</v>
      </c>
      <c r="U333" s="656" t="str">
        <f>+VLOOKUP($L333,Data_Validation!$A:$D,3,0)</f>
        <v>Service</v>
      </c>
      <c r="V333" s="656" t="str">
        <f>+VLOOKUP($L333,Data_Validation!$A:$D,4,0)</f>
        <v>Salaires spécialistes</v>
      </c>
      <c r="W333" s="656" t="str">
        <f>+VLOOKUP($L333,Data_Validation!$A:$E,5,0)</f>
        <v>$</v>
      </c>
      <c r="X333" s="656">
        <f>+VLOOKUP($L333,Data_Validation!$A:$F,6,0)</f>
        <v>0</v>
      </c>
    </row>
    <row r="334" spans="1:24" ht="15.75" customHeight="1">
      <c r="A334" s="1255" t="s">
        <v>1247</v>
      </c>
      <c r="B334" s="1255" t="s">
        <v>2454</v>
      </c>
      <c r="C334" s="1257">
        <v>60263.58</v>
      </c>
      <c r="D334" s="1257">
        <v>20248.400000000001</v>
      </c>
      <c r="E334" s="1257">
        <v>80511.98</v>
      </c>
      <c r="F334" s="1255" t="s">
        <v>1154</v>
      </c>
      <c r="G334" s="1255" t="s">
        <v>1178</v>
      </c>
      <c r="H334" s="1255" t="s">
        <v>3950</v>
      </c>
      <c r="I334" s="663"/>
      <c r="J334" s="663"/>
      <c r="K334" s="663"/>
      <c r="L334" s="653" t="str">
        <f t="shared" si="181"/>
        <v>6429</v>
      </c>
      <c r="M334" s="654" t="str">
        <f t="shared" si="182"/>
        <v>SAL.,VACANCE, &amp; SAL. JOURS FER</v>
      </c>
      <c r="N334" s="655">
        <f>+IF(OR($Q334=Parametres!$G$2,$Q334=Parametres!$G$3),I334,C334)</f>
        <v>60263.58</v>
      </c>
      <c r="O334" s="655">
        <f>+IF(OR($Q334=Parametres!$G$2,$Q334=Parametres!$G$3),J334,D334)</f>
        <v>20248.400000000001</v>
      </c>
      <c r="P334" s="655">
        <f>+IF(OR($Q334=Parametres!$G$2,$Q334=Parametres!$G$3),K334,E334)</f>
        <v>80511.98</v>
      </c>
      <c r="Q334" s="654" t="str">
        <f t="shared" si="183"/>
        <v>7-Dépenses</v>
      </c>
      <c r="R334" s="653" t="str">
        <f t="shared" si="184"/>
        <v>6129</v>
      </c>
      <c r="S334" s="654" t="str">
        <f t="shared" si="185"/>
        <v>_</v>
      </c>
      <c r="T334" s="656" t="str">
        <f>+VLOOKUP($L334,Data_Validation!$A:$D,1,0)</f>
        <v>6429</v>
      </c>
      <c r="U334" s="656" t="str">
        <f>+VLOOKUP($L334,Data_Validation!$A:$D,3,0)</f>
        <v>Service</v>
      </c>
      <c r="V334" s="656" t="str">
        <f>+VLOOKUP($L334,Data_Validation!$A:$D,4,0)</f>
        <v>Salaires en absences</v>
      </c>
      <c r="W334" s="656" t="str">
        <f>+VLOOKUP($L334,Data_Validation!$A:$E,5,0)</f>
        <v>$</v>
      </c>
      <c r="X334" s="656">
        <f>+VLOOKUP($L334,Data_Validation!$A:$F,6,0)</f>
        <v>0</v>
      </c>
    </row>
    <row r="335" spans="1:24" ht="15" customHeight="1">
      <c r="A335" s="1255" t="s">
        <v>1179</v>
      </c>
      <c r="B335" s="1255" t="s">
        <v>2457</v>
      </c>
      <c r="C335" s="1257">
        <v>16379.44</v>
      </c>
      <c r="D335" s="1257">
        <v>4882.72</v>
      </c>
      <c r="E335" s="1257">
        <v>21262.16</v>
      </c>
      <c r="F335" s="1255" t="s">
        <v>1154</v>
      </c>
      <c r="G335" s="1255" t="s">
        <v>1180</v>
      </c>
      <c r="H335" s="1255" t="s">
        <v>3950</v>
      </c>
      <c r="I335" s="652"/>
      <c r="J335" s="652"/>
      <c r="K335" s="652"/>
      <c r="L335" s="653" t="str">
        <f t="shared" si="181"/>
        <v>6431</v>
      </c>
      <c r="M335" s="654" t="str">
        <f t="shared" si="182"/>
        <v>CSST</v>
      </c>
      <c r="N335" s="655">
        <f>+IF(OR($Q335=Parametres!$G$2,$Q335=Parametres!$G$3),I335,C335)</f>
        <v>16379.44</v>
      </c>
      <c r="O335" s="655">
        <f>+IF(OR($Q335=Parametres!$G$2,$Q335=Parametres!$G$3),J335,D335)</f>
        <v>4882.72</v>
      </c>
      <c r="P335" s="655">
        <f>+IF(OR($Q335=Parametres!$G$2,$Q335=Parametres!$G$3),K335,E335)</f>
        <v>21262.16</v>
      </c>
      <c r="Q335" s="654" t="str">
        <f t="shared" si="183"/>
        <v>7-Dépenses</v>
      </c>
      <c r="R335" s="653" t="str">
        <f t="shared" si="184"/>
        <v>6131</v>
      </c>
      <c r="S335" s="654" t="str">
        <f t="shared" si="185"/>
        <v>_</v>
      </c>
      <c r="T335" s="656" t="str">
        <f>+VLOOKUP($L335,Data_Validation!$A:$D,1,0)</f>
        <v>6431</v>
      </c>
      <c r="U335" s="656" t="str">
        <f>+VLOOKUP($L335,Data_Validation!$A:$D,3,0)</f>
        <v>Service</v>
      </c>
      <c r="V335" s="656" t="str">
        <f>+VLOOKUP($L335,Data_Validation!$A:$D,4,0)</f>
        <v>Csst</v>
      </c>
      <c r="W335" s="656" t="str">
        <f>+VLOOKUP($L335,Data_Validation!$A:$E,5,0)</f>
        <v>$</v>
      </c>
      <c r="X335" s="656">
        <f>+VLOOKUP($L335,Data_Validation!$A:$F,6,0)</f>
        <v>0</v>
      </c>
    </row>
    <row r="336" spans="1:24" ht="15" customHeight="1">
      <c r="A336" s="1255" t="s">
        <v>1181</v>
      </c>
      <c r="B336" s="1255" t="s">
        <v>2460</v>
      </c>
      <c r="C336" s="1257">
        <v>74000.84</v>
      </c>
      <c r="D336" s="1257">
        <v>24326.74</v>
      </c>
      <c r="E336" s="1257">
        <v>98327.58</v>
      </c>
      <c r="F336" s="1255" t="s">
        <v>1154</v>
      </c>
      <c r="G336" s="1255" t="s">
        <v>1182</v>
      </c>
      <c r="H336" s="1255" t="s">
        <v>3950</v>
      </c>
      <c r="I336" s="652"/>
      <c r="J336" s="652"/>
      <c r="K336" s="652"/>
      <c r="L336" s="653" t="str">
        <f t="shared" si="181"/>
        <v>6432</v>
      </c>
      <c r="M336" s="654" t="str">
        <f t="shared" si="182"/>
        <v>RRQ RAMQ AC</v>
      </c>
      <c r="N336" s="655">
        <f>+IF(OR($Q336=Parametres!$G$2,$Q336=Parametres!$G$3),I336,C336)</f>
        <v>74000.84</v>
      </c>
      <c r="O336" s="655">
        <f>+IF(OR($Q336=Parametres!$G$2,$Q336=Parametres!$G$3),J336,D336)</f>
        <v>24326.74</v>
      </c>
      <c r="P336" s="655">
        <f>+IF(OR($Q336=Parametres!$G$2,$Q336=Parametres!$G$3),K336,E336)</f>
        <v>98327.58</v>
      </c>
      <c r="Q336" s="654" t="str">
        <f t="shared" si="183"/>
        <v>7-Dépenses</v>
      </c>
      <c r="R336" s="653" t="str">
        <f t="shared" si="184"/>
        <v>6132</v>
      </c>
      <c r="S336" s="654" t="str">
        <f t="shared" si="185"/>
        <v>_</v>
      </c>
      <c r="T336" s="656" t="str">
        <f>+VLOOKUP($L336,Data_Validation!$A:$D,1,0)</f>
        <v>6432</v>
      </c>
      <c r="U336" s="656" t="str">
        <f>+VLOOKUP($L336,Data_Validation!$A:$D,3,0)</f>
        <v>Service</v>
      </c>
      <c r="V336" s="656" t="str">
        <f>+VLOOKUP($L336,Data_Validation!$A:$D,4,0)</f>
        <v>Déduction à la source</v>
      </c>
      <c r="W336" s="656" t="str">
        <f>+VLOOKUP($L336,Data_Validation!$A:$E,5,0)</f>
        <v>$</v>
      </c>
      <c r="X336" s="656">
        <f>+VLOOKUP($L336,Data_Validation!$A:$F,6,0)</f>
        <v>0</v>
      </c>
    </row>
    <row r="337" spans="1:24" ht="15" customHeight="1">
      <c r="A337" s="1255" t="s">
        <v>1248</v>
      </c>
      <c r="B337" s="1255" t="s">
        <v>2463</v>
      </c>
      <c r="C337" s="1257">
        <v>17367.830000000002</v>
      </c>
      <c r="D337" s="1257">
        <v>5799.34</v>
      </c>
      <c r="E337" s="1257">
        <v>23167.17</v>
      </c>
      <c r="F337" s="1255" t="s">
        <v>1154</v>
      </c>
      <c r="G337" s="1255" t="s">
        <v>1184</v>
      </c>
      <c r="H337" s="1255" t="s">
        <v>3950</v>
      </c>
      <c r="I337" s="1202"/>
      <c r="J337" s="1202"/>
      <c r="K337" s="1202"/>
      <c r="L337" s="653" t="str">
        <f t="shared" si="181"/>
        <v>6433</v>
      </c>
      <c r="M337" s="654" t="str">
        <f t="shared" si="182"/>
        <v>FOND PENSION - SERVICE</v>
      </c>
      <c r="N337" s="655">
        <f>+IF(OR($Q337=Parametres!$G$2,$Q337=Parametres!$G$3),I337,C337)</f>
        <v>17367.830000000002</v>
      </c>
      <c r="O337" s="655">
        <f>+IF(OR($Q337=Parametres!$G$2,$Q337=Parametres!$G$3),J337,D337)</f>
        <v>5799.34</v>
      </c>
      <c r="P337" s="655">
        <f>+IF(OR($Q337=Parametres!$G$2,$Q337=Parametres!$G$3),K337,E337)</f>
        <v>23167.17</v>
      </c>
      <c r="Q337" s="654" t="str">
        <f t="shared" si="183"/>
        <v>7-Dépenses</v>
      </c>
      <c r="R337" s="653" t="str">
        <f t="shared" si="184"/>
        <v>6133</v>
      </c>
      <c r="S337" s="654" t="str">
        <f t="shared" si="185"/>
        <v>_</v>
      </c>
      <c r="T337" s="656" t="str">
        <f>+VLOOKUP($L337,Data_Validation!$A:$D,1,0)</f>
        <v>6433</v>
      </c>
      <c r="U337" s="656" t="str">
        <f>+VLOOKUP($L337,Data_Validation!$A:$D,3,0)</f>
        <v>Service</v>
      </c>
      <c r="V337" s="656" t="str">
        <f>+VLOOKUP($L337,Data_Validation!$A:$D,4,0)</f>
        <v>Bénéfices marginaux</v>
      </c>
      <c r="W337" s="656" t="str">
        <f>+VLOOKUP($L337,Data_Validation!$A:$E,5,0)</f>
        <v>$</v>
      </c>
      <c r="X337" s="656">
        <f>+VLOOKUP($L337,Data_Validation!$A:$F,6,0)</f>
        <v>0</v>
      </c>
    </row>
    <row r="338" spans="1:24" ht="15.75" customHeight="1">
      <c r="A338" s="1255" t="s">
        <v>1231</v>
      </c>
      <c r="B338" s="1255" t="s">
        <v>2466</v>
      </c>
      <c r="C338" s="1257">
        <v>21238.79</v>
      </c>
      <c r="D338" s="1257">
        <v>6304.76</v>
      </c>
      <c r="E338" s="1257">
        <v>27543.55</v>
      </c>
      <c r="F338" s="1255" t="s">
        <v>1154</v>
      </c>
      <c r="G338" s="1255" t="s">
        <v>1186</v>
      </c>
      <c r="H338" s="1255" t="s">
        <v>3950</v>
      </c>
      <c r="I338" s="1202"/>
      <c r="J338" s="1202"/>
      <c r="K338" s="1202"/>
      <c r="L338" s="653" t="str">
        <f t="shared" si="181"/>
        <v>6439</v>
      </c>
      <c r="M338" s="654" t="str">
        <f t="shared" si="182"/>
        <v>ASSURANCE GROUPE</v>
      </c>
      <c r="N338" s="655">
        <f>+IF(OR($Q338=Parametres!$G$2,$Q338=Parametres!$G$3),I338,C338)</f>
        <v>21238.79</v>
      </c>
      <c r="O338" s="659">
        <f>+IF(OR($Q338=Parametres!$G$2,$Q338=Parametres!$G$3),J338,D338)</f>
        <v>6304.76</v>
      </c>
      <c r="P338" s="655">
        <f>+IF(OR($Q338=Parametres!$G$2,$Q338=Parametres!$G$3),K338,E338)</f>
        <v>27543.55</v>
      </c>
      <c r="Q338" s="654" t="str">
        <f t="shared" si="183"/>
        <v>7-Dépenses</v>
      </c>
      <c r="R338" s="653" t="str">
        <f t="shared" si="184"/>
        <v>6139</v>
      </c>
      <c r="S338" s="654" t="str">
        <f t="shared" si="185"/>
        <v>_</v>
      </c>
      <c r="T338" s="656" t="str">
        <f>+VLOOKUP($L338,Data_Validation!$A:$D,1,0)</f>
        <v>6439</v>
      </c>
      <c r="U338" s="656" t="str">
        <f>+VLOOKUP($L338,Data_Validation!$A:$D,3,0)</f>
        <v>Service</v>
      </c>
      <c r="V338" s="656" t="str">
        <f>+VLOOKUP($L338,Data_Validation!$A:$D,4,0)</f>
        <v>Bénéfices marginaux</v>
      </c>
      <c r="W338" s="656" t="str">
        <f>+VLOOKUP($L338,Data_Validation!$A:$E,5,0)</f>
        <v>$</v>
      </c>
      <c r="X338" s="656">
        <f>+VLOOKUP($L338,Data_Validation!$A:$F,6,0)</f>
        <v>0</v>
      </c>
    </row>
    <row r="339" spans="1:24" ht="15" customHeight="1">
      <c r="A339" s="1255" t="s">
        <v>1249</v>
      </c>
      <c r="B339" s="1255" t="s">
        <v>2472</v>
      </c>
      <c r="C339" s="1257">
        <v>1380.6</v>
      </c>
      <c r="D339" s="1257">
        <v>678.32</v>
      </c>
      <c r="E339" s="1257">
        <v>2058.92</v>
      </c>
      <c r="F339" s="1255" t="s">
        <v>1154</v>
      </c>
      <c r="G339" s="1255" t="s">
        <v>1242</v>
      </c>
      <c r="H339" s="1255" t="s">
        <v>3950</v>
      </c>
      <c r="I339" s="1202"/>
      <c r="J339" s="1202"/>
      <c r="K339" s="1202"/>
      <c r="L339" s="653" t="str">
        <f t="shared" si="181"/>
        <v>6441</v>
      </c>
      <c r="M339" s="654" t="str">
        <f t="shared" si="182"/>
        <v>RETOURS</v>
      </c>
      <c r="N339" s="655">
        <f>+IF(OR($Q339=Parametres!$G$2,$Q339=Parametres!$G$3),I339,C339)</f>
        <v>1380.6</v>
      </c>
      <c r="O339" s="655">
        <f>+IF(OR($Q339=Parametres!$G$2,$Q339=Parametres!$G$3),J339,D339)</f>
        <v>678.32</v>
      </c>
      <c r="P339" s="655">
        <f>+IF(OR($Q339=Parametres!$G$2,$Q339=Parametres!$G$3),K339,E339)</f>
        <v>2058.92</v>
      </c>
      <c r="Q339" s="654" t="str">
        <f t="shared" si="183"/>
        <v>7-Dépenses</v>
      </c>
      <c r="R339" s="653" t="str">
        <f t="shared" si="184"/>
        <v>6112</v>
      </c>
      <c r="S339" s="654" t="str">
        <f t="shared" si="185"/>
        <v>_</v>
      </c>
      <c r="T339" s="656" t="str">
        <f>+VLOOKUP($L339,Data_Validation!$A:$D,1,0)</f>
        <v>6441</v>
      </c>
      <c r="U339" s="656" t="str">
        <f>+VLOOKUP($L339,Data_Validation!$A:$D,3,0)</f>
        <v>Service</v>
      </c>
      <c r="V339" s="656" t="str">
        <f>+VLOOKUP($L339,Data_Validation!$A:$D,4,0)</f>
        <v>Service gratuit 2</v>
      </c>
      <c r="W339" s="656" t="str">
        <f>+VLOOKUP($L339,Data_Validation!$A:$E,5,0)</f>
        <v>$</v>
      </c>
      <c r="X339" s="656">
        <f>+VLOOKUP($L339,Data_Validation!$A:$F,6,0)</f>
        <v>0</v>
      </c>
    </row>
    <row r="340" spans="1:24" ht="15" customHeight="1">
      <c r="A340" s="1255" t="s">
        <v>1187</v>
      </c>
      <c r="B340" s="1255" t="s">
        <v>2475</v>
      </c>
      <c r="C340" s="1257">
        <v>21012.58</v>
      </c>
      <c r="D340" s="1257">
        <v>6967.67</v>
      </c>
      <c r="E340" s="1257">
        <v>27980.25</v>
      </c>
      <c r="F340" s="1255" t="s">
        <v>1154</v>
      </c>
      <c r="G340" s="1255" t="s">
        <v>1188</v>
      </c>
      <c r="H340" s="1255" t="s">
        <v>3950</v>
      </c>
      <c r="I340" s="1202"/>
      <c r="J340" s="1202"/>
      <c r="K340" s="1202"/>
      <c r="L340" s="653" t="str">
        <f t="shared" si="181"/>
        <v>6442</v>
      </c>
      <c r="M340" s="654" t="str">
        <f t="shared" si="182"/>
        <v>FOURNITURES &amp; PETITS OUTILS</v>
      </c>
      <c r="N340" s="655">
        <f>+IF(OR($Q340=Parametres!$G$2,$Q340=Parametres!$G$3),I340,C340)</f>
        <v>21012.58</v>
      </c>
      <c r="O340" s="659">
        <f>+IF(OR($Q340=Parametres!$G$2,$Q340=Parametres!$G$3),J340,D340)</f>
        <v>6967.67</v>
      </c>
      <c r="P340" s="655">
        <f>+IF(OR($Q340=Parametres!$G$2,$Q340=Parametres!$G$3),K340,E340)</f>
        <v>27980.25</v>
      </c>
      <c r="Q340" s="654" t="str">
        <f t="shared" si="183"/>
        <v>7-Dépenses</v>
      </c>
      <c r="R340" s="653" t="str">
        <f t="shared" si="184"/>
        <v>6142</v>
      </c>
      <c r="S340" s="654" t="str">
        <f t="shared" si="185"/>
        <v>_</v>
      </c>
      <c r="T340" s="656" t="str">
        <f>+VLOOKUP($L340,Data_Validation!$A:$D,1,0)</f>
        <v>6442</v>
      </c>
      <c r="U340" s="656" t="str">
        <f>+VLOOKUP($L340,Data_Validation!$A:$D,3,0)</f>
        <v>Service</v>
      </c>
      <c r="V340" s="656" t="str">
        <f>+VLOOKUP($L340,Data_Validation!$A:$D,4,0)</f>
        <v>Fournitures autres</v>
      </c>
      <c r="W340" s="656" t="str">
        <f>+VLOOKUP($L340,Data_Validation!$A:$E,5,0)</f>
        <v>$</v>
      </c>
      <c r="X340" s="656">
        <f>+VLOOKUP($L340,Data_Validation!$A:$F,6,0)</f>
        <v>0</v>
      </c>
    </row>
    <row r="341" spans="1:24" ht="15" customHeight="1">
      <c r="A341" s="1255" t="s">
        <v>1189</v>
      </c>
      <c r="B341" s="1255" t="s">
        <v>2478</v>
      </c>
      <c r="C341" s="1257">
        <v>2488.15</v>
      </c>
      <c r="D341" s="1257">
        <v>785.83</v>
      </c>
      <c r="E341" s="1257">
        <v>3273.98</v>
      </c>
      <c r="F341" s="1255" t="s">
        <v>1154</v>
      </c>
      <c r="G341" s="1255" t="s">
        <v>1190</v>
      </c>
      <c r="H341" s="1255" t="s">
        <v>3950</v>
      </c>
      <c r="I341" s="1202"/>
      <c r="J341" s="1202"/>
      <c r="K341" s="1202"/>
      <c r="L341" s="653" t="str">
        <f t="shared" si="181"/>
        <v>6443</v>
      </c>
      <c r="M341" s="654" t="str">
        <f t="shared" si="182"/>
        <v>UNIFORMES &amp; LESSIVE</v>
      </c>
      <c r="N341" s="655">
        <f>+IF(OR($Q341=Parametres!$G$2,$Q341=Parametres!$G$3),I341,C341)</f>
        <v>2488.15</v>
      </c>
      <c r="O341" s="659">
        <f>+IF(OR($Q341=Parametres!$G$2,$Q341=Parametres!$G$3),J341,D341)</f>
        <v>785.83</v>
      </c>
      <c r="P341" s="655">
        <f>+IF(OR($Q341=Parametres!$G$2,$Q341=Parametres!$G$3),K341,E341)</f>
        <v>3273.98</v>
      </c>
      <c r="Q341" s="654" t="str">
        <f t="shared" si="183"/>
        <v>7-Dépenses</v>
      </c>
      <c r="R341" s="653" t="str">
        <f t="shared" si="184"/>
        <v>6143</v>
      </c>
      <c r="S341" s="654" t="str">
        <f t="shared" si="185"/>
        <v>_</v>
      </c>
      <c r="T341" s="656" t="str">
        <f>+VLOOKUP($L341,Data_Validation!$A:$D,1,0)</f>
        <v>6443</v>
      </c>
      <c r="U341" s="656" t="str">
        <f>+VLOOKUP($L341,Data_Validation!$A:$D,3,0)</f>
        <v>Service</v>
      </c>
      <c r="V341" s="656" t="str">
        <f>+VLOOKUP($L341,Data_Validation!$A:$D,4,0)</f>
        <v>Uniformes</v>
      </c>
      <c r="W341" s="656" t="str">
        <f>+VLOOKUP($L341,Data_Validation!$A:$E,5,0)</f>
        <v>$</v>
      </c>
      <c r="X341" s="656">
        <f>+VLOOKUP($L341,Data_Validation!$A:$F,6,0)</f>
        <v>0</v>
      </c>
    </row>
    <row r="342" spans="1:24" ht="15" customHeight="1">
      <c r="A342" s="1255" t="s">
        <v>1191</v>
      </c>
      <c r="B342" s="1255" t="s">
        <v>2481</v>
      </c>
      <c r="C342" s="1257">
        <v>3737.13</v>
      </c>
      <c r="D342" s="1257">
        <v>418.5</v>
      </c>
      <c r="E342" s="1257">
        <v>4155.63</v>
      </c>
      <c r="F342" s="1255" t="s">
        <v>1154</v>
      </c>
      <c r="G342" s="1255" t="s">
        <v>1192</v>
      </c>
      <c r="H342" s="1255" t="s">
        <v>3950</v>
      </c>
      <c r="I342" s="1202"/>
      <c r="J342" s="1202"/>
      <c r="K342" s="1202"/>
      <c r="L342" s="653" t="str">
        <f t="shared" si="181"/>
        <v>6444</v>
      </c>
      <c r="M342" s="654" t="str">
        <f t="shared" si="182"/>
        <v>FORMATION</v>
      </c>
      <c r="N342" s="655">
        <f>+IF(OR($Q342=Parametres!$G$2,$Q342=Parametres!$G$3),I342,C342)</f>
        <v>3737.13</v>
      </c>
      <c r="O342" s="655">
        <f>+IF(OR($Q342=Parametres!$G$2,$Q342=Parametres!$G$3),J342,D342)</f>
        <v>418.5</v>
      </c>
      <c r="P342" s="655">
        <f>+IF(OR($Q342=Parametres!$G$2,$Q342=Parametres!$G$3),K342,E342)</f>
        <v>4155.63</v>
      </c>
      <c r="Q342" s="654" t="str">
        <f t="shared" si="183"/>
        <v>7-Dépenses</v>
      </c>
      <c r="R342" s="653" t="str">
        <f t="shared" si="184"/>
        <v>6144</v>
      </c>
      <c r="S342" s="654" t="str">
        <f t="shared" si="185"/>
        <v>_</v>
      </c>
      <c r="T342" s="656" t="str">
        <f>+VLOOKUP($L342,Data_Validation!$A:$D,1,0)</f>
        <v>6444</v>
      </c>
      <c r="U342" s="656" t="str">
        <f>+VLOOKUP($L342,Data_Validation!$A:$D,3,0)</f>
        <v>Service</v>
      </c>
      <c r="V342" s="656" t="str">
        <f>+VLOOKUP($L342,Data_Validation!$A:$D,4,0)</f>
        <v>Formation</v>
      </c>
      <c r="W342" s="656" t="str">
        <f>+VLOOKUP($L342,Data_Validation!$A:$E,5,0)</f>
        <v>$</v>
      </c>
      <c r="X342" s="656">
        <f>+VLOOKUP($L342,Data_Validation!$A:$F,6,0)</f>
        <v>0</v>
      </c>
    </row>
    <row r="343" spans="1:24" ht="15.75" customHeight="1">
      <c r="A343" s="1255" t="s">
        <v>1250</v>
      </c>
      <c r="B343" s="1255" t="s">
        <v>2484</v>
      </c>
      <c r="C343" s="1257">
        <v>37646.5</v>
      </c>
      <c r="D343" s="1257">
        <v>12345.56</v>
      </c>
      <c r="E343" s="1257">
        <v>49992.06</v>
      </c>
      <c r="F343" s="1255" t="s">
        <v>1154</v>
      </c>
      <c r="G343" s="1255" t="s">
        <v>1194</v>
      </c>
      <c r="H343" s="1255" t="s">
        <v>3950</v>
      </c>
      <c r="I343" s="1202"/>
      <c r="J343" s="1202"/>
      <c r="K343" s="1202"/>
      <c r="L343" s="653" t="str">
        <f t="shared" si="181"/>
        <v>6445</v>
      </c>
      <c r="M343" s="654" t="str">
        <f t="shared" si="182"/>
        <v>LOCATION COURTOISIE</v>
      </c>
      <c r="N343" s="655">
        <f>+IF(OR($Q343=Parametres!$G$2,$Q343=Parametres!$G$3),I343,C343)</f>
        <v>37646.5</v>
      </c>
      <c r="O343" s="655">
        <f>+IF(OR($Q343=Parametres!$G$2,$Q343=Parametres!$G$3),J343,D343)</f>
        <v>12345.56</v>
      </c>
      <c r="P343" s="655">
        <f>+IF(OR($Q343=Parametres!$G$2,$Q343=Parametres!$G$3),K343,E343)</f>
        <v>49992.06</v>
      </c>
      <c r="Q343" s="654" t="str">
        <f t="shared" si="183"/>
        <v>7-Dépenses</v>
      </c>
      <c r="R343" s="653" t="str">
        <f t="shared" si="184"/>
        <v>6145</v>
      </c>
      <c r="S343" s="654" t="str">
        <f t="shared" si="185"/>
        <v>_</v>
      </c>
      <c r="T343" s="656" t="str">
        <f>+VLOOKUP($L343,Data_Validation!$A:$D,1,0)</f>
        <v>6445</v>
      </c>
      <c r="U343" s="656" t="str">
        <f>+VLOOKUP($L343,Data_Validation!$A:$D,3,0)</f>
        <v>Service</v>
      </c>
      <c r="V343" s="656" t="str">
        <f>+VLOOKUP($L343,Data_Validation!$A:$D,4,0)</f>
        <v>Frais véhicules de cie</v>
      </c>
      <c r="W343" s="656" t="str">
        <f>+VLOOKUP($L343,Data_Validation!$A:$E,5,0)</f>
        <v>$</v>
      </c>
      <c r="X343" s="656">
        <f>+VLOOKUP($L343,Data_Validation!$A:$F,6,0)</f>
        <v>0</v>
      </c>
    </row>
    <row r="344" spans="1:24" ht="15" customHeight="1">
      <c r="A344" s="1255" t="s">
        <v>1195</v>
      </c>
      <c r="B344" s="1255" t="s">
        <v>2487</v>
      </c>
      <c r="C344" s="1257">
        <v>1923.61</v>
      </c>
      <c r="D344" s="1257">
        <v>158.37</v>
      </c>
      <c r="E344" s="1257">
        <v>2081.98</v>
      </c>
      <c r="F344" s="1255" t="s">
        <v>1154</v>
      </c>
      <c r="G344" s="1255" t="s">
        <v>1196</v>
      </c>
      <c r="H344" s="1255" t="s">
        <v>3950</v>
      </c>
      <c r="I344" s="1202"/>
      <c r="J344" s="1202"/>
      <c r="K344" s="1202"/>
      <c r="L344" s="653" t="str">
        <f t="shared" si="181"/>
        <v>6447</v>
      </c>
      <c r="M344" s="654" t="str">
        <f t="shared" si="182"/>
        <v>FRET/EXPRESS/TRANS. PAR CAMION</v>
      </c>
      <c r="N344" s="655">
        <f>+IF(OR($Q344=Parametres!$G$2,$Q344=Parametres!$G$3),I344,C344)</f>
        <v>1923.61</v>
      </c>
      <c r="O344" s="659">
        <f>+IF(OR($Q344=Parametres!$G$2,$Q344=Parametres!$G$3),J344,D344)</f>
        <v>158.37</v>
      </c>
      <c r="P344" s="655">
        <f>+IF(OR($Q344=Parametres!$G$2,$Q344=Parametres!$G$3),K344,E344)</f>
        <v>2081.98</v>
      </c>
      <c r="Q344" s="654" t="str">
        <f t="shared" si="183"/>
        <v>7-Dépenses</v>
      </c>
      <c r="R344" s="653" t="str">
        <f t="shared" si="184"/>
        <v>6147</v>
      </c>
      <c r="S344" s="654" t="str">
        <f t="shared" si="185"/>
        <v>_</v>
      </c>
      <c r="T344" s="656" t="str">
        <f>+VLOOKUP($L344,Data_Validation!$A:$D,1,0)</f>
        <v>6447</v>
      </c>
      <c r="U344" s="656" t="str">
        <f>+VLOOKUP($L344,Data_Validation!$A:$D,3,0)</f>
        <v>Service</v>
      </c>
      <c r="V344" s="656" t="str">
        <f>+VLOOKUP($L344,Data_Validation!$A:$D,4,0)</f>
        <v>Frais postaux</v>
      </c>
      <c r="W344" s="656" t="str">
        <f>+VLOOKUP($L344,Data_Validation!$A:$E,5,0)</f>
        <v>$</v>
      </c>
      <c r="X344" s="656">
        <f>+VLOOKUP($L344,Data_Validation!$A:$F,6,0)</f>
        <v>0</v>
      </c>
    </row>
    <row r="345" spans="1:24" ht="15" customHeight="1">
      <c r="A345" s="1255" t="s">
        <v>1197</v>
      </c>
      <c r="B345" s="1255" t="s">
        <v>2490</v>
      </c>
      <c r="C345" s="1257">
        <v>19710.759999999998</v>
      </c>
      <c r="D345" s="1257">
        <v>6920.01</v>
      </c>
      <c r="E345" s="1257">
        <v>26630.77</v>
      </c>
      <c r="F345" s="1255" t="s">
        <v>1154</v>
      </c>
      <c r="G345" s="1255" t="s">
        <v>1198</v>
      </c>
      <c r="H345" s="1255" t="s">
        <v>3950</v>
      </c>
      <c r="I345" s="1201"/>
      <c r="J345" s="1201"/>
      <c r="K345" s="1201"/>
      <c r="L345" s="653" t="str">
        <f t="shared" si="181"/>
        <v>6451</v>
      </c>
      <c r="M345" s="654" t="str">
        <f t="shared" si="182"/>
        <v>DEP. DU TRAITEMENT DES DONNEES</v>
      </c>
      <c r="N345" s="655">
        <f>+IF(OR($Q345=Parametres!$G$2,$Q345=Parametres!$G$3),I345,C345)</f>
        <v>19710.759999999998</v>
      </c>
      <c r="O345" s="655">
        <f>+IF(OR($Q345=Parametres!$G$2,$Q345=Parametres!$G$3),J345,D345)</f>
        <v>6920.01</v>
      </c>
      <c r="P345" s="655">
        <f>+IF(OR($Q345=Parametres!$G$2,$Q345=Parametres!$G$3),K345,E345)</f>
        <v>26630.77</v>
      </c>
      <c r="Q345" s="654" t="str">
        <f t="shared" si="183"/>
        <v>7-Dépenses</v>
      </c>
      <c r="R345" s="653" t="str">
        <f t="shared" si="184"/>
        <v>6151</v>
      </c>
      <c r="S345" s="654" t="str">
        <f t="shared" si="185"/>
        <v>_</v>
      </c>
      <c r="T345" s="656" t="str">
        <f>+VLOOKUP($L345,Data_Validation!$A:$D,1,0)</f>
        <v>6451</v>
      </c>
      <c r="U345" s="656" t="str">
        <f>+VLOOKUP($L345,Data_Validation!$A:$D,3,0)</f>
        <v>Service</v>
      </c>
      <c r="V345" s="656" t="str">
        <f>+VLOOKUP($L345,Data_Validation!$A:$D,4,0)</f>
        <v>Informatique</v>
      </c>
      <c r="W345" s="656" t="str">
        <f>+VLOOKUP($L345,Data_Validation!$A:$E,5,0)</f>
        <v>$</v>
      </c>
      <c r="X345" s="656">
        <f>+VLOOKUP($L345,Data_Validation!$A:$F,6,0)</f>
        <v>0</v>
      </c>
    </row>
    <row r="346" spans="1:24" ht="15" customHeight="1">
      <c r="A346" s="1255" t="s">
        <v>1199</v>
      </c>
      <c r="B346" s="1255" t="s">
        <v>2493</v>
      </c>
      <c r="C346" s="1257">
        <v>2278.6999999999998</v>
      </c>
      <c r="D346" s="1257">
        <v>785.52</v>
      </c>
      <c r="E346" s="1257">
        <v>3064.22</v>
      </c>
      <c r="F346" s="1255" t="s">
        <v>1154</v>
      </c>
      <c r="G346" s="1255" t="s">
        <v>1200</v>
      </c>
      <c r="H346" s="1255" t="s">
        <v>3950</v>
      </c>
      <c r="I346" s="1201"/>
      <c r="J346" s="1201"/>
      <c r="K346" s="1201"/>
      <c r="L346" s="653" t="str">
        <f t="shared" si="181"/>
        <v>6452</v>
      </c>
      <c r="M346" s="654" t="str">
        <f t="shared" si="182"/>
        <v>PAPETERIE</v>
      </c>
      <c r="N346" s="655">
        <f>+IF(OR($Q346=Parametres!$G$2,$Q346=Parametres!$G$3),I346,C346)</f>
        <v>2278.6999999999998</v>
      </c>
      <c r="O346" s="655">
        <f>+IF(OR($Q346=Parametres!$G$2,$Q346=Parametres!$G$3),J346,D346)</f>
        <v>785.52</v>
      </c>
      <c r="P346" s="655">
        <f>+IF(OR($Q346=Parametres!$G$2,$Q346=Parametres!$G$3),K346,E346)</f>
        <v>3064.22</v>
      </c>
      <c r="Q346" s="654" t="str">
        <f t="shared" si="183"/>
        <v>7-Dépenses</v>
      </c>
      <c r="R346" s="653" t="str">
        <f t="shared" si="184"/>
        <v>6152</v>
      </c>
      <c r="S346" s="654" t="str">
        <f t="shared" si="185"/>
        <v>_</v>
      </c>
      <c r="T346" s="656" t="str">
        <f>+VLOOKUP($L346,Data_Validation!$A:$D,1,0)</f>
        <v>6452</v>
      </c>
      <c r="U346" s="656" t="str">
        <f>+VLOOKUP($L346,Data_Validation!$A:$D,3,0)</f>
        <v>Service</v>
      </c>
      <c r="V346" s="656" t="str">
        <f>+VLOOKUP($L346,Data_Validation!$A:$D,4,0)</f>
        <v>Papeterie</v>
      </c>
      <c r="W346" s="656" t="str">
        <f>+VLOOKUP($L346,Data_Validation!$A:$E,5,0)</f>
        <v>$</v>
      </c>
      <c r="X346" s="656">
        <f>+VLOOKUP($L346,Data_Validation!$A:$F,6,0)</f>
        <v>0</v>
      </c>
    </row>
    <row r="347" spans="1:24" ht="15.75" customHeight="1">
      <c r="A347" s="1255" t="s">
        <v>1201</v>
      </c>
      <c r="B347" s="1255" t="s">
        <v>2496</v>
      </c>
      <c r="C347" s="1257">
        <v>886.79</v>
      </c>
      <c r="D347" s="1257">
        <v>223.36</v>
      </c>
      <c r="E347" s="1257">
        <v>1110.1500000000001</v>
      </c>
      <c r="F347" s="1255" t="s">
        <v>1154</v>
      </c>
      <c r="G347" s="1255" t="s">
        <v>1202</v>
      </c>
      <c r="H347" s="1255" t="s">
        <v>3950</v>
      </c>
      <c r="I347" s="1201"/>
      <c r="J347" s="1201"/>
      <c r="K347" s="1201"/>
      <c r="L347" s="653" t="str">
        <f t="shared" si="181"/>
        <v>6453</v>
      </c>
      <c r="M347" s="654" t="str">
        <f t="shared" si="182"/>
        <v>TELEPHONE ET TELEX</v>
      </c>
      <c r="N347" s="655">
        <f>+IF(OR($Q347=Parametres!$G$2,$Q347=Parametres!$G$3),I347,C347)</f>
        <v>886.79</v>
      </c>
      <c r="O347" s="655">
        <f>+IF(OR($Q347=Parametres!$G$2,$Q347=Parametres!$G$3),J347,D347)</f>
        <v>223.36</v>
      </c>
      <c r="P347" s="655">
        <f>+IF(OR($Q347=Parametres!$G$2,$Q347=Parametres!$G$3),K347,E347)</f>
        <v>1110.1500000000001</v>
      </c>
      <c r="Q347" s="654" t="str">
        <f t="shared" si="183"/>
        <v>7-Dépenses</v>
      </c>
      <c r="R347" s="653" t="str">
        <f t="shared" si="184"/>
        <v>6153</v>
      </c>
      <c r="S347" s="654" t="str">
        <f t="shared" si="185"/>
        <v>_</v>
      </c>
      <c r="T347" s="656" t="str">
        <f>+VLOOKUP($L347,Data_Validation!$A:$D,1,0)</f>
        <v>6453</v>
      </c>
      <c r="U347" s="656" t="str">
        <f>+VLOOKUP($L347,Data_Validation!$A:$D,3,0)</f>
        <v>Service</v>
      </c>
      <c r="V347" s="656" t="str">
        <f>+VLOOKUP($L347,Data_Validation!$A:$D,4,0)</f>
        <v>Téléphone</v>
      </c>
      <c r="W347" s="656" t="str">
        <f>+VLOOKUP($L347,Data_Validation!$A:$E,5,0)</f>
        <v>$</v>
      </c>
      <c r="X347" s="656">
        <f>+VLOOKUP($L347,Data_Validation!$A:$F,6,0)</f>
        <v>0</v>
      </c>
    </row>
    <row r="348" spans="1:24" ht="15" customHeight="1">
      <c r="A348" s="1255" t="s">
        <v>1203</v>
      </c>
      <c r="B348" s="1255" t="s">
        <v>2499</v>
      </c>
      <c r="C348" s="1257">
        <v>264.69</v>
      </c>
      <c r="D348" s="1257">
        <v>83.76</v>
      </c>
      <c r="E348" s="1257">
        <v>348.45</v>
      </c>
      <c r="F348" s="1255" t="s">
        <v>1154</v>
      </c>
      <c r="G348" s="1255" t="s">
        <v>1204</v>
      </c>
      <c r="H348" s="1255" t="s">
        <v>3950</v>
      </c>
      <c r="I348" s="1201"/>
      <c r="J348" s="1201"/>
      <c r="K348" s="1201"/>
      <c r="L348" s="653" t="str">
        <f t="shared" si="181"/>
        <v>6455</v>
      </c>
      <c r="M348" s="654" t="str">
        <f t="shared" si="182"/>
        <v>DEPENSES DIVERS</v>
      </c>
      <c r="N348" s="655">
        <f>+IF(OR($Q348=Parametres!$G$2,$Q348=Parametres!$G$3),I348,C348)</f>
        <v>264.69</v>
      </c>
      <c r="O348" s="659">
        <f>+IF(OR($Q348=Parametres!$G$2,$Q348=Parametres!$G$3),J348,D348)</f>
        <v>83.76</v>
      </c>
      <c r="P348" s="655">
        <f>+IF(OR($Q348=Parametres!$G$2,$Q348=Parametres!$G$3),K348,E348)</f>
        <v>348.45</v>
      </c>
      <c r="Q348" s="654" t="str">
        <f t="shared" si="183"/>
        <v>7-Dépenses</v>
      </c>
      <c r="R348" s="653" t="str">
        <f t="shared" si="184"/>
        <v>6155</v>
      </c>
      <c r="S348" s="654" t="str">
        <f t="shared" si="185"/>
        <v>_</v>
      </c>
      <c r="T348" s="656" t="str">
        <f>+VLOOKUP($L348,Data_Validation!$A:$D,1,0)</f>
        <v>6455</v>
      </c>
      <c r="U348" s="656" t="str">
        <f>+VLOOKUP($L348,Data_Validation!$A:$D,3,0)</f>
        <v>Service</v>
      </c>
      <c r="V348" s="656" t="str">
        <f>+VLOOKUP($L348,Data_Validation!$A:$D,4,0)</f>
        <v>Divers</v>
      </c>
      <c r="W348" s="656" t="str">
        <f>+VLOOKUP($L348,Data_Validation!$A:$E,5,0)</f>
        <v>$</v>
      </c>
      <c r="X348" s="656">
        <f>+VLOOKUP($L348,Data_Validation!$A:$F,6,0)</f>
        <v>0</v>
      </c>
    </row>
    <row r="349" spans="1:24" ht="15" customHeight="1">
      <c r="A349" s="1255" t="s">
        <v>1251</v>
      </c>
      <c r="B349" s="1255" t="s">
        <v>2502</v>
      </c>
      <c r="C349" s="1257">
        <v>5094.6400000000003</v>
      </c>
      <c r="D349" s="1257">
        <v>1292</v>
      </c>
      <c r="E349" s="1257">
        <v>6386.64</v>
      </c>
      <c r="F349" s="1255" t="s">
        <v>1154</v>
      </c>
      <c r="G349" s="1255" t="s">
        <v>1206</v>
      </c>
      <c r="H349" s="1255" t="s">
        <v>3950</v>
      </c>
      <c r="I349" s="1201"/>
      <c r="J349" s="1201"/>
      <c r="K349" s="1201"/>
      <c r="L349" s="653" t="str">
        <f t="shared" si="181"/>
        <v>6456</v>
      </c>
      <c r="M349" s="654" t="str">
        <f t="shared" si="182"/>
        <v>FRAIS REPRESENTATION - SERVICE</v>
      </c>
      <c r="N349" s="655">
        <f>+IF(OR($Q349=Parametres!$G$2,$Q349=Parametres!$G$3),I349,C349)</f>
        <v>5094.6400000000003</v>
      </c>
      <c r="O349" s="655">
        <f>+IF(OR($Q349=Parametres!$G$2,$Q349=Parametres!$G$3),J349,D349)</f>
        <v>1292</v>
      </c>
      <c r="P349" s="655">
        <f>+IF(OR($Q349=Parametres!$G$2,$Q349=Parametres!$G$3),K349,E349)</f>
        <v>6386.64</v>
      </c>
      <c r="Q349" s="654" t="str">
        <f t="shared" si="183"/>
        <v>7-Dépenses</v>
      </c>
      <c r="R349" s="653" t="str">
        <f t="shared" si="184"/>
        <v>6156</v>
      </c>
      <c r="S349" s="654" t="str">
        <f t="shared" si="185"/>
        <v>_</v>
      </c>
      <c r="T349" s="656" t="str">
        <f>+VLOOKUP($L349,Data_Validation!$A:$D,1,0)</f>
        <v>6456</v>
      </c>
      <c r="U349" s="656" t="str">
        <f>+VLOOKUP($L349,Data_Validation!$A:$D,3,0)</f>
        <v>Service</v>
      </c>
      <c r="V349" s="656" t="str">
        <f>+VLOOKUP($L349,Data_Validation!$A:$D,4,0)</f>
        <v>Frais de déplacement</v>
      </c>
      <c r="W349" s="656" t="str">
        <f>+VLOOKUP($L349,Data_Validation!$A:$E,5,0)</f>
        <v>$</v>
      </c>
      <c r="X349" s="656">
        <f>+VLOOKUP($L349,Data_Validation!$A:$F,6,0)</f>
        <v>0</v>
      </c>
    </row>
    <row r="350" spans="1:24" ht="15" customHeight="1">
      <c r="A350" s="1255" t="s">
        <v>1252</v>
      </c>
      <c r="B350" s="1255" t="s">
        <v>3394</v>
      </c>
      <c r="C350" s="1257">
        <v>6648.3</v>
      </c>
      <c r="D350" s="1257">
        <v>2279.83</v>
      </c>
      <c r="E350" s="1257">
        <v>8928.1299999999992</v>
      </c>
      <c r="F350" s="1255" t="s">
        <v>1154</v>
      </c>
      <c r="G350" s="1255" t="s">
        <v>1253</v>
      </c>
      <c r="H350" s="1255" t="s">
        <v>3950</v>
      </c>
      <c r="I350" s="1201"/>
      <c r="J350" s="1201"/>
      <c r="K350" s="1201"/>
      <c r="L350" s="653" t="str">
        <f t="shared" si="181"/>
        <v>6457</v>
      </c>
      <c r="M350" s="654" t="str">
        <f t="shared" si="182"/>
        <v>FRAIS BANCAIRES - SERVICE</v>
      </c>
      <c r="N350" s="655">
        <f>+IF(OR($Q350=Parametres!$G$2,$Q350=Parametres!$G$3),I350,C350)</f>
        <v>6648.3</v>
      </c>
      <c r="O350" s="659">
        <f>+IF(OR($Q350=Parametres!$G$2,$Q350=Parametres!$G$3),J350,D350)</f>
        <v>2279.83</v>
      </c>
      <c r="P350" s="655">
        <f>+IF(OR($Q350=Parametres!$G$2,$Q350=Parametres!$G$3),K350,E350)</f>
        <v>8928.1299999999992</v>
      </c>
      <c r="Q350" s="654" t="str">
        <f t="shared" si="183"/>
        <v>7-Dépenses</v>
      </c>
      <c r="R350" s="653" t="str">
        <f t="shared" si="184"/>
        <v>645</v>
      </c>
      <c r="S350" s="654" t="str">
        <f t="shared" si="185"/>
        <v>_</v>
      </c>
      <c r="T350" s="656" t="str">
        <f>+VLOOKUP($L350,Data_Validation!$A:$D,1,0)</f>
        <v>6457</v>
      </c>
      <c r="U350" s="656" t="str">
        <f>+VLOOKUP($L350,Data_Validation!$A:$D,3,0)</f>
        <v>Service</v>
      </c>
      <c r="V350" s="656" t="str">
        <f>+VLOOKUP($L350,Data_Validation!$A:$D,4,0)</f>
        <v>Frais bancaires</v>
      </c>
      <c r="W350" s="656" t="str">
        <f>+VLOOKUP($L350,Data_Validation!$A:$E,5,0)</f>
        <v>$</v>
      </c>
      <c r="X350" s="656">
        <f>+VLOOKUP($L350,Data_Validation!$A:$F,6,0)</f>
        <v>0</v>
      </c>
    </row>
    <row r="351" spans="1:24" ht="15" customHeight="1">
      <c r="A351" s="1255" t="s">
        <v>1209</v>
      </c>
      <c r="B351" s="1255" t="s">
        <v>2505</v>
      </c>
      <c r="C351" s="1257">
        <v>61619.13</v>
      </c>
      <c r="D351" s="1257">
        <v>17314.099999999999</v>
      </c>
      <c r="E351" s="1257">
        <v>78933.23</v>
      </c>
      <c r="F351" s="1255" t="s">
        <v>1154</v>
      </c>
      <c r="G351" s="1255" t="s">
        <v>1210</v>
      </c>
      <c r="H351" s="1255" t="s">
        <v>3950</v>
      </c>
      <c r="I351" s="1201"/>
      <c r="J351" s="1201"/>
      <c r="K351" s="1201"/>
      <c r="L351" s="653" t="str">
        <f t="shared" si="181"/>
        <v>6459</v>
      </c>
      <c r="M351" s="654" t="str">
        <f t="shared" si="182"/>
        <v>SERVICE EXTERIEUR</v>
      </c>
      <c r="N351" s="655">
        <f>+IF(OR($Q351=Parametres!$G$2,$Q351=Parametres!$G$3),I351,C351)</f>
        <v>61619.13</v>
      </c>
      <c r="O351" s="655">
        <f>+IF(OR($Q351=Parametres!$G$2,$Q351=Parametres!$G$3),J351,D351)</f>
        <v>17314.099999999999</v>
      </c>
      <c r="P351" s="655">
        <f>+IF(OR($Q351=Parametres!$G$2,$Q351=Parametres!$G$3),K351,E351)</f>
        <v>78933.23</v>
      </c>
      <c r="Q351" s="654" t="str">
        <f t="shared" si="183"/>
        <v>7-Dépenses</v>
      </c>
      <c r="R351" s="653" t="str">
        <f t="shared" si="184"/>
        <v>6159</v>
      </c>
      <c r="S351" s="654" t="str">
        <f t="shared" si="185"/>
        <v>_</v>
      </c>
      <c r="T351" s="656" t="str">
        <f>+VLOOKUP($L351,Data_Validation!$A:$D,1,0)</f>
        <v>6459</v>
      </c>
      <c r="U351" s="656" t="str">
        <f>+VLOOKUP($L351,Data_Validation!$A:$D,3,0)</f>
        <v>Service</v>
      </c>
      <c r="V351" s="656" t="str">
        <f>+VLOOKUP($L351,Data_Validation!$A:$D,4,0)</f>
        <v>Services extérieurs</v>
      </c>
      <c r="W351" s="656" t="str">
        <f>+VLOOKUP($L351,Data_Validation!$A:$E,5,0)</f>
        <v>$</v>
      </c>
      <c r="X351" s="656">
        <f>+VLOOKUP($L351,Data_Validation!$A:$F,6,0)</f>
        <v>0</v>
      </c>
    </row>
    <row r="352" spans="1:24" ht="15.75" customHeight="1">
      <c r="A352" s="1255" t="s">
        <v>1211</v>
      </c>
      <c r="B352" s="1255" t="s">
        <v>2508</v>
      </c>
      <c r="C352" s="1257">
        <v>40942.080000000002</v>
      </c>
      <c r="D352" s="1257">
        <v>10235.52</v>
      </c>
      <c r="E352" s="1257">
        <v>51177.599999999999</v>
      </c>
      <c r="F352" s="1255" t="s">
        <v>1154</v>
      </c>
      <c r="G352" s="1255" t="s">
        <v>1212</v>
      </c>
      <c r="H352" s="1255" t="s">
        <v>3950</v>
      </c>
      <c r="I352" s="1201"/>
      <c r="J352" s="1201"/>
      <c r="K352" s="1201"/>
      <c r="L352" s="653" t="str">
        <f t="shared" si="181"/>
        <v>6461</v>
      </c>
      <c r="M352" s="654" t="str">
        <f t="shared" si="182"/>
        <v>DEPRECIATION EQUIP. &amp; FIXTURES</v>
      </c>
      <c r="N352" s="655">
        <f>+IF(OR($Q352=Parametres!$G$2,$Q352=Parametres!$G$3),I352,C352)</f>
        <v>40942.080000000002</v>
      </c>
      <c r="O352" s="659">
        <f>+IF(OR($Q352=Parametres!$G$2,$Q352=Parametres!$G$3),J352,D352)</f>
        <v>10235.52</v>
      </c>
      <c r="P352" s="655">
        <f>+IF(OR($Q352=Parametres!$G$2,$Q352=Parametres!$G$3),K352,E352)</f>
        <v>51177.599999999999</v>
      </c>
      <c r="Q352" s="654" t="str">
        <f t="shared" si="183"/>
        <v>7-Dépenses</v>
      </c>
      <c r="R352" s="653" t="str">
        <f t="shared" si="184"/>
        <v>6161</v>
      </c>
      <c r="S352" s="654" t="str">
        <f t="shared" si="185"/>
        <v>_</v>
      </c>
      <c r="T352" s="656" t="str">
        <f>+VLOOKUP($L352,Data_Validation!$A:$D,1,0)</f>
        <v>6461</v>
      </c>
      <c r="U352" s="656" t="str">
        <f>+VLOOKUP($L352,Data_Validation!$A:$D,3,0)</f>
        <v>Service</v>
      </c>
      <c r="V352" s="656" t="str">
        <f>+VLOOKUP($L352,Data_Validation!$A:$D,4,0)</f>
        <v>Amortissement</v>
      </c>
      <c r="W352" s="656" t="str">
        <f>+VLOOKUP($L352,Data_Validation!$A:$E,5,0)</f>
        <v>$</v>
      </c>
      <c r="X352" s="656">
        <f>+VLOOKUP($L352,Data_Validation!$A:$F,6,0)</f>
        <v>0</v>
      </c>
    </row>
    <row r="353" spans="1:24" ht="15" customHeight="1">
      <c r="A353" s="1255" t="s">
        <v>1389</v>
      </c>
      <c r="B353" s="1255" t="s">
        <v>2511</v>
      </c>
      <c r="C353" s="1257">
        <v>4102.57</v>
      </c>
      <c r="D353" s="1257">
        <v>843.96</v>
      </c>
      <c r="E353" s="1257">
        <v>4946.53</v>
      </c>
      <c r="F353" s="1255" t="s">
        <v>1154</v>
      </c>
      <c r="G353" s="1255" t="s">
        <v>2304</v>
      </c>
      <c r="H353" s="1255" t="s">
        <v>3950</v>
      </c>
      <c r="I353" s="1204"/>
      <c r="J353" s="1204"/>
      <c r="K353" s="1204"/>
      <c r="L353" s="653" t="str">
        <f t="shared" si="181"/>
        <v>6462</v>
      </c>
      <c r="M353" s="654" t="str">
        <f t="shared" si="182"/>
        <v>LOCATION D'EQUIPEMENTS</v>
      </c>
      <c r="N353" s="655">
        <f>+IF(OR($Q353=Parametres!$G$2,$Q353=Parametres!$G$3),I353,C353)</f>
        <v>4102.57</v>
      </c>
      <c r="O353" s="655">
        <f>+IF(OR($Q353=Parametres!$G$2,$Q353=Parametres!$G$3),J353,D353)</f>
        <v>843.96</v>
      </c>
      <c r="P353" s="655">
        <f>+IF(OR($Q353=Parametres!$G$2,$Q353=Parametres!$G$3),K353,E353)</f>
        <v>4946.53</v>
      </c>
      <c r="Q353" s="654" t="str">
        <f t="shared" si="183"/>
        <v>7-Dépenses</v>
      </c>
      <c r="R353" s="653" t="str">
        <f t="shared" si="184"/>
        <v>6162</v>
      </c>
      <c r="S353" s="654" t="str">
        <f t="shared" si="185"/>
        <v>_</v>
      </c>
      <c r="T353" s="656" t="str">
        <f>+VLOOKUP($L353,Data_Validation!$A:$D,1,0)</f>
        <v>6462</v>
      </c>
      <c r="U353" s="656" t="str">
        <f>+VLOOKUP($L353,Data_Validation!$A:$D,3,0)</f>
        <v>Service</v>
      </c>
      <c r="V353" s="656" t="str">
        <f>+VLOOKUP($L353,Data_Validation!$A:$D,4,0)</f>
        <v>Location équipement</v>
      </c>
      <c r="W353" s="656" t="str">
        <f>+VLOOKUP($L353,Data_Validation!$A:$E,5,0)</f>
        <v>$</v>
      </c>
      <c r="X353" s="656">
        <f>+VLOOKUP($L353,Data_Validation!$A:$F,6,0)</f>
        <v>0</v>
      </c>
    </row>
    <row r="354" spans="1:24" ht="15" customHeight="1">
      <c r="A354" s="1255" t="s">
        <v>1254</v>
      </c>
      <c r="B354" s="1255" t="s">
        <v>2514</v>
      </c>
      <c r="C354" s="1257">
        <v>2229.0300000000002</v>
      </c>
      <c r="D354" s="1257">
        <v>1660.02</v>
      </c>
      <c r="E354" s="1257">
        <v>3889.05</v>
      </c>
      <c r="F354" s="1255" t="s">
        <v>1154</v>
      </c>
      <c r="G354" s="1255" t="s">
        <v>1255</v>
      </c>
      <c r="H354" s="1255" t="s">
        <v>3950</v>
      </c>
      <c r="I354" s="1204"/>
      <c r="J354" s="1204"/>
      <c r="K354" s="1204"/>
      <c r="L354" s="653" t="str">
        <f t="shared" si="181"/>
        <v>6463</v>
      </c>
      <c r="M354" s="654" t="str">
        <f t="shared" si="182"/>
        <v>REPARATION &amp; ENT. - EQUIP.</v>
      </c>
      <c r="N354" s="655">
        <f>+IF(OR($Q354=Parametres!$G$2,$Q354=Parametres!$G$3),I354,C354)</f>
        <v>2229.0300000000002</v>
      </c>
      <c r="O354" s="655">
        <f>+IF(OR($Q354=Parametres!$G$2,$Q354=Parametres!$G$3),J354,D354)</f>
        <v>1660.02</v>
      </c>
      <c r="P354" s="655">
        <f>+IF(OR($Q354=Parametres!$G$2,$Q354=Parametres!$G$3),K354,E354)</f>
        <v>3889.05</v>
      </c>
      <c r="Q354" s="654" t="str">
        <f t="shared" si="183"/>
        <v>7-Dépenses</v>
      </c>
      <c r="R354" s="653" t="str">
        <f t="shared" si="184"/>
        <v>6163</v>
      </c>
      <c r="S354" s="654" t="str">
        <f t="shared" si="185"/>
        <v>_</v>
      </c>
      <c r="T354" s="656" t="str">
        <f>+VLOOKUP($L354,Data_Validation!$A:$D,1,0)</f>
        <v>6463</v>
      </c>
      <c r="U354" s="656" t="str">
        <f>+VLOOKUP($L354,Data_Validation!$A:$D,3,0)</f>
        <v>Service</v>
      </c>
      <c r="V354" s="656" t="str">
        <f>+VLOOKUP($L354,Data_Validation!$A:$D,4,0)</f>
        <v>Réparation équipement</v>
      </c>
      <c r="W354" s="656" t="str">
        <f>+VLOOKUP($L354,Data_Validation!$A:$E,5,0)</f>
        <v>$</v>
      </c>
      <c r="X354" s="656">
        <f>+VLOOKUP($L354,Data_Validation!$A:$F,6,0)</f>
        <v>0</v>
      </c>
    </row>
    <row r="355" spans="1:24" ht="15" customHeight="1">
      <c r="A355" s="1255" t="s">
        <v>1256</v>
      </c>
      <c r="B355" s="1255" t="s">
        <v>2517</v>
      </c>
      <c r="C355" s="1257">
        <v>7772.16</v>
      </c>
      <c r="D355" s="1257">
        <v>1408.34</v>
      </c>
      <c r="E355" s="1257">
        <v>9180.5</v>
      </c>
      <c r="F355" s="1255" t="s">
        <v>1154</v>
      </c>
      <c r="G355" s="1255" t="s">
        <v>1214</v>
      </c>
      <c r="H355" s="1255" t="s">
        <v>3950</v>
      </c>
      <c r="I355" s="1204"/>
      <c r="J355" s="1204"/>
      <c r="K355" s="1204"/>
      <c r="L355" s="653" t="str">
        <f t="shared" si="181"/>
        <v>6481</v>
      </c>
      <c r="M355" s="654" t="str">
        <f t="shared" si="182"/>
        <v>CHAUFFAGE,ELECTRICITE,EAU-SERVICE</v>
      </c>
      <c r="N355" s="655">
        <f>+IF(OR($Q355=Parametres!$G$2,$Q355=Parametres!$G$3),I355,C355)</f>
        <v>7772.16</v>
      </c>
      <c r="O355" s="655">
        <f>+IF(OR($Q355=Parametres!$G$2,$Q355=Parametres!$G$3),J355,D355)</f>
        <v>1408.34</v>
      </c>
      <c r="P355" s="655">
        <f>+IF(OR($Q355=Parametres!$G$2,$Q355=Parametres!$G$3),K355,E355)</f>
        <v>9180.5</v>
      </c>
      <c r="Q355" s="654" t="str">
        <f t="shared" si="183"/>
        <v>7-Dépenses</v>
      </c>
      <c r="R355" s="653" t="str">
        <f t="shared" si="184"/>
        <v>6181</v>
      </c>
      <c r="S355" s="654" t="str">
        <f t="shared" si="185"/>
        <v>_</v>
      </c>
      <c r="T355" s="656" t="str">
        <f>+VLOOKUP($L355,Data_Validation!$A:$D,1,0)</f>
        <v>6481</v>
      </c>
      <c r="U355" s="656" t="str">
        <f>+VLOOKUP($L355,Data_Validation!$A:$D,3,0)</f>
        <v>Service</v>
      </c>
      <c r="V355" s="656" t="str">
        <f>+VLOOKUP($L355,Data_Validation!$A:$D,4,0)</f>
        <v>Chauffage, éclairage</v>
      </c>
      <c r="W355" s="656" t="str">
        <f>+VLOOKUP($L355,Data_Validation!$A:$E,5,0)</f>
        <v>$</v>
      </c>
      <c r="X355" s="656">
        <f>+VLOOKUP($L355,Data_Validation!$A:$F,6,0)</f>
        <v>0</v>
      </c>
    </row>
    <row r="356" spans="1:24" ht="15" customHeight="1">
      <c r="A356" s="1255" t="s">
        <v>1257</v>
      </c>
      <c r="B356" s="1255" t="s">
        <v>2520</v>
      </c>
      <c r="C356" s="1257">
        <v>34560</v>
      </c>
      <c r="D356" s="1257">
        <v>8640</v>
      </c>
      <c r="E356" s="1257">
        <v>43200</v>
      </c>
      <c r="F356" s="1255" t="s">
        <v>1154</v>
      </c>
      <c r="G356" s="1255" t="s">
        <v>1216</v>
      </c>
      <c r="H356" s="1255" t="s">
        <v>3950</v>
      </c>
      <c r="I356" s="1203"/>
      <c r="J356" s="1203"/>
      <c r="K356" s="1203"/>
      <c r="L356" s="653" t="str">
        <f t="shared" si="181"/>
        <v>6482</v>
      </c>
      <c r="M356" s="654" t="str">
        <f t="shared" si="182"/>
        <v>LOYER - SERVICE</v>
      </c>
      <c r="N356" s="655">
        <f>+IF(OR($Q356=Parametres!$G$2,$Q356=Parametres!$G$3),I356,C356)</f>
        <v>34560</v>
      </c>
      <c r="O356" s="655">
        <f>+IF(OR($Q356=Parametres!$G$2,$Q356=Parametres!$G$3),J356,D356)</f>
        <v>8640</v>
      </c>
      <c r="P356" s="655">
        <f>+IF(OR($Q356=Parametres!$G$2,$Q356=Parametres!$G$3),K356,E356)</f>
        <v>43200</v>
      </c>
      <c r="Q356" s="654" t="str">
        <f t="shared" si="183"/>
        <v>7-Dépenses</v>
      </c>
      <c r="R356" s="653" t="str">
        <f t="shared" si="184"/>
        <v>6182</v>
      </c>
      <c r="S356" s="654" t="str">
        <f t="shared" si="185"/>
        <v>_</v>
      </c>
      <c r="T356" s="656" t="str">
        <f>+VLOOKUP($L356,Data_Validation!$A:$D,1,0)</f>
        <v>6482</v>
      </c>
      <c r="U356" s="656" t="str">
        <f>+VLOOKUP($L356,Data_Validation!$A:$D,3,0)</f>
        <v>Service</v>
      </c>
      <c r="V356" s="656" t="str">
        <f>+VLOOKUP($L356,Data_Validation!$A:$D,4,0)</f>
        <v>Loyer</v>
      </c>
      <c r="W356" s="656" t="str">
        <f>+VLOOKUP($L356,Data_Validation!$A:$E,5,0)</f>
        <v>$</v>
      </c>
      <c r="X356" s="656">
        <f>+VLOOKUP($L356,Data_Validation!$A:$F,6,0)</f>
        <v>0</v>
      </c>
    </row>
    <row r="357" spans="1:24" ht="15" customHeight="1">
      <c r="A357" s="1255" t="s">
        <v>1258</v>
      </c>
      <c r="B357" s="1255" t="s">
        <v>2523</v>
      </c>
      <c r="C357" s="1257">
        <v>4170.4799999999996</v>
      </c>
      <c r="D357" s="1257">
        <v>1042.6199999999999</v>
      </c>
      <c r="E357" s="1257">
        <v>5213.1000000000004</v>
      </c>
      <c r="F357" s="1255" t="s">
        <v>1154</v>
      </c>
      <c r="G357" s="1255" t="s">
        <v>1218</v>
      </c>
      <c r="H357" s="1255" t="s">
        <v>3950</v>
      </c>
      <c r="I357" s="1203"/>
      <c r="J357" s="1203"/>
      <c r="K357" s="1203"/>
      <c r="L357" s="653" t="str">
        <f t="shared" si="181"/>
        <v>6486</v>
      </c>
      <c r="M357" s="654" t="str">
        <f t="shared" si="182"/>
        <v>ASSURANCE BATISSE &amp; AMEL.-SERVICE</v>
      </c>
      <c r="N357" s="655">
        <f>+IF(OR($Q357=Parametres!$G$2,$Q357=Parametres!$G$3),I357,C357)</f>
        <v>4170.4799999999996</v>
      </c>
      <c r="O357" s="655">
        <f>+IF(OR($Q357=Parametres!$G$2,$Q357=Parametres!$G$3),J357,D357)</f>
        <v>1042.6199999999999</v>
      </c>
      <c r="P357" s="655">
        <f>+IF(OR($Q357=Parametres!$G$2,$Q357=Parametres!$G$3),K357,E357)</f>
        <v>5213.1000000000004</v>
      </c>
      <c r="Q357" s="654" t="str">
        <f t="shared" si="183"/>
        <v>7-Dépenses</v>
      </c>
      <c r="R357" s="653" t="str">
        <f t="shared" si="184"/>
        <v>6186</v>
      </c>
      <c r="S357" s="654" t="str">
        <f t="shared" si="185"/>
        <v>_</v>
      </c>
      <c r="T357" s="656" t="str">
        <f>+VLOOKUP($L357,Data_Validation!$A:$D,1,0)</f>
        <v>6486</v>
      </c>
      <c r="U357" s="656" t="str">
        <f>+VLOOKUP($L357,Data_Validation!$A:$D,3,0)</f>
        <v>Service</v>
      </c>
      <c r="V357" s="656" t="str">
        <f>+VLOOKUP($L357,Data_Validation!$A:$D,4,0)</f>
        <v>Assurances</v>
      </c>
      <c r="W357" s="656" t="str">
        <f>+VLOOKUP($L357,Data_Validation!$A:$E,5,0)</f>
        <v>$</v>
      </c>
      <c r="X357" s="656">
        <f>+VLOOKUP($L357,Data_Validation!$A:$F,6,0)</f>
        <v>0</v>
      </c>
    </row>
    <row r="358" spans="1:24" ht="15.75" customHeight="1">
      <c r="A358" s="1255" t="s">
        <v>1259</v>
      </c>
      <c r="B358" s="1255" t="s">
        <v>2526</v>
      </c>
      <c r="C358" s="1257">
        <v>5206.08</v>
      </c>
      <c r="D358" s="1257">
        <v>1301.52</v>
      </c>
      <c r="E358" s="1257">
        <v>6507.6</v>
      </c>
      <c r="F358" s="1255" t="s">
        <v>1154</v>
      </c>
      <c r="G358" s="1255" t="s">
        <v>1220</v>
      </c>
      <c r="H358" s="1255" t="s">
        <v>3950</v>
      </c>
      <c r="I358" s="1203"/>
      <c r="J358" s="1203"/>
      <c r="K358" s="1203"/>
      <c r="L358" s="653" t="str">
        <f t="shared" si="181"/>
        <v>6487</v>
      </c>
      <c r="M358" s="654" t="str">
        <f t="shared" si="182"/>
        <v>TAXES FONCIERES - SERVICE</v>
      </c>
      <c r="N358" s="655">
        <f>+IF(OR($Q358=Parametres!$G$2,$Q358=Parametres!$G$3),I358,C358)</f>
        <v>5206.08</v>
      </c>
      <c r="O358" s="655">
        <f>+IF(OR($Q358=Parametres!$G$2,$Q358=Parametres!$G$3),J358,D358)</f>
        <v>1301.52</v>
      </c>
      <c r="P358" s="655">
        <f>+IF(OR($Q358=Parametres!$G$2,$Q358=Parametres!$G$3),K358,E358)</f>
        <v>6507.6</v>
      </c>
      <c r="Q358" s="654" t="str">
        <f t="shared" si="183"/>
        <v>7-Dépenses</v>
      </c>
      <c r="R358" s="653" t="str">
        <f t="shared" si="184"/>
        <v>6187</v>
      </c>
      <c r="S358" s="654" t="str">
        <f t="shared" si="185"/>
        <v>_</v>
      </c>
      <c r="T358" s="656" t="str">
        <f>+VLOOKUP($L358,Data_Validation!$A:$D,1,0)</f>
        <v>6487</v>
      </c>
      <c r="U358" s="656" t="str">
        <f>+VLOOKUP($L358,Data_Validation!$A:$D,3,0)</f>
        <v>Service</v>
      </c>
      <c r="V358" s="656" t="str">
        <f>+VLOOKUP($L358,Data_Validation!$A:$D,4,0)</f>
        <v>Taxes foncières</v>
      </c>
      <c r="W358" s="656" t="str">
        <f>+VLOOKUP($L358,Data_Validation!$A:$E,5,0)</f>
        <v>$</v>
      </c>
      <c r="X358" s="656">
        <f>+VLOOKUP($L358,Data_Validation!$A:$F,6,0)</f>
        <v>0</v>
      </c>
    </row>
    <row r="359" spans="1:24" ht="15" customHeight="1">
      <c r="A359" s="1255" t="s">
        <v>1260</v>
      </c>
      <c r="B359" s="1255" t="s">
        <v>2529</v>
      </c>
      <c r="C359" s="1257">
        <v>4088.64</v>
      </c>
      <c r="D359" s="1257">
        <v>866.16</v>
      </c>
      <c r="E359" s="1257">
        <v>4954.8</v>
      </c>
      <c r="F359" s="1255" t="s">
        <v>1154</v>
      </c>
      <c r="G359" s="1255" t="s">
        <v>1222</v>
      </c>
      <c r="H359" s="1255" t="s">
        <v>3950</v>
      </c>
      <c r="I359" s="1203"/>
      <c r="J359" s="1203"/>
      <c r="K359" s="1203"/>
      <c r="L359" s="653" t="str">
        <f t="shared" si="181"/>
        <v>6493</v>
      </c>
      <c r="M359" s="654" t="str">
        <f t="shared" si="182"/>
        <v>AUTRE TAXES-SERVICE</v>
      </c>
      <c r="N359" s="655">
        <f>+IF(OR($Q359=Parametres!$G$2,$Q359=Parametres!$G$3),I359,C359)</f>
        <v>4088.64</v>
      </c>
      <c r="O359" s="655">
        <f>+IF(OR($Q359=Parametres!$G$2,$Q359=Parametres!$G$3),J359,D359)</f>
        <v>866.16</v>
      </c>
      <c r="P359" s="655">
        <f>+IF(OR($Q359=Parametres!$G$2,$Q359=Parametres!$G$3),K359,E359)</f>
        <v>4954.8</v>
      </c>
      <c r="Q359" s="654" t="str">
        <f t="shared" si="183"/>
        <v>7-Dépenses</v>
      </c>
      <c r="R359" s="653" t="str">
        <f t="shared" si="184"/>
        <v>6193</v>
      </c>
      <c r="S359" s="654" t="str">
        <f t="shared" si="185"/>
        <v>_</v>
      </c>
      <c r="T359" s="656" t="str">
        <f>+VLOOKUP($L359,Data_Validation!$A:$D,1,0)</f>
        <v>6493</v>
      </c>
      <c r="U359" s="656" t="str">
        <f>+VLOOKUP($L359,Data_Validation!$A:$D,3,0)</f>
        <v>Service</v>
      </c>
      <c r="V359" s="656" t="str">
        <f>+VLOOKUP($L359,Data_Validation!$A:$D,4,0)</f>
        <v>Taxes d`affaires</v>
      </c>
      <c r="W359" s="656" t="str">
        <f>+VLOOKUP($L359,Data_Validation!$A:$E,5,0)</f>
        <v>$</v>
      </c>
      <c r="X359" s="656">
        <f>+VLOOKUP($L359,Data_Validation!$A:$F,6,0)</f>
        <v>0</v>
      </c>
    </row>
    <row r="360" spans="1:24" ht="15" customHeight="1">
      <c r="A360" s="1255" t="s">
        <v>1261</v>
      </c>
      <c r="B360" s="1255" t="s">
        <v>2532</v>
      </c>
      <c r="C360" s="1257">
        <v>6506.71</v>
      </c>
      <c r="D360" s="1257">
        <v>1541.6</v>
      </c>
      <c r="E360" s="1257">
        <v>8048.31</v>
      </c>
      <c r="F360" s="1255" t="s">
        <v>1154</v>
      </c>
      <c r="G360" s="1255" t="s">
        <v>1224</v>
      </c>
      <c r="H360" s="1255" t="s">
        <v>3950</v>
      </c>
      <c r="I360" s="1203"/>
      <c r="J360" s="1203"/>
      <c r="K360" s="1203"/>
      <c r="L360" s="653" t="str">
        <f t="shared" si="181"/>
        <v>6494</v>
      </c>
      <c r="M360" s="654" t="str">
        <f t="shared" si="182"/>
        <v>FRAIS PROFESSIONNEL-SERVICE</v>
      </c>
      <c r="N360" s="655">
        <f>+IF(OR($Q360=Parametres!$G$2,$Q360=Parametres!$G$3),I360,C360)</f>
        <v>6506.71</v>
      </c>
      <c r="O360" s="655">
        <f>+IF(OR($Q360=Parametres!$G$2,$Q360=Parametres!$G$3),J360,D360)</f>
        <v>1541.6</v>
      </c>
      <c r="P360" s="655">
        <f>+IF(OR($Q360=Parametres!$G$2,$Q360=Parametres!$G$3),K360,E360)</f>
        <v>8048.31</v>
      </c>
      <c r="Q360" s="654" t="str">
        <f t="shared" si="183"/>
        <v>7-Dépenses</v>
      </c>
      <c r="R360" s="653" t="str">
        <f t="shared" si="184"/>
        <v>6194</v>
      </c>
      <c r="S360" s="654" t="str">
        <f t="shared" si="185"/>
        <v>_</v>
      </c>
      <c r="T360" s="656" t="str">
        <f>+VLOOKUP($L360,Data_Validation!$A:$D,1,0)</f>
        <v>6494</v>
      </c>
      <c r="U360" s="656" t="str">
        <f>+VLOOKUP($L360,Data_Validation!$A:$D,3,0)</f>
        <v>Service</v>
      </c>
      <c r="V360" s="656" t="str">
        <f>+VLOOKUP($L360,Data_Validation!$A:$D,4,0)</f>
        <v>Honoraires</v>
      </c>
      <c r="W360" s="656" t="str">
        <f>+VLOOKUP($L360,Data_Validation!$A:$E,5,0)</f>
        <v>$</v>
      </c>
      <c r="X360" s="656">
        <f>+VLOOKUP($L360,Data_Validation!$A:$F,6,0)</f>
        <v>0</v>
      </c>
    </row>
    <row r="361" spans="1:24" ht="15" customHeight="1">
      <c r="A361" s="1255" t="s">
        <v>1158</v>
      </c>
      <c r="B361" s="1255" t="s">
        <v>2535</v>
      </c>
      <c r="C361" s="1257">
        <v>12326.72</v>
      </c>
      <c r="D361" s="1257">
        <v>0</v>
      </c>
      <c r="E361" s="1257">
        <v>12326.72</v>
      </c>
      <c r="F361" s="1255" t="s">
        <v>1154</v>
      </c>
      <c r="G361" s="1255" t="s">
        <v>1242</v>
      </c>
      <c r="H361" s="1255" t="s">
        <v>3950</v>
      </c>
      <c r="I361" s="1203"/>
      <c r="J361" s="1203"/>
      <c r="K361" s="1203"/>
      <c r="L361" s="653" t="str">
        <f t="shared" si="181"/>
        <v>6503</v>
      </c>
      <c r="M361" s="654" t="str">
        <f t="shared" si="182"/>
        <v>RELAT. A LA CLIENTELE &amp; AJUST.</v>
      </c>
      <c r="N361" s="655">
        <f>+IF(OR($Q361=Parametres!$G$2,$Q361=Parametres!$G$3),I361,C361)</f>
        <v>12326.72</v>
      </c>
      <c r="O361" s="655">
        <f>+IF(OR($Q361=Parametres!$G$2,$Q361=Parametres!$G$3),J361,D361)</f>
        <v>0</v>
      </c>
      <c r="P361" s="655">
        <f>+IF(OR($Q361=Parametres!$G$2,$Q361=Parametres!$G$3),K361,E361)</f>
        <v>12326.72</v>
      </c>
      <c r="Q361" s="654" t="str">
        <f t="shared" si="183"/>
        <v>7-Dépenses</v>
      </c>
      <c r="R361" s="653" t="str">
        <f t="shared" si="184"/>
        <v>6112</v>
      </c>
      <c r="S361" s="654" t="str">
        <f t="shared" si="185"/>
        <v>_</v>
      </c>
      <c r="T361" s="656" t="str">
        <f>+VLOOKUP($L361,Data_Validation!$A:$D,1,0)</f>
        <v>6503</v>
      </c>
      <c r="U361" s="656" t="str">
        <f>+VLOOKUP($L361,Data_Validation!$A:$D,3,0)</f>
        <v>Carrosserie</v>
      </c>
      <c r="V361" s="656" t="str">
        <f>+VLOOKUP($L361,Data_Validation!$A:$D,4,0)</f>
        <v>Service gratuit 2</v>
      </c>
      <c r="W361" s="656" t="str">
        <f>+VLOOKUP($L361,Data_Validation!$A:$E,5,0)</f>
        <v>$</v>
      </c>
      <c r="X361" s="656">
        <f>+VLOOKUP($L361,Data_Validation!$A:$F,6,0)</f>
        <v>0</v>
      </c>
    </row>
    <row r="362" spans="1:24" ht="15.75" customHeight="1">
      <c r="A362" s="1255" t="s">
        <v>1166</v>
      </c>
      <c r="B362" s="1255" t="s">
        <v>2541</v>
      </c>
      <c r="C362" s="1257">
        <v>99.75</v>
      </c>
      <c r="D362" s="1257">
        <v>3.5</v>
      </c>
      <c r="E362" s="1257">
        <v>103.25</v>
      </c>
      <c r="F362" s="1255" t="s">
        <v>1154</v>
      </c>
      <c r="G362" s="1255" t="s">
        <v>1167</v>
      </c>
      <c r="H362" s="1255" t="s">
        <v>3950</v>
      </c>
      <c r="I362" s="1203"/>
      <c r="J362" s="1203"/>
      <c r="K362" s="1203"/>
      <c r="L362" s="653" t="str">
        <f t="shared" si="181"/>
        <v>6514</v>
      </c>
      <c r="M362" s="654" t="str">
        <f t="shared" si="182"/>
        <v>PUBLICITE</v>
      </c>
      <c r="N362" s="655">
        <f>+IF(OR($Q362=Parametres!$G$2,$Q362=Parametres!$G$3),I362,C362)</f>
        <v>99.75</v>
      </c>
      <c r="O362" s="655">
        <f>+IF(OR($Q362=Parametres!$G$2,$Q362=Parametres!$G$3),J362,D362)</f>
        <v>3.5</v>
      </c>
      <c r="P362" s="655">
        <f>+IF(OR($Q362=Parametres!$G$2,$Q362=Parametres!$G$3),K362,E362)</f>
        <v>103.25</v>
      </c>
      <c r="Q362" s="654" t="str">
        <f t="shared" si="183"/>
        <v>7-Dépenses</v>
      </c>
      <c r="R362" s="653" t="str">
        <f t="shared" si="184"/>
        <v>6114</v>
      </c>
      <c r="S362" s="654" t="str">
        <f t="shared" si="185"/>
        <v>_</v>
      </c>
      <c r="T362" s="656" t="str">
        <f>+VLOOKUP($L362,Data_Validation!$A:$D,1,0)</f>
        <v>6514</v>
      </c>
      <c r="U362" s="656" t="str">
        <f>+VLOOKUP($L362,Data_Validation!$A:$D,3,0)</f>
        <v>Carrosserie</v>
      </c>
      <c r="V362" s="656" t="str">
        <f>+VLOOKUP($L362,Data_Validation!$A:$D,4,0)</f>
        <v>Publicité 2</v>
      </c>
      <c r="W362" s="656" t="str">
        <f>+VLOOKUP($L362,Data_Validation!$A:$E,5,0)</f>
        <v>$</v>
      </c>
      <c r="X362" s="656">
        <f>+VLOOKUP($L362,Data_Validation!$A:$F,6,0)</f>
        <v>0</v>
      </c>
    </row>
    <row r="363" spans="1:24" ht="15.75" customHeight="1">
      <c r="A363" s="1255" t="s">
        <v>1169</v>
      </c>
      <c r="B363" s="1255" t="s">
        <v>2547</v>
      </c>
      <c r="C363" s="1257">
        <v>1404.65</v>
      </c>
      <c r="D363" s="1257">
        <v>460.65</v>
      </c>
      <c r="E363" s="1257">
        <v>1865.3</v>
      </c>
      <c r="F363" s="1255" t="s">
        <v>1154</v>
      </c>
      <c r="G363" s="1255" t="s">
        <v>1170</v>
      </c>
      <c r="H363" s="1255" t="s">
        <v>3950</v>
      </c>
      <c r="I363" s="1203"/>
      <c r="J363" s="1203"/>
      <c r="K363" s="1203"/>
      <c r="L363" s="653" t="str">
        <f t="shared" si="181"/>
        <v>6521</v>
      </c>
      <c r="M363" s="654" t="str">
        <f t="shared" si="182"/>
        <v>SALAIRES - PROPRIETAIRES</v>
      </c>
      <c r="N363" s="655">
        <f>+IF(OR($Q363=Parametres!$G$2,$Q363=Parametres!$G$3),I363,C363)</f>
        <v>1404.65</v>
      </c>
      <c r="O363" s="655">
        <f>+IF(OR($Q363=Parametres!$G$2,$Q363=Parametres!$G$3),J363,D363)</f>
        <v>460.65</v>
      </c>
      <c r="P363" s="655">
        <f>+IF(OR($Q363=Parametres!$G$2,$Q363=Parametres!$G$3),K363,E363)</f>
        <v>1865.3</v>
      </c>
      <c r="Q363" s="654" t="str">
        <f t="shared" si="183"/>
        <v>7-Dépenses</v>
      </c>
      <c r="R363" s="653" t="str">
        <f t="shared" si="184"/>
        <v>6121</v>
      </c>
      <c r="S363" s="654" t="str">
        <f t="shared" si="185"/>
        <v>_</v>
      </c>
      <c r="T363" s="656" t="str">
        <f>+VLOOKUP($L363,Data_Validation!$A:$D,1,0)</f>
        <v>6521</v>
      </c>
      <c r="U363" s="656" t="str">
        <f>+VLOOKUP($L363,Data_Validation!$A:$D,3,0)</f>
        <v>Carrosserie</v>
      </c>
      <c r="V363" s="656" t="str">
        <f>+VLOOKUP($L363,Data_Validation!$A:$D,4,0)</f>
        <v>Salaires propriétaire</v>
      </c>
      <c r="W363" s="656" t="str">
        <f>+VLOOKUP($L363,Data_Validation!$A:$E,5,0)</f>
        <v>$</v>
      </c>
      <c r="X363" s="656">
        <f>+VLOOKUP($L363,Data_Validation!$A:$F,6,0)</f>
        <v>0</v>
      </c>
    </row>
    <row r="364" spans="1:24" ht="15" customHeight="1">
      <c r="A364" s="1255" t="s">
        <v>1171</v>
      </c>
      <c r="B364" s="1255" t="s">
        <v>2550</v>
      </c>
      <c r="C364" s="1257">
        <v>3607.52</v>
      </c>
      <c r="D364" s="1257">
        <v>901.88</v>
      </c>
      <c r="E364" s="1257">
        <v>4509.3999999999996</v>
      </c>
      <c r="F364" s="1255" t="s">
        <v>1154</v>
      </c>
      <c r="G364" s="1255" t="s">
        <v>1172</v>
      </c>
      <c r="H364" s="1255" t="s">
        <v>3950</v>
      </c>
      <c r="I364" s="1203"/>
      <c r="J364" s="1203"/>
      <c r="K364" s="1203"/>
      <c r="L364" s="653" t="str">
        <f t="shared" si="181"/>
        <v>6522</v>
      </c>
      <c r="M364" s="654" t="str">
        <f t="shared" si="182"/>
        <v>SAL SUPERVISION / GERANT</v>
      </c>
      <c r="N364" s="655">
        <f>+IF(OR($Q364=Parametres!$G$2,$Q364=Parametres!$G$3),I364,C364)</f>
        <v>3607.52</v>
      </c>
      <c r="O364" s="655">
        <f>+IF(OR($Q364=Parametres!$G$2,$Q364=Parametres!$G$3),J364,D364)</f>
        <v>901.88</v>
      </c>
      <c r="P364" s="655">
        <f>+IF(OR($Q364=Parametres!$G$2,$Q364=Parametres!$G$3),K364,E364)</f>
        <v>4509.3999999999996</v>
      </c>
      <c r="Q364" s="654" t="str">
        <f t="shared" si="183"/>
        <v>7-Dépenses</v>
      </c>
      <c r="R364" s="653" t="str">
        <f t="shared" si="184"/>
        <v>6122</v>
      </c>
      <c r="S364" s="654" t="str">
        <f t="shared" si="185"/>
        <v>_</v>
      </c>
      <c r="T364" s="656" t="str">
        <f>+VLOOKUP($L364,Data_Validation!$A:$D,1,0)</f>
        <v>6522</v>
      </c>
      <c r="U364" s="656" t="str">
        <f>+VLOOKUP($L364,Data_Validation!$A:$D,3,0)</f>
        <v>Carrosserie</v>
      </c>
      <c r="V364" s="656" t="str">
        <f>+VLOOKUP($L364,Data_Validation!$A:$D,4,0)</f>
        <v>Salaires cadres</v>
      </c>
      <c r="W364" s="656" t="str">
        <f>+VLOOKUP($L364,Data_Validation!$A:$E,5,0)</f>
        <v>$</v>
      </c>
      <c r="X364" s="656">
        <f>+VLOOKUP($L364,Data_Validation!$A:$F,6,0)</f>
        <v>0</v>
      </c>
    </row>
    <row r="365" spans="1:24" ht="15" customHeight="1">
      <c r="A365" s="1255" t="s">
        <v>1244</v>
      </c>
      <c r="B365" s="1255" t="s">
        <v>2553</v>
      </c>
      <c r="C365" s="1257">
        <v>15385.94</v>
      </c>
      <c r="D365" s="1257">
        <v>4976.26</v>
      </c>
      <c r="E365" s="1257">
        <v>20362.2</v>
      </c>
      <c r="F365" s="1255" t="s">
        <v>1154</v>
      </c>
      <c r="G365" s="1255" t="s">
        <v>1174</v>
      </c>
      <c r="H365" s="1255" t="s">
        <v>3950</v>
      </c>
      <c r="I365" s="1203"/>
      <c r="J365" s="1203"/>
      <c r="K365" s="1203"/>
      <c r="L365" s="653" t="str">
        <f t="shared" si="181"/>
        <v>6523</v>
      </c>
      <c r="M365" s="654" t="str">
        <f t="shared" si="182"/>
        <v>SAL. &amp; RENUM. CLERICAL</v>
      </c>
      <c r="N365" s="655">
        <f>+IF(OR($Q365=Parametres!$G$2,$Q365=Parametres!$G$3),I365,C365)</f>
        <v>15385.94</v>
      </c>
      <c r="O365" s="655">
        <f>+IF(OR($Q365=Parametres!$G$2,$Q365=Parametres!$G$3),J365,D365)</f>
        <v>4976.26</v>
      </c>
      <c r="P365" s="655">
        <f>+IF(OR($Q365=Parametres!$G$2,$Q365=Parametres!$G$3),K365,E365)</f>
        <v>20362.2</v>
      </c>
      <c r="Q365" s="654" t="str">
        <f t="shared" si="183"/>
        <v>7-Dépenses</v>
      </c>
      <c r="R365" s="653" t="str">
        <f t="shared" si="184"/>
        <v>6123</v>
      </c>
      <c r="S365" s="654" t="str">
        <f t="shared" si="185"/>
        <v>_</v>
      </c>
      <c r="T365" s="656" t="str">
        <f>+VLOOKUP($L365,Data_Validation!$A:$D,1,0)</f>
        <v>6523</v>
      </c>
      <c r="U365" s="656" t="str">
        <f>+VLOOKUP($L365,Data_Validation!$A:$D,3,0)</f>
        <v>Carrosserie</v>
      </c>
      <c r="V365" s="656" t="str">
        <f>+VLOOKUP($L365,Data_Validation!$A:$D,4,0)</f>
        <v>Salaires commis</v>
      </c>
      <c r="W365" s="656" t="str">
        <f>+VLOOKUP($L365,Data_Validation!$A:$E,5,0)</f>
        <v>$</v>
      </c>
      <c r="X365" s="656">
        <f>+VLOOKUP($L365,Data_Validation!$A:$F,6,0)</f>
        <v>0</v>
      </c>
    </row>
    <row r="366" spans="1:24" ht="15" customHeight="1">
      <c r="A366" s="1255" t="s">
        <v>1175</v>
      </c>
      <c r="B366" s="1255" t="s">
        <v>2556</v>
      </c>
      <c r="C366" s="1257">
        <v>0.32</v>
      </c>
      <c r="D366" s="1257">
        <v>0.08</v>
      </c>
      <c r="E366" s="1257">
        <v>0.4</v>
      </c>
      <c r="F366" s="1255" t="s">
        <v>1154</v>
      </c>
      <c r="G366" s="1255" t="s">
        <v>1176</v>
      </c>
      <c r="H366" s="1255" t="s">
        <v>3950</v>
      </c>
      <c r="I366" s="1203"/>
      <c r="J366" s="1203"/>
      <c r="K366" s="1203"/>
      <c r="L366" s="653" t="str">
        <f t="shared" si="181"/>
        <v>6524</v>
      </c>
      <c r="M366" s="654" t="str">
        <f t="shared" si="182"/>
        <v>SALAIRES &amp; RENUM. - AUTRES</v>
      </c>
      <c r="N366" s="655">
        <f>+IF(OR($Q366=Parametres!$G$2,$Q366=Parametres!$G$3),I366,C366)</f>
        <v>0.32</v>
      </c>
      <c r="O366" s="659">
        <f>+IF(OR($Q366=Parametres!$G$2,$Q366=Parametres!$G$3),J366,D366)</f>
        <v>0.08</v>
      </c>
      <c r="P366" s="655">
        <f>+IF(OR($Q366=Parametres!$G$2,$Q366=Parametres!$G$3),K366,E366)</f>
        <v>0.4</v>
      </c>
      <c r="Q366" s="654" t="str">
        <f t="shared" si="183"/>
        <v>7-Dépenses</v>
      </c>
      <c r="R366" s="653" t="str">
        <f t="shared" si="184"/>
        <v>6124</v>
      </c>
      <c r="S366" s="654" t="str">
        <f t="shared" si="185"/>
        <v>_</v>
      </c>
      <c r="T366" s="656" t="str">
        <f>+VLOOKUP($L366,Data_Validation!$A:$D,1,0)</f>
        <v>6524</v>
      </c>
      <c r="U366" s="656" t="str">
        <f>+VLOOKUP($L366,Data_Validation!$A:$D,3,0)</f>
        <v>Carrosserie</v>
      </c>
      <c r="V366" s="656" t="str">
        <f>+VLOOKUP($L366,Data_Validation!$A:$D,4,0)</f>
        <v>Salaires autres</v>
      </c>
      <c r="W366" s="656" t="str">
        <f>+VLOOKUP($L366,Data_Validation!$A:$E,5,0)</f>
        <v>$</v>
      </c>
      <c r="X366" s="656">
        <f>+VLOOKUP($L366,Data_Validation!$A:$F,6,0)</f>
        <v>0</v>
      </c>
    </row>
    <row r="367" spans="1:24" ht="15" customHeight="1">
      <c r="A367" s="1255" t="s">
        <v>1229</v>
      </c>
      <c r="B367" s="1255" t="s">
        <v>2562</v>
      </c>
      <c r="C367" s="1257">
        <v>1551.37</v>
      </c>
      <c r="D367" s="1257">
        <v>572.55999999999995</v>
      </c>
      <c r="E367" s="1257">
        <v>2123.9299999999998</v>
      </c>
      <c r="F367" s="1255" t="s">
        <v>1154</v>
      </c>
      <c r="G367" s="1255" t="s">
        <v>1178</v>
      </c>
      <c r="H367" s="1255" t="s">
        <v>3950</v>
      </c>
      <c r="I367" s="1203"/>
      <c r="J367" s="1203"/>
      <c r="K367" s="1203"/>
      <c r="L367" s="653" t="str">
        <f t="shared" si="181"/>
        <v>6529</v>
      </c>
      <c r="M367" s="654" t="str">
        <f t="shared" si="182"/>
        <v>ABS.,VACANCES &amp; SAL. JOURS FER</v>
      </c>
      <c r="N367" s="655">
        <f>+IF(OR($Q367=Parametres!$G$2,$Q367=Parametres!$G$3),I367,C367)</f>
        <v>1551.37</v>
      </c>
      <c r="O367" s="655">
        <f>+IF(OR($Q367=Parametres!$G$2,$Q367=Parametres!$G$3),J367,D367)</f>
        <v>572.55999999999995</v>
      </c>
      <c r="P367" s="655">
        <f>+IF(OR($Q367=Parametres!$G$2,$Q367=Parametres!$G$3),K367,E367)</f>
        <v>2123.9299999999998</v>
      </c>
      <c r="Q367" s="654" t="str">
        <f t="shared" si="183"/>
        <v>7-Dépenses</v>
      </c>
      <c r="R367" s="653" t="str">
        <f t="shared" si="184"/>
        <v>6129</v>
      </c>
      <c r="S367" s="654" t="str">
        <f t="shared" si="185"/>
        <v>_</v>
      </c>
      <c r="T367" s="656" t="str">
        <f>+VLOOKUP($L367,Data_Validation!$A:$D,1,0)</f>
        <v>6529</v>
      </c>
      <c r="U367" s="656" t="str">
        <f>+VLOOKUP($L367,Data_Validation!$A:$D,3,0)</f>
        <v>Carrosserie</v>
      </c>
      <c r="V367" s="656" t="str">
        <f>+VLOOKUP($L367,Data_Validation!$A:$D,4,0)</f>
        <v>Salaires en absences</v>
      </c>
      <c r="W367" s="656" t="str">
        <f>+VLOOKUP($L367,Data_Validation!$A:$E,5,0)</f>
        <v>$</v>
      </c>
      <c r="X367" s="656">
        <f>+VLOOKUP($L367,Data_Validation!$A:$F,6,0)</f>
        <v>0</v>
      </c>
    </row>
    <row r="368" spans="1:24" ht="15" customHeight="1">
      <c r="A368" s="1255" t="s">
        <v>1179</v>
      </c>
      <c r="B368" s="1255" t="s">
        <v>2565</v>
      </c>
      <c r="C368" s="1257">
        <v>1055.8</v>
      </c>
      <c r="D368" s="1257">
        <v>164.21</v>
      </c>
      <c r="E368" s="1257">
        <v>1220.01</v>
      </c>
      <c r="F368" s="1255" t="s">
        <v>1154</v>
      </c>
      <c r="G368" s="1255" t="s">
        <v>1180</v>
      </c>
      <c r="H368" s="1255" t="s">
        <v>3950</v>
      </c>
      <c r="I368" s="1203"/>
      <c r="J368" s="1203"/>
      <c r="K368" s="1203"/>
      <c r="L368" s="653" t="str">
        <f t="shared" si="181"/>
        <v>6531</v>
      </c>
      <c r="M368" s="654" t="str">
        <f t="shared" si="182"/>
        <v>CSST</v>
      </c>
      <c r="N368" s="655">
        <f>+IF(OR($Q368=Parametres!$G$2,$Q368=Parametres!$G$3),I368,C368)</f>
        <v>1055.8</v>
      </c>
      <c r="O368" s="655">
        <f>+IF(OR($Q368=Parametres!$G$2,$Q368=Parametres!$G$3),J368,D368)</f>
        <v>164.21</v>
      </c>
      <c r="P368" s="655">
        <f>+IF(OR($Q368=Parametres!$G$2,$Q368=Parametres!$G$3),K368,E368)</f>
        <v>1220.01</v>
      </c>
      <c r="Q368" s="654" t="str">
        <f t="shared" si="183"/>
        <v>7-Dépenses</v>
      </c>
      <c r="R368" s="653" t="str">
        <f t="shared" si="184"/>
        <v>6131</v>
      </c>
      <c r="S368" s="654" t="str">
        <f t="shared" si="185"/>
        <v>_</v>
      </c>
      <c r="T368" s="656" t="str">
        <f>+VLOOKUP($L368,Data_Validation!$A:$D,1,0)</f>
        <v>6531</v>
      </c>
      <c r="U368" s="656" t="str">
        <f>+VLOOKUP($L368,Data_Validation!$A:$D,3,0)</f>
        <v>Carrosserie</v>
      </c>
      <c r="V368" s="656" t="str">
        <f>+VLOOKUP($L368,Data_Validation!$A:$D,4,0)</f>
        <v>Csst</v>
      </c>
      <c r="W368" s="656" t="str">
        <f>+VLOOKUP($L368,Data_Validation!$A:$E,5,0)</f>
        <v>$</v>
      </c>
      <c r="X368" s="656">
        <f>+VLOOKUP($L368,Data_Validation!$A:$F,6,0)</f>
        <v>0</v>
      </c>
    </row>
    <row r="369" spans="1:24" ht="15.75" customHeight="1">
      <c r="A369" s="1255" t="s">
        <v>1181</v>
      </c>
      <c r="B369" s="1255" t="s">
        <v>2568</v>
      </c>
      <c r="C369" s="1257">
        <v>5633.97</v>
      </c>
      <c r="D369" s="1257">
        <v>1444.17</v>
      </c>
      <c r="E369" s="1257">
        <v>7078.14</v>
      </c>
      <c r="F369" s="1255" t="s">
        <v>1154</v>
      </c>
      <c r="G369" s="1255" t="s">
        <v>1182</v>
      </c>
      <c r="H369" s="1255" t="s">
        <v>3950</v>
      </c>
      <c r="I369" s="1203"/>
      <c r="J369" s="1203"/>
      <c r="K369" s="1203"/>
      <c r="L369" s="653" t="str">
        <f t="shared" si="181"/>
        <v>6532</v>
      </c>
      <c r="M369" s="654" t="str">
        <f t="shared" si="182"/>
        <v>RRQ RAMQ AC</v>
      </c>
      <c r="N369" s="655">
        <f>+IF(OR($Q369=Parametres!$G$2,$Q369=Parametres!$G$3),I369,C369)</f>
        <v>5633.97</v>
      </c>
      <c r="O369" s="655">
        <f>+IF(OR($Q369=Parametres!$G$2,$Q369=Parametres!$G$3),J369,D369)</f>
        <v>1444.17</v>
      </c>
      <c r="P369" s="655">
        <f>+IF(OR($Q369=Parametres!$G$2,$Q369=Parametres!$G$3),K369,E369)</f>
        <v>7078.14</v>
      </c>
      <c r="Q369" s="654" t="str">
        <f t="shared" si="183"/>
        <v>7-Dépenses</v>
      </c>
      <c r="R369" s="653" t="str">
        <f t="shared" si="184"/>
        <v>6132</v>
      </c>
      <c r="S369" s="654" t="str">
        <f t="shared" si="185"/>
        <v>_</v>
      </c>
      <c r="T369" s="656" t="str">
        <f>+VLOOKUP($L369,Data_Validation!$A:$D,1,0)</f>
        <v>6532</v>
      </c>
      <c r="U369" s="656" t="str">
        <f>+VLOOKUP($L369,Data_Validation!$A:$D,3,0)</f>
        <v>Carrosserie</v>
      </c>
      <c r="V369" s="656" t="str">
        <f>+VLOOKUP($L369,Data_Validation!$A:$D,4,0)</f>
        <v>Déduction à la source</v>
      </c>
      <c r="W369" s="656" t="str">
        <f>+VLOOKUP($L369,Data_Validation!$A:$E,5,0)</f>
        <v>$</v>
      </c>
      <c r="X369" s="656">
        <f>+VLOOKUP($L369,Data_Validation!$A:$F,6,0)</f>
        <v>0</v>
      </c>
    </row>
    <row r="370" spans="1:24" ht="15" customHeight="1">
      <c r="A370" s="1255" t="s">
        <v>1264</v>
      </c>
      <c r="B370" s="1255" t="s">
        <v>3397</v>
      </c>
      <c r="C370" s="1257">
        <v>718.14</v>
      </c>
      <c r="D370" s="1257">
        <v>210.17</v>
      </c>
      <c r="E370" s="1257">
        <v>928.31</v>
      </c>
      <c r="F370" s="1255" t="s">
        <v>1154</v>
      </c>
      <c r="G370" s="1255" t="s">
        <v>1184</v>
      </c>
      <c r="H370" s="1255" t="s">
        <v>3950</v>
      </c>
      <c r="I370" s="1203"/>
      <c r="J370" s="1203"/>
      <c r="K370" s="1203"/>
      <c r="L370" s="653" t="str">
        <f t="shared" si="181"/>
        <v>6533</v>
      </c>
      <c r="M370" s="654" t="str">
        <f t="shared" si="182"/>
        <v>FOND PENSION - CARROSSERIE</v>
      </c>
      <c r="N370" s="655">
        <f>+IF(OR($Q370=Parametres!$G$2,$Q370=Parametres!$G$3),I370,C370)</f>
        <v>718.14</v>
      </c>
      <c r="O370" s="655">
        <f>+IF(OR($Q370=Parametres!$G$2,$Q370=Parametres!$G$3),J370,D370)</f>
        <v>210.17</v>
      </c>
      <c r="P370" s="655">
        <f>+IF(OR($Q370=Parametres!$G$2,$Q370=Parametres!$G$3),K370,E370)</f>
        <v>928.31</v>
      </c>
      <c r="Q370" s="654" t="str">
        <f t="shared" si="183"/>
        <v>7-Dépenses</v>
      </c>
      <c r="R370" s="653" t="str">
        <f t="shared" si="184"/>
        <v>6133</v>
      </c>
      <c r="S370" s="654" t="str">
        <f t="shared" si="185"/>
        <v>_</v>
      </c>
      <c r="T370" s="656" t="str">
        <f>+VLOOKUP($L370,Data_Validation!$A:$D,1,0)</f>
        <v>6533</v>
      </c>
      <c r="U370" s="656" t="str">
        <f>+VLOOKUP($L370,Data_Validation!$A:$D,3,0)</f>
        <v>Carrosserie</v>
      </c>
      <c r="V370" s="656" t="str">
        <f>+VLOOKUP($L370,Data_Validation!$A:$D,4,0)</f>
        <v>Bénéfices marginaux</v>
      </c>
      <c r="W370" s="656" t="str">
        <f>+VLOOKUP($L370,Data_Validation!$A:$E,5,0)</f>
        <v>$</v>
      </c>
      <c r="X370" s="656">
        <f>+VLOOKUP($L370,Data_Validation!$A:$F,6,0)</f>
        <v>0</v>
      </c>
    </row>
    <row r="371" spans="1:24" ht="15" customHeight="1">
      <c r="A371" s="1255" t="s">
        <v>1231</v>
      </c>
      <c r="B371" s="1255" t="s">
        <v>2571</v>
      </c>
      <c r="C371" s="1257">
        <v>940.85</v>
      </c>
      <c r="D371" s="1257">
        <v>253.75</v>
      </c>
      <c r="E371" s="1257">
        <v>1194.5999999999999</v>
      </c>
      <c r="F371" s="1255" t="s">
        <v>1154</v>
      </c>
      <c r="G371" s="1255" t="s">
        <v>1186</v>
      </c>
      <c r="H371" s="1255" t="s">
        <v>3950</v>
      </c>
      <c r="I371" s="1203"/>
      <c r="J371" s="1203"/>
      <c r="K371" s="1203"/>
      <c r="L371" s="653" t="str">
        <f t="shared" si="181"/>
        <v>6539</v>
      </c>
      <c r="M371" s="654" t="str">
        <f t="shared" si="182"/>
        <v>ASSURANCE GROUPE</v>
      </c>
      <c r="N371" s="655">
        <f>+IF(OR($Q371=Parametres!$G$2,$Q371=Parametres!$G$3),I371,C371)</f>
        <v>940.85</v>
      </c>
      <c r="O371" s="655">
        <f>+IF(OR($Q371=Parametres!$G$2,$Q371=Parametres!$G$3),J371,D371)</f>
        <v>253.75</v>
      </c>
      <c r="P371" s="655">
        <f>+IF(OR($Q371=Parametres!$G$2,$Q371=Parametres!$G$3),K371,E371)</f>
        <v>1194.5999999999999</v>
      </c>
      <c r="Q371" s="654" t="str">
        <f t="shared" si="183"/>
        <v>7-Dépenses</v>
      </c>
      <c r="R371" s="653" t="str">
        <f t="shared" si="184"/>
        <v>6139</v>
      </c>
      <c r="S371" s="654" t="str">
        <f t="shared" si="185"/>
        <v>_</v>
      </c>
      <c r="T371" s="656" t="str">
        <f>+VLOOKUP($L371,Data_Validation!$A:$D,1,0)</f>
        <v>6539</v>
      </c>
      <c r="U371" s="656" t="str">
        <f>+VLOOKUP($L371,Data_Validation!$A:$D,3,0)</f>
        <v>Carrosserie</v>
      </c>
      <c r="V371" s="656" t="str">
        <f>+VLOOKUP($L371,Data_Validation!$A:$D,4,0)</f>
        <v>Bénéfices marginaux</v>
      </c>
      <c r="W371" s="656" t="str">
        <f>+VLOOKUP($L371,Data_Validation!$A:$E,5,0)</f>
        <v>$</v>
      </c>
      <c r="X371" s="656">
        <f>+VLOOKUP($L371,Data_Validation!$A:$F,6,0)</f>
        <v>0</v>
      </c>
    </row>
    <row r="372" spans="1:24" ht="15" customHeight="1">
      <c r="A372" s="1255" t="s">
        <v>1249</v>
      </c>
      <c r="B372" s="1255" t="s">
        <v>3686</v>
      </c>
      <c r="C372" s="1257">
        <v>0</v>
      </c>
      <c r="D372" s="1257">
        <v>651.13</v>
      </c>
      <c r="E372" s="1257">
        <v>651.13</v>
      </c>
      <c r="F372" s="1255" t="s">
        <v>1154</v>
      </c>
      <c r="G372" s="1255" t="s">
        <v>1242</v>
      </c>
      <c r="H372" s="1255" t="s">
        <v>3950</v>
      </c>
      <c r="I372" s="1203"/>
      <c r="J372" s="1203"/>
      <c r="K372" s="1203"/>
      <c r="L372" s="653" t="str">
        <f t="shared" ref="L372:L388" si="186">TEXT(B372,0)</f>
        <v>6541</v>
      </c>
      <c r="M372" s="654" t="str">
        <f t="shared" ref="M372:M388" si="187">+A372</f>
        <v>RETOURS</v>
      </c>
      <c r="N372" s="655">
        <f>+IF(OR($Q372=Parametres!$G$2,$Q372=Parametres!$G$3),I372,C372)</f>
        <v>0</v>
      </c>
      <c r="O372" s="655">
        <f>+IF(OR($Q372=Parametres!$G$2,$Q372=Parametres!$G$3),J372,D372)</f>
        <v>651.13</v>
      </c>
      <c r="P372" s="655">
        <f>+IF(OR($Q372=Parametres!$G$2,$Q372=Parametres!$G$3),K372,E372)</f>
        <v>651.13</v>
      </c>
      <c r="Q372" s="654" t="str">
        <f t="shared" ref="Q372:Q388" si="188">+F372</f>
        <v>7-Dépenses</v>
      </c>
      <c r="R372" s="653" t="str">
        <f t="shared" ref="R372:R388" si="189">+G372</f>
        <v>6112</v>
      </c>
      <c r="S372" s="654" t="str">
        <f t="shared" ref="S372:S388" si="190">+H372</f>
        <v>_</v>
      </c>
      <c r="T372" s="656" t="str">
        <f>+VLOOKUP($L372,Data_Validation!$A:$D,1,0)</f>
        <v>6541</v>
      </c>
      <c r="U372" s="656" t="str">
        <f>+VLOOKUP($L372,Data_Validation!$A:$D,3,0)</f>
        <v>Service</v>
      </c>
      <c r="V372" s="656" t="str">
        <f>+VLOOKUP($L372,Data_Validation!$A:$D,4,0)</f>
        <v>Service gratuit 2</v>
      </c>
      <c r="W372" s="656" t="str">
        <f>+VLOOKUP($L372,Data_Validation!$A:$E,5,0)</f>
        <v>$</v>
      </c>
      <c r="X372" s="656">
        <f>+VLOOKUP($L372,Data_Validation!$A:$F,6,0)</f>
        <v>0</v>
      </c>
    </row>
    <row r="373" spans="1:24" ht="15" customHeight="1">
      <c r="A373" s="1255" t="s">
        <v>1191</v>
      </c>
      <c r="B373" s="1255" t="s">
        <v>2583</v>
      </c>
      <c r="C373" s="1257">
        <v>259.99</v>
      </c>
      <c r="D373" s="1257">
        <v>-9.5500000000000007</v>
      </c>
      <c r="E373" s="1257">
        <v>250.44</v>
      </c>
      <c r="F373" s="1255" t="s">
        <v>1154</v>
      </c>
      <c r="G373" s="1255" t="s">
        <v>1192</v>
      </c>
      <c r="H373" s="1255" t="s">
        <v>3950</v>
      </c>
      <c r="I373" s="1203"/>
      <c r="J373" s="1203"/>
      <c r="K373" s="1203"/>
      <c r="L373" s="653" t="str">
        <f t="shared" si="186"/>
        <v>6544</v>
      </c>
      <c r="M373" s="654" t="str">
        <f t="shared" si="187"/>
        <v>FORMATION</v>
      </c>
      <c r="N373" s="655">
        <f>+IF(OR($Q373=Parametres!$G$2,$Q373=Parametres!$G$3),I373,C373)</f>
        <v>259.99</v>
      </c>
      <c r="O373" s="655">
        <f>+IF(OR($Q373=Parametres!$G$2,$Q373=Parametres!$G$3),J373,D373)</f>
        <v>-9.5500000000000007</v>
      </c>
      <c r="P373" s="655">
        <f>+IF(OR($Q373=Parametres!$G$2,$Q373=Parametres!$G$3),K373,E373)</f>
        <v>250.44</v>
      </c>
      <c r="Q373" s="654" t="str">
        <f t="shared" si="188"/>
        <v>7-Dépenses</v>
      </c>
      <c r="R373" s="653" t="str">
        <f t="shared" si="189"/>
        <v>6144</v>
      </c>
      <c r="S373" s="654" t="str">
        <f t="shared" si="190"/>
        <v>_</v>
      </c>
      <c r="T373" s="656" t="str">
        <f>+VLOOKUP($L373,Data_Validation!$A:$D,1,0)</f>
        <v>6544</v>
      </c>
      <c r="U373" s="656" t="str">
        <f>+VLOOKUP($L373,Data_Validation!$A:$D,3,0)</f>
        <v>Carrosserie</v>
      </c>
      <c r="V373" s="656" t="str">
        <f>+VLOOKUP($L373,Data_Validation!$A:$D,4,0)</f>
        <v>Formation</v>
      </c>
      <c r="W373" s="656" t="str">
        <f>+VLOOKUP($L373,Data_Validation!$A:$E,5,0)</f>
        <v>$</v>
      </c>
      <c r="X373" s="656">
        <f>+VLOOKUP($L373,Data_Validation!$A:$F,6,0)</f>
        <v>0</v>
      </c>
    </row>
    <row r="374" spans="1:24" ht="15.75" customHeight="1">
      <c r="A374" s="1255" t="s">
        <v>1193</v>
      </c>
      <c r="B374" s="1255" t="s">
        <v>2586</v>
      </c>
      <c r="C374" s="1257">
        <v>651.22</v>
      </c>
      <c r="D374" s="1257">
        <v>177.91</v>
      </c>
      <c r="E374" s="1257">
        <v>829.13</v>
      </c>
      <c r="F374" s="1255" t="s">
        <v>1154</v>
      </c>
      <c r="G374" s="1255" t="s">
        <v>1194</v>
      </c>
      <c r="H374" s="1255" t="s">
        <v>3950</v>
      </c>
      <c r="I374" s="1203"/>
      <c r="J374" s="1203"/>
      <c r="K374" s="1203"/>
      <c r="L374" s="653" t="str">
        <f t="shared" si="186"/>
        <v>6545</v>
      </c>
      <c r="M374" s="654" t="str">
        <f t="shared" si="187"/>
        <v>VEHICULE DE COMPAGNIE - DEPENS</v>
      </c>
      <c r="N374" s="655">
        <f>+IF(OR($Q374=Parametres!$G$2,$Q374=Parametres!$G$3),I374,C374)</f>
        <v>651.22</v>
      </c>
      <c r="O374" s="655">
        <f>+IF(OR($Q374=Parametres!$G$2,$Q374=Parametres!$G$3),J374,D374)</f>
        <v>177.91</v>
      </c>
      <c r="P374" s="655">
        <f>+IF(OR($Q374=Parametres!$G$2,$Q374=Parametres!$G$3),K374,E374)</f>
        <v>829.13</v>
      </c>
      <c r="Q374" s="654" t="str">
        <f t="shared" si="188"/>
        <v>7-Dépenses</v>
      </c>
      <c r="R374" s="653" t="str">
        <f t="shared" si="189"/>
        <v>6145</v>
      </c>
      <c r="S374" s="654" t="str">
        <f t="shared" si="190"/>
        <v>_</v>
      </c>
      <c r="T374" s="656" t="str">
        <f>+VLOOKUP($L374,Data_Validation!$A:$D,1,0)</f>
        <v>6545</v>
      </c>
      <c r="U374" s="656" t="str">
        <f>+VLOOKUP($L374,Data_Validation!$A:$D,3,0)</f>
        <v>Carrosserie</v>
      </c>
      <c r="V374" s="656" t="str">
        <f>+VLOOKUP($L374,Data_Validation!$A:$D,4,0)</f>
        <v>Frais véhicules de cie</v>
      </c>
      <c r="W374" s="656" t="str">
        <f>+VLOOKUP($L374,Data_Validation!$A:$E,5,0)</f>
        <v>$</v>
      </c>
      <c r="X374" s="656">
        <f>+VLOOKUP($L374,Data_Validation!$A:$F,6,0)</f>
        <v>0</v>
      </c>
    </row>
    <row r="375" spans="1:24" ht="15" customHeight="1">
      <c r="A375" s="1255" t="s">
        <v>1195</v>
      </c>
      <c r="B375" s="1255" t="s">
        <v>2589</v>
      </c>
      <c r="C375" s="1257">
        <v>374.23</v>
      </c>
      <c r="D375" s="1257">
        <v>46.19</v>
      </c>
      <c r="E375" s="1257">
        <v>420.42</v>
      </c>
      <c r="F375" s="1255" t="s">
        <v>1154</v>
      </c>
      <c r="G375" s="1255" t="s">
        <v>1196</v>
      </c>
      <c r="H375" s="1255" t="s">
        <v>3950</v>
      </c>
      <c r="I375" s="1203"/>
      <c r="J375" s="1203"/>
      <c r="K375" s="1203"/>
      <c r="L375" s="653" t="str">
        <f t="shared" si="186"/>
        <v>6547</v>
      </c>
      <c r="M375" s="654" t="str">
        <f t="shared" si="187"/>
        <v>FRET/EXPRESS/TRANS. PAR CAMION</v>
      </c>
      <c r="N375" s="655">
        <f>+IF(OR($Q375=Parametres!$G$2,$Q375=Parametres!$G$3),I375,C375)</f>
        <v>374.23</v>
      </c>
      <c r="O375" s="655">
        <f>+IF(OR($Q375=Parametres!$G$2,$Q375=Parametres!$G$3),J375,D375)</f>
        <v>46.19</v>
      </c>
      <c r="P375" s="655">
        <f>+IF(OR($Q375=Parametres!$G$2,$Q375=Parametres!$G$3),K375,E375)</f>
        <v>420.42</v>
      </c>
      <c r="Q375" s="654" t="str">
        <f t="shared" si="188"/>
        <v>7-Dépenses</v>
      </c>
      <c r="R375" s="653" t="str">
        <f t="shared" si="189"/>
        <v>6147</v>
      </c>
      <c r="S375" s="654" t="str">
        <f t="shared" si="190"/>
        <v>_</v>
      </c>
      <c r="T375" s="656" t="str">
        <f>+VLOOKUP($L375,Data_Validation!$A:$D,1,0)</f>
        <v>6547</v>
      </c>
      <c r="U375" s="656" t="str">
        <f>+VLOOKUP($L375,Data_Validation!$A:$D,3,0)</f>
        <v>Carrosserie</v>
      </c>
      <c r="V375" s="656" t="str">
        <f>+VLOOKUP($L375,Data_Validation!$A:$D,4,0)</f>
        <v>Frais postaux</v>
      </c>
      <c r="W375" s="656" t="str">
        <f>+VLOOKUP($L375,Data_Validation!$A:$E,5,0)</f>
        <v>$</v>
      </c>
      <c r="X375" s="656">
        <f>+VLOOKUP($L375,Data_Validation!$A:$F,6,0)</f>
        <v>0</v>
      </c>
    </row>
    <row r="376" spans="1:24" ht="15" customHeight="1">
      <c r="A376" s="1255" t="s">
        <v>1197</v>
      </c>
      <c r="B376" s="1255" t="s">
        <v>2594</v>
      </c>
      <c r="C376" s="1257">
        <v>6872.68</v>
      </c>
      <c r="D376" s="1257">
        <v>2065.0700000000002</v>
      </c>
      <c r="E376" s="1257">
        <v>8937.75</v>
      </c>
      <c r="F376" s="1255" t="s">
        <v>1154</v>
      </c>
      <c r="G376" s="1255" t="s">
        <v>1198</v>
      </c>
      <c r="H376" s="1255" t="s">
        <v>3950</v>
      </c>
      <c r="I376" s="1203"/>
      <c r="J376" s="1203"/>
      <c r="K376" s="1203"/>
      <c r="L376" s="653" t="str">
        <f t="shared" si="186"/>
        <v>6551</v>
      </c>
      <c r="M376" s="654" t="str">
        <f t="shared" si="187"/>
        <v>DEP. DU TRAITEMENT DES DONNEES</v>
      </c>
      <c r="N376" s="655">
        <f>+IF(OR($Q376=Parametres!$G$2,$Q376=Parametres!$G$3),I376,C376)</f>
        <v>6872.68</v>
      </c>
      <c r="O376" s="655">
        <f>+IF(OR($Q376=Parametres!$G$2,$Q376=Parametres!$G$3),J376,D376)</f>
        <v>2065.0700000000002</v>
      </c>
      <c r="P376" s="655">
        <f>+IF(OR($Q376=Parametres!$G$2,$Q376=Parametres!$G$3),K376,E376)</f>
        <v>8937.75</v>
      </c>
      <c r="Q376" s="654" t="str">
        <f t="shared" si="188"/>
        <v>7-Dépenses</v>
      </c>
      <c r="R376" s="653" t="str">
        <f t="shared" si="189"/>
        <v>6151</v>
      </c>
      <c r="S376" s="654" t="str">
        <f t="shared" si="190"/>
        <v>_</v>
      </c>
      <c r="T376" s="656" t="str">
        <f>+VLOOKUP($L376,Data_Validation!$A:$D,1,0)</f>
        <v>6551</v>
      </c>
      <c r="U376" s="656" t="str">
        <f>+VLOOKUP($L376,Data_Validation!$A:$D,3,0)</f>
        <v>Carrosserie</v>
      </c>
      <c r="V376" s="656" t="str">
        <f>+VLOOKUP($L376,Data_Validation!$A:$D,4,0)</f>
        <v>Informatique</v>
      </c>
      <c r="W376" s="656" t="str">
        <f>+VLOOKUP($L376,Data_Validation!$A:$E,5,0)</f>
        <v>$</v>
      </c>
      <c r="X376" s="656">
        <f>+VLOOKUP($L376,Data_Validation!$A:$F,6,0)</f>
        <v>0</v>
      </c>
    </row>
    <row r="377" spans="1:24" ht="15" customHeight="1">
      <c r="A377" s="1255" t="s">
        <v>1199</v>
      </c>
      <c r="B377" s="1255" t="s">
        <v>2597</v>
      </c>
      <c r="C377" s="1257">
        <v>394.84</v>
      </c>
      <c r="D377" s="1257">
        <v>229.11</v>
      </c>
      <c r="E377" s="1257">
        <v>623.95000000000005</v>
      </c>
      <c r="F377" s="1255" t="s">
        <v>1154</v>
      </c>
      <c r="G377" s="1255" t="s">
        <v>1200</v>
      </c>
      <c r="H377" s="1255" t="s">
        <v>3950</v>
      </c>
      <c r="I377" s="1203"/>
      <c r="J377" s="1203"/>
      <c r="K377" s="1203"/>
      <c r="L377" s="653" t="str">
        <f t="shared" si="186"/>
        <v>6552</v>
      </c>
      <c r="M377" s="654" t="str">
        <f t="shared" si="187"/>
        <v>PAPETERIE</v>
      </c>
      <c r="N377" s="655">
        <f>+IF(OR($Q377=Parametres!$G$2,$Q377=Parametres!$G$3),I377,C377)</f>
        <v>394.84</v>
      </c>
      <c r="O377" s="655">
        <f>+IF(OR($Q377=Parametres!$G$2,$Q377=Parametres!$G$3),J377,D377)</f>
        <v>229.11</v>
      </c>
      <c r="P377" s="655">
        <f>+IF(OR($Q377=Parametres!$G$2,$Q377=Parametres!$G$3),K377,E377)</f>
        <v>623.95000000000005</v>
      </c>
      <c r="Q377" s="654" t="str">
        <f t="shared" si="188"/>
        <v>7-Dépenses</v>
      </c>
      <c r="R377" s="653" t="str">
        <f t="shared" si="189"/>
        <v>6152</v>
      </c>
      <c r="S377" s="654" t="str">
        <f t="shared" si="190"/>
        <v>_</v>
      </c>
      <c r="T377" s="656" t="str">
        <f>+VLOOKUP($L377,Data_Validation!$A:$D,1,0)</f>
        <v>6552</v>
      </c>
      <c r="U377" s="656" t="str">
        <f>+VLOOKUP($L377,Data_Validation!$A:$D,3,0)</f>
        <v>Carrosserie</v>
      </c>
      <c r="V377" s="656" t="str">
        <f>+VLOOKUP($L377,Data_Validation!$A:$D,4,0)</f>
        <v>Papeterie</v>
      </c>
      <c r="W377" s="656" t="str">
        <f>+VLOOKUP($L377,Data_Validation!$A:$E,5,0)</f>
        <v>$</v>
      </c>
      <c r="X377" s="656">
        <f>+VLOOKUP($L377,Data_Validation!$A:$F,6,0)</f>
        <v>0</v>
      </c>
    </row>
    <row r="378" spans="1:24" ht="15" customHeight="1">
      <c r="A378" s="1255" t="s">
        <v>1201</v>
      </c>
      <c r="B378" s="1255" t="s">
        <v>2600</v>
      </c>
      <c r="C378" s="1257">
        <v>121.35</v>
      </c>
      <c r="D378" s="1257">
        <v>24.76</v>
      </c>
      <c r="E378" s="1257">
        <v>146.11000000000001</v>
      </c>
      <c r="F378" s="1255" t="s">
        <v>1154</v>
      </c>
      <c r="G378" s="1255" t="s">
        <v>1202</v>
      </c>
      <c r="H378" s="1255" t="s">
        <v>3950</v>
      </c>
      <c r="I378" s="1203"/>
      <c r="J378" s="1203"/>
      <c r="K378" s="1203"/>
      <c r="L378" s="653" t="str">
        <f t="shared" si="186"/>
        <v>6553</v>
      </c>
      <c r="M378" s="654" t="str">
        <f t="shared" si="187"/>
        <v>TELEPHONE ET TELEX</v>
      </c>
      <c r="N378" s="655">
        <f>+IF(OR($Q378=Parametres!$G$2,$Q378=Parametres!$G$3),I378,C378)</f>
        <v>121.35</v>
      </c>
      <c r="O378" s="655">
        <f>+IF(OR($Q378=Parametres!$G$2,$Q378=Parametres!$G$3),J378,D378)</f>
        <v>24.76</v>
      </c>
      <c r="P378" s="655">
        <f>+IF(OR($Q378=Parametres!$G$2,$Q378=Parametres!$G$3),K378,E378)</f>
        <v>146.11000000000001</v>
      </c>
      <c r="Q378" s="654" t="str">
        <f t="shared" si="188"/>
        <v>7-Dépenses</v>
      </c>
      <c r="R378" s="653" t="str">
        <f t="shared" si="189"/>
        <v>6153</v>
      </c>
      <c r="S378" s="654" t="str">
        <f t="shared" si="190"/>
        <v>_</v>
      </c>
      <c r="T378" s="656" t="str">
        <f>+VLOOKUP($L378,Data_Validation!$A:$D,1,0)</f>
        <v>6553</v>
      </c>
      <c r="U378" s="656" t="str">
        <f>+VLOOKUP($L378,Data_Validation!$A:$D,3,0)</f>
        <v>Carrosserie</v>
      </c>
      <c r="V378" s="656" t="str">
        <f>+VLOOKUP($L378,Data_Validation!$A:$D,4,0)</f>
        <v>Téléphone</v>
      </c>
      <c r="W378" s="656" t="str">
        <f>+VLOOKUP($L378,Data_Validation!$A:$E,5,0)</f>
        <v>$</v>
      </c>
      <c r="X378" s="656">
        <f>+VLOOKUP($L378,Data_Validation!$A:$F,6,0)</f>
        <v>0</v>
      </c>
    </row>
    <row r="379" spans="1:24" ht="15.75" customHeight="1">
      <c r="A379" s="1255" t="s">
        <v>1203</v>
      </c>
      <c r="B379" s="1255" t="s">
        <v>2603</v>
      </c>
      <c r="C379" s="1257">
        <v>77.22</v>
      </c>
      <c r="D379" s="1257">
        <v>24.43</v>
      </c>
      <c r="E379" s="1257">
        <v>101.65</v>
      </c>
      <c r="F379" s="1255" t="s">
        <v>1154</v>
      </c>
      <c r="G379" s="1255" t="s">
        <v>1204</v>
      </c>
      <c r="H379" s="1255" t="s">
        <v>3950</v>
      </c>
      <c r="I379" s="1203"/>
      <c r="J379" s="1203"/>
      <c r="K379" s="1203"/>
      <c r="L379" s="653" t="str">
        <f t="shared" si="186"/>
        <v>6555</v>
      </c>
      <c r="M379" s="654" t="str">
        <f t="shared" si="187"/>
        <v>DEPENSES DIVERS</v>
      </c>
      <c r="N379" s="655">
        <f>+IF(OR($Q379=Parametres!$G$2,$Q379=Parametres!$G$3),I379,C379)</f>
        <v>77.22</v>
      </c>
      <c r="O379" s="655">
        <f>+IF(OR($Q379=Parametres!$G$2,$Q379=Parametres!$G$3),J379,D379)</f>
        <v>24.43</v>
      </c>
      <c r="P379" s="655">
        <f>+IF(OR($Q379=Parametres!$G$2,$Q379=Parametres!$G$3),K379,E379)</f>
        <v>101.65</v>
      </c>
      <c r="Q379" s="654" t="str">
        <f t="shared" si="188"/>
        <v>7-Dépenses</v>
      </c>
      <c r="R379" s="653" t="str">
        <f t="shared" si="189"/>
        <v>6155</v>
      </c>
      <c r="S379" s="654" t="str">
        <f t="shared" si="190"/>
        <v>_</v>
      </c>
      <c r="T379" s="656" t="str">
        <f>+VLOOKUP($L379,Data_Validation!$A:$D,1,0)</f>
        <v>6555</v>
      </c>
      <c r="U379" s="656" t="str">
        <f>+VLOOKUP($L379,Data_Validation!$A:$D,3,0)</f>
        <v>Carrosserie</v>
      </c>
      <c r="V379" s="656" t="str">
        <f>+VLOOKUP($L379,Data_Validation!$A:$D,4,0)</f>
        <v>Divers</v>
      </c>
      <c r="W379" s="656" t="str">
        <f>+VLOOKUP($L379,Data_Validation!$A:$E,5,0)</f>
        <v>$</v>
      </c>
      <c r="X379" s="656">
        <f>+VLOOKUP($L379,Data_Validation!$A:$F,6,0)</f>
        <v>0</v>
      </c>
    </row>
    <row r="380" spans="1:24" ht="15" customHeight="1">
      <c r="A380" s="1255" t="s">
        <v>1265</v>
      </c>
      <c r="B380" s="1255" t="s">
        <v>2606</v>
      </c>
      <c r="C380" s="1257">
        <v>973.61</v>
      </c>
      <c r="D380" s="1257">
        <v>264.81</v>
      </c>
      <c r="E380" s="1257">
        <v>1238.42</v>
      </c>
      <c r="F380" s="1255" t="s">
        <v>1154</v>
      </c>
      <c r="G380" s="1255" t="s">
        <v>1206</v>
      </c>
      <c r="H380" s="1255" t="s">
        <v>3950</v>
      </c>
      <c r="I380" s="1203"/>
      <c r="J380" s="1203"/>
      <c r="K380" s="1203"/>
      <c r="L380" s="653" t="str">
        <f t="shared" si="186"/>
        <v>6556</v>
      </c>
      <c r="M380" s="654" t="str">
        <f t="shared" si="187"/>
        <v>FRAIS REPRESENTATION</v>
      </c>
      <c r="N380" s="655">
        <f>+IF(OR($Q380=Parametres!$G$2,$Q380=Parametres!$G$3),I380,C380)</f>
        <v>973.61</v>
      </c>
      <c r="O380" s="659">
        <f>+IF(OR($Q380=Parametres!$G$2,$Q380=Parametres!$G$3),J380,D380)</f>
        <v>264.81</v>
      </c>
      <c r="P380" s="655">
        <f>+IF(OR($Q380=Parametres!$G$2,$Q380=Parametres!$G$3),K380,E380)</f>
        <v>1238.42</v>
      </c>
      <c r="Q380" s="654" t="str">
        <f t="shared" si="188"/>
        <v>7-Dépenses</v>
      </c>
      <c r="R380" s="653" t="str">
        <f t="shared" si="189"/>
        <v>6156</v>
      </c>
      <c r="S380" s="654" t="str">
        <f t="shared" si="190"/>
        <v>_</v>
      </c>
      <c r="T380" s="656" t="str">
        <f>+VLOOKUP($L380,Data_Validation!$A:$D,1,0)</f>
        <v>6556</v>
      </c>
      <c r="U380" s="656" t="str">
        <f>+VLOOKUP($L380,Data_Validation!$A:$D,3,0)</f>
        <v>Carrosserie</v>
      </c>
      <c r="V380" s="656" t="str">
        <f>+VLOOKUP($L380,Data_Validation!$A:$D,4,0)</f>
        <v>Frais de déplacement</v>
      </c>
      <c r="W380" s="656" t="str">
        <f>+VLOOKUP($L380,Data_Validation!$A:$E,5,0)</f>
        <v>$</v>
      </c>
      <c r="X380" s="656">
        <f>+VLOOKUP($L380,Data_Validation!$A:$F,6,0)</f>
        <v>0</v>
      </c>
    </row>
    <row r="381" spans="1:24" ht="15" customHeight="1">
      <c r="A381" s="1255" t="s">
        <v>1266</v>
      </c>
      <c r="B381" s="1255" t="s">
        <v>3398</v>
      </c>
      <c r="C381" s="1257">
        <v>738.72</v>
      </c>
      <c r="D381" s="1257">
        <v>253.32</v>
      </c>
      <c r="E381" s="1257">
        <v>992.04</v>
      </c>
      <c r="F381" s="1255" t="s">
        <v>1154</v>
      </c>
      <c r="G381" s="1255" t="s">
        <v>1267</v>
      </c>
      <c r="H381" s="1255" t="s">
        <v>3950</v>
      </c>
      <c r="I381" s="1203"/>
      <c r="J381" s="1203"/>
      <c r="K381" s="1203"/>
      <c r="L381" s="653" t="str">
        <f t="shared" si="186"/>
        <v>6557</v>
      </c>
      <c r="M381" s="654" t="str">
        <f t="shared" si="187"/>
        <v>FRAIS BANCAIRES - CARROSSERIE</v>
      </c>
      <c r="N381" s="655">
        <f>+IF(OR($Q381=Parametres!$G$2,$Q381=Parametres!$G$3),I381,C381)</f>
        <v>738.72</v>
      </c>
      <c r="O381" s="655">
        <f>+IF(OR($Q381=Parametres!$G$2,$Q381=Parametres!$G$3),J381,D381)</f>
        <v>253.32</v>
      </c>
      <c r="P381" s="655">
        <f>+IF(OR($Q381=Parametres!$G$2,$Q381=Parametres!$G$3),K381,E381)</f>
        <v>992.04</v>
      </c>
      <c r="Q381" s="654" t="str">
        <f t="shared" si="188"/>
        <v>7-Dépenses</v>
      </c>
      <c r="R381" s="653" t="str">
        <f t="shared" si="189"/>
        <v>655</v>
      </c>
      <c r="S381" s="654" t="str">
        <f t="shared" si="190"/>
        <v>_</v>
      </c>
      <c r="T381" s="656" t="str">
        <f>+VLOOKUP($L381,Data_Validation!$A:$D,1,0)</f>
        <v>6557</v>
      </c>
      <c r="U381" s="656" t="str">
        <f>+VLOOKUP($L381,Data_Validation!$A:$D,3,0)</f>
        <v>Carrosserie</v>
      </c>
      <c r="V381" s="656" t="str">
        <f>+VLOOKUP($L381,Data_Validation!$A:$D,4,0)</f>
        <v>Frais bancaires</v>
      </c>
      <c r="W381" s="656" t="str">
        <f>+VLOOKUP($L381,Data_Validation!$A:$E,5,0)</f>
        <v>$</v>
      </c>
      <c r="X381" s="656">
        <f>+VLOOKUP($L381,Data_Validation!$A:$F,6,0)</f>
        <v>0</v>
      </c>
    </row>
    <row r="382" spans="1:24" ht="15" customHeight="1">
      <c r="A382" s="1255" t="s">
        <v>1209</v>
      </c>
      <c r="B382" s="1255" t="s">
        <v>2609</v>
      </c>
      <c r="C382" s="1257">
        <v>3816.39</v>
      </c>
      <c r="D382" s="1257">
        <v>730.06</v>
      </c>
      <c r="E382" s="1257">
        <v>4546.45</v>
      </c>
      <c r="F382" s="1255" t="s">
        <v>1154</v>
      </c>
      <c r="G382" s="1255" t="s">
        <v>1210</v>
      </c>
      <c r="H382" s="1255" t="s">
        <v>3950</v>
      </c>
      <c r="I382" s="1203"/>
      <c r="J382" s="1203"/>
      <c r="K382" s="1203"/>
      <c r="L382" s="653" t="str">
        <f t="shared" si="186"/>
        <v>6559</v>
      </c>
      <c r="M382" s="654" t="str">
        <f t="shared" si="187"/>
        <v>SERVICE EXTERIEUR</v>
      </c>
      <c r="N382" s="655">
        <f>+IF(OR($Q382=Parametres!$G$2,$Q382=Parametres!$G$3),I382,C382)</f>
        <v>3816.39</v>
      </c>
      <c r="O382" s="655">
        <f>+IF(OR($Q382=Parametres!$G$2,$Q382=Parametres!$G$3),J382,D382)</f>
        <v>730.06</v>
      </c>
      <c r="P382" s="655">
        <f>+IF(OR($Q382=Parametres!$G$2,$Q382=Parametres!$G$3),K382,E382)</f>
        <v>4546.45</v>
      </c>
      <c r="Q382" s="654" t="str">
        <f t="shared" si="188"/>
        <v>7-Dépenses</v>
      </c>
      <c r="R382" s="653" t="str">
        <f t="shared" si="189"/>
        <v>6159</v>
      </c>
      <c r="S382" s="654" t="str">
        <f t="shared" si="190"/>
        <v>_</v>
      </c>
      <c r="T382" s="656" t="str">
        <f>+VLOOKUP($L382,Data_Validation!$A:$D,1,0)</f>
        <v>6559</v>
      </c>
      <c r="U382" s="656" t="str">
        <f>+VLOOKUP($L382,Data_Validation!$A:$D,3,0)</f>
        <v>Carrosserie</v>
      </c>
      <c r="V382" s="656" t="str">
        <f>+VLOOKUP($L382,Data_Validation!$A:$D,4,0)</f>
        <v>Services extérieurs</v>
      </c>
      <c r="W382" s="656" t="str">
        <f>+VLOOKUP($L382,Data_Validation!$A:$E,5,0)</f>
        <v>$</v>
      </c>
      <c r="X382" s="656">
        <f>+VLOOKUP($L382,Data_Validation!$A:$F,6,0)</f>
        <v>0</v>
      </c>
    </row>
    <row r="383" spans="1:24" ht="15.75" customHeight="1">
      <c r="A383" s="1255" t="s">
        <v>1211</v>
      </c>
      <c r="B383" s="1255" t="s">
        <v>2611</v>
      </c>
      <c r="C383" s="1257">
        <v>11941.44</v>
      </c>
      <c r="D383" s="1257">
        <v>2985.36</v>
      </c>
      <c r="E383" s="1257">
        <v>14926.8</v>
      </c>
      <c r="F383" s="1255" t="s">
        <v>1154</v>
      </c>
      <c r="G383" s="1255" t="s">
        <v>1212</v>
      </c>
      <c r="H383" s="1255" t="s">
        <v>3950</v>
      </c>
      <c r="I383" s="1203"/>
      <c r="J383" s="1203"/>
      <c r="K383" s="1203"/>
      <c r="L383" s="653" t="str">
        <f t="shared" si="186"/>
        <v>6561</v>
      </c>
      <c r="M383" s="654" t="str">
        <f t="shared" si="187"/>
        <v>DEPRECIATION EQUIP. &amp; FIXTURES</v>
      </c>
      <c r="N383" s="655">
        <f>+IF(OR($Q383=Parametres!$G$2,$Q383=Parametres!$G$3),I383,C383)</f>
        <v>11941.44</v>
      </c>
      <c r="O383" s="655">
        <f>+IF(OR($Q383=Parametres!$G$2,$Q383=Parametres!$G$3),J383,D383)</f>
        <v>2985.36</v>
      </c>
      <c r="P383" s="655">
        <f>+IF(OR($Q383=Parametres!$G$2,$Q383=Parametres!$G$3),K383,E383)</f>
        <v>14926.8</v>
      </c>
      <c r="Q383" s="654" t="str">
        <f t="shared" si="188"/>
        <v>7-Dépenses</v>
      </c>
      <c r="R383" s="653" t="str">
        <f t="shared" si="189"/>
        <v>6161</v>
      </c>
      <c r="S383" s="654" t="str">
        <f t="shared" si="190"/>
        <v>_</v>
      </c>
      <c r="T383" s="656" t="str">
        <f>+VLOOKUP($L383,Data_Validation!$A:$D,1,0)</f>
        <v>6561</v>
      </c>
      <c r="U383" s="656" t="str">
        <f>+VLOOKUP($L383,Data_Validation!$A:$D,3,0)</f>
        <v>Carrosserie</v>
      </c>
      <c r="V383" s="656" t="str">
        <f>+VLOOKUP($L383,Data_Validation!$A:$D,4,0)</f>
        <v>Amortissement</v>
      </c>
      <c r="W383" s="656" t="str">
        <f>+VLOOKUP($L383,Data_Validation!$A:$E,5,0)</f>
        <v>$</v>
      </c>
      <c r="X383" s="656">
        <f>+VLOOKUP($L383,Data_Validation!$A:$F,6,0)</f>
        <v>0</v>
      </c>
    </row>
    <row r="384" spans="1:24" ht="15" customHeight="1">
      <c r="A384" s="1255" t="s">
        <v>1268</v>
      </c>
      <c r="B384" s="1255" t="s">
        <v>2620</v>
      </c>
      <c r="C384" s="1257">
        <v>2266.88</v>
      </c>
      <c r="D384" s="1257">
        <v>410.77</v>
      </c>
      <c r="E384" s="1257">
        <v>2677.65</v>
      </c>
      <c r="F384" s="1255" t="s">
        <v>1154</v>
      </c>
      <c r="G384" s="1255" t="s">
        <v>1214</v>
      </c>
      <c r="H384" s="1255" t="s">
        <v>3950</v>
      </c>
      <c r="I384" s="1203"/>
      <c r="J384" s="1203"/>
      <c r="K384" s="1203"/>
      <c r="L384" s="653" t="str">
        <f t="shared" si="186"/>
        <v>6581</v>
      </c>
      <c r="M384" s="654" t="str">
        <f t="shared" si="187"/>
        <v>CHAUFFAGE,ELECTRICITE,EAU-CARROS.</v>
      </c>
      <c r="N384" s="655">
        <f>+IF(OR($Q384=Parametres!$G$2,$Q384=Parametres!$G$3),I384,C384)</f>
        <v>2266.88</v>
      </c>
      <c r="O384" s="655">
        <f>+IF(OR($Q384=Parametres!$G$2,$Q384=Parametres!$G$3),J384,D384)</f>
        <v>410.77</v>
      </c>
      <c r="P384" s="655">
        <f>+IF(OR($Q384=Parametres!$G$2,$Q384=Parametres!$G$3),K384,E384)</f>
        <v>2677.65</v>
      </c>
      <c r="Q384" s="654" t="str">
        <f t="shared" si="188"/>
        <v>7-Dépenses</v>
      </c>
      <c r="R384" s="653" t="str">
        <f t="shared" si="189"/>
        <v>6181</v>
      </c>
      <c r="S384" s="654" t="str">
        <f t="shared" si="190"/>
        <v>_</v>
      </c>
      <c r="T384" s="656" t="str">
        <f>+VLOOKUP($L384,Data_Validation!$A:$D,1,0)</f>
        <v>6581</v>
      </c>
      <c r="U384" s="656" t="str">
        <f>+VLOOKUP($L384,Data_Validation!$A:$D,3,0)</f>
        <v>Carrosserie</v>
      </c>
      <c r="V384" s="656" t="str">
        <f>+VLOOKUP($L384,Data_Validation!$A:$D,4,0)</f>
        <v>Chauffage, éclairage</v>
      </c>
      <c r="W384" s="656" t="str">
        <f>+VLOOKUP($L384,Data_Validation!$A:$E,5,0)</f>
        <v>$</v>
      </c>
      <c r="X384" s="656">
        <f>+VLOOKUP($L384,Data_Validation!$A:$F,6,0)</f>
        <v>0</v>
      </c>
    </row>
    <row r="385" spans="1:24" ht="15" customHeight="1">
      <c r="A385" s="1255" t="s">
        <v>1269</v>
      </c>
      <c r="B385" s="1255" t="s">
        <v>2623</v>
      </c>
      <c r="C385" s="1257">
        <v>10080</v>
      </c>
      <c r="D385" s="1257">
        <v>2520</v>
      </c>
      <c r="E385" s="1257">
        <v>12600</v>
      </c>
      <c r="F385" s="1255" t="s">
        <v>1154</v>
      </c>
      <c r="G385" s="1255" t="s">
        <v>1216</v>
      </c>
      <c r="H385" s="1255" t="s">
        <v>3950</v>
      </c>
      <c r="I385" s="1203"/>
      <c r="J385" s="1203"/>
      <c r="K385" s="1203"/>
      <c r="L385" s="653" t="str">
        <f t="shared" si="186"/>
        <v>6582</v>
      </c>
      <c r="M385" s="654" t="str">
        <f t="shared" si="187"/>
        <v>LOYER - CARROSSERIE</v>
      </c>
      <c r="N385" s="655">
        <f>+IF(OR($Q385=Parametres!$G$2,$Q385=Parametres!$G$3),I385,C385)</f>
        <v>10080</v>
      </c>
      <c r="O385" s="655">
        <f>+IF(OR($Q385=Parametres!$G$2,$Q385=Parametres!$G$3),J385,D385)</f>
        <v>2520</v>
      </c>
      <c r="P385" s="655">
        <f>+IF(OR($Q385=Parametres!$G$2,$Q385=Parametres!$G$3),K385,E385)</f>
        <v>12600</v>
      </c>
      <c r="Q385" s="654" t="str">
        <f t="shared" si="188"/>
        <v>7-Dépenses</v>
      </c>
      <c r="R385" s="653" t="str">
        <f t="shared" si="189"/>
        <v>6182</v>
      </c>
      <c r="S385" s="654" t="str">
        <f t="shared" si="190"/>
        <v>_</v>
      </c>
      <c r="T385" s="656" t="str">
        <f>+VLOOKUP($L385,Data_Validation!$A:$D,1,0)</f>
        <v>6582</v>
      </c>
      <c r="U385" s="656" t="str">
        <f>+VLOOKUP($L385,Data_Validation!$A:$D,3,0)</f>
        <v>Carrosserie</v>
      </c>
      <c r="V385" s="656" t="str">
        <f>+VLOOKUP($L385,Data_Validation!$A:$D,4,0)</f>
        <v>Loyer</v>
      </c>
      <c r="W385" s="656" t="str">
        <f>+VLOOKUP($L385,Data_Validation!$A:$E,5,0)</f>
        <v>$</v>
      </c>
      <c r="X385" s="656">
        <f>+VLOOKUP($L385,Data_Validation!$A:$F,6,0)</f>
        <v>0</v>
      </c>
    </row>
    <row r="386" spans="1:24" ht="15" customHeight="1">
      <c r="A386" s="1255" t="s">
        <v>1270</v>
      </c>
      <c r="B386" s="1255" t="s">
        <v>2625</v>
      </c>
      <c r="C386" s="1257">
        <v>1216.4000000000001</v>
      </c>
      <c r="D386" s="1257">
        <v>304.10000000000002</v>
      </c>
      <c r="E386" s="1257">
        <v>1520.5</v>
      </c>
      <c r="F386" s="1255" t="s">
        <v>1154</v>
      </c>
      <c r="G386" s="1255" t="s">
        <v>1218</v>
      </c>
      <c r="H386" s="1255" t="s">
        <v>3950</v>
      </c>
      <c r="I386" s="1203"/>
      <c r="J386" s="1203"/>
      <c r="K386" s="1203"/>
      <c r="L386" s="653" t="str">
        <f t="shared" si="186"/>
        <v>6586</v>
      </c>
      <c r="M386" s="654" t="str">
        <f t="shared" si="187"/>
        <v>ASSURANCE BATISSE &amp; AMEL.-CARROS.</v>
      </c>
      <c r="N386" s="655">
        <f>+IF(OR($Q386=Parametres!$G$2,$Q386=Parametres!$G$3),I386,C386)</f>
        <v>1216.4000000000001</v>
      </c>
      <c r="O386" s="655">
        <f>+IF(OR($Q386=Parametres!$G$2,$Q386=Parametres!$G$3),J386,D386)</f>
        <v>304.10000000000002</v>
      </c>
      <c r="P386" s="655">
        <f>+IF(OR($Q386=Parametres!$G$2,$Q386=Parametres!$G$3),K386,E386)</f>
        <v>1520.5</v>
      </c>
      <c r="Q386" s="654" t="str">
        <f t="shared" si="188"/>
        <v>7-Dépenses</v>
      </c>
      <c r="R386" s="653" t="str">
        <f t="shared" si="189"/>
        <v>6186</v>
      </c>
      <c r="S386" s="654" t="str">
        <f t="shared" si="190"/>
        <v>_</v>
      </c>
      <c r="T386" s="656" t="str">
        <f>+VLOOKUP($L386,Data_Validation!$A:$D,1,0)</f>
        <v>6586</v>
      </c>
      <c r="U386" s="656" t="str">
        <f>+VLOOKUP($L386,Data_Validation!$A:$D,3,0)</f>
        <v>Carrosserie</v>
      </c>
      <c r="V386" s="656" t="str">
        <f>+VLOOKUP($L386,Data_Validation!$A:$D,4,0)</f>
        <v>Assurances</v>
      </c>
      <c r="W386" s="656" t="str">
        <f>+VLOOKUP($L386,Data_Validation!$A:$E,5,0)</f>
        <v>$</v>
      </c>
      <c r="X386" s="656">
        <f>+VLOOKUP($L386,Data_Validation!$A:$F,6,0)</f>
        <v>0</v>
      </c>
    </row>
    <row r="387" spans="1:24" ht="15.75" customHeight="1">
      <c r="A387" s="1255" t="s">
        <v>1271</v>
      </c>
      <c r="B387" s="1255" t="s">
        <v>2627</v>
      </c>
      <c r="C387" s="1257">
        <v>1518.44</v>
      </c>
      <c r="D387" s="1257">
        <v>379.61</v>
      </c>
      <c r="E387" s="1257">
        <v>1898.05</v>
      </c>
      <c r="F387" s="1255" t="s">
        <v>1154</v>
      </c>
      <c r="G387" s="1255" t="s">
        <v>1220</v>
      </c>
      <c r="H387" s="1255" t="s">
        <v>3950</v>
      </c>
      <c r="I387" s="1203"/>
      <c r="J387" s="1203"/>
      <c r="K387" s="1203"/>
      <c r="L387" s="653" t="str">
        <f t="shared" si="186"/>
        <v>6587</v>
      </c>
      <c r="M387" s="654" t="str">
        <f t="shared" si="187"/>
        <v>TAXES FONCIERES - CAROSSERIE</v>
      </c>
      <c r="N387" s="655">
        <f>+IF(OR($Q387=Parametres!$G$2,$Q387=Parametres!$G$3),I387,C387)</f>
        <v>1518.44</v>
      </c>
      <c r="O387" s="655">
        <f>+IF(OR($Q387=Parametres!$G$2,$Q387=Parametres!$G$3),J387,D387)</f>
        <v>379.61</v>
      </c>
      <c r="P387" s="655">
        <f>+IF(OR($Q387=Parametres!$G$2,$Q387=Parametres!$G$3),K387,E387)</f>
        <v>1898.05</v>
      </c>
      <c r="Q387" s="654" t="str">
        <f t="shared" si="188"/>
        <v>7-Dépenses</v>
      </c>
      <c r="R387" s="653" t="str">
        <f t="shared" si="189"/>
        <v>6187</v>
      </c>
      <c r="S387" s="654" t="str">
        <f t="shared" si="190"/>
        <v>_</v>
      </c>
      <c r="T387" s="656" t="str">
        <f>+VLOOKUP($L387,Data_Validation!$A:$D,1,0)</f>
        <v>6587</v>
      </c>
      <c r="U387" s="656" t="str">
        <f>+VLOOKUP($L387,Data_Validation!$A:$D,3,0)</f>
        <v>Carrosserie</v>
      </c>
      <c r="V387" s="656" t="str">
        <f>+VLOOKUP($L387,Data_Validation!$A:$D,4,0)</f>
        <v>Taxes foncières</v>
      </c>
      <c r="W387" s="656" t="str">
        <f>+VLOOKUP($L387,Data_Validation!$A:$E,5,0)</f>
        <v>$</v>
      </c>
      <c r="X387" s="656">
        <f>+VLOOKUP($L387,Data_Validation!$A:$F,6,0)</f>
        <v>0</v>
      </c>
    </row>
    <row r="388" spans="1:24" ht="15.75" customHeight="1">
      <c r="A388" s="1255" t="s">
        <v>1272</v>
      </c>
      <c r="B388" s="1255" t="s">
        <v>2630</v>
      </c>
      <c r="C388" s="1257">
        <v>1192.52</v>
      </c>
      <c r="D388" s="1257">
        <v>252.63</v>
      </c>
      <c r="E388" s="1257">
        <v>1445.15</v>
      </c>
      <c r="F388" s="1255" t="s">
        <v>1154</v>
      </c>
      <c r="G388" s="1255" t="s">
        <v>1222</v>
      </c>
      <c r="H388" s="1255" t="s">
        <v>3950</v>
      </c>
      <c r="I388" s="1203"/>
      <c r="J388" s="1203"/>
      <c r="K388" s="1203"/>
      <c r="L388" s="653" t="str">
        <f t="shared" si="186"/>
        <v>6593</v>
      </c>
      <c r="M388" s="654" t="str">
        <f t="shared" si="187"/>
        <v>AUTRES TAXES -CARROSSERIE</v>
      </c>
      <c r="N388" s="655">
        <f>+IF(OR($Q388=Parametres!$G$2,$Q388=Parametres!$G$3),I388,C388)</f>
        <v>1192.52</v>
      </c>
      <c r="O388" s="655">
        <f>+IF(OR($Q388=Parametres!$G$2,$Q388=Parametres!$G$3),J388,D388)</f>
        <v>252.63</v>
      </c>
      <c r="P388" s="655">
        <f>+IF(OR($Q388=Parametres!$G$2,$Q388=Parametres!$G$3),K388,E388)</f>
        <v>1445.15</v>
      </c>
      <c r="Q388" s="654" t="str">
        <f t="shared" si="188"/>
        <v>7-Dépenses</v>
      </c>
      <c r="R388" s="653" t="str">
        <f t="shared" si="189"/>
        <v>6193</v>
      </c>
      <c r="S388" s="654" t="str">
        <f t="shared" si="190"/>
        <v>_</v>
      </c>
      <c r="T388" s="656" t="str">
        <f>+VLOOKUP($L388,Data_Validation!$A:$D,1,0)</f>
        <v>6593</v>
      </c>
      <c r="U388" s="656" t="str">
        <f>+VLOOKUP($L388,Data_Validation!$A:$D,3,0)</f>
        <v>Carrosserie</v>
      </c>
      <c r="V388" s="656" t="str">
        <f>+VLOOKUP($L388,Data_Validation!$A:$D,4,0)</f>
        <v>Taxes d`affaires</v>
      </c>
      <c r="W388" s="656" t="str">
        <f>+VLOOKUP($L388,Data_Validation!$A:$E,5,0)</f>
        <v>$</v>
      </c>
      <c r="X388" s="656">
        <f>+VLOOKUP($L388,Data_Validation!$A:$F,6,0)</f>
        <v>0</v>
      </c>
    </row>
    <row r="389" spans="1:24" ht="15.75" customHeight="1">
      <c r="A389" s="1255" t="s">
        <v>1273</v>
      </c>
      <c r="B389" s="1255" t="s">
        <v>2632</v>
      </c>
      <c r="C389" s="1257">
        <v>1897.77</v>
      </c>
      <c r="D389" s="1257">
        <v>449.63</v>
      </c>
      <c r="E389" s="1257">
        <v>2347.4</v>
      </c>
      <c r="F389" s="1255" t="s">
        <v>1154</v>
      </c>
      <c r="G389" s="1255" t="s">
        <v>1224</v>
      </c>
      <c r="H389" s="1255" t="s">
        <v>3950</v>
      </c>
      <c r="I389" s="1203"/>
      <c r="J389" s="1203"/>
      <c r="K389" s="1203"/>
      <c r="L389" s="653" t="str">
        <f t="shared" ref="L389:L399" si="191">TEXT(B389,0)</f>
        <v>6594</v>
      </c>
      <c r="M389" s="654" t="str">
        <f t="shared" ref="M389:M399" si="192">+A389</f>
        <v>FRAIS PROFESSIONNEL-CARROS.</v>
      </c>
      <c r="N389" s="655">
        <f>+IF(OR($Q389=Parametres!$G$2,$Q389=Parametres!$G$3),I389,C389)</f>
        <v>1897.77</v>
      </c>
      <c r="O389" s="655">
        <f>+IF(OR($Q389=Parametres!$G$2,$Q389=Parametres!$G$3),J389,D389)</f>
        <v>449.63</v>
      </c>
      <c r="P389" s="655">
        <f>+IF(OR($Q389=Parametres!$G$2,$Q389=Parametres!$G$3),K389,E389)</f>
        <v>2347.4</v>
      </c>
      <c r="Q389" s="654" t="str">
        <f t="shared" ref="Q389:Q399" si="193">+F389</f>
        <v>7-Dépenses</v>
      </c>
      <c r="R389" s="653" t="str">
        <f t="shared" ref="R389:R399" si="194">+G389</f>
        <v>6194</v>
      </c>
      <c r="S389" s="654" t="str">
        <f t="shared" ref="S389:S399" si="195">+H389</f>
        <v>_</v>
      </c>
      <c r="T389" s="656" t="str">
        <f>+VLOOKUP($L389,Data_Validation!$A:$D,1,0)</f>
        <v>6594</v>
      </c>
      <c r="U389" s="656" t="str">
        <f>+VLOOKUP($L389,Data_Validation!$A:$D,3,0)</f>
        <v>Carrosserie</v>
      </c>
      <c r="V389" s="656" t="str">
        <f>+VLOOKUP($L389,Data_Validation!$A:$D,4,0)</f>
        <v>Honoraires</v>
      </c>
      <c r="W389" s="656" t="str">
        <f>+VLOOKUP($L389,Data_Validation!$A:$E,5,0)</f>
        <v>$</v>
      </c>
      <c r="X389" s="656">
        <f>+VLOOKUP($L389,Data_Validation!$A:$F,6,0)</f>
        <v>0</v>
      </c>
    </row>
    <row r="390" spans="1:24" ht="15.75" customHeight="1">
      <c r="A390" s="1255" t="s">
        <v>1158</v>
      </c>
      <c r="B390" s="1255" t="s">
        <v>2647</v>
      </c>
      <c r="C390" s="1257">
        <v>7259.53</v>
      </c>
      <c r="D390" s="1257">
        <v>522.87</v>
      </c>
      <c r="E390" s="1257">
        <v>7782.4</v>
      </c>
      <c r="F390" s="1255" t="s">
        <v>1154</v>
      </c>
      <c r="G390" s="1255" t="s">
        <v>1242</v>
      </c>
      <c r="H390" s="1255" t="s">
        <v>3950</v>
      </c>
      <c r="I390" s="1203"/>
      <c r="J390" s="1203"/>
      <c r="K390" s="1203"/>
      <c r="L390" s="653" t="str">
        <f t="shared" si="191"/>
        <v>6703</v>
      </c>
      <c r="M390" s="654" t="str">
        <f t="shared" si="192"/>
        <v>RELAT. A LA CLIENTELE &amp; AJUST.</v>
      </c>
      <c r="N390" s="655">
        <f>+IF(OR($Q390=Parametres!$G$2,$Q390=Parametres!$G$3),I390,C390)</f>
        <v>7259.53</v>
      </c>
      <c r="O390" s="655">
        <f>+IF(OR($Q390=Parametres!$G$2,$Q390=Parametres!$G$3),J390,D390)</f>
        <v>522.87</v>
      </c>
      <c r="P390" s="655">
        <f>+IF(OR($Q390=Parametres!$G$2,$Q390=Parametres!$G$3),K390,E390)</f>
        <v>7782.4</v>
      </c>
      <c r="Q390" s="654" t="str">
        <f t="shared" si="193"/>
        <v>7-Dépenses</v>
      </c>
      <c r="R390" s="653" t="str">
        <f t="shared" si="194"/>
        <v>6112</v>
      </c>
      <c r="S390" s="654" t="str">
        <f t="shared" si="195"/>
        <v>_</v>
      </c>
      <c r="T390" s="656" t="str">
        <f>+VLOOKUP($L390,Data_Validation!$A:$D,1,0)</f>
        <v>6703</v>
      </c>
      <c r="U390" s="656" t="str">
        <f>+VLOOKUP($L390,Data_Validation!$A:$D,3,0)</f>
        <v>Pièces</v>
      </c>
      <c r="V390" s="656" t="str">
        <f>+VLOOKUP($L390,Data_Validation!$A:$D,4,0)</f>
        <v>Service gratuit 2</v>
      </c>
      <c r="W390" s="656" t="str">
        <f>+VLOOKUP($L390,Data_Validation!$A:$E,5,0)</f>
        <v>$</v>
      </c>
      <c r="X390" s="656">
        <f>+VLOOKUP($L390,Data_Validation!$A:$F,6,0)</f>
        <v>0</v>
      </c>
    </row>
    <row r="391" spans="1:24" ht="15.75" customHeight="1">
      <c r="A391" s="1255" t="s">
        <v>1166</v>
      </c>
      <c r="B391" s="1255" t="s">
        <v>2653</v>
      </c>
      <c r="C391" s="1257">
        <v>27993.360000000001</v>
      </c>
      <c r="D391" s="1257">
        <v>7263.68</v>
      </c>
      <c r="E391" s="1257">
        <v>35257.040000000001</v>
      </c>
      <c r="F391" s="1255" t="s">
        <v>1154</v>
      </c>
      <c r="G391" s="1255" t="s">
        <v>1167</v>
      </c>
      <c r="H391" s="1255" t="s">
        <v>3950</v>
      </c>
      <c r="I391" s="1203"/>
      <c r="J391" s="1203"/>
      <c r="K391" s="1203"/>
      <c r="L391" s="653" t="str">
        <f t="shared" si="191"/>
        <v>6714</v>
      </c>
      <c r="M391" s="654" t="str">
        <f t="shared" si="192"/>
        <v>PUBLICITE</v>
      </c>
      <c r="N391" s="655">
        <f>+IF(OR($Q391=Parametres!$G$2,$Q391=Parametres!$G$3),I391,C391)</f>
        <v>27993.360000000001</v>
      </c>
      <c r="O391" s="655">
        <f>+IF(OR($Q391=Parametres!$G$2,$Q391=Parametres!$G$3),J391,D391)</f>
        <v>7263.68</v>
      </c>
      <c r="P391" s="655">
        <f>+IF(OR($Q391=Parametres!$G$2,$Q391=Parametres!$G$3),K391,E391)</f>
        <v>35257.040000000001</v>
      </c>
      <c r="Q391" s="654" t="str">
        <f t="shared" si="193"/>
        <v>7-Dépenses</v>
      </c>
      <c r="R391" s="653" t="str">
        <f t="shared" si="194"/>
        <v>6114</v>
      </c>
      <c r="S391" s="654" t="str">
        <f t="shared" si="195"/>
        <v>_</v>
      </c>
      <c r="T391" s="656" t="str">
        <f>+VLOOKUP($L391,Data_Validation!$A:$D,1,0)</f>
        <v>6714</v>
      </c>
      <c r="U391" s="656" t="str">
        <f>+VLOOKUP($L391,Data_Validation!$A:$D,3,0)</f>
        <v>Pièces</v>
      </c>
      <c r="V391" s="656" t="str">
        <f>+VLOOKUP($L391,Data_Validation!$A:$D,4,0)</f>
        <v>Publicité 2</v>
      </c>
      <c r="W391" s="656" t="str">
        <f>+VLOOKUP($L391,Data_Validation!$A:$E,5,0)</f>
        <v>$</v>
      </c>
      <c r="X391" s="656">
        <f>+VLOOKUP($L391,Data_Validation!$A:$F,6,0)</f>
        <v>0</v>
      </c>
    </row>
    <row r="392" spans="1:24" ht="15.75" customHeight="1">
      <c r="A392" s="1255" t="s">
        <v>1274</v>
      </c>
      <c r="B392" s="1255" t="s">
        <v>2656</v>
      </c>
      <c r="C392" s="1257">
        <v>11236.92</v>
      </c>
      <c r="D392" s="1257">
        <v>3685.15</v>
      </c>
      <c r="E392" s="1257">
        <v>14922.07</v>
      </c>
      <c r="F392" s="1255" t="s">
        <v>1154</v>
      </c>
      <c r="G392" s="1255" t="s">
        <v>1170</v>
      </c>
      <c r="H392" s="1255" t="s">
        <v>3950</v>
      </c>
      <c r="I392" s="1203"/>
      <c r="J392" s="1203"/>
      <c r="K392" s="1203"/>
      <c r="L392" s="653" t="str">
        <f t="shared" si="191"/>
        <v>6721</v>
      </c>
      <c r="M392" s="654" t="str">
        <f t="shared" si="192"/>
        <v>SALAIRES - PROPRIEATIRES</v>
      </c>
      <c r="N392" s="655">
        <f>+IF(OR($Q392=Parametres!$G$2,$Q392=Parametres!$G$3),I392,C392)</f>
        <v>11236.92</v>
      </c>
      <c r="O392" s="655">
        <f>+IF(OR($Q392=Parametres!$G$2,$Q392=Parametres!$G$3),J392,D392)</f>
        <v>3685.15</v>
      </c>
      <c r="P392" s="655">
        <f>+IF(OR($Q392=Parametres!$G$2,$Q392=Parametres!$G$3),K392,E392)</f>
        <v>14922.07</v>
      </c>
      <c r="Q392" s="654" t="str">
        <f t="shared" si="193"/>
        <v>7-Dépenses</v>
      </c>
      <c r="R392" s="653" t="str">
        <f t="shared" si="194"/>
        <v>6121</v>
      </c>
      <c r="S392" s="654" t="str">
        <f t="shared" si="195"/>
        <v>_</v>
      </c>
      <c r="T392" s="656" t="str">
        <f>+VLOOKUP($L392,Data_Validation!$A:$D,1,0)</f>
        <v>6721</v>
      </c>
      <c r="U392" s="656" t="str">
        <f>+VLOOKUP($L392,Data_Validation!$A:$D,3,0)</f>
        <v>Pièces</v>
      </c>
      <c r="V392" s="656" t="str">
        <f>+VLOOKUP($L392,Data_Validation!$A:$D,4,0)</f>
        <v>Salaires propriétaire</v>
      </c>
      <c r="W392" s="656" t="str">
        <f>+VLOOKUP($L392,Data_Validation!$A:$E,5,0)</f>
        <v>$</v>
      </c>
      <c r="X392" s="656">
        <f>+VLOOKUP($L392,Data_Validation!$A:$F,6,0)</f>
        <v>0</v>
      </c>
    </row>
    <row r="393" spans="1:24" ht="15.75" customHeight="1">
      <c r="A393" s="1255" t="s">
        <v>1171</v>
      </c>
      <c r="B393" s="1255" t="s">
        <v>2659</v>
      </c>
      <c r="C393" s="1257">
        <v>36652.07</v>
      </c>
      <c r="D393" s="1257">
        <v>6651.89</v>
      </c>
      <c r="E393" s="1257">
        <v>43303.96</v>
      </c>
      <c r="F393" s="1255" t="s">
        <v>1154</v>
      </c>
      <c r="G393" s="1255" t="s">
        <v>1172</v>
      </c>
      <c r="H393" s="1255" t="s">
        <v>3950</v>
      </c>
      <c r="I393" s="1203"/>
      <c r="J393" s="1203"/>
      <c r="K393" s="1203"/>
      <c r="L393" s="653" t="str">
        <f t="shared" si="191"/>
        <v>6722</v>
      </c>
      <c r="M393" s="654" t="str">
        <f t="shared" si="192"/>
        <v>SAL SUPERVISION / GERANT</v>
      </c>
      <c r="N393" s="655">
        <f>+IF(OR($Q393=Parametres!$G$2,$Q393=Parametres!$G$3),I393,C393)</f>
        <v>36652.07</v>
      </c>
      <c r="O393" s="655">
        <f>+IF(OR($Q393=Parametres!$G$2,$Q393=Parametres!$G$3),J393,D393)</f>
        <v>6651.89</v>
      </c>
      <c r="P393" s="655">
        <f>+IF(OR($Q393=Parametres!$G$2,$Q393=Parametres!$G$3),K393,E393)</f>
        <v>43303.96</v>
      </c>
      <c r="Q393" s="654" t="str">
        <f t="shared" si="193"/>
        <v>7-Dépenses</v>
      </c>
      <c r="R393" s="653" t="str">
        <f t="shared" si="194"/>
        <v>6122</v>
      </c>
      <c r="S393" s="654" t="str">
        <f t="shared" si="195"/>
        <v>_</v>
      </c>
      <c r="T393" s="656" t="str">
        <f>+VLOOKUP($L393,Data_Validation!$A:$D,1,0)</f>
        <v>6722</v>
      </c>
      <c r="U393" s="656" t="str">
        <f>+VLOOKUP($L393,Data_Validation!$A:$D,3,0)</f>
        <v>Pièces</v>
      </c>
      <c r="V393" s="656" t="str">
        <f>+VLOOKUP($L393,Data_Validation!$A:$D,4,0)</f>
        <v>Salaires cadres</v>
      </c>
      <c r="W393" s="656" t="str">
        <f>+VLOOKUP($L393,Data_Validation!$A:$E,5,0)</f>
        <v>$</v>
      </c>
      <c r="X393" s="656">
        <f>+VLOOKUP($L393,Data_Validation!$A:$F,6,0)</f>
        <v>0</v>
      </c>
    </row>
    <row r="394" spans="1:24" ht="15.75" customHeight="1">
      <c r="A394" s="1255" t="s">
        <v>1173</v>
      </c>
      <c r="B394" s="1255" t="s">
        <v>2662</v>
      </c>
      <c r="C394" s="1257">
        <v>103266.74</v>
      </c>
      <c r="D394" s="1257">
        <v>30722.14</v>
      </c>
      <c r="E394" s="1257">
        <v>133988.88</v>
      </c>
      <c r="F394" s="1255" t="s">
        <v>1154</v>
      </c>
      <c r="G394" s="1255" t="s">
        <v>1174</v>
      </c>
      <c r="H394" s="1255" t="s">
        <v>3950</v>
      </c>
      <c r="I394" s="1203"/>
      <c r="J394" s="1203"/>
      <c r="K394" s="1203"/>
      <c r="L394" s="653" t="str">
        <f t="shared" si="191"/>
        <v>6723</v>
      </c>
      <c r="M394" s="654" t="str">
        <f t="shared" si="192"/>
        <v>SAL. &amp; RENUM. - CLERICAL</v>
      </c>
      <c r="N394" s="655">
        <f>+IF(OR($Q394=Parametres!$G$2,$Q394=Parametres!$G$3),I394,C394)</f>
        <v>103266.74</v>
      </c>
      <c r="O394" s="655">
        <f>+IF(OR($Q394=Parametres!$G$2,$Q394=Parametres!$G$3),J394,D394)</f>
        <v>30722.14</v>
      </c>
      <c r="P394" s="655">
        <f>+IF(OR($Q394=Parametres!$G$2,$Q394=Parametres!$G$3),K394,E394)</f>
        <v>133988.88</v>
      </c>
      <c r="Q394" s="654" t="str">
        <f t="shared" si="193"/>
        <v>7-Dépenses</v>
      </c>
      <c r="R394" s="653" t="str">
        <f t="shared" si="194"/>
        <v>6123</v>
      </c>
      <c r="S394" s="654" t="str">
        <f t="shared" si="195"/>
        <v>_</v>
      </c>
      <c r="T394" s="656" t="str">
        <f>+VLOOKUP($L394,Data_Validation!$A:$D,1,0)</f>
        <v>6723</v>
      </c>
      <c r="U394" s="656" t="str">
        <f>+VLOOKUP($L394,Data_Validation!$A:$D,3,0)</f>
        <v>Pièces</v>
      </c>
      <c r="V394" s="656" t="str">
        <f>+VLOOKUP($L394,Data_Validation!$A:$D,4,0)</f>
        <v>Salaires commis</v>
      </c>
      <c r="W394" s="656" t="str">
        <f>+VLOOKUP($L394,Data_Validation!$A:$E,5,0)</f>
        <v>$</v>
      </c>
      <c r="X394" s="656">
        <f>+VLOOKUP($L394,Data_Validation!$A:$F,6,0)</f>
        <v>0</v>
      </c>
    </row>
    <row r="395" spans="1:24" ht="15.75" customHeight="1">
      <c r="A395" s="1255" t="s">
        <v>1175</v>
      </c>
      <c r="B395" s="1255" t="s">
        <v>2665</v>
      </c>
      <c r="C395" s="1257">
        <v>455.68</v>
      </c>
      <c r="D395" s="1257">
        <v>113.92</v>
      </c>
      <c r="E395" s="1257">
        <v>569.6</v>
      </c>
      <c r="F395" s="1255" t="s">
        <v>1154</v>
      </c>
      <c r="G395" s="1255" t="s">
        <v>1176</v>
      </c>
      <c r="H395" s="1255" t="s">
        <v>3950</v>
      </c>
      <c r="I395" s="1203"/>
      <c r="J395" s="1203"/>
      <c r="K395" s="1203"/>
      <c r="L395" s="653" t="str">
        <f t="shared" si="191"/>
        <v>6724</v>
      </c>
      <c r="M395" s="654" t="str">
        <f t="shared" si="192"/>
        <v>SALAIRES &amp; RENUM. - AUTRES</v>
      </c>
      <c r="N395" s="655">
        <f>+IF(OR($Q395=Parametres!$G$2,$Q395=Parametres!$G$3),I395,C395)</f>
        <v>455.68</v>
      </c>
      <c r="O395" s="655">
        <f>+IF(OR($Q395=Parametres!$G$2,$Q395=Parametres!$G$3),J395,D395)</f>
        <v>113.92</v>
      </c>
      <c r="P395" s="655">
        <f>+IF(OR($Q395=Parametres!$G$2,$Q395=Parametres!$G$3),K395,E395)</f>
        <v>569.6</v>
      </c>
      <c r="Q395" s="654" t="str">
        <f t="shared" si="193"/>
        <v>7-Dépenses</v>
      </c>
      <c r="R395" s="653" t="str">
        <f t="shared" si="194"/>
        <v>6124</v>
      </c>
      <c r="S395" s="654" t="str">
        <f t="shared" si="195"/>
        <v>_</v>
      </c>
      <c r="T395" s="656" t="str">
        <f>+VLOOKUP($L395,Data_Validation!$A:$D,1,0)</f>
        <v>6724</v>
      </c>
      <c r="U395" s="656" t="str">
        <f>+VLOOKUP($L395,Data_Validation!$A:$D,3,0)</f>
        <v>Pièces</v>
      </c>
      <c r="V395" s="656" t="str">
        <f>+VLOOKUP($L395,Data_Validation!$A:$D,4,0)</f>
        <v>Salaires autres</v>
      </c>
      <c r="W395" s="656" t="str">
        <f>+VLOOKUP($L395,Data_Validation!$A:$E,5,0)</f>
        <v>$</v>
      </c>
      <c r="X395" s="656">
        <f>+VLOOKUP($L395,Data_Validation!$A:$F,6,0)</f>
        <v>0</v>
      </c>
    </row>
    <row r="396" spans="1:24" ht="15.75" customHeight="1">
      <c r="A396" s="1255" t="s">
        <v>1275</v>
      </c>
      <c r="B396" s="1255" t="s">
        <v>2668</v>
      </c>
      <c r="C396" s="1257">
        <v>16574.98</v>
      </c>
      <c r="D396" s="1257">
        <v>4518.67</v>
      </c>
      <c r="E396" s="1257">
        <v>21093.65</v>
      </c>
      <c r="F396" s="1255" t="s">
        <v>1154</v>
      </c>
      <c r="G396" s="1255" t="s">
        <v>1178</v>
      </c>
      <c r="H396" s="1255" t="s">
        <v>3950</v>
      </c>
      <c r="I396" s="1203"/>
      <c r="J396" s="1203"/>
      <c r="K396" s="1203"/>
      <c r="L396" s="653" t="str">
        <f t="shared" si="191"/>
        <v>6729</v>
      </c>
      <c r="M396" s="654" t="str">
        <f t="shared" si="192"/>
        <v>ABSENCES, VACANCES, ETC</v>
      </c>
      <c r="N396" s="655">
        <f>+IF(OR($Q396=Parametres!$G$2,$Q396=Parametres!$G$3),I396,C396)</f>
        <v>16574.98</v>
      </c>
      <c r="O396" s="655">
        <f>+IF(OR($Q396=Parametres!$G$2,$Q396=Parametres!$G$3),J396,D396)</f>
        <v>4518.67</v>
      </c>
      <c r="P396" s="655">
        <f>+IF(OR($Q396=Parametres!$G$2,$Q396=Parametres!$G$3),K396,E396)</f>
        <v>21093.65</v>
      </c>
      <c r="Q396" s="654" t="str">
        <f t="shared" si="193"/>
        <v>7-Dépenses</v>
      </c>
      <c r="R396" s="653" t="str">
        <f t="shared" si="194"/>
        <v>6129</v>
      </c>
      <c r="S396" s="654" t="str">
        <f t="shared" si="195"/>
        <v>_</v>
      </c>
      <c r="T396" s="656" t="str">
        <f>+VLOOKUP($L396,Data_Validation!$A:$D,1,0)</f>
        <v>6729</v>
      </c>
      <c r="U396" s="656" t="str">
        <f>+VLOOKUP($L396,Data_Validation!$A:$D,3,0)</f>
        <v>Pièces</v>
      </c>
      <c r="V396" s="656" t="str">
        <f>+VLOOKUP($L396,Data_Validation!$A:$D,4,0)</f>
        <v>Salaires en absences</v>
      </c>
      <c r="W396" s="656" t="str">
        <f>+VLOOKUP($L396,Data_Validation!$A:$E,5,0)</f>
        <v>$</v>
      </c>
      <c r="X396" s="656">
        <f>+VLOOKUP($L396,Data_Validation!$A:$F,6,0)</f>
        <v>0</v>
      </c>
    </row>
    <row r="397" spans="1:24" ht="15.75" customHeight="1">
      <c r="A397" s="1255" t="s">
        <v>1179</v>
      </c>
      <c r="B397" s="1255" t="s">
        <v>2671</v>
      </c>
      <c r="C397" s="1257">
        <v>5537.73</v>
      </c>
      <c r="D397" s="1257">
        <v>1138</v>
      </c>
      <c r="E397" s="1257">
        <v>6675.73</v>
      </c>
      <c r="F397" s="1255" t="s">
        <v>1154</v>
      </c>
      <c r="G397" s="1255" t="s">
        <v>1180</v>
      </c>
      <c r="H397" s="1255" t="s">
        <v>3950</v>
      </c>
      <c r="I397" s="1203"/>
      <c r="J397" s="1203"/>
      <c r="K397" s="1203"/>
      <c r="L397" s="653" t="str">
        <f t="shared" si="191"/>
        <v>6731</v>
      </c>
      <c r="M397" s="654" t="str">
        <f t="shared" si="192"/>
        <v>CSST</v>
      </c>
      <c r="N397" s="655">
        <f>+IF(OR($Q397=Parametres!$G$2,$Q397=Parametres!$G$3),I397,C397)</f>
        <v>5537.73</v>
      </c>
      <c r="O397" s="655">
        <f>+IF(OR($Q397=Parametres!$G$2,$Q397=Parametres!$G$3),J397,D397)</f>
        <v>1138</v>
      </c>
      <c r="P397" s="655">
        <f>+IF(OR($Q397=Parametres!$G$2,$Q397=Parametres!$G$3),K397,E397)</f>
        <v>6675.73</v>
      </c>
      <c r="Q397" s="654" t="str">
        <f t="shared" si="193"/>
        <v>7-Dépenses</v>
      </c>
      <c r="R397" s="653" t="str">
        <f t="shared" si="194"/>
        <v>6131</v>
      </c>
      <c r="S397" s="654" t="str">
        <f t="shared" si="195"/>
        <v>_</v>
      </c>
      <c r="T397" s="656" t="str">
        <f>+VLOOKUP($L397,Data_Validation!$A:$D,1,0)</f>
        <v>6731</v>
      </c>
      <c r="U397" s="656" t="str">
        <f>+VLOOKUP($L397,Data_Validation!$A:$D,3,0)</f>
        <v>Pièces</v>
      </c>
      <c r="V397" s="656" t="str">
        <f>+VLOOKUP($L397,Data_Validation!$A:$D,4,0)</f>
        <v>Csst</v>
      </c>
      <c r="W397" s="656" t="str">
        <f>+VLOOKUP($L397,Data_Validation!$A:$E,5,0)</f>
        <v>$</v>
      </c>
      <c r="X397" s="656">
        <f>+VLOOKUP($L397,Data_Validation!$A:$F,6,0)</f>
        <v>0</v>
      </c>
    </row>
    <row r="398" spans="1:24" ht="15.75" customHeight="1">
      <c r="A398" s="1255" t="s">
        <v>1181</v>
      </c>
      <c r="B398" s="1255" t="s">
        <v>2674</v>
      </c>
      <c r="C398" s="1257">
        <v>24031.77</v>
      </c>
      <c r="D398" s="1257">
        <v>5244.7</v>
      </c>
      <c r="E398" s="1257">
        <v>29276.47</v>
      </c>
      <c r="F398" s="1255" t="s">
        <v>1154</v>
      </c>
      <c r="G398" s="1255" t="s">
        <v>1182</v>
      </c>
      <c r="H398" s="1255" t="s">
        <v>3950</v>
      </c>
      <c r="I398" s="1203"/>
      <c r="J398" s="1203"/>
      <c r="K398" s="1203"/>
      <c r="L398" s="653" t="str">
        <f t="shared" si="191"/>
        <v>6732</v>
      </c>
      <c r="M398" s="654" t="str">
        <f t="shared" si="192"/>
        <v>RRQ RAMQ AC</v>
      </c>
      <c r="N398" s="655">
        <f>+IF(OR($Q398=Parametres!$G$2,$Q398=Parametres!$G$3),I398,C398)</f>
        <v>24031.77</v>
      </c>
      <c r="O398" s="655">
        <f>+IF(OR($Q398=Parametres!$G$2,$Q398=Parametres!$G$3),J398,D398)</f>
        <v>5244.7</v>
      </c>
      <c r="P398" s="655">
        <f>+IF(OR($Q398=Parametres!$G$2,$Q398=Parametres!$G$3),K398,E398)</f>
        <v>29276.47</v>
      </c>
      <c r="Q398" s="654" t="str">
        <f t="shared" si="193"/>
        <v>7-Dépenses</v>
      </c>
      <c r="R398" s="653" t="str">
        <f t="shared" si="194"/>
        <v>6132</v>
      </c>
      <c r="S398" s="654" t="str">
        <f t="shared" si="195"/>
        <v>_</v>
      </c>
      <c r="T398" s="656" t="str">
        <f>+VLOOKUP($L398,Data_Validation!$A:$D,1,0)</f>
        <v>6732</v>
      </c>
      <c r="U398" s="656" t="str">
        <f>+VLOOKUP($L398,Data_Validation!$A:$D,3,0)</f>
        <v>Pièces</v>
      </c>
      <c r="V398" s="656" t="str">
        <f>+VLOOKUP($L398,Data_Validation!$A:$D,4,0)</f>
        <v>Déduction à la source</v>
      </c>
      <c r="W398" s="656" t="str">
        <f>+VLOOKUP($L398,Data_Validation!$A:$E,5,0)</f>
        <v>$</v>
      </c>
      <c r="X398" s="656">
        <f>+VLOOKUP($L398,Data_Validation!$A:$F,6,0)</f>
        <v>0</v>
      </c>
    </row>
    <row r="399" spans="1:24" ht="15.75" customHeight="1">
      <c r="A399" s="1255" t="s">
        <v>1276</v>
      </c>
      <c r="B399" s="1255" t="s">
        <v>2677</v>
      </c>
      <c r="C399" s="1257">
        <v>3242.73</v>
      </c>
      <c r="D399" s="1257">
        <v>920.58</v>
      </c>
      <c r="E399" s="1257">
        <v>4163.3100000000004</v>
      </c>
      <c r="F399" s="1255" t="s">
        <v>1154</v>
      </c>
      <c r="G399" s="1255" t="s">
        <v>1184</v>
      </c>
      <c r="H399" s="1255" t="s">
        <v>3950</v>
      </c>
      <c r="I399" s="1203"/>
      <c r="J399" s="1203"/>
      <c r="K399" s="1203"/>
      <c r="L399" s="653" t="str">
        <f t="shared" si="191"/>
        <v>6733</v>
      </c>
      <c r="M399" s="654" t="str">
        <f t="shared" si="192"/>
        <v>FOND PENSION - PIECES</v>
      </c>
      <c r="N399" s="655">
        <f>+IF(OR($Q399=Parametres!$G$2,$Q399=Parametres!$G$3),I399,C399)</f>
        <v>3242.73</v>
      </c>
      <c r="O399" s="655">
        <f>+IF(OR($Q399=Parametres!$G$2,$Q399=Parametres!$G$3),J399,D399)</f>
        <v>920.58</v>
      </c>
      <c r="P399" s="655">
        <f>+IF(OR($Q399=Parametres!$G$2,$Q399=Parametres!$G$3),K399,E399)</f>
        <v>4163.3100000000004</v>
      </c>
      <c r="Q399" s="654" t="str">
        <f t="shared" si="193"/>
        <v>7-Dépenses</v>
      </c>
      <c r="R399" s="653" t="str">
        <f t="shared" si="194"/>
        <v>6133</v>
      </c>
      <c r="S399" s="654" t="str">
        <f t="shared" si="195"/>
        <v>_</v>
      </c>
      <c r="T399" s="656" t="str">
        <f>+VLOOKUP($L399,Data_Validation!$A:$D,1,0)</f>
        <v>6733</v>
      </c>
      <c r="U399" s="656" t="str">
        <f>+VLOOKUP($L399,Data_Validation!$A:$D,3,0)</f>
        <v>Pièces</v>
      </c>
      <c r="V399" s="656" t="str">
        <f>+VLOOKUP($L399,Data_Validation!$A:$D,4,0)</f>
        <v>Déduction à la source</v>
      </c>
      <c r="W399" s="656" t="str">
        <f>+VLOOKUP($L399,Data_Validation!$A:$E,5,0)</f>
        <v>$</v>
      </c>
      <c r="X399" s="656">
        <f>+VLOOKUP($L399,Data_Validation!$A:$F,6,0)</f>
        <v>0</v>
      </c>
    </row>
    <row r="400" spans="1:24" ht="15.75" customHeight="1">
      <c r="A400" s="1255" t="s">
        <v>1231</v>
      </c>
      <c r="B400" s="1255" t="s">
        <v>2680</v>
      </c>
      <c r="C400" s="1257">
        <v>6918.96</v>
      </c>
      <c r="D400" s="1257">
        <v>1705.62</v>
      </c>
      <c r="E400" s="1257">
        <v>8624.58</v>
      </c>
      <c r="F400" s="1255" t="s">
        <v>1154</v>
      </c>
      <c r="G400" s="1255" t="s">
        <v>1186</v>
      </c>
      <c r="H400" s="1255" t="s">
        <v>3950</v>
      </c>
      <c r="I400" s="1024"/>
      <c r="J400" s="1024"/>
      <c r="K400" s="1024"/>
      <c r="L400" s="653" t="str">
        <f t="shared" ref="L400:L463" si="196">TEXT(B400,0)</f>
        <v>6739</v>
      </c>
      <c r="M400" s="654" t="str">
        <f t="shared" ref="M400:M463" si="197">+A400</f>
        <v>ASSURANCE GROUPE</v>
      </c>
      <c r="N400" s="655">
        <f>+IF(OR($Q400=Parametres!$G$2,$Q400=Parametres!$G$3),I400,C400)</f>
        <v>6918.96</v>
      </c>
      <c r="O400" s="655">
        <f>+IF(OR($Q400=Parametres!$G$2,$Q400=Parametres!$G$3),J400,D400)</f>
        <v>1705.62</v>
      </c>
      <c r="P400" s="655">
        <f>+IF(OR($Q400=Parametres!$G$2,$Q400=Parametres!$G$3),K400,E400)</f>
        <v>8624.58</v>
      </c>
      <c r="Q400" s="654" t="str">
        <f t="shared" ref="Q400:Q463" si="198">+F400</f>
        <v>7-Dépenses</v>
      </c>
      <c r="R400" s="653" t="str">
        <f t="shared" ref="R400:R463" si="199">+G400</f>
        <v>6139</v>
      </c>
      <c r="S400" s="654" t="str">
        <f t="shared" ref="S400:S463" si="200">+H400</f>
        <v>_</v>
      </c>
      <c r="T400" s="656" t="str">
        <f>+VLOOKUP($L400,Data_Validation!$A:$D,1,0)</f>
        <v>6739</v>
      </c>
      <c r="U400" s="656" t="str">
        <f>+VLOOKUP($L400,Data_Validation!$A:$D,3,0)</f>
        <v>Pièces</v>
      </c>
      <c r="V400" s="656" t="str">
        <f>+VLOOKUP($L400,Data_Validation!$A:$D,4,0)</f>
        <v>Bénéfices marginaux</v>
      </c>
      <c r="W400" s="656" t="str">
        <f>+VLOOKUP($L400,Data_Validation!$A:$E,5,0)</f>
        <v>$</v>
      </c>
      <c r="X400" s="656">
        <f>+VLOOKUP($L400,Data_Validation!$A:$F,6,0)</f>
        <v>0</v>
      </c>
    </row>
    <row r="401" spans="1:24" ht="15.75" customHeight="1">
      <c r="A401" s="1255" t="s">
        <v>1189</v>
      </c>
      <c r="B401" s="1255" t="s">
        <v>2687</v>
      </c>
      <c r="C401" s="1257">
        <v>361.45</v>
      </c>
      <c r="D401" s="1257">
        <v>0</v>
      </c>
      <c r="E401" s="1257">
        <v>361.45</v>
      </c>
      <c r="F401" s="1255" t="s">
        <v>1154</v>
      </c>
      <c r="G401" s="1255" t="s">
        <v>1190</v>
      </c>
      <c r="H401" s="1255" t="s">
        <v>3950</v>
      </c>
      <c r="I401" s="1024"/>
      <c r="J401" s="1024"/>
      <c r="K401" s="1024"/>
      <c r="L401" s="653" t="str">
        <f t="shared" si="196"/>
        <v>6743</v>
      </c>
      <c r="M401" s="654" t="str">
        <f t="shared" si="197"/>
        <v>UNIFORMES &amp; LESSIVE</v>
      </c>
      <c r="N401" s="655">
        <f>+IF(OR($Q401=Parametres!$G$2,$Q401=Parametres!$G$3),I401,C401)</f>
        <v>361.45</v>
      </c>
      <c r="O401" s="655">
        <f>+IF(OR($Q401=Parametres!$G$2,$Q401=Parametres!$G$3),J401,D401)</f>
        <v>0</v>
      </c>
      <c r="P401" s="655">
        <f>+IF(OR($Q401=Parametres!$G$2,$Q401=Parametres!$G$3),K401,E401)</f>
        <v>361.45</v>
      </c>
      <c r="Q401" s="654" t="str">
        <f t="shared" si="198"/>
        <v>7-Dépenses</v>
      </c>
      <c r="R401" s="653" t="str">
        <f t="shared" si="199"/>
        <v>6143</v>
      </c>
      <c r="S401" s="654" t="str">
        <f t="shared" si="200"/>
        <v>_</v>
      </c>
      <c r="T401" s="656" t="str">
        <f>+VLOOKUP($L401,Data_Validation!$A:$D,1,0)</f>
        <v>6743</v>
      </c>
      <c r="U401" s="656" t="str">
        <f>+VLOOKUP($L401,Data_Validation!$A:$D,3,0)</f>
        <v>Pièces</v>
      </c>
      <c r="V401" s="656" t="str">
        <f>+VLOOKUP($L401,Data_Validation!$A:$D,4,0)</f>
        <v>Uniformes</v>
      </c>
      <c r="W401" s="656" t="str">
        <f>+VLOOKUP($L401,Data_Validation!$A:$E,5,0)</f>
        <v>$</v>
      </c>
      <c r="X401" s="656">
        <f>+VLOOKUP($L401,Data_Validation!$A:$F,6,0)</f>
        <v>0</v>
      </c>
    </row>
    <row r="402" spans="1:24" ht="15.75" customHeight="1">
      <c r="A402" s="1255" t="s">
        <v>1191</v>
      </c>
      <c r="B402" s="1255" t="s">
        <v>2690</v>
      </c>
      <c r="C402" s="1257">
        <v>928.54</v>
      </c>
      <c r="D402" s="1257">
        <v>-34.119999999999997</v>
      </c>
      <c r="E402" s="1257">
        <v>894.42</v>
      </c>
      <c r="F402" s="1255" t="s">
        <v>1154</v>
      </c>
      <c r="G402" s="1255" t="s">
        <v>1192</v>
      </c>
      <c r="H402" s="1255" t="s">
        <v>3950</v>
      </c>
      <c r="I402" s="1024"/>
      <c r="J402" s="1024"/>
      <c r="K402" s="1024"/>
      <c r="L402" s="653" t="str">
        <f t="shared" si="196"/>
        <v>6744</v>
      </c>
      <c r="M402" s="654" t="str">
        <f t="shared" si="197"/>
        <v>FORMATION</v>
      </c>
      <c r="N402" s="655">
        <f>+IF(OR($Q402=Parametres!$G$2,$Q402=Parametres!$G$3),I402,C402)</f>
        <v>928.54</v>
      </c>
      <c r="O402" s="655">
        <f>+IF(OR($Q402=Parametres!$G$2,$Q402=Parametres!$G$3),J402,D402)</f>
        <v>-34.119999999999997</v>
      </c>
      <c r="P402" s="655">
        <f>+IF(OR($Q402=Parametres!$G$2,$Q402=Parametres!$G$3),K402,E402)</f>
        <v>894.42</v>
      </c>
      <c r="Q402" s="654" t="str">
        <f t="shared" si="198"/>
        <v>7-Dépenses</v>
      </c>
      <c r="R402" s="653" t="str">
        <f t="shared" si="199"/>
        <v>6144</v>
      </c>
      <c r="S402" s="654" t="str">
        <f t="shared" si="200"/>
        <v>_</v>
      </c>
      <c r="T402" s="656" t="str">
        <f>+VLOOKUP($L402,Data_Validation!$A:$D,1,0)</f>
        <v>6744</v>
      </c>
      <c r="U402" s="656" t="str">
        <f>+VLOOKUP($L402,Data_Validation!$A:$D,3,0)</f>
        <v>Pièces</v>
      </c>
      <c r="V402" s="656" t="str">
        <f>+VLOOKUP($L402,Data_Validation!$A:$D,4,0)</f>
        <v>Formation</v>
      </c>
      <c r="W402" s="656" t="str">
        <f>+VLOOKUP($L402,Data_Validation!$A:$E,5,0)</f>
        <v>$</v>
      </c>
      <c r="X402" s="656">
        <f>+VLOOKUP($L402,Data_Validation!$A:$F,6,0)</f>
        <v>0</v>
      </c>
    </row>
    <row r="403" spans="1:24" ht="15.75" customHeight="1">
      <c r="A403" s="1255" t="s">
        <v>1193</v>
      </c>
      <c r="B403" s="1255" t="s">
        <v>2693</v>
      </c>
      <c r="C403" s="1257">
        <v>4866.1499999999996</v>
      </c>
      <c r="D403" s="1257">
        <v>1353.63</v>
      </c>
      <c r="E403" s="1257">
        <v>6219.78</v>
      </c>
      <c r="F403" s="1255" t="s">
        <v>1154</v>
      </c>
      <c r="G403" s="1255" t="s">
        <v>1194</v>
      </c>
      <c r="H403" s="1255" t="s">
        <v>3950</v>
      </c>
      <c r="I403" s="1024"/>
      <c r="J403" s="1024"/>
      <c r="K403" s="1024"/>
      <c r="L403" s="653" t="str">
        <f t="shared" si="196"/>
        <v>6745</v>
      </c>
      <c r="M403" s="654" t="str">
        <f t="shared" si="197"/>
        <v>VEHICULE DE COMPAGNIE - DEPENS</v>
      </c>
      <c r="N403" s="655">
        <f>+IF(OR($Q403=Parametres!$G$2,$Q403=Parametres!$G$3),I403,C403)</f>
        <v>4866.1499999999996</v>
      </c>
      <c r="O403" s="655">
        <f>+IF(OR($Q403=Parametres!$G$2,$Q403=Parametres!$G$3),J403,D403)</f>
        <v>1353.63</v>
      </c>
      <c r="P403" s="655">
        <f>+IF(OR($Q403=Parametres!$G$2,$Q403=Parametres!$G$3),K403,E403)</f>
        <v>6219.78</v>
      </c>
      <c r="Q403" s="654" t="str">
        <f t="shared" si="198"/>
        <v>7-Dépenses</v>
      </c>
      <c r="R403" s="653" t="str">
        <f t="shared" si="199"/>
        <v>6145</v>
      </c>
      <c r="S403" s="654" t="str">
        <f t="shared" si="200"/>
        <v>_</v>
      </c>
      <c r="T403" s="656" t="str">
        <f>+VLOOKUP($L403,Data_Validation!$A:$D,1,0)</f>
        <v>6745</v>
      </c>
      <c r="U403" s="656" t="str">
        <f>+VLOOKUP($L403,Data_Validation!$A:$D,3,0)</f>
        <v>Pièces</v>
      </c>
      <c r="V403" s="656" t="str">
        <f>+VLOOKUP($L403,Data_Validation!$A:$D,4,0)</f>
        <v>Frais véhicules de cie</v>
      </c>
      <c r="W403" s="656" t="str">
        <f>+VLOOKUP($L403,Data_Validation!$A:$E,5,0)</f>
        <v>$</v>
      </c>
      <c r="X403" s="656">
        <f>+VLOOKUP($L403,Data_Validation!$A:$F,6,0)</f>
        <v>0</v>
      </c>
    </row>
    <row r="404" spans="1:24" ht="15.75" customHeight="1">
      <c r="A404" s="1255" t="s">
        <v>1195</v>
      </c>
      <c r="B404" s="1255" t="s">
        <v>2696</v>
      </c>
      <c r="C404" s="1257">
        <v>-963.77</v>
      </c>
      <c r="D404" s="1257">
        <v>-151.96</v>
      </c>
      <c r="E404" s="1257">
        <v>-1115.73</v>
      </c>
      <c r="F404" s="1255" t="s">
        <v>1154</v>
      </c>
      <c r="G404" s="1255" t="s">
        <v>1196</v>
      </c>
      <c r="H404" s="1255" t="s">
        <v>3950</v>
      </c>
      <c r="I404" s="1024"/>
      <c r="J404" s="1024"/>
      <c r="K404" s="1024"/>
      <c r="L404" s="653" t="str">
        <f t="shared" si="196"/>
        <v>6747</v>
      </c>
      <c r="M404" s="654" t="str">
        <f t="shared" si="197"/>
        <v>FRET/EXPRESS/TRANS. PAR CAMION</v>
      </c>
      <c r="N404" s="655">
        <f>+IF(OR($Q404=Parametres!$G$2,$Q404=Parametres!$G$3),I404,C404)</f>
        <v>-963.77</v>
      </c>
      <c r="O404" s="655">
        <f>+IF(OR($Q404=Parametres!$G$2,$Q404=Parametres!$G$3),J404,D404)</f>
        <v>-151.96</v>
      </c>
      <c r="P404" s="655">
        <f>+IF(OR($Q404=Parametres!$G$2,$Q404=Parametres!$G$3),K404,E404)</f>
        <v>-1115.73</v>
      </c>
      <c r="Q404" s="654" t="str">
        <f t="shared" si="198"/>
        <v>7-Dépenses</v>
      </c>
      <c r="R404" s="653" t="str">
        <f t="shared" si="199"/>
        <v>6147</v>
      </c>
      <c r="S404" s="654" t="str">
        <f t="shared" si="200"/>
        <v>_</v>
      </c>
      <c r="T404" s="656" t="str">
        <f>+VLOOKUP($L404,Data_Validation!$A:$D,1,0)</f>
        <v>6747</v>
      </c>
      <c r="U404" s="656" t="str">
        <f>+VLOOKUP($L404,Data_Validation!$A:$D,3,0)</f>
        <v>Pièces</v>
      </c>
      <c r="V404" s="656" t="str">
        <f>+VLOOKUP($L404,Data_Validation!$A:$D,4,0)</f>
        <v>Frais postaux</v>
      </c>
      <c r="W404" s="656" t="str">
        <f>+VLOOKUP($L404,Data_Validation!$A:$E,5,0)</f>
        <v>$</v>
      </c>
      <c r="X404" s="656">
        <f>+VLOOKUP($L404,Data_Validation!$A:$F,6,0)</f>
        <v>0</v>
      </c>
    </row>
    <row r="405" spans="1:24" ht="15.75" customHeight="1">
      <c r="A405" s="1255" t="s">
        <v>1197</v>
      </c>
      <c r="B405" s="1255" t="s">
        <v>2698</v>
      </c>
      <c r="C405" s="1257">
        <v>26109.4</v>
      </c>
      <c r="D405" s="1257">
        <v>7804.67</v>
      </c>
      <c r="E405" s="1257">
        <v>33914.07</v>
      </c>
      <c r="F405" s="1255" t="s">
        <v>1154</v>
      </c>
      <c r="G405" s="1255" t="s">
        <v>1198</v>
      </c>
      <c r="H405" s="1255" t="s">
        <v>3950</v>
      </c>
      <c r="I405" s="1024"/>
      <c r="J405" s="1024"/>
      <c r="K405" s="1024"/>
      <c r="L405" s="653" t="str">
        <f t="shared" si="196"/>
        <v>6751</v>
      </c>
      <c r="M405" s="654" t="str">
        <f t="shared" si="197"/>
        <v>DEP. DU TRAITEMENT DES DONNEES</v>
      </c>
      <c r="N405" s="655">
        <f>+IF(OR($Q405=Parametres!$G$2,$Q405=Parametres!$G$3),I405,C405)</f>
        <v>26109.4</v>
      </c>
      <c r="O405" s="655">
        <f>+IF(OR($Q405=Parametres!$G$2,$Q405=Parametres!$G$3),J405,D405)</f>
        <v>7804.67</v>
      </c>
      <c r="P405" s="655">
        <f>+IF(OR($Q405=Parametres!$G$2,$Q405=Parametres!$G$3),K405,E405)</f>
        <v>33914.07</v>
      </c>
      <c r="Q405" s="654" t="str">
        <f t="shared" si="198"/>
        <v>7-Dépenses</v>
      </c>
      <c r="R405" s="653" t="str">
        <f t="shared" si="199"/>
        <v>6151</v>
      </c>
      <c r="S405" s="654" t="str">
        <f t="shared" si="200"/>
        <v>_</v>
      </c>
      <c r="T405" s="656" t="str">
        <f>+VLOOKUP($L405,Data_Validation!$A:$D,1,0)</f>
        <v>6751</v>
      </c>
      <c r="U405" s="656" t="str">
        <f>+VLOOKUP($L405,Data_Validation!$A:$D,3,0)</f>
        <v>Pièces</v>
      </c>
      <c r="V405" s="656" t="str">
        <f>+VLOOKUP($L405,Data_Validation!$A:$D,4,0)</f>
        <v>Informatique</v>
      </c>
      <c r="W405" s="656" t="str">
        <f>+VLOOKUP($L405,Data_Validation!$A:$E,5,0)</f>
        <v>$</v>
      </c>
      <c r="X405" s="656">
        <f>+VLOOKUP($L405,Data_Validation!$A:$F,6,0)</f>
        <v>0</v>
      </c>
    </row>
    <row r="406" spans="1:24" ht="15.75" customHeight="1">
      <c r="A406" s="1255" t="s">
        <v>1199</v>
      </c>
      <c r="B406" s="1255" t="s">
        <v>2701</v>
      </c>
      <c r="C406" s="1257">
        <v>1409.96</v>
      </c>
      <c r="D406" s="1257">
        <v>818.22</v>
      </c>
      <c r="E406" s="1257">
        <v>2228.1799999999998</v>
      </c>
      <c r="F406" s="1255" t="s">
        <v>1154</v>
      </c>
      <c r="G406" s="1255" t="s">
        <v>1200</v>
      </c>
      <c r="H406" s="1255" t="s">
        <v>3950</v>
      </c>
      <c r="I406" s="1024"/>
      <c r="J406" s="1024"/>
      <c r="K406" s="1024"/>
      <c r="L406" s="653" t="str">
        <f t="shared" si="196"/>
        <v>6752</v>
      </c>
      <c r="M406" s="654" t="str">
        <f t="shared" si="197"/>
        <v>PAPETERIE</v>
      </c>
      <c r="N406" s="655">
        <f>+IF(OR($Q406=Parametres!$G$2,$Q406=Parametres!$G$3),I406,C406)</f>
        <v>1409.96</v>
      </c>
      <c r="O406" s="655">
        <f>+IF(OR($Q406=Parametres!$G$2,$Q406=Parametres!$G$3),J406,D406)</f>
        <v>818.22</v>
      </c>
      <c r="P406" s="655">
        <f>+IF(OR($Q406=Parametres!$G$2,$Q406=Parametres!$G$3),K406,E406)</f>
        <v>2228.1799999999998</v>
      </c>
      <c r="Q406" s="654" t="str">
        <f t="shared" si="198"/>
        <v>7-Dépenses</v>
      </c>
      <c r="R406" s="653" t="str">
        <f t="shared" si="199"/>
        <v>6152</v>
      </c>
      <c r="S406" s="654" t="str">
        <f t="shared" si="200"/>
        <v>_</v>
      </c>
      <c r="T406" s="656" t="str">
        <f>+VLOOKUP($L406,Data_Validation!$A:$D,1,0)</f>
        <v>6752</v>
      </c>
      <c r="U406" s="656" t="str">
        <f>+VLOOKUP($L406,Data_Validation!$A:$D,3,0)</f>
        <v>Pièces</v>
      </c>
      <c r="V406" s="656" t="str">
        <f>+VLOOKUP($L406,Data_Validation!$A:$D,4,0)</f>
        <v>Papeterie</v>
      </c>
      <c r="W406" s="656" t="str">
        <f>+VLOOKUP($L406,Data_Validation!$A:$E,5,0)</f>
        <v>$</v>
      </c>
      <c r="X406" s="656">
        <f>+VLOOKUP($L406,Data_Validation!$A:$F,6,0)</f>
        <v>0</v>
      </c>
    </row>
    <row r="407" spans="1:24" ht="15.75" customHeight="1">
      <c r="A407" s="1255" t="s">
        <v>1201</v>
      </c>
      <c r="B407" s="1255" t="s">
        <v>2704</v>
      </c>
      <c r="C407" s="1257">
        <v>433.41</v>
      </c>
      <c r="D407" s="1257">
        <v>88.45</v>
      </c>
      <c r="E407" s="1257">
        <v>521.86</v>
      </c>
      <c r="F407" s="1255" t="s">
        <v>1154</v>
      </c>
      <c r="G407" s="1255" t="s">
        <v>1202</v>
      </c>
      <c r="H407" s="1255" t="s">
        <v>3950</v>
      </c>
      <c r="I407" s="1024"/>
      <c r="J407" s="1024"/>
      <c r="K407" s="1024"/>
      <c r="L407" s="653" t="str">
        <f t="shared" si="196"/>
        <v>6753</v>
      </c>
      <c r="M407" s="654" t="str">
        <f t="shared" si="197"/>
        <v>TELEPHONE ET TELEX</v>
      </c>
      <c r="N407" s="655">
        <f>+IF(OR($Q407=Parametres!$G$2,$Q407=Parametres!$G$3),I407,C407)</f>
        <v>433.41</v>
      </c>
      <c r="O407" s="655">
        <f>+IF(OR($Q407=Parametres!$G$2,$Q407=Parametres!$G$3),J407,D407)</f>
        <v>88.45</v>
      </c>
      <c r="P407" s="655">
        <f>+IF(OR($Q407=Parametres!$G$2,$Q407=Parametres!$G$3),K407,E407)</f>
        <v>521.86</v>
      </c>
      <c r="Q407" s="654" t="str">
        <f t="shared" si="198"/>
        <v>7-Dépenses</v>
      </c>
      <c r="R407" s="653" t="str">
        <f t="shared" si="199"/>
        <v>6153</v>
      </c>
      <c r="S407" s="654" t="str">
        <f t="shared" si="200"/>
        <v>_</v>
      </c>
      <c r="T407" s="656" t="str">
        <f>+VLOOKUP($L407,Data_Validation!$A:$D,1,0)</f>
        <v>6753</v>
      </c>
      <c r="U407" s="656" t="str">
        <f>+VLOOKUP($L407,Data_Validation!$A:$D,3,0)</f>
        <v>Pièces</v>
      </c>
      <c r="V407" s="656" t="str">
        <f>+VLOOKUP($L407,Data_Validation!$A:$D,4,0)</f>
        <v>Téléphone</v>
      </c>
      <c r="W407" s="656" t="str">
        <f>+VLOOKUP($L407,Data_Validation!$A:$E,5,0)</f>
        <v>$</v>
      </c>
      <c r="X407" s="656">
        <f>+VLOOKUP($L407,Data_Validation!$A:$F,6,0)</f>
        <v>0</v>
      </c>
    </row>
    <row r="408" spans="1:24" ht="15.75" customHeight="1">
      <c r="A408" s="1255" t="s">
        <v>1203</v>
      </c>
      <c r="B408" s="1255" t="s">
        <v>2707</v>
      </c>
      <c r="C408" s="1257">
        <v>275.70999999999998</v>
      </c>
      <c r="D408" s="1257">
        <v>87.25</v>
      </c>
      <c r="E408" s="1257">
        <v>362.96</v>
      </c>
      <c r="F408" s="1255" t="s">
        <v>1154</v>
      </c>
      <c r="G408" s="1255" t="s">
        <v>1204</v>
      </c>
      <c r="H408" s="1255" t="s">
        <v>3950</v>
      </c>
      <c r="I408" s="1024"/>
      <c r="J408" s="1024"/>
      <c r="K408" s="1024"/>
      <c r="L408" s="653" t="str">
        <f t="shared" si="196"/>
        <v>6755</v>
      </c>
      <c r="M408" s="654" t="str">
        <f t="shared" si="197"/>
        <v>DEPENSES DIVERS</v>
      </c>
      <c r="N408" s="655">
        <f>+IF(OR($Q408=Parametres!$G$2,$Q408=Parametres!$G$3),I408,C408)</f>
        <v>275.70999999999998</v>
      </c>
      <c r="O408" s="655">
        <f>+IF(OR($Q408=Parametres!$G$2,$Q408=Parametres!$G$3),J408,D408)</f>
        <v>87.25</v>
      </c>
      <c r="P408" s="655">
        <f>+IF(OR($Q408=Parametres!$G$2,$Q408=Parametres!$G$3),K408,E408)</f>
        <v>362.96</v>
      </c>
      <c r="Q408" s="654" t="str">
        <f t="shared" si="198"/>
        <v>7-Dépenses</v>
      </c>
      <c r="R408" s="653" t="str">
        <f t="shared" si="199"/>
        <v>6155</v>
      </c>
      <c r="S408" s="654" t="str">
        <f t="shared" si="200"/>
        <v>_</v>
      </c>
      <c r="T408" s="656" t="str">
        <f>+VLOOKUP($L408,Data_Validation!$A:$D,1,0)</f>
        <v>6755</v>
      </c>
      <c r="U408" s="656" t="str">
        <f>+VLOOKUP($L408,Data_Validation!$A:$D,3,0)</f>
        <v>Pièces</v>
      </c>
      <c r="V408" s="656" t="str">
        <f>+VLOOKUP($L408,Data_Validation!$A:$D,4,0)</f>
        <v>Divers</v>
      </c>
      <c r="W408" s="656" t="str">
        <f>+VLOOKUP($L408,Data_Validation!$A:$E,5,0)</f>
        <v>$</v>
      </c>
      <c r="X408" s="656">
        <f>+VLOOKUP($L408,Data_Validation!$A:$F,6,0)</f>
        <v>0</v>
      </c>
    </row>
    <row r="409" spans="1:24" ht="15.75" customHeight="1">
      <c r="A409" s="1255" t="s">
        <v>1277</v>
      </c>
      <c r="B409" s="1255" t="s">
        <v>2710</v>
      </c>
      <c r="C409" s="1257">
        <v>3477.31</v>
      </c>
      <c r="D409" s="1257">
        <v>945.81</v>
      </c>
      <c r="E409" s="1257">
        <v>4423.12</v>
      </c>
      <c r="F409" s="1255" t="s">
        <v>1154</v>
      </c>
      <c r="G409" s="1255" t="s">
        <v>1206</v>
      </c>
      <c r="H409" s="1255" t="s">
        <v>3950</v>
      </c>
      <c r="I409" s="1024"/>
      <c r="J409" s="1024"/>
      <c r="K409" s="1024"/>
      <c r="L409" s="653" t="str">
        <f t="shared" si="196"/>
        <v>6756</v>
      </c>
      <c r="M409" s="654" t="str">
        <f t="shared" si="197"/>
        <v>FRAIS REPRESENTATION - PIECES</v>
      </c>
      <c r="N409" s="655">
        <f>+IF(OR($Q409=Parametres!$G$2,$Q409=Parametres!$G$3),I409,C409)</f>
        <v>3477.31</v>
      </c>
      <c r="O409" s="655">
        <f>+IF(OR($Q409=Parametres!$G$2,$Q409=Parametres!$G$3),J409,D409)</f>
        <v>945.81</v>
      </c>
      <c r="P409" s="655">
        <f>+IF(OR($Q409=Parametres!$G$2,$Q409=Parametres!$G$3),K409,E409)</f>
        <v>4423.12</v>
      </c>
      <c r="Q409" s="654" t="str">
        <f t="shared" si="198"/>
        <v>7-Dépenses</v>
      </c>
      <c r="R409" s="653" t="str">
        <f t="shared" si="199"/>
        <v>6156</v>
      </c>
      <c r="S409" s="654" t="str">
        <f t="shared" si="200"/>
        <v>_</v>
      </c>
      <c r="T409" s="656" t="str">
        <f>+VLOOKUP($L409,Data_Validation!$A:$D,1,0)</f>
        <v>6756</v>
      </c>
      <c r="U409" s="656" t="str">
        <f>+VLOOKUP($L409,Data_Validation!$A:$D,3,0)</f>
        <v>Pièces</v>
      </c>
      <c r="V409" s="656" t="str">
        <f>+VLOOKUP($L409,Data_Validation!$A:$D,4,0)</f>
        <v>Frais de déplacement</v>
      </c>
      <c r="W409" s="656" t="str">
        <f>+VLOOKUP($L409,Data_Validation!$A:$E,5,0)</f>
        <v>$</v>
      </c>
      <c r="X409" s="656">
        <f>+VLOOKUP($L409,Data_Validation!$A:$F,6,0)</f>
        <v>0</v>
      </c>
    </row>
    <row r="410" spans="1:24" ht="15.75" customHeight="1">
      <c r="A410" s="1255" t="s">
        <v>1278</v>
      </c>
      <c r="B410" s="1255" t="s">
        <v>3401</v>
      </c>
      <c r="C410" s="1257">
        <v>5920.54</v>
      </c>
      <c r="D410" s="1257">
        <v>2026.49</v>
      </c>
      <c r="E410" s="1257">
        <v>7947.03</v>
      </c>
      <c r="F410" s="1255" t="s">
        <v>1154</v>
      </c>
      <c r="G410" s="1255" t="s">
        <v>3339</v>
      </c>
      <c r="H410" s="1255" t="s">
        <v>3950</v>
      </c>
      <c r="I410" s="1024"/>
      <c r="J410" s="1024"/>
      <c r="K410" s="1024"/>
      <c r="L410" s="653" t="str">
        <f t="shared" si="196"/>
        <v>6757</v>
      </c>
      <c r="M410" s="654" t="str">
        <f t="shared" si="197"/>
        <v>FRAIS BANCAIRES - PIECES</v>
      </c>
      <c r="N410" s="655">
        <f>+IF(OR($Q410=Parametres!$G$2,$Q410=Parametres!$G$3),I410,C410)</f>
        <v>5920.54</v>
      </c>
      <c r="O410" s="655">
        <f>+IF(OR($Q410=Parametres!$G$2,$Q410=Parametres!$G$3),J410,D410)</f>
        <v>2026.49</v>
      </c>
      <c r="P410" s="655">
        <f>+IF(OR($Q410=Parametres!$G$2,$Q410=Parametres!$G$3),K410,E410)</f>
        <v>7947.03</v>
      </c>
      <c r="Q410" s="654" t="str">
        <f t="shared" si="198"/>
        <v>7-Dépenses</v>
      </c>
      <c r="R410" s="653" t="str">
        <f t="shared" si="199"/>
        <v>675</v>
      </c>
      <c r="S410" s="654" t="str">
        <f t="shared" si="200"/>
        <v>_</v>
      </c>
      <c r="T410" s="656" t="str">
        <f>+VLOOKUP($L410,Data_Validation!$A:$D,1,0)</f>
        <v>6757</v>
      </c>
      <c r="U410" s="656" t="str">
        <f>+VLOOKUP($L410,Data_Validation!$A:$D,3,0)</f>
        <v>Pièces</v>
      </c>
      <c r="V410" s="656" t="str">
        <f>+VLOOKUP($L410,Data_Validation!$A:$D,4,0)</f>
        <v>Frais bancaires</v>
      </c>
      <c r="W410" s="656" t="str">
        <f>+VLOOKUP($L410,Data_Validation!$A:$E,5,0)</f>
        <v>$</v>
      </c>
      <c r="X410" s="656">
        <f>+VLOOKUP($L410,Data_Validation!$A:$F,6,0)</f>
        <v>0</v>
      </c>
    </row>
    <row r="411" spans="1:24" ht="15.75" customHeight="1">
      <c r="A411" s="1255" t="s">
        <v>3889</v>
      </c>
      <c r="B411" s="1255" t="s">
        <v>3890</v>
      </c>
      <c r="C411" s="1257">
        <v>42440</v>
      </c>
      <c r="D411" s="1257">
        <v>11240</v>
      </c>
      <c r="E411" s="1257">
        <v>53680</v>
      </c>
      <c r="F411" s="1255" t="s">
        <v>1154</v>
      </c>
      <c r="G411" s="1255" t="s">
        <v>1210</v>
      </c>
      <c r="H411" s="1255" t="s">
        <v>3950</v>
      </c>
      <c r="I411" s="1024"/>
      <c r="J411" s="1024"/>
      <c r="K411" s="1024"/>
      <c r="L411" s="653" t="str">
        <f t="shared" si="196"/>
        <v>6758</v>
      </c>
      <c r="M411" s="654" t="str">
        <f t="shared" si="197"/>
        <v>FRAIS DE LIVRAISON PIECES</v>
      </c>
      <c r="N411" s="655">
        <f>+IF(OR($Q411=Parametres!$G$2,$Q411=Parametres!$G$3),I411,C411)</f>
        <v>42440</v>
      </c>
      <c r="O411" s="655">
        <f>+IF(OR($Q411=Parametres!$G$2,$Q411=Parametres!$G$3),J411,D411)</f>
        <v>11240</v>
      </c>
      <c r="P411" s="655">
        <f>+IF(OR($Q411=Parametres!$G$2,$Q411=Parametres!$G$3),K411,E411)</f>
        <v>53680</v>
      </c>
      <c r="Q411" s="654" t="str">
        <f t="shared" si="198"/>
        <v>7-Dépenses</v>
      </c>
      <c r="R411" s="653" t="str">
        <f t="shared" si="199"/>
        <v>6159</v>
      </c>
      <c r="S411" s="654" t="str">
        <f t="shared" si="200"/>
        <v>_</v>
      </c>
      <c r="T411" s="656" t="str">
        <f>+VLOOKUP($L411,Data_Validation!$A:$D,1,0)</f>
        <v>6758</v>
      </c>
      <c r="U411" s="656" t="str">
        <f>+VLOOKUP($L411,Data_Validation!$A:$D,3,0)</f>
        <v>Pièces</v>
      </c>
      <c r="V411" s="656" t="str">
        <f>+VLOOKUP($L411,Data_Validation!$A:$D,4,0)</f>
        <v>Services extérieurs</v>
      </c>
      <c r="W411" s="656" t="str">
        <f>+VLOOKUP($L411,Data_Validation!$A:$E,5,0)</f>
        <v>$</v>
      </c>
      <c r="X411" s="656">
        <f>+VLOOKUP($L411,Data_Validation!$A:$F,6,0)</f>
        <v>0</v>
      </c>
    </row>
    <row r="412" spans="1:24" ht="15.75" customHeight="1">
      <c r="A412" s="1255" t="s">
        <v>1209</v>
      </c>
      <c r="B412" s="1255" t="s">
        <v>2713</v>
      </c>
      <c r="C412" s="1257">
        <v>14178.41</v>
      </c>
      <c r="D412" s="1257">
        <v>3214.17</v>
      </c>
      <c r="E412" s="1257">
        <v>17392.580000000002</v>
      </c>
      <c r="F412" s="1255" t="s">
        <v>1154</v>
      </c>
      <c r="G412" s="1255" t="s">
        <v>1210</v>
      </c>
      <c r="H412" s="1255" t="s">
        <v>3950</v>
      </c>
      <c r="I412" s="1024"/>
      <c r="J412" s="1024"/>
      <c r="K412" s="1024"/>
      <c r="L412" s="653" t="str">
        <f t="shared" si="196"/>
        <v>6759</v>
      </c>
      <c r="M412" s="654" t="str">
        <f t="shared" si="197"/>
        <v>SERVICE EXTERIEUR</v>
      </c>
      <c r="N412" s="655">
        <f>+IF(OR($Q412=Parametres!$G$2,$Q412=Parametres!$G$3),I412,C412)</f>
        <v>14178.41</v>
      </c>
      <c r="O412" s="655">
        <f>+IF(OR($Q412=Parametres!$G$2,$Q412=Parametres!$G$3),J412,D412)</f>
        <v>3214.17</v>
      </c>
      <c r="P412" s="655">
        <f>+IF(OR($Q412=Parametres!$G$2,$Q412=Parametres!$G$3),K412,E412)</f>
        <v>17392.580000000002</v>
      </c>
      <c r="Q412" s="654" t="str">
        <f t="shared" si="198"/>
        <v>7-Dépenses</v>
      </c>
      <c r="R412" s="653" t="str">
        <f t="shared" si="199"/>
        <v>6159</v>
      </c>
      <c r="S412" s="654" t="str">
        <f t="shared" si="200"/>
        <v>_</v>
      </c>
      <c r="T412" s="656" t="str">
        <f>+VLOOKUP($L412,Data_Validation!$A:$D,1,0)</f>
        <v>6759</v>
      </c>
      <c r="U412" s="656" t="str">
        <f>+VLOOKUP($L412,Data_Validation!$A:$D,3,0)</f>
        <v>Pièces</v>
      </c>
      <c r="V412" s="656" t="str">
        <f>+VLOOKUP($L412,Data_Validation!$A:$D,4,0)</f>
        <v>Services extérieurs</v>
      </c>
      <c r="W412" s="656" t="str">
        <f>+VLOOKUP($L412,Data_Validation!$A:$E,5,0)</f>
        <v>$</v>
      </c>
      <c r="X412" s="656">
        <f>+VLOOKUP($L412,Data_Validation!$A:$F,6,0)</f>
        <v>0</v>
      </c>
    </row>
    <row r="413" spans="1:24" ht="15.75" customHeight="1">
      <c r="A413" s="1255" t="s">
        <v>1211</v>
      </c>
      <c r="B413" s="1255" t="s">
        <v>2716</v>
      </c>
      <c r="C413" s="1257">
        <v>42648</v>
      </c>
      <c r="D413" s="1257">
        <v>10662</v>
      </c>
      <c r="E413" s="1257">
        <v>53310</v>
      </c>
      <c r="F413" s="1255" t="s">
        <v>1154</v>
      </c>
      <c r="G413" s="1255" t="s">
        <v>1212</v>
      </c>
      <c r="H413" s="1255" t="s">
        <v>3950</v>
      </c>
      <c r="I413" s="1024"/>
      <c r="J413" s="1024"/>
      <c r="K413" s="1024"/>
      <c r="L413" s="653" t="str">
        <f t="shared" si="196"/>
        <v>6761</v>
      </c>
      <c r="M413" s="654" t="str">
        <f t="shared" si="197"/>
        <v>DEPRECIATION EQUIP. &amp; FIXTURES</v>
      </c>
      <c r="N413" s="655">
        <f>+IF(OR($Q413=Parametres!$G$2,$Q413=Parametres!$G$3),I413,C413)</f>
        <v>42648</v>
      </c>
      <c r="O413" s="655">
        <f>+IF(OR($Q413=Parametres!$G$2,$Q413=Parametres!$G$3),J413,D413)</f>
        <v>10662</v>
      </c>
      <c r="P413" s="655">
        <f>+IF(OR($Q413=Parametres!$G$2,$Q413=Parametres!$G$3),K413,E413)</f>
        <v>53310</v>
      </c>
      <c r="Q413" s="654" t="str">
        <f t="shared" si="198"/>
        <v>7-Dépenses</v>
      </c>
      <c r="R413" s="653" t="str">
        <f t="shared" si="199"/>
        <v>6161</v>
      </c>
      <c r="S413" s="654" t="str">
        <f t="shared" si="200"/>
        <v>_</v>
      </c>
      <c r="T413" s="656" t="str">
        <f>+VLOOKUP($L413,Data_Validation!$A:$D,1,0)</f>
        <v>6761</v>
      </c>
      <c r="U413" s="656" t="str">
        <f>+VLOOKUP($L413,Data_Validation!$A:$D,3,0)</f>
        <v>Pièces</v>
      </c>
      <c r="V413" s="656" t="str">
        <f>+VLOOKUP($L413,Data_Validation!$A:$D,4,0)</f>
        <v>Amortissement</v>
      </c>
      <c r="W413" s="656" t="str">
        <f>+VLOOKUP($L413,Data_Validation!$A:$E,5,0)</f>
        <v>$</v>
      </c>
      <c r="X413" s="656">
        <f>+VLOOKUP($L413,Data_Validation!$A:$F,6,0)</f>
        <v>0</v>
      </c>
    </row>
    <row r="414" spans="1:24" ht="15.75" customHeight="1">
      <c r="A414" s="1255" t="s">
        <v>1279</v>
      </c>
      <c r="B414" s="1255" t="s">
        <v>2725</v>
      </c>
      <c r="C414" s="1257">
        <v>8095.99</v>
      </c>
      <c r="D414" s="1257">
        <v>1467.01</v>
      </c>
      <c r="E414" s="1257">
        <v>9563</v>
      </c>
      <c r="F414" s="1255" t="s">
        <v>1154</v>
      </c>
      <c r="G414" s="1255" t="s">
        <v>1214</v>
      </c>
      <c r="H414" s="1255" t="s">
        <v>3950</v>
      </c>
      <c r="I414" s="1024"/>
      <c r="J414" s="1024"/>
      <c r="K414" s="1024"/>
      <c r="L414" s="653" t="str">
        <f t="shared" si="196"/>
        <v>6781</v>
      </c>
      <c r="M414" s="654" t="str">
        <f t="shared" si="197"/>
        <v>CHAUFFAGE,ELECTRICITE,EAU-PIECES</v>
      </c>
      <c r="N414" s="655">
        <f>+IF(OR($Q414=Parametres!$G$2,$Q414=Parametres!$G$3),I414,C414)</f>
        <v>8095.99</v>
      </c>
      <c r="O414" s="655">
        <f>+IF(OR($Q414=Parametres!$G$2,$Q414=Parametres!$G$3),J414,D414)</f>
        <v>1467.01</v>
      </c>
      <c r="P414" s="655">
        <f>+IF(OR($Q414=Parametres!$G$2,$Q414=Parametres!$G$3),K414,E414)</f>
        <v>9563</v>
      </c>
      <c r="Q414" s="654" t="str">
        <f t="shared" si="198"/>
        <v>7-Dépenses</v>
      </c>
      <c r="R414" s="653" t="str">
        <f t="shared" si="199"/>
        <v>6181</v>
      </c>
      <c r="S414" s="654" t="str">
        <f t="shared" si="200"/>
        <v>_</v>
      </c>
      <c r="T414" s="656" t="str">
        <f>+VLOOKUP($L414,Data_Validation!$A:$D,1,0)</f>
        <v>6781</v>
      </c>
      <c r="U414" s="656" t="str">
        <f>+VLOOKUP($L414,Data_Validation!$A:$D,3,0)</f>
        <v>Pièces</v>
      </c>
      <c r="V414" s="656" t="str">
        <f>+VLOOKUP($L414,Data_Validation!$A:$D,4,0)</f>
        <v>Chauffage, éclairage</v>
      </c>
      <c r="W414" s="656" t="str">
        <f>+VLOOKUP($L414,Data_Validation!$A:$E,5,0)</f>
        <v>$</v>
      </c>
      <c r="X414" s="656">
        <f>+VLOOKUP($L414,Data_Validation!$A:$F,6,0)</f>
        <v>0</v>
      </c>
    </row>
    <row r="415" spans="1:24" ht="15.75" customHeight="1">
      <c r="A415" s="1255" t="s">
        <v>1280</v>
      </c>
      <c r="B415" s="1255" t="s">
        <v>2728</v>
      </c>
      <c r="C415" s="1257">
        <v>36000</v>
      </c>
      <c r="D415" s="1257">
        <v>9000</v>
      </c>
      <c r="E415" s="1257">
        <v>45000</v>
      </c>
      <c r="F415" s="1255" t="s">
        <v>1154</v>
      </c>
      <c r="G415" s="1255" t="s">
        <v>1216</v>
      </c>
      <c r="H415" s="1255" t="s">
        <v>3950</v>
      </c>
      <c r="I415" s="1024"/>
      <c r="J415" s="1024"/>
      <c r="K415" s="1024"/>
      <c r="L415" s="653" t="str">
        <f t="shared" si="196"/>
        <v>6782</v>
      </c>
      <c r="M415" s="654" t="str">
        <f t="shared" si="197"/>
        <v>LOYER - PIECES</v>
      </c>
      <c r="N415" s="655">
        <f>+IF(OR($Q415=Parametres!$G$2,$Q415=Parametres!$G$3),I415,C415)</f>
        <v>36000</v>
      </c>
      <c r="O415" s="655">
        <f>+IF(OR($Q415=Parametres!$G$2,$Q415=Parametres!$G$3),J415,D415)</f>
        <v>9000</v>
      </c>
      <c r="P415" s="655">
        <f>+IF(OR($Q415=Parametres!$G$2,$Q415=Parametres!$G$3),K415,E415)</f>
        <v>45000</v>
      </c>
      <c r="Q415" s="654" t="str">
        <f t="shared" si="198"/>
        <v>7-Dépenses</v>
      </c>
      <c r="R415" s="653" t="str">
        <f t="shared" si="199"/>
        <v>6182</v>
      </c>
      <c r="S415" s="654" t="str">
        <f t="shared" si="200"/>
        <v>_</v>
      </c>
      <c r="T415" s="656" t="str">
        <f>+VLOOKUP($L415,Data_Validation!$A:$D,1,0)</f>
        <v>6782</v>
      </c>
      <c r="U415" s="656" t="str">
        <f>+VLOOKUP($L415,Data_Validation!$A:$D,3,0)</f>
        <v>Pièces</v>
      </c>
      <c r="V415" s="656" t="str">
        <f>+VLOOKUP($L415,Data_Validation!$A:$D,4,0)</f>
        <v>Loyer</v>
      </c>
      <c r="W415" s="656" t="str">
        <f>+VLOOKUP($L415,Data_Validation!$A:$E,5,0)</f>
        <v>$</v>
      </c>
      <c r="X415" s="656">
        <f>+VLOOKUP($L415,Data_Validation!$A:$F,6,0)</f>
        <v>0</v>
      </c>
    </row>
    <row r="416" spans="1:24" ht="15.75" customHeight="1">
      <c r="A416" s="1255" t="s">
        <v>1281</v>
      </c>
      <c r="B416" s="1255" t="s">
        <v>2731</v>
      </c>
      <c r="C416" s="1257">
        <v>4344.24</v>
      </c>
      <c r="D416" s="1257">
        <v>1086.06</v>
      </c>
      <c r="E416" s="1257">
        <v>5430.3</v>
      </c>
      <c r="F416" s="1255" t="s">
        <v>1154</v>
      </c>
      <c r="G416" s="1255" t="s">
        <v>1218</v>
      </c>
      <c r="H416" s="1255" t="s">
        <v>3950</v>
      </c>
      <c r="I416" s="1024"/>
      <c r="J416" s="1024"/>
      <c r="K416" s="1024"/>
      <c r="L416" s="653" t="str">
        <f t="shared" si="196"/>
        <v>6786</v>
      </c>
      <c r="M416" s="654" t="str">
        <f t="shared" si="197"/>
        <v>ASSURANCE BATISSE &amp; AMEL.-PIECES</v>
      </c>
      <c r="N416" s="655">
        <f>+IF(OR($Q416=Parametres!$G$2,$Q416=Parametres!$G$3),I416,C416)</f>
        <v>4344.24</v>
      </c>
      <c r="O416" s="655">
        <f>+IF(OR($Q416=Parametres!$G$2,$Q416=Parametres!$G$3),J416,D416)</f>
        <v>1086.06</v>
      </c>
      <c r="P416" s="655">
        <f>+IF(OR($Q416=Parametres!$G$2,$Q416=Parametres!$G$3),K416,E416)</f>
        <v>5430.3</v>
      </c>
      <c r="Q416" s="654" t="str">
        <f t="shared" si="198"/>
        <v>7-Dépenses</v>
      </c>
      <c r="R416" s="653" t="str">
        <f t="shared" si="199"/>
        <v>6186</v>
      </c>
      <c r="S416" s="654" t="str">
        <f t="shared" si="200"/>
        <v>_</v>
      </c>
      <c r="T416" s="656" t="str">
        <f>+VLOOKUP($L416,Data_Validation!$A:$D,1,0)</f>
        <v>6786</v>
      </c>
      <c r="U416" s="656" t="str">
        <f>+VLOOKUP($L416,Data_Validation!$A:$D,3,0)</f>
        <v>Pièces</v>
      </c>
      <c r="V416" s="656" t="str">
        <f>+VLOOKUP($L416,Data_Validation!$A:$D,4,0)</f>
        <v>Assurances</v>
      </c>
      <c r="W416" s="656" t="str">
        <f>+VLOOKUP($L416,Data_Validation!$A:$E,5,0)</f>
        <v>$</v>
      </c>
      <c r="X416" s="656">
        <f>+VLOOKUP($L416,Data_Validation!$A:$F,6,0)</f>
        <v>0</v>
      </c>
    </row>
    <row r="417" spans="1:24" ht="15.75" customHeight="1">
      <c r="A417" s="1255" t="s">
        <v>1282</v>
      </c>
      <c r="B417" s="1255" t="s">
        <v>2734</v>
      </c>
      <c r="C417" s="1257">
        <v>5423</v>
      </c>
      <c r="D417" s="1257">
        <v>1355.75</v>
      </c>
      <c r="E417" s="1257">
        <v>6778.75</v>
      </c>
      <c r="F417" s="1255" t="s">
        <v>1154</v>
      </c>
      <c r="G417" s="1255" t="s">
        <v>1220</v>
      </c>
      <c r="H417" s="1255" t="s">
        <v>3950</v>
      </c>
      <c r="I417" s="1211"/>
      <c r="J417" s="1211"/>
      <c r="K417" s="1211"/>
      <c r="L417" s="653" t="str">
        <f t="shared" si="196"/>
        <v>6787</v>
      </c>
      <c r="M417" s="654" t="str">
        <f t="shared" si="197"/>
        <v>TAXES FONCIERES - PIECES</v>
      </c>
      <c r="N417" s="655">
        <f>+IF(OR($Q417=Parametres!$G$2,$Q417=Parametres!$G$3),I417,C417)</f>
        <v>5423</v>
      </c>
      <c r="O417" s="655">
        <f>+IF(OR($Q417=Parametres!$G$2,$Q417=Parametres!$G$3),J417,D417)</f>
        <v>1355.75</v>
      </c>
      <c r="P417" s="655">
        <f>+IF(OR($Q417=Parametres!$G$2,$Q417=Parametres!$G$3),K417,E417)</f>
        <v>6778.75</v>
      </c>
      <c r="Q417" s="654" t="str">
        <f t="shared" si="198"/>
        <v>7-Dépenses</v>
      </c>
      <c r="R417" s="653" t="str">
        <f t="shared" si="199"/>
        <v>6187</v>
      </c>
      <c r="S417" s="654" t="str">
        <f t="shared" si="200"/>
        <v>_</v>
      </c>
      <c r="T417" s="656" t="str">
        <f>+VLOOKUP($L417,Data_Validation!$A:$D,1,0)</f>
        <v>6787</v>
      </c>
      <c r="U417" s="656" t="str">
        <f>+VLOOKUP($L417,Data_Validation!$A:$D,3,0)</f>
        <v>Pièces</v>
      </c>
      <c r="V417" s="656" t="str">
        <f>+VLOOKUP($L417,Data_Validation!$A:$D,4,0)</f>
        <v>Taxes foncières</v>
      </c>
      <c r="W417" s="656" t="str">
        <f>+VLOOKUP($L417,Data_Validation!$A:$E,5,0)</f>
        <v>$</v>
      </c>
      <c r="X417" s="656">
        <f>+VLOOKUP($L417,Data_Validation!$A:$F,6,0)</f>
        <v>0</v>
      </c>
    </row>
    <row r="418" spans="1:24" ht="15.75" customHeight="1">
      <c r="A418" s="1255" t="s">
        <v>1283</v>
      </c>
      <c r="B418" s="1255" t="s">
        <v>2737</v>
      </c>
      <c r="C418" s="1257">
        <v>4259</v>
      </c>
      <c r="D418" s="1257">
        <v>902.25</v>
      </c>
      <c r="E418" s="1257">
        <v>5161.25</v>
      </c>
      <c r="F418" s="1255" t="s">
        <v>1154</v>
      </c>
      <c r="G418" s="1255" t="s">
        <v>1222</v>
      </c>
      <c r="H418" s="1255" t="s">
        <v>3950</v>
      </c>
      <c r="I418" s="1211"/>
      <c r="J418" s="1211"/>
      <c r="K418" s="1211"/>
      <c r="L418" s="653" t="str">
        <f t="shared" si="196"/>
        <v>6793</v>
      </c>
      <c r="M418" s="654" t="str">
        <f t="shared" si="197"/>
        <v>AUTRES TAXES - PIECES</v>
      </c>
      <c r="N418" s="655">
        <f>+IF(OR($Q418=Parametres!$G$2,$Q418=Parametres!$G$3),I418,C418)</f>
        <v>4259</v>
      </c>
      <c r="O418" s="655">
        <f>+IF(OR($Q418=Parametres!$G$2,$Q418=Parametres!$G$3),J418,D418)</f>
        <v>902.25</v>
      </c>
      <c r="P418" s="655">
        <f>+IF(OR($Q418=Parametres!$G$2,$Q418=Parametres!$G$3),K418,E418)</f>
        <v>5161.25</v>
      </c>
      <c r="Q418" s="654" t="str">
        <f t="shared" si="198"/>
        <v>7-Dépenses</v>
      </c>
      <c r="R418" s="653" t="str">
        <f t="shared" si="199"/>
        <v>6193</v>
      </c>
      <c r="S418" s="654" t="str">
        <f t="shared" si="200"/>
        <v>_</v>
      </c>
      <c r="T418" s="656" t="str">
        <f>+VLOOKUP($L418,Data_Validation!$A:$D,1,0)</f>
        <v>6793</v>
      </c>
      <c r="U418" s="656" t="str">
        <f>+VLOOKUP($L418,Data_Validation!$A:$D,3,0)</f>
        <v>Pièces</v>
      </c>
      <c r="V418" s="656" t="str">
        <f>+VLOOKUP($L418,Data_Validation!$A:$D,4,0)</f>
        <v>Taxes d`affaires</v>
      </c>
      <c r="W418" s="656" t="str">
        <f>+VLOOKUP($L418,Data_Validation!$A:$E,5,0)</f>
        <v>$</v>
      </c>
      <c r="X418" s="656">
        <f>+VLOOKUP($L418,Data_Validation!$A:$F,6,0)</f>
        <v>0</v>
      </c>
    </row>
    <row r="419" spans="1:24" ht="15.75" customHeight="1">
      <c r="A419" s="1255" t="s">
        <v>1284</v>
      </c>
      <c r="B419" s="1255" t="s">
        <v>2740</v>
      </c>
      <c r="C419" s="1257">
        <v>6777.82</v>
      </c>
      <c r="D419" s="1257">
        <v>1605.83</v>
      </c>
      <c r="E419" s="1257">
        <v>8383.65</v>
      </c>
      <c r="F419" s="1255" t="s">
        <v>1154</v>
      </c>
      <c r="G419" s="1255" t="s">
        <v>1224</v>
      </c>
      <c r="H419" s="1255" t="s">
        <v>3950</v>
      </c>
      <c r="I419" s="1211"/>
      <c r="J419" s="1211"/>
      <c r="K419" s="1211"/>
      <c r="L419" s="653" t="str">
        <f t="shared" si="196"/>
        <v>6794</v>
      </c>
      <c r="M419" s="654" t="str">
        <f t="shared" si="197"/>
        <v>FRAIS PROFESSIONNEL-PIECES</v>
      </c>
      <c r="N419" s="655">
        <f>+IF(OR($Q419=Parametres!$G$2,$Q419=Parametres!$G$3),I419,C419)</f>
        <v>6777.82</v>
      </c>
      <c r="O419" s="655">
        <f>+IF(OR($Q419=Parametres!$G$2,$Q419=Parametres!$G$3),J419,D419)</f>
        <v>1605.83</v>
      </c>
      <c r="P419" s="655">
        <f>+IF(OR($Q419=Parametres!$G$2,$Q419=Parametres!$G$3),K419,E419)</f>
        <v>8383.65</v>
      </c>
      <c r="Q419" s="654" t="str">
        <f t="shared" si="198"/>
        <v>7-Dépenses</v>
      </c>
      <c r="R419" s="653" t="str">
        <f t="shared" si="199"/>
        <v>6194</v>
      </c>
      <c r="S419" s="654" t="str">
        <f t="shared" si="200"/>
        <v>_</v>
      </c>
      <c r="T419" s="656" t="str">
        <f>+VLOOKUP($L419,Data_Validation!$A:$D,1,0)</f>
        <v>6794</v>
      </c>
      <c r="U419" s="656" t="str">
        <f>+VLOOKUP($L419,Data_Validation!$A:$D,3,0)</f>
        <v>Pièces</v>
      </c>
      <c r="V419" s="656" t="str">
        <f>+VLOOKUP($L419,Data_Validation!$A:$D,4,0)</f>
        <v>Honoraires</v>
      </c>
      <c r="W419" s="656" t="str">
        <f>+VLOOKUP($L419,Data_Validation!$A:$E,5,0)</f>
        <v>$</v>
      </c>
      <c r="X419" s="656">
        <f>+VLOOKUP($L419,Data_Validation!$A:$F,6,0)</f>
        <v>0</v>
      </c>
    </row>
    <row r="420" spans="1:24" ht="15.75" customHeight="1">
      <c r="A420" s="1255" t="s">
        <v>1287</v>
      </c>
      <c r="B420" s="1255" t="s">
        <v>2751</v>
      </c>
      <c r="C420" s="1257">
        <v>-277549</v>
      </c>
      <c r="D420" s="1257">
        <v>-69529</v>
      </c>
      <c r="E420" s="1257">
        <v>-347078</v>
      </c>
      <c r="F420" s="1255" t="s">
        <v>1285</v>
      </c>
      <c r="G420" s="1255" t="s">
        <v>1286</v>
      </c>
      <c r="H420" s="1255" t="s">
        <v>3950</v>
      </c>
      <c r="I420" s="1211"/>
      <c r="J420" s="1211"/>
      <c r="K420" s="1211"/>
      <c r="L420" s="653" t="str">
        <f t="shared" si="196"/>
        <v>9149</v>
      </c>
      <c r="M420" s="654" t="str">
        <f t="shared" si="197"/>
        <v>REVENU RESERVE VOLKS</v>
      </c>
      <c r="N420" s="655">
        <f>+IF(OR($Q420=Parametres!$G$2,$Q420=Parametres!$G$3),I420,C420)</f>
        <v>-277549</v>
      </c>
      <c r="O420" s="655">
        <f>+IF(OR($Q420=Parametres!$G$2,$Q420=Parametres!$G$3),J420,D420)</f>
        <v>-69529</v>
      </c>
      <c r="P420" s="655">
        <f>+IF(OR($Q420=Parametres!$G$2,$Q420=Parametres!$G$3),K420,E420)</f>
        <v>-347078</v>
      </c>
      <c r="Q420" s="654" t="str">
        <f t="shared" si="198"/>
        <v>8-Autres revenus</v>
      </c>
      <c r="R420" s="653" t="str">
        <f t="shared" si="199"/>
        <v>9101</v>
      </c>
      <c r="S420" s="654" t="str">
        <f t="shared" si="200"/>
        <v>_</v>
      </c>
      <c r="T420" s="656" t="str">
        <f>+VLOOKUP($L420,Data_Validation!$A:$D,1,0)</f>
        <v>9149</v>
      </c>
      <c r="U420" s="656" t="str">
        <f>+VLOOKUP($L420,Data_Validation!$A:$D,3,0)</f>
        <v>Véhicules neufs</v>
      </c>
      <c r="V420" s="656" t="str">
        <f>+VLOOKUP($L420,Data_Validation!$A:$D,4,0)</f>
        <v>Holdbacks</v>
      </c>
      <c r="W420" s="656" t="str">
        <f>+VLOOKUP($L420,Data_Validation!$A:$E,5,0)</f>
        <v>$</v>
      </c>
      <c r="X420" s="656">
        <f>+VLOOKUP($L420,Data_Validation!$A:$F,6,0)</f>
        <v>0</v>
      </c>
    </row>
    <row r="421" spans="1:24" ht="15.75" customHeight="1">
      <c r="A421" s="1255" t="s">
        <v>1288</v>
      </c>
      <c r="B421" s="1255" t="s">
        <v>1289</v>
      </c>
      <c r="C421" s="1257">
        <v>-39007.33</v>
      </c>
      <c r="D421" s="1257">
        <v>-7743.24</v>
      </c>
      <c r="E421" s="1257">
        <v>-46750.57</v>
      </c>
      <c r="F421" s="1255" t="s">
        <v>1285</v>
      </c>
      <c r="G421" s="1255" t="s">
        <v>1289</v>
      </c>
      <c r="H421" s="1255" t="s">
        <v>3950</v>
      </c>
      <c r="I421" s="1211"/>
      <c r="J421" s="1211"/>
      <c r="K421" s="1211"/>
      <c r="L421" s="653" t="str">
        <f t="shared" si="196"/>
        <v>9152</v>
      </c>
      <c r="M421" s="654" t="str">
        <f t="shared" si="197"/>
        <v>ESCOMPTES SUR ACHAT PIECES</v>
      </c>
      <c r="N421" s="655">
        <f>+IF(OR($Q421=Parametres!$G$2,$Q421=Parametres!$G$3),I421,C421)</f>
        <v>-39007.33</v>
      </c>
      <c r="O421" s="655">
        <f>+IF(OR($Q421=Parametres!$G$2,$Q421=Parametres!$G$3),J421,D421)</f>
        <v>-7743.24</v>
      </c>
      <c r="P421" s="655">
        <f>+IF(OR($Q421=Parametres!$G$2,$Q421=Parametres!$G$3),K421,E421)</f>
        <v>-46750.57</v>
      </c>
      <c r="Q421" s="654" t="str">
        <f t="shared" si="198"/>
        <v>8-Autres revenus</v>
      </c>
      <c r="R421" s="653" t="str">
        <f t="shared" si="199"/>
        <v>9152</v>
      </c>
      <c r="S421" s="654" t="str">
        <f t="shared" si="200"/>
        <v>_</v>
      </c>
      <c r="T421" s="656" t="str">
        <f>+VLOOKUP($L421,Data_Validation!$A:$D,1,0)</f>
        <v>9152</v>
      </c>
      <c r="U421" s="656" t="str">
        <f>+VLOOKUP($L421,Data_Validation!$A:$D,3,0)</f>
        <v>Pièces</v>
      </c>
      <c r="V421" s="656" t="str">
        <f>+VLOOKUP($L421,Data_Validation!$A:$D,4,0)</f>
        <v>Escomptes</v>
      </c>
      <c r="W421" s="656" t="str">
        <f>+VLOOKUP($L421,Data_Validation!$A:$E,5,0)</f>
        <v>$</v>
      </c>
      <c r="X421" s="656">
        <f>+VLOOKUP($L421,Data_Validation!$A:$F,6,0)</f>
        <v>0</v>
      </c>
    </row>
    <row r="422" spans="1:24" ht="15.75" customHeight="1">
      <c r="A422" s="1255" t="s">
        <v>1290</v>
      </c>
      <c r="B422" s="1255" t="s">
        <v>1291</v>
      </c>
      <c r="C422" s="1257">
        <v>-615.35</v>
      </c>
      <c r="D422" s="1257">
        <v>-637.39</v>
      </c>
      <c r="E422" s="1257">
        <v>-1252.74</v>
      </c>
      <c r="F422" s="1255" t="s">
        <v>1285</v>
      </c>
      <c r="G422" s="1255" t="s">
        <v>1291</v>
      </c>
      <c r="H422" s="1255" t="s">
        <v>3950</v>
      </c>
      <c r="I422" s="1211"/>
      <c r="J422" s="1211"/>
      <c r="K422" s="1211"/>
      <c r="L422" s="653" t="str">
        <f t="shared" si="196"/>
        <v>9161</v>
      </c>
      <c r="M422" s="654" t="str">
        <f t="shared" si="197"/>
        <v>REVENU FIN ET ASS NEUF</v>
      </c>
      <c r="N422" s="655">
        <f>+IF(OR($Q422=Parametres!$G$2,$Q422=Parametres!$G$3),I422,C422)</f>
        <v>-615.35</v>
      </c>
      <c r="O422" s="655">
        <f>+IF(OR($Q422=Parametres!$G$2,$Q422=Parametres!$G$3),J422,D422)</f>
        <v>-637.39</v>
      </c>
      <c r="P422" s="655">
        <f>+IF(OR($Q422=Parametres!$G$2,$Q422=Parametres!$G$3),K422,E422)</f>
        <v>-1252.74</v>
      </c>
      <c r="Q422" s="654" t="str">
        <f t="shared" si="198"/>
        <v>8-Autres revenus</v>
      </c>
      <c r="R422" s="653" t="str">
        <f t="shared" si="199"/>
        <v>9161</v>
      </c>
      <c r="S422" s="654" t="str">
        <f t="shared" si="200"/>
        <v>_</v>
      </c>
      <c r="T422" s="656" t="str">
        <f>+VLOOKUP($L422,Data_Validation!$A:$D,1,0)</f>
        <v>9161</v>
      </c>
      <c r="U422" s="656" t="str">
        <f>+VLOOKUP($L422,Data_Validation!$A:$D,3,0)</f>
        <v>Véhicules neufs</v>
      </c>
      <c r="V422" s="656" t="str">
        <f>+VLOOKUP($L422,Data_Validation!$A:$D,4,0)</f>
        <v>Rev. Finances</v>
      </c>
      <c r="W422" s="656" t="str">
        <f>+VLOOKUP($L422,Data_Validation!$A:$E,5,0)</f>
        <v>$</v>
      </c>
      <c r="X422" s="656" t="str">
        <f>+VLOOKUP($L422,Data_Validation!$A:$F,6,0)</f>
        <v>Oui</v>
      </c>
    </row>
    <row r="423" spans="1:24" ht="15.75" customHeight="1">
      <c r="A423" s="1255" t="s">
        <v>1294</v>
      </c>
      <c r="B423" s="1255" t="s">
        <v>1295</v>
      </c>
      <c r="C423" s="1257">
        <v>-33484.71</v>
      </c>
      <c r="D423" s="1257">
        <v>-10720.79</v>
      </c>
      <c r="E423" s="1257">
        <v>-44205.5</v>
      </c>
      <c r="F423" s="1255" t="s">
        <v>1285</v>
      </c>
      <c r="G423" s="1255" t="s">
        <v>1295</v>
      </c>
      <c r="H423" s="1255" t="s">
        <v>3950</v>
      </c>
      <c r="I423" s="1211"/>
      <c r="J423" s="1211"/>
      <c r="K423" s="1211"/>
      <c r="L423" s="653" t="str">
        <f t="shared" si="196"/>
        <v>9163</v>
      </c>
      <c r="M423" s="654" t="str">
        <f t="shared" si="197"/>
        <v>RESERVE FIN ET ASS VEH OCCASION</v>
      </c>
      <c r="N423" s="655">
        <f>+IF(OR($Q423=Parametres!$G$2,$Q423=Parametres!$G$3),I423,C423)</f>
        <v>-33484.71</v>
      </c>
      <c r="O423" s="655">
        <f>+IF(OR($Q423=Parametres!$G$2,$Q423=Parametres!$G$3),J423,D423)</f>
        <v>-10720.79</v>
      </c>
      <c r="P423" s="655">
        <f>+IF(OR($Q423=Parametres!$G$2,$Q423=Parametres!$G$3),K423,E423)</f>
        <v>-44205.5</v>
      </c>
      <c r="Q423" s="654" t="str">
        <f t="shared" si="198"/>
        <v>8-Autres revenus</v>
      </c>
      <c r="R423" s="653" t="str">
        <f t="shared" si="199"/>
        <v>9163</v>
      </c>
      <c r="S423" s="654" t="str">
        <f t="shared" si="200"/>
        <v>_</v>
      </c>
      <c r="T423" s="656" t="str">
        <f>+VLOOKUP($L423,Data_Validation!$A:$D,1,0)</f>
        <v>9163</v>
      </c>
      <c r="U423" s="656" t="str">
        <f>+VLOOKUP($L423,Data_Validation!$A:$D,3,0)</f>
        <v>Véhicules usagés</v>
      </c>
      <c r="V423" s="656" t="str">
        <f>+VLOOKUP($L423,Data_Validation!$A:$D,4,0)</f>
        <v>Rev. Finances</v>
      </c>
      <c r="W423" s="656" t="str">
        <f>+VLOOKUP($L423,Data_Validation!$A:$E,5,0)</f>
        <v>$</v>
      </c>
      <c r="X423" s="656" t="str">
        <f>+VLOOKUP($L423,Data_Validation!$A:$F,6,0)</f>
        <v>Oui</v>
      </c>
    </row>
    <row r="424" spans="1:24" ht="15.75" customHeight="1">
      <c r="A424" s="1255" t="s">
        <v>1297</v>
      </c>
      <c r="B424" s="1255" t="s">
        <v>2763</v>
      </c>
      <c r="C424" s="1257">
        <v>-760.01</v>
      </c>
      <c r="D424" s="1257">
        <v>-266.63</v>
      </c>
      <c r="E424" s="1257">
        <v>-1026.6400000000001</v>
      </c>
      <c r="F424" s="1255" t="s">
        <v>1285</v>
      </c>
      <c r="G424" s="1255" t="s">
        <v>1291</v>
      </c>
      <c r="H424" s="1255" t="s">
        <v>3950</v>
      </c>
      <c r="I424" s="1211"/>
      <c r="J424" s="1211"/>
      <c r="K424" s="1211"/>
      <c r="L424" s="653" t="str">
        <f t="shared" si="196"/>
        <v>9165</v>
      </c>
      <c r="M424" s="654" t="str">
        <f t="shared" si="197"/>
        <v>REV. ASSURANCES NEUF</v>
      </c>
      <c r="N424" s="655">
        <f>+IF(OR($Q424=Parametres!$G$2,$Q424=Parametres!$G$3),I424,C424)</f>
        <v>-760.01</v>
      </c>
      <c r="O424" s="655">
        <f>+IF(OR($Q424=Parametres!$G$2,$Q424=Parametres!$G$3),J424,D424)</f>
        <v>-266.63</v>
      </c>
      <c r="P424" s="655">
        <f>+IF(OR($Q424=Parametres!$G$2,$Q424=Parametres!$G$3),K424,E424)</f>
        <v>-1026.6400000000001</v>
      </c>
      <c r="Q424" s="654" t="str">
        <f t="shared" si="198"/>
        <v>8-Autres revenus</v>
      </c>
      <c r="R424" s="653" t="str">
        <f t="shared" si="199"/>
        <v>9161</v>
      </c>
      <c r="S424" s="654" t="str">
        <f t="shared" si="200"/>
        <v>_</v>
      </c>
      <c r="T424" s="656" t="str">
        <f>+VLOOKUP($L424,Data_Validation!$A:$D,1,0)</f>
        <v>9165</v>
      </c>
      <c r="U424" s="656" t="str">
        <f>+VLOOKUP($L424,Data_Validation!$A:$D,3,0)</f>
        <v>Véhicules neufs</v>
      </c>
      <c r="V424" s="656" t="str">
        <f>+VLOOKUP($L424,Data_Validation!$A:$D,4,0)</f>
        <v>Rev. Autres</v>
      </c>
      <c r="W424" s="656" t="str">
        <f>+VLOOKUP($L424,Data_Validation!$A:$E,5,0)</f>
        <v>$</v>
      </c>
      <c r="X424" s="656" t="str">
        <f>+VLOOKUP($L424,Data_Validation!$A:$F,6,0)</f>
        <v>Oui</v>
      </c>
    </row>
    <row r="425" spans="1:24" ht="15.75" customHeight="1">
      <c r="A425" s="1255" t="s">
        <v>1298</v>
      </c>
      <c r="B425" s="1255" t="s">
        <v>2766</v>
      </c>
      <c r="C425" s="1257">
        <v>-2895.15</v>
      </c>
      <c r="D425" s="1257">
        <v>-1208.73</v>
      </c>
      <c r="E425" s="1257">
        <v>-4103.88</v>
      </c>
      <c r="F425" s="1255" t="s">
        <v>1285</v>
      </c>
      <c r="G425" s="1255" t="s">
        <v>1295</v>
      </c>
      <c r="H425" s="1255" t="s">
        <v>3950</v>
      </c>
      <c r="I425" s="1211"/>
      <c r="J425" s="1211"/>
      <c r="K425" s="1211"/>
      <c r="L425" s="653" t="str">
        <f t="shared" si="196"/>
        <v>9167</v>
      </c>
      <c r="M425" s="654" t="str">
        <f t="shared" si="197"/>
        <v>REV ASSURANCE USAGE</v>
      </c>
      <c r="N425" s="655">
        <f>+IF(OR($Q425=Parametres!$G$2,$Q425=Parametres!$G$3),I425,C425)</f>
        <v>-2895.15</v>
      </c>
      <c r="O425" s="655">
        <f>+IF(OR($Q425=Parametres!$G$2,$Q425=Parametres!$G$3),J425,D425)</f>
        <v>-1208.73</v>
      </c>
      <c r="P425" s="655">
        <f>+IF(OR($Q425=Parametres!$G$2,$Q425=Parametres!$G$3),K425,E425)</f>
        <v>-4103.88</v>
      </c>
      <c r="Q425" s="654" t="str">
        <f t="shared" si="198"/>
        <v>8-Autres revenus</v>
      </c>
      <c r="R425" s="653" t="str">
        <f t="shared" si="199"/>
        <v>9163</v>
      </c>
      <c r="S425" s="654" t="str">
        <f t="shared" si="200"/>
        <v>_</v>
      </c>
      <c r="T425" s="656" t="str">
        <f>+VLOOKUP($L425,Data_Validation!$A:$D,1,0)</f>
        <v>9167</v>
      </c>
      <c r="U425" s="656" t="str">
        <f>+VLOOKUP($L425,Data_Validation!$A:$D,3,0)</f>
        <v>Véhicules usagés</v>
      </c>
      <c r="V425" s="656" t="str">
        <f>+VLOOKUP($L425,Data_Validation!$A:$D,4,0)</f>
        <v>Rev. Autres</v>
      </c>
      <c r="W425" s="656" t="str">
        <f>+VLOOKUP($L425,Data_Validation!$A:$E,5,0)</f>
        <v>$</v>
      </c>
      <c r="X425" s="656" t="str">
        <f>+VLOOKUP($L425,Data_Validation!$A:$F,6,0)</f>
        <v>Oui</v>
      </c>
    </row>
    <row r="426" spans="1:24" ht="15.75" customHeight="1">
      <c r="A426" s="1255" t="s">
        <v>1301</v>
      </c>
      <c r="B426" s="1255" t="s">
        <v>2769</v>
      </c>
      <c r="C426" s="1257">
        <v>-34381</v>
      </c>
      <c r="D426" s="1257">
        <v>-11226</v>
      </c>
      <c r="E426" s="1257">
        <v>-45607</v>
      </c>
      <c r="F426" s="1255" t="s">
        <v>1285</v>
      </c>
      <c r="G426" s="1255" t="s">
        <v>1291</v>
      </c>
      <c r="H426" s="1255" t="s">
        <v>3950</v>
      </c>
      <c r="I426" s="1211"/>
      <c r="J426" s="1211"/>
      <c r="K426" s="1211"/>
      <c r="L426" s="653" t="str">
        <f t="shared" si="196"/>
        <v>9169</v>
      </c>
      <c r="M426" s="654" t="str">
        <f t="shared" si="197"/>
        <v>REV GARANTIE PROLONGEE NEUF</v>
      </c>
      <c r="N426" s="655">
        <f>+IF(OR($Q426=Parametres!$G$2,$Q426=Parametres!$G$3),I426,C426)</f>
        <v>-34381</v>
      </c>
      <c r="O426" s="655">
        <f>+IF(OR($Q426=Parametres!$G$2,$Q426=Parametres!$G$3),J426,D426)</f>
        <v>-11226</v>
      </c>
      <c r="P426" s="655">
        <f>+IF(OR($Q426=Parametres!$G$2,$Q426=Parametres!$G$3),K426,E426)</f>
        <v>-45607</v>
      </c>
      <c r="Q426" s="654" t="str">
        <f t="shared" si="198"/>
        <v>8-Autres revenus</v>
      </c>
      <c r="R426" s="653" t="str">
        <f t="shared" si="199"/>
        <v>9161</v>
      </c>
      <c r="S426" s="654" t="str">
        <f t="shared" si="200"/>
        <v>_</v>
      </c>
      <c r="T426" s="656" t="str">
        <f>+VLOOKUP($L426,Data_Validation!$A:$D,1,0)</f>
        <v>9169</v>
      </c>
      <c r="U426" s="656" t="str">
        <f>+VLOOKUP($L426,Data_Validation!$A:$D,3,0)</f>
        <v>Véhicules neufs</v>
      </c>
      <c r="V426" s="656" t="str">
        <f>+VLOOKUP($L426,Data_Validation!$A:$D,4,0)</f>
        <v>Rev. Protections</v>
      </c>
      <c r="W426" s="656" t="str">
        <f>+VLOOKUP($L426,Data_Validation!$A:$E,5,0)</f>
        <v>$</v>
      </c>
      <c r="X426" s="656" t="str">
        <f>+VLOOKUP($L426,Data_Validation!$A:$F,6,0)</f>
        <v>Oui</v>
      </c>
    </row>
    <row r="427" spans="1:24" ht="15.75" customHeight="1">
      <c r="A427" s="1255" t="s">
        <v>1302</v>
      </c>
      <c r="B427" s="1255" t="s">
        <v>2772</v>
      </c>
      <c r="C427" s="1257">
        <v>-143463.9</v>
      </c>
      <c r="D427" s="1257">
        <v>-50921.98</v>
      </c>
      <c r="E427" s="1257">
        <v>-194385.88</v>
      </c>
      <c r="F427" s="1255" t="s">
        <v>1285</v>
      </c>
      <c r="G427" s="1255" t="s">
        <v>1291</v>
      </c>
      <c r="H427" s="1255" t="s">
        <v>3950</v>
      </c>
      <c r="I427" s="1211"/>
      <c r="J427" s="1211"/>
      <c r="K427" s="1211"/>
      <c r="L427" s="653" t="str">
        <f t="shared" si="196"/>
        <v>9170</v>
      </c>
      <c r="M427" s="654" t="str">
        <f t="shared" si="197"/>
        <v>PROFIT PROTECTIONS - NEUFS</v>
      </c>
      <c r="N427" s="655">
        <f>+IF(OR($Q427=Parametres!$G$2,$Q427=Parametres!$G$3),I427,C427)</f>
        <v>-143463.9</v>
      </c>
      <c r="O427" s="655">
        <f>+IF(OR($Q427=Parametres!$G$2,$Q427=Parametres!$G$3),J427,D427)</f>
        <v>-50921.98</v>
      </c>
      <c r="P427" s="655">
        <f>+IF(OR($Q427=Parametres!$G$2,$Q427=Parametres!$G$3),K427,E427)</f>
        <v>-194385.88</v>
      </c>
      <c r="Q427" s="654" t="str">
        <f t="shared" si="198"/>
        <v>8-Autres revenus</v>
      </c>
      <c r="R427" s="653" t="str">
        <f t="shared" si="199"/>
        <v>9161</v>
      </c>
      <c r="S427" s="654" t="str">
        <f t="shared" si="200"/>
        <v>_</v>
      </c>
      <c r="T427" s="656" t="str">
        <f>+VLOOKUP($L427,Data_Validation!$A:$D,1,0)</f>
        <v>9170</v>
      </c>
      <c r="U427" s="656" t="str">
        <f>+VLOOKUP($L427,Data_Validation!$A:$D,3,0)</f>
        <v>Véhicules neufs</v>
      </c>
      <c r="V427" s="656" t="str">
        <f>+VLOOKUP($L427,Data_Validation!$A:$D,4,0)</f>
        <v>Rev. Protections</v>
      </c>
      <c r="W427" s="656" t="str">
        <f>+VLOOKUP($L427,Data_Validation!$A:$E,5,0)</f>
        <v>$</v>
      </c>
      <c r="X427" s="656" t="str">
        <f>+VLOOKUP($L427,Data_Validation!$A:$F,6,0)</f>
        <v>Oui</v>
      </c>
    </row>
    <row r="428" spans="1:24" ht="15.75" customHeight="1">
      <c r="A428" s="1255" t="s">
        <v>1303</v>
      </c>
      <c r="B428" s="1255" t="s">
        <v>2775</v>
      </c>
      <c r="C428" s="1257">
        <v>-102704.05</v>
      </c>
      <c r="D428" s="1257">
        <v>-32354.1</v>
      </c>
      <c r="E428" s="1257">
        <v>-135058.15</v>
      </c>
      <c r="F428" s="1255" t="s">
        <v>1285</v>
      </c>
      <c r="G428" s="1255" t="s">
        <v>1295</v>
      </c>
      <c r="H428" s="1255" t="s">
        <v>3950</v>
      </c>
      <c r="I428" s="1211"/>
      <c r="J428" s="1211"/>
      <c r="K428" s="1211"/>
      <c r="L428" s="653" t="str">
        <f t="shared" si="196"/>
        <v>9171</v>
      </c>
      <c r="M428" s="654" t="str">
        <f t="shared" si="197"/>
        <v>REV GARANTIE PROLONGEE USAGE</v>
      </c>
      <c r="N428" s="655">
        <f>+IF(OR($Q428=Parametres!$G$2,$Q428=Parametres!$G$3),I428,C428)</f>
        <v>-102704.05</v>
      </c>
      <c r="O428" s="655">
        <f>+IF(OR($Q428=Parametres!$G$2,$Q428=Parametres!$G$3),J428,D428)</f>
        <v>-32354.1</v>
      </c>
      <c r="P428" s="655">
        <f>+IF(OR($Q428=Parametres!$G$2,$Q428=Parametres!$G$3),K428,E428)</f>
        <v>-135058.15</v>
      </c>
      <c r="Q428" s="654" t="str">
        <f t="shared" si="198"/>
        <v>8-Autres revenus</v>
      </c>
      <c r="R428" s="653" t="str">
        <f t="shared" si="199"/>
        <v>9163</v>
      </c>
      <c r="S428" s="654" t="str">
        <f t="shared" si="200"/>
        <v>_</v>
      </c>
      <c r="T428" s="656" t="str">
        <f>+VLOOKUP($L428,Data_Validation!$A:$D,1,0)</f>
        <v>9171</v>
      </c>
      <c r="U428" s="656" t="str">
        <f>+VLOOKUP($L428,Data_Validation!$A:$D,3,0)</f>
        <v>Véhicules usagés</v>
      </c>
      <c r="V428" s="656" t="str">
        <f>+VLOOKUP($L428,Data_Validation!$A:$D,4,0)</f>
        <v>Rev. Protections</v>
      </c>
      <c r="W428" s="656" t="str">
        <f>+VLOOKUP($L428,Data_Validation!$A:$E,5,0)</f>
        <v>$</v>
      </c>
      <c r="X428" s="656" t="str">
        <f>+VLOOKUP($L428,Data_Validation!$A:$F,6,0)</f>
        <v>Oui</v>
      </c>
    </row>
    <row r="429" spans="1:24" ht="15.75" customHeight="1">
      <c r="A429" s="1255" t="s">
        <v>1306</v>
      </c>
      <c r="B429" s="1255" t="s">
        <v>2778</v>
      </c>
      <c r="C429" s="1257">
        <v>-49298.63</v>
      </c>
      <c r="D429" s="1257">
        <v>-16560.47</v>
      </c>
      <c r="E429" s="1257">
        <v>-65859.100000000006</v>
      </c>
      <c r="F429" s="1255" t="s">
        <v>1285</v>
      </c>
      <c r="G429" s="1255" t="s">
        <v>1295</v>
      </c>
      <c r="H429" s="1255" t="s">
        <v>3950</v>
      </c>
      <c r="I429" s="1212"/>
      <c r="J429" s="1212"/>
      <c r="K429" s="1212"/>
      <c r="L429" s="653" t="str">
        <f t="shared" si="196"/>
        <v>9172</v>
      </c>
      <c r="M429" s="654" t="str">
        <f t="shared" si="197"/>
        <v>PROFIT PROTECTIONS - USAGES</v>
      </c>
      <c r="N429" s="655">
        <f>+IF(OR($Q429=Parametres!$G$2,$Q429=Parametres!$G$3),I429,C429)</f>
        <v>-49298.63</v>
      </c>
      <c r="O429" s="655">
        <f>+IF(OR($Q429=Parametres!$G$2,$Q429=Parametres!$G$3),J429,D429)</f>
        <v>-16560.47</v>
      </c>
      <c r="P429" s="655">
        <f>+IF(OR($Q429=Parametres!$G$2,$Q429=Parametres!$G$3),K429,E429)</f>
        <v>-65859.100000000006</v>
      </c>
      <c r="Q429" s="654" t="str">
        <f t="shared" si="198"/>
        <v>8-Autres revenus</v>
      </c>
      <c r="R429" s="653" t="str">
        <f t="shared" si="199"/>
        <v>9163</v>
      </c>
      <c r="S429" s="654" t="str">
        <f t="shared" si="200"/>
        <v>_</v>
      </c>
      <c r="T429" s="656" t="str">
        <f>+VLOOKUP($L429,Data_Validation!$A:$D,1,0)</f>
        <v>9172</v>
      </c>
      <c r="U429" s="656" t="str">
        <f>+VLOOKUP($L429,Data_Validation!$A:$D,3,0)</f>
        <v>Véhicules usagés</v>
      </c>
      <c r="V429" s="656" t="str">
        <f>+VLOOKUP($L429,Data_Validation!$A:$D,4,0)</f>
        <v>Rev. Protections</v>
      </c>
      <c r="W429" s="656" t="str">
        <f>+VLOOKUP($L429,Data_Validation!$A:$E,5,0)</f>
        <v>$</v>
      </c>
      <c r="X429" s="656" t="str">
        <f>+VLOOKUP($L429,Data_Validation!$A:$F,6,0)</f>
        <v>Oui</v>
      </c>
    </row>
    <row r="430" spans="1:24" ht="15.75" customHeight="1">
      <c r="A430" s="1255" t="s">
        <v>1309</v>
      </c>
      <c r="B430" s="1255" t="s">
        <v>2781</v>
      </c>
      <c r="C430" s="1257">
        <v>-88575</v>
      </c>
      <c r="D430" s="1257">
        <v>-26496</v>
      </c>
      <c r="E430" s="1257">
        <v>-115071</v>
      </c>
      <c r="F430" s="1255" t="s">
        <v>1285</v>
      </c>
      <c r="G430" s="1255" t="s">
        <v>1310</v>
      </c>
      <c r="H430" s="1255" t="s">
        <v>3950</v>
      </c>
      <c r="I430" s="1212"/>
      <c r="J430" s="1212"/>
      <c r="K430" s="1212"/>
      <c r="L430" s="653" t="str">
        <f t="shared" si="196"/>
        <v>9173</v>
      </c>
      <c r="M430" s="654" t="str">
        <f t="shared" si="197"/>
        <v>FRAIS ADMIN. VOLKS</v>
      </c>
      <c r="N430" s="655">
        <f>+IF(OR($Q430=Parametres!$G$2,$Q430=Parametres!$G$3),I430,C430)</f>
        <v>-88575</v>
      </c>
      <c r="O430" s="655">
        <f>+IF(OR($Q430=Parametres!$G$2,$Q430=Parametres!$G$3),J430,D430)</f>
        <v>-26496</v>
      </c>
      <c r="P430" s="655">
        <f>+IF(OR($Q430=Parametres!$G$2,$Q430=Parametres!$G$3),K430,E430)</f>
        <v>-115071</v>
      </c>
      <c r="Q430" s="654" t="str">
        <f t="shared" si="198"/>
        <v>8-Autres revenus</v>
      </c>
      <c r="R430" s="653" t="str">
        <f t="shared" si="199"/>
        <v>9191</v>
      </c>
      <c r="S430" s="654" t="str">
        <f t="shared" si="200"/>
        <v>_</v>
      </c>
      <c r="T430" s="656" t="str">
        <f>+VLOOKUP($L430,Data_Validation!$A:$D,1,0)</f>
        <v>9173</v>
      </c>
      <c r="U430" s="656" t="str">
        <f>+VLOOKUP($L430,Data_Validation!$A:$D,3,0)</f>
        <v>Véhicules neufs</v>
      </c>
      <c r="V430" s="656" t="str">
        <f>+VLOOKUP($L430,Data_Validation!$A:$D,4,0)</f>
        <v>Frais administration</v>
      </c>
      <c r="W430" s="656" t="str">
        <f>+VLOOKUP($L430,Data_Validation!$A:$E,5,0)</f>
        <v>$</v>
      </c>
      <c r="X430" s="656">
        <f>+VLOOKUP($L430,Data_Validation!$A:$F,6,0)</f>
        <v>0</v>
      </c>
    </row>
    <row r="431" spans="1:24" ht="15.75" customHeight="1">
      <c r="A431" s="1255" t="s">
        <v>1311</v>
      </c>
      <c r="B431" s="1255" t="s">
        <v>3404</v>
      </c>
      <c r="C431" s="1257">
        <v>-47976</v>
      </c>
      <c r="D431" s="1257">
        <v>-14061</v>
      </c>
      <c r="E431" s="1257">
        <v>-62037</v>
      </c>
      <c r="F431" s="1255" t="s">
        <v>1285</v>
      </c>
      <c r="G431" s="1255" t="s">
        <v>1310</v>
      </c>
      <c r="H431" s="1255" t="s">
        <v>3950</v>
      </c>
      <c r="I431" s="1212"/>
      <c r="J431" s="1212"/>
      <c r="K431" s="1212"/>
      <c r="L431" s="653" t="str">
        <f t="shared" si="196"/>
        <v>9174</v>
      </c>
      <c r="M431" s="654" t="str">
        <f t="shared" si="197"/>
        <v>FRAIS ADMIN. VW USAGE</v>
      </c>
      <c r="N431" s="655">
        <f>+IF(OR($Q431=Parametres!$G$2,$Q431=Parametres!$G$3),I431,C431)</f>
        <v>-47976</v>
      </c>
      <c r="O431" s="655">
        <f>+IF(OR($Q431=Parametres!$G$2,$Q431=Parametres!$G$3),J431,D431)</f>
        <v>-14061</v>
      </c>
      <c r="P431" s="655">
        <f>+IF(OR($Q431=Parametres!$G$2,$Q431=Parametres!$G$3),K431,E431)</f>
        <v>-62037</v>
      </c>
      <c r="Q431" s="654" t="str">
        <f t="shared" si="198"/>
        <v>8-Autres revenus</v>
      </c>
      <c r="R431" s="653" t="str">
        <f t="shared" si="199"/>
        <v>9191</v>
      </c>
      <c r="S431" s="654" t="str">
        <f t="shared" si="200"/>
        <v>_</v>
      </c>
      <c r="T431" s="656" t="str">
        <f>+VLOOKUP($L431,Data_Validation!$A:$D,1,0)</f>
        <v>9174</v>
      </c>
      <c r="U431" s="656" t="str">
        <f>+VLOOKUP($L431,Data_Validation!$A:$D,3,0)</f>
        <v>Véhicules usagés</v>
      </c>
      <c r="V431" s="656" t="str">
        <f>+VLOOKUP($L431,Data_Validation!$A:$D,4,0)</f>
        <v>Frais administration</v>
      </c>
      <c r="W431" s="656" t="str">
        <f>+VLOOKUP($L431,Data_Validation!$A:$E,5,0)</f>
        <v>$</v>
      </c>
      <c r="X431" s="656">
        <f>+VLOOKUP($L431,Data_Validation!$A:$F,6,0)</f>
        <v>0</v>
      </c>
    </row>
    <row r="432" spans="1:24" ht="15.75" customHeight="1">
      <c r="A432" s="1255" t="s">
        <v>1312</v>
      </c>
      <c r="B432" s="1255" t="s">
        <v>1310</v>
      </c>
      <c r="C432" s="1257">
        <v>-72094.77</v>
      </c>
      <c r="D432" s="1257">
        <v>-3399.74</v>
      </c>
      <c r="E432" s="1257">
        <v>-75494.509999999995</v>
      </c>
      <c r="F432" s="1255" t="s">
        <v>1285</v>
      </c>
      <c r="G432" s="1255" t="s">
        <v>1310</v>
      </c>
      <c r="H432" s="1255" t="s">
        <v>3950</v>
      </c>
      <c r="I432" s="1212"/>
      <c r="J432" s="1212"/>
      <c r="K432" s="1212"/>
      <c r="L432" s="653" t="str">
        <f t="shared" si="196"/>
        <v>9191</v>
      </c>
      <c r="M432" s="654" t="str">
        <f t="shared" si="197"/>
        <v>REVENUS DIVERS</v>
      </c>
      <c r="N432" s="655">
        <f>+IF(OR($Q432=Parametres!$G$2,$Q432=Parametres!$G$3),I432,C432)</f>
        <v>-72094.77</v>
      </c>
      <c r="O432" s="655">
        <f>+IF(OR($Q432=Parametres!$G$2,$Q432=Parametres!$G$3),J432,D432)</f>
        <v>-3399.74</v>
      </c>
      <c r="P432" s="655">
        <f>+IF(OR($Q432=Parametres!$G$2,$Q432=Parametres!$G$3),K432,E432)</f>
        <v>-75494.509999999995</v>
      </c>
      <c r="Q432" s="654" t="str">
        <f t="shared" si="198"/>
        <v>8-Autres revenus</v>
      </c>
      <c r="R432" s="653" t="str">
        <f t="shared" si="199"/>
        <v>9191</v>
      </c>
      <c r="S432" s="654" t="str">
        <f t="shared" si="200"/>
        <v>_</v>
      </c>
      <c r="T432" s="656" t="str">
        <f>+VLOOKUP($L432,Data_Validation!$A:$D,1,0)</f>
        <v>9191</v>
      </c>
      <c r="U432" s="656" t="str">
        <f>+VLOOKUP($L432,Data_Validation!$A:$D,3,0)</f>
        <v>TOTAL  DES  REVENUS  ET  DÉPENSES</v>
      </c>
      <c r="V432" s="656" t="str">
        <f>+VLOOKUP($L432,Data_Validation!$A:$D,4,0)</f>
        <v>Revenus autres</v>
      </c>
      <c r="W432" s="656" t="str">
        <f>+VLOOKUP($L432,Data_Validation!$A:$E,5,0)</f>
        <v>$</v>
      </c>
      <c r="X432" s="656">
        <f>+VLOOKUP($L432,Data_Validation!$A:$F,6,0)</f>
        <v>0</v>
      </c>
    </row>
    <row r="433" spans="1:24" ht="15.75" customHeight="1">
      <c r="A433" s="1255" t="s">
        <v>3891</v>
      </c>
      <c r="B433" s="1255" t="s">
        <v>3892</v>
      </c>
      <c r="C433" s="1257">
        <v>-4316</v>
      </c>
      <c r="D433" s="1257">
        <v>-1079</v>
      </c>
      <c r="E433" s="1257">
        <v>-5395</v>
      </c>
      <c r="F433" s="1255" t="s">
        <v>1314</v>
      </c>
      <c r="G433" s="1255" t="s">
        <v>3914</v>
      </c>
      <c r="H433" s="1255" t="s">
        <v>3950</v>
      </c>
      <c r="I433" s="1256"/>
      <c r="J433" s="1256"/>
      <c r="K433" s="1256"/>
      <c r="L433" s="653" t="str">
        <f t="shared" si="196"/>
        <v>9405</v>
      </c>
      <c r="M433" s="654" t="str">
        <f t="shared" si="197"/>
        <v>Revenus d'interets floor plan</v>
      </c>
      <c r="N433" s="655">
        <f>+IF(OR($Q433=Parametres!$G$2,$Q433=Parametres!$G$3),I433,C433)</f>
        <v>-4316</v>
      </c>
      <c r="O433" s="655">
        <f>+IF(OR($Q433=Parametres!$G$2,$Q433=Parametres!$G$3),J433,D433)</f>
        <v>-1079</v>
      </c>
      <c r="P433" s="655">
        <f>+IF(OR($Q433=Parametres!$G$2,$Q433=Parametres!$G$3),K433,E433)</f>
        <v>-5395</v>
      </c>
      <c r="Q433" s="654" t="str">
        <f t="shared" si="198"/>
        <v>9-Autres déductions</v>
      </c>
      <c r="R433" s="653" t="str">
        <f t="shared" si="199"/>
        <v>940</v>
      </c>
      <c r="S433" s="654" t="str">
        <f t="shared" si="200"/>
        <v>_</v>
      </c>
      <c r="T433" s="656" t="str">
        <f>+VLOOKUP($L433,Data_Validation!$A:$D,1,0)</f>
        <v>9405</v>
      </c>
      <c r="U433" s="656" t="str">
        <f>+VLOOKUP($L433,Data_Validation!$A:$D,3,0)</f>
        <v>Autres</v>
      </c>
      <c r="V433" s="656" t="str">
        <f>+VLOOKUP($L433,Data_Validation!$A:$D,4,0)</f>
        <v>Revenus d'intérêts floor plan</v>
      </c>
      <c r="W433" s="656" t="str">
        <f>+VLOOKUP($L433,Data_Validation!$A:$E,5,0)</f>
        <v>$</v>
      </c>
      <c r="X433" s="656">
        <f>+VLOOKUP($L433,Data_Validation!$A:$F,6,0)</f>
        <v>0</v>
      </c>
    </row>
    <row r="434" spans="1:24" ht="15.75" customHeight="1">
      <c r="A434" s="1255" t="s">
        <v>1299</v>
      </c>
      <c r="B434" s="1255" t="s">
        <v>1300</v>
      </c>
      <c r="C434" s="1256"/>
      <c r="D434" s="1256"/>
      <c r="E434" s="1256"/>
      <c r="F434" s="1255" t="s">
        <v>7</v>
      </c>
      <c r="G434" s="1255" t="s">
        <v>1295</v>
      </c>
      <c r="H434" s="1255" t="s">
        <v>3950</v>
      </c>
      <c r="I434" s="1257">
        <v>-8</v>
      </c>
      <c r="J434" s="1257">
        <v>-3</v>
      </c>
      <c r="K434" s="1257">
        <v>-11</v>
      </c>
      <c r="L434" s="653" t="str">
        <f t="shared" si="196"/>
        <v>9167@</v>
      </c>
      <c r="M434" s="654" t="str">
        <f t="shared" si="197"/>
        <v>ASSURANCE VIE USAGE</v>
      </c>
      <c r="N434" s="655">
        <f>+IF(OR($Q434=Parametres!$G$2,$Q434=Parametres!$G$3),I434,C434)</f>
        <v>-8</v>
      </c>
      <c r="O434" s="655">
        <f>+IF(OR($Q434=Parametres!$G$2,$Q434=Parametres!$G$3),J434,D434)</f>
        <v>-3</v>
      </c>
      <c r="P434" s="655">
        <f>+IF(OR($Q434=Parametres!$G$2,$Q434=Parametres!$G$3),K434,E434)</f>
        <v>-11</v>
      </c>
      <c r="Q434" s="654" t="str">
        <f t="shared" si="198"/>
        <v>10-Compte compteur</v>
      </c>
      <c r="R434" s="653" t="str">
        <f t="shared" si="199"/>
        <v>9163</v>
      </c>
      <c r="S434" s="654" t="str">
        <f t="shared" si="200"/>
        <v>_</v>
      </c>
      <c r="T434" s="656" t="str">
        <f>+VLOOKUP($L434,Data_Validation!$A:$D,1,0)</f>
        <v>9167@</v>
      </c>
      <c r="U434" s="656" t="str">
        <f>+VLOOKUP($L434,Data_Validation!$A:$D,3,0)</f>
        <v>Véhicules usagés</v>
      </c>
      <c r="V434" s="656">
        <f>+VLOOKUP($L434,Data_Validation!$A:$D,4,0)</f>
        <v>0</v>
      </c>
      <c r="W434" s="656" t="str">
        <f>+VLOOKUP($L434,Data_Validation!$A:$E,5,0)</f>
        <v>NB</v>
      </c>
      <c r="X434" s="656">
        <f>+VLOOKUP($L434,Data_Validation!$A:$F,6,0)</f>
        <v>0</v>
      </c>
    </row>
    <row r="435" spans="1:24" ht="15.75" customHeight="1">
      <c r="A435" s="1255" t="s">
        <v>3345</v>
      </c>
      <c r="B435" s="1255" t="s">
        <v>3346</v>
      </c>
      <c r="C435" s="1256"/>
      <c r="D435" s="1256"/>
      <c r="E435" s="1256"/>
      <c r="F435" s="1255" t="s">
        <v>7</v>
      </c>
      <c r="G435" s="1255" t="s">
        <v>1291</v>
      </c>
      <c r="H435" s="1255" t="s">
        <v>3950</v>
      </c>
      <c r="I435" s="1257">
        <v>-26</v>
      </c>
      <c r="J435" s="1257">
        <v>-9</v>
      </c>
      <c r="K435" s="1257">
        <v>-35</v>
      </c>
      <c r="L435" s="653" t="str">
        <f t="shared" si="196"/>
        <v>9169@</v>
      </c>
      <c r="M435" s="654" t="str">
        <f t="shared" si="197"/>
        <v>VENTES PEINTURE</v>
      </c>
      <c r="N435" s="655">
        <f>+IF(OR($Q435=Parametres!$G$2,$Q435=Parametres!$G$3),I435,C435)</f>
        <v>-26</v>
      </c>
      <c r="O435" s="655">
        <f>+IF(OR($Q435=Parametres!$G$2,$Q435=Parametres!$G$3),J435,D435)</f>
        <v>-9</v>
      </c>
      <c r="P435" s="655">
        <f>+IF(OR($Q435=Parametres!$G$2,$Q435=Parametres!$G$3),K435,E435)</f>
        <v>-35</v>
      </c>
      <c r="Q435" s="654" t="str">
        <f t="shared" si="198"/>
        <v>10-Compte compteur</v>
      </c>
      <c r="R435" s="653" t="str">
        <f t="shared" si="199"/>
        <v>9161</v>
      </c>
      <c r="S435" s="654" t="str">
        <f t="shared" si="200"/>
        <v>_</v>
      </c>
      <c r="T435" s="656" t="str">
        <f>+VLOOKUP($L435,Data_Validation!$A:$D,1,0)</f>
        <v>9169@</v>
      </c>
      <c r="U435" s="656">
        <f>+VLOOKUP($L435,Data_Validation!$A:$D,3,0)</f>
        <v>0</v>
      </c>
      <c r="V435" s="656">
        <f>+VLOOKUP($L435,Data_Validation!$A:$D,4,0)</f>
        <v>0</v>
      </c>
      <c r="W435" s="656" t="str">
        <f>+VLOOKUP($L435,Data_Validation!$A:$E,5,0)</f>
        <v>NB</v>
      </c>
      <c r="X435" s="656">
        <f>+VLOOKUP($L435,Data_Validation!$A:$F,6,0)</f>
        <v>0</v>
      </c>
    </row>
    <row r="436" spans="1:24" ht="15.75" customHeight="1">
      <c r="A436" s="1255" t="s">
        <v>1304</v>
      </c>
      <c r="B436" s="1255" t="s">
        <v>1305</v>
      </c>
      <c r="C436" s="1256"/>
      <c r="D436" s="1256"/>
      <c r="E436" s="1256"/>
      <c r="F436" s="1255" t="s">
        <v>7</v>
      </c>
      <c r="G436" s="1255" t="s">
        <v>1295</v>
      </c>
      <c r="H436" s="1255" t="s">
        <v>3950</v>
      </c>
      <c r="I436" s="1257">
        <v>-63</v>
      </c>
      <c r="J436" s="1257">
        <v>-18</v>
      </c>
      <c r="K436" s="1257">
        <v>-81</v>
      </c>
      <c r="L436" s="653" t="str">
        <f t="shared" si="196"/>
        <v>9171@</v>
      </c>
      <c r="M436" s="654" t="str">
        <f t="shared" si="197"/>
        <v>VENTE CHIMIQUE USAGE</v>
      </c>
      <c r="N436" s="655">
        <f>+IF(OR($Q436=Parametres!$G$2,$Q436=Parametres!$G$3),I436,C436)</f>
        <v>-63</v>
      </c>
      <c r="O436" s="655">
        <f>+IF(OR($Q436=Parametres!$G$2,$Q436=Parametres!$G$3),J436,D436)</f>
        <v>-18</v>
      </c>
      <c r="P436" s="655">
        <f>+IF(OR($Q436=Parametres!$G$2,$Q436=Parametres!$G$3),K436,E436)</f>
        <v>-81</v>
      </c>
      <c r="Q436" s="654" t="str">
        <f t="shared" si="198"/>
        <v>10-Compte compteur</v>
      </c>
      <c r="R436" s="653" t="str">
        <f t="shared" si="199"/>
        <v>9163</v>
      </c>
      <c r="S436" s="654" t="str">
        <f t="shared" si="200"/>
        <v>_</v>
      </c>
      <c r="T436" s="656" t="str">
        <f>+VLOOKUP($L436,Data_Validation!$A:$D,1,0)</f>
        <v>9171@</v>
      </c>
      <c r="U436" s="656" t="str">
        <f>+VLOOKUP($L436,Data_Validation!$A:$D,3,0)</f>
        <v>Véhicules usagés</v>
      </c>
      <c r="V436" s="656">
        <f>+VLOOKUP($L436,Data_Validation!$A:$D,4,0)</f>
        <v>0</v>
      </c>
      <c r="W436" s="656" t="str">
        <f>+VLOOKUP($L436,Data_Validation!$A:$E,5,0)</f>
        <v>NB</v>
      </c>
      <c r="X436" s="656">
        <f>+VLOOKUP($L436,Data_Validation!$A:$F,6,0)</f>
        <v>0</v>
      </c>
    </row>
    <row r="437" spans="1:24" ht="15.75" customHeight="1">
      <c r="A437" s="1255" t="s">
        <v>842</v>
      </c>
      <c r="B437" s="1255" t="s">
        <v>843</v>
      </c>
      <c r="C437" s="1256"/>
      <c r="D437" s="1256"/>
      <c r="E437" s="1256"/>
      <c r="F437" s="1255" t="s">
        <v>7</v>
      </c>
      <c r="G437" s="1255" t="s">
        <v>841</v>
      </c>
      <c r="H437" s="1255" t="s">
        <v>3950</v>
      </c>
      <c r="I437" s="1257">
        <v>80</v>
      </c>
      <c r="J437" s="1257">
        <v>-33</v>
      </c>
      <c r="K437" s="1257">
        <v>47</v>
      </c>
      <c r="L437" s="653" t="str">
        <f t="shared" si="196"/>
        <v>1402@</v>
      </c>
      <c r="M437" s="654" t="str">
        <f t="shared" si="197"/>
        <v># DE INVENTAIRE VEH.NEUFS VW</v>
      </c>
      <c r="N437" s="655">
        <f>+IF(OR($Q437=Parametres!$G$2,$Q437=Parametres!$G$3),I437,C437)</f>
        <v>80</v>
      </c>
      <c r="O437" s="655">
        <f>+IF(OR($Q437=Parametres!$G$2,$Q437=Parametres!$G$3),J437,D437)</f>
        <v>-33</v>
      </c>
      <c r="P437" s="655">
        <f>+IF(OR($Q437=Parametres!$G$2,$Q437=Parametres!$G$3),K437,E437)</f>
        <v>47</v>
      </c>
      <c r="Q437" s="654" t="str">
        <f t="shared" si="198"/>
        <v>10-Compte compteur</v>
      </c>
      <c r="R437" s="653" t="str">
        <f t="shared" si="199"/>
        <v>1402</v>
      </c>
      <c r="S437" s="654" t="str">
        <f t="shared" si="200"/>
        <v>_</v>
      </c>
      <c r="T437" s="656" t="str">
        <f>+VLOOKUP($L437,Data_Validation!$A:$D,1,0)</f>
        <v>1402@</v>
      </c>
      <c r="U437" s="656" t="str">
        <f>+VLOOKUP($L437,Data_Validation!$A:$D,3,0)</f>
        <v>Bilan</v>
      </c>
      <c r="V437" s="656">
        <f>+VLOOKUP($L437,Data_Validation!$A:$D,4,0)</f>
        <v>0</v>
      </c>
      <c r="W437" s="656" t="str">
        <f>+VLOOKUP($L437,Data_Validation!$A:$E,5,0)</f>
        <v>NB</v>
      </c>
      <c r="X437" s="656">
        <f>+VLOOKUP($L437,Data_Validation!$A:$F,6,0)</f>
        <v>0</v>
      </c>
    </row>
    <row r="438" spans="1:24" ht="15.75" customHeight="1">
      <c r="A438" s="1255" t="s">
        <v>849</v>
      </c>
      <c r="B438" s="1255" t="s">
        <v>850</v>
      </c>
      <c r="C438" s="1256"/>
      <c r="D438" s="1256"/>
      <c r="E438" s="1256"/>
      <c r="F438" s="1255" t="s">
        <v>7</v>
      </c>
      <c r="G438" s="1255" t="s">
        <v>848</v>
      </c>
      <c r="H438" s="1255" t="s">
        <v>3950</v>
      </c>
      <c r="I438" s="1257">
        <v>81</v>
      </c>
      <c r="J438" s="1257">
        <v>6</v>
      </c>
      <c r="K438" s="1257">
        <v>87</v>
      </c>
      <c r="L438" s="653" t="str">
        <f t="shared" si="196"/>
        <v>1416@</v>
      </c>
      <c r="M438" s="654" t="str">
        <f t="shared" si="197"/>
        <v># DE INV. VEH. USAGE VW</v>
      </c>
      <c r="N438" s="655">
        <f>+IF(OR($Q438=Parametres!$G$2,$Q438=Parametres!$G$3),I438,C438)</f>
        <v>81</v>
      </c>
      <c r="O438" s="655">
        <f>+IF(OR($Q438=Parametres!$G$2,$Q438=Parametres!$G$3),J438,D438)</f>
        <v>6</v>
      </c>
      <c r="P438" s="655">
        <f>+IF(OR($Q438=Parametres!$G$2,$Q438=Parametres!$G$3),K438,E438)</f>
        <v>87</v>
      </c>
      <c r="Q438" s="654" t="str">
        <f t="shared" si="198"/>
        <v>10-Compte compteur</v>
      </c>
      <c r="R438" s="653" t="str">
        <f t="shared" si="199"/>
        <v>1416</v>
      </c>
      <c r="S438" s="654" t="str">
        <f t="shared" si="200"/>
        <v>_</v>
      </c>
      <c r="T438" s="656" t="str">
        <f>+VLOOKUP($L438,Data_Validation!$A:$D,1,0)</f>
        <v>1416@</v>
      </c>
      <c r="U438" s="656" t="str">
        <f>+VLOOKUP($L438,Data_Validation!$A:$D,3,0)</f>
        <v>Bilan</v>
      </c>
      <c r="V438" s="656">
        <f>+VLOOKUP($L438,Data_Validation!$A:$D,4,0)</f>
        <v>0</v>
      </c>
      <c r="W438" s="656" t="str">
        <f>+VLOOKUP($L438,Data_Validation!$A:$E,5,0)</f>
        <v>NB</v>
      </c>
      <c r="X438" s="656">
        <f>+VLOOKUP($L438,Data_Validation!$A:$F,6,0)</f>
        <v>0</v>
      </c>
    </row>
    <row r="439" spans="1:24" ht="15.75" customHeight="1">
      <c r="A439" s="1255" t="s">
        <v>965</v>
      </c>
      <c r="B439" s="1255" t="s">
        <v>966</v>
      </c>
      <c r="C439" s="1256"/>
      <c r="D439" s="1256"/>
      <c r="E439" s="1256"/>
      <c r="F439" s="1255" t="s">
        <v>7</v>
      </c>
      <c r="G439" s="1255" t="s">
        <v>964</v>
      </c>
      <c r="H439" s="1255" t="s">
        <v>3950</v>
      </c>
      <c r="I439" s="1257">
        <v>-58</v>
      </c>
      <c r="J439" s="1257">
        <v>-19</v>
      </c>
      <c r="K439" s="1257">
        <v>-77</v>
      </c>
      <c r="L439" s="653" t="str">
        <f t="shared" si="196"/>
        <v>4100@</v>
      </c>
      <c r="M439" s="654" t="str">
        <f t="shared" si="197"/>
        <v>RESERVE</v>
      </c>
      <c r="N439" s="655">
        <f>+IF(OR($Q439=Parametres!$G$2,$Q439=Parametres!$G$3),I439,C439)</f>
        <v>-58</v>
      </c>
      <c r="O439" s="655">
        <f>+IF(OR($Q439=Parametres!$G$2,$Q439=Parametres!$G$3),J439,D439)</f>
        <v>-19</v>
      </c>
      <c r="P439" s="655">
        <f>+IF(OR($Q439=Parametres!$G$2,$Q439=Parametres!$G$3),K439,E439)</f>
        <v>-77</v>
      </c>
      <c r="Q439" s="654" t="str">
        <f t="shared" si="198"/>
        <v>10-Compte compteur</v>
      </c>
      <c r="R439" s="653" t="str">
        <f t="shared" si="199"/>
        <v>4100</v>
      </c>
      <c r="S439" s="654" t="str">
        <f t="shared" si="200"/>
        <v>_</v>
      </c>
      <c r="T439" s="656" t="str">
        <f>+VLOOKUP($L439,Data_Validation!$A:$D,1,0)</f>
        <v>4100@</v>
      </c>
      <c r="U439" s="656" t="str">
        <f>+VLOOKUP($L439,Data_Validation!$A:$D,3,0)</f>
        <v>Véhicules neufs</v>
      </c>
      <c r="V439" s="656" t="str">
        <f>+VLOOKUP($L439,Data_Validation!$A:$D,4,0)</f>
        <v>Rachat bail</v>
      </c>
      <c r="W439" s="656" t="str">
        <f>+VLOOKUP($L439,Data_Validation!$A:$E,5,0)</f>
        <v>NB</v>
      </c>
      <c r="X439" s="656">
        <f>+VLOOKUP($L439,Data_Validation!$A:$F,6,0)</f>
        <v>0</v>
      </c>
    </row>
    <row r="440" spans="1:24" ht="15.75" customHeight="1">
      <c r="A440" s="1255" t="s">
        <v>969</v>
      </c>
      <c r="B440" s="1255" t="s">
        <v>970</v>
      </c>
      <c r="C440" s="1256"/>
      <c r="D440" s="1256"/>
      <c r="E440" s="1256"/>
      <c r="F440" s="1255" t="s">
        <v>7</v>
      </c>
      <c r="G440" s="1255" t="s">
        <v>968</v>
      </c>
      <c r="H440" s="1255" t="s">
        <v>3950</v>
      </c>
      <c r="I440" s="1257">
        <v>-11</v>
      </c>
      <c r="J440" s="1257">
        <v>-3</v>
      </c>
      <c r="K440" s="1257">
        <v>-14</v>
      </c>
      <c r="L440" s="653" t="str">
        <f t="shared" si="196"/>
        <v>4109@</v>
      </c>
      <c r="M440" s="654" t="str">
        <f t="shared" si="197"/>
        <v># DE VENTE - GOLF R</v>
      </c>
      <c r="N440" s="655">
        <f>+IF(OR($Q440=Parametres!$G$2,$Q440=Parametres!$G$3),I440,C440)</f>
        <v>-11</v>
      </c>
      <c r="O440" s="655">
        <f>+IF(OR($Q440=Parametres!$G$2,$Q440=Parametres!$G$3),J440,D440)</f>
        <v>-3</v>
      </c>
      <c r="P440" s="655">
        <f>+IF(OR($Q440=Parametres!$G$2,$Q440=Parametres!$G$3),K440,E440)</f>
        <v>-14</v>
      </c>
      <c r="Q440" s="654" t="str">
        <f t="shared" si="198"/>
        <v>10-Compte compteur</v>
      </c>
      <c r="R440" s="653" t="str">
        <f t="shared" si="199"/>
        <v>4109</v>
      </c>
      <c r="S440" s="654" t="str">
        <f t="shared" si="200"/>
        <v>_</v>
      </c>
      <c r="T440" s="656" t="str">
        <f>+VLOOKUP($L440,Data_Validation!$A:$D,1,0)</f>
        <v>4109@</v>
      </c>
      <c r="U440" s="656" t="str">
        <f>+VLOOKUP($L440,Data_Validation!$A:$D,3,0)</f>
        <v>Véhicules neufs</v>
      </c>
      <c r="V440" s="656" t="str">
        <f>+VLOOKUP($L440,Data_Validation!$A:$D,4,0)</f>
        <v>Autos détail</v>
      </c>
      <c r="W440" s="656" t="str">
        <f>+VLOOKUP($L440,Data_Validation!$A:$E,5,0)</f>
        <v>NB</v>
      </c>
      <c r="X440" s="656">
        <f>+VLOOKUP($L440,Data_Validation!$A:$F,6,0)</f>
        <v>0</v>
      </c>
    </row>
    <row r="441" spans="1:24" ht="15.75" customHeight="1">
      <c r="A441" s="1255" t="s">
        <v>971</v>
      </c>
      <c r="B441" s="1255" t="s">
        <v>973</v>
      </c>
      <c r="C441" s="1256"/>
      <c r="D441" s="1256"/>
      <c r="E441" s="1256"/>
      <c r="F441" s="1255" t="s">
        <v>7</v>
      </c>
      <c r="G441" s="1255" t="s">
        <v>972</v>
      </c>
      <c r="H441" s="1255" t="s">
        <v>3950</v>
      </c>
      <c r="I441" s="1257">
        <v>-22</v>
      </c>
      <c r="J441" s="1257">
        <v>-4</v>
      </c>
      <c r="K441" s="1257">
        <v>-26</v>
      </c>
      <c r="L441" s="653" t="str">
        <f t="shared" si="196"/>
        <v>4111@</v>
      </c>
      <c r="M441" s="654" t="str">
        <f t="shared" si="197"/>
        <v>JETTA/ JETTA GLI</v>
      </c>
      <c r="N441" s="655">
        <f>+IF(OR($Q441=Parametres!$G$2,$Q441=Parametres!$G$3),I441,C441)</f>
        <v>-22</v>
      </c>
      <c r="O441" s="655">
        <f>+IF(OR($Q441=Parametres!$G$2,$Q441=Parametres!$G$3),J441,D441)</f>
        <v>-4</v>
      </c>
      <c r="P441" s="655">
        <f>+IF(OR($Q441=Parametres!$G$2,$Q441=Parametres!$G$3),K441,E441)</f>
        <v>-26</v>
      </c>
      <c r="Q441" s="654" t="str">
        <f t="shared" si="198"/>
        <v>10-Compte compteur</v>
      </c>
      <c r="R441" s="653" t="str">
        <f t="shared" si="199"/>
        <v>4111</v>
      </c>
      <c r="S441" s="654" t="str">
        <f t="shared" si="200"/>
        <v>_</v>
      </c>
      <c r="T441" s="656" t="str">
        <f>+VLOOKUP($L441,Data_Validation!$A:$D,1,0)</f>
        <v>4111@</v>
      </c>
      <c r="U441" s="656" t="str">
        <f>+VLOOKUP($L441,Data_Validation!$A:$D,3,0)</f>
        <v>Véhicules neufs</v>
      </c>
      <c r="V441" s="656" t="str">
        <f>+VLOOKUP($L441,Data_Validation!$A:$D,4,0)</f>
        <v>Autos détail</v>
      </c>
      <c r="W441" s="656" t="str">
        <f>+VLOOKUP($L441,Data_Validation!$A:$E,5,0)</f>
        <v>NB</v>
      </c>
      <c r="X441" s="656">
        <f>+VLOOKUP($L441,Data_Validation!$A:$F,6,0)</f>
        <v>0</v>
      </c>
    </row>
    <row r="442" spans="1:24" ht="15.75" customHeight="1">
      <c r="A442" s="1255" t="s">
        <v>976</v>
      </c>
      <c r="B442" s="1255" t="s">
        <v>977</v>
      </c>
      <c r="C442" s="1256"/>
      <c r="D442" s="1256"/>
      <c r="E442" s="1256"/>
      <c r="F442" s="1255" t="s">
        <v>7</v>
      </c>
      <c r="G442" s="1255" t="s">
        <v>978</v>
      </c>
      <c r="H442" s="1255" t="s">
        <v>3950</v>
      </c>
      <c r="I442" s="1257">
        <v>-65</v>
      </c>
      <c r="J442" s="1257">
        <v>-9</v>
      </c>
      <c r="K442" s="1257">
        <v>-74</v>
      </c>
      <c r="L442" s="653" t="str">
        <f t="shared" si="196"/>
        <v>4118@</v>
      </c>
      <c r="M442" s="654" t="str">
        <f t="shared" si="197"/>
        <v>TAOS</v>
      </c>
      <c r="N442" s="655">
        <f>+IF(OR($Q442=Parametres!$G$2,$Q442=Parametres!$G$3),I442,C442)</f>
        <v>-65</v>
      </c>
      <c r="O442" s="655">
        <f>+IF(OR($Q442=Parametres!$G$2,$Q442=Parametres!$G$3),J442,D442)</f>
        <v>-9</v>
      </c>
      <c r="P442" s="655">
        <f>+IF(OR($Q442=Parametres!$G$2,$Q442=Parametres!$G$3),K442,E442)</f>
        <v>-74</v>
      </c>
      <c r="Q442" s="654" t="str">
        <f t="shared" si="198"/>
        <v>10-Compte compteur</v>
      </c>
      <c r="R442" s="653" t="str">
        <f t="shared" si="199"/>
        <v>411</v>
      </c>
      <c r="S442" s="654" t="str">
        <f t="shared" si="200"/>
        <v>_</v>
      </c>
      <c r="T442" s="656" t="str">
        <f>+VLOOKUP($L442,Data_Validation!$A:$D,1,0)</f>
        <v>4118@</v>
      </c>
      <c r="U442" s="656" t="str">
        <f>+VLOOKUP($L442,Data_Validation!$A:$D,3,0)</f>
        <v>Véhicules neufs</v>
      </c>
      <c r="V442" s="656" t="str">
        <f>+VLOOKUP($L442,Data_Validation!$A:$D,4,0)</f>
        <v>Camions détail</v>
      </c>
      <c r="W442" s="656" t="str">
        <f>+VLOOKUP($L442,Data_Validation!$A:$E,5,0)</f>
        <v>NB</v>
      </c>
      <c r="X442" s="656">
        <f>+VLOOKUP($L442,Data_Validation!$A:$F,6,0)</f>
        <v>0</v>
      </c>
    </row>
    <row r="443" spans="1:24" ht="15.75" customHeight="1">
      <c r="A443" s="1255" t="s">
        <v>981</v>
      </c>
      <c r="B443" s="1255" t="s">
        <v>982</v>
      </c>
      <c r="C443" s="1256"/>
      <c r="D443" s="1256"/>
      <c r="E443" s="1256"/>
      <c r="F443" s="1255" t="s">
        <v>7</v>
      </c>
      <c r="G443" s="1255" t="s">
        <v>980</v>
      </c>
      <c r="H443" s="1255" t="s">
        <v>3950</v>
      </c>
      <c r="I443" s="1257">
        <v>-22</v>
      </c>
      <c r="J443" s="1257">
        <v>-5</v>
      </c>
      <c r="K443" s="1257">
        <v>-27</v>
      </c>
      <c r="L443" s="653" t="str">
        <f t="shared" si="196"/>
        <v>4119@</v>
      </c>
      <c r="M443" s="654" t="str">
        <f t="shared" si="197"/>
        <v># DE VTE - ATLAS</v>
      </c>
      <c r="N443" s="655">
        <f>+IF(OR($Q443=Parametres!$G$2,$Q443=Parametres!$G$3),I443,C443)</f>
        <v>-22</v>
      </c>
      <c r="O443" s="655">
        <f>+IF(OR($Q443=Parametres!$G$2,$Q443=Parametres!$G$3),J443,D443)</f>
        <v>-5</v>
      </c>
      <c r="P443" s="655">
        <f>+IF(OR($Q443=Parametres!$G$2,$Q443=Parametres!$G$3),K443,E443)</f>
        <v>-27</v>
      </c>
      <c r="Q443" s="654" t="str">
        <f t="shared" si="198"/>
        <v>10-Compte compteur</v>
      </c>
      <c r="R443" s="653" t="str">
        <f t="shared" si="199"/>
        <v>4119</v>
      </c>
      <c r="S443" s="654" t="str">
        <f t="shared" si="200"/>
        <v>_</v>
      </c>
      <c r="T443" s="656" t="str">
        <f>+VLOOKUP($L443,Data_Validation!$A:$D,1,0)</f>
        <v>4119@</v>
      </c>
      <c r="U443" s="656" t="str">
        <f>+VLOOKUP($L443,Data_Validation!$A:$D,3,0)</f>
        <v>Véhicules neufs</v>
      </c>
      <c r="V443" s="656" t="str">
        <f>+VLOOKUP($L443,Data_Validation!$A:$D,4,0)</f>
        <v>Camions détail</v>
      </c>
      <c r="W443" s="656" t="str">
        <f>+VLOOKUP($L443,Data_Validation!$A:$E,5,0)</f>
        <v>NB</v>
      </c>
      <c r="X443" s="656">
        <f>+VLOOKUP($L443,Data_Validation!$A:$F,6,0)</f>
        <v>0</v>
      </c>
    </row>
    <row r="444" spans="1:24" ht="15.75" customHeight="1">
      <c r="A444" s="1255" t="s">
        <v>984</v>
      </c>
      <c r="B444" s="1255" t="s">
        <v>985</v>
      </c>
      <c r="C444" s="1256"/>
      <c r="D444" s="1256"/>
      <c r="E444" s="1256"/>
      <c r="F444" s="1255" t="s">
        <v>7</v>
      </c>
      <c r="G444" s="1255" t="s">
        <v>3349</v>
      </c>
      <c r="H444" s="1255" t="s">
        <v>3950</v>
      </c>
      <c r="I444" s="1257">
        <v>-10</v>
      </c>
      <c r="J444" s="1257">
        <v>-1</v>
      </c>
      <c r="K444" s="1257">
        <v>-11</v>
      </c>
      <c r="L444" s="653" t="str">
        <f t="shared" si="196"/>
        <v>4121@</v>
      </c>
      <c r="M444" s="654" t="str">
        <f t="shared" si="197"/>
        <v># DE VTE - ATLAS CROSS SPORT</v>
      </c>
      <c r="N444" s="655">
        <f>+IF(OR($Q444=Parametres!$G$2,$Q444=Parametres!$G$3),I444,C444)</f>
        <v>-10</v>
      </c>
      <c r="O444" s="655">
        <f>+IF(OR($Q444=Parametres!$G$2,$Q444=Parametres!$G$3),J444,D444)</f>
        <v>-1</v>
      </c>
      <c r="P444" s="655">
        <f>+IF(OR($Q444=Parametres!$G$2,$Q444=Parametres!$G$3),K444,E444)</f>
        <v>-11</v>
      </c>
      <c r="Q444" s="654" t="str">
        <f t="shared" si="198"/>
        <v>10-Compte compteur</v>
      </c>
      <c r="R444" s="653" t="str">
        <f t="shared" si="199"/>
        <v>4121</v>
      </c>
      <c r="S444" s="654" t="str">
        <f t="shared" si="200"/>
        <v>_</v>
      </c>
      <c r="T444" s="656" t="str">
        <f>+VLOOKUP($L444,Data_Validation!$A:$D,1,0)</f>
        <v>4121@</v>
      </c>
      <c r="U444" s="656" t="str">
        <f>+VLOOKUP($L444,Data_Validation!$A:$D,3,0)</f>
        <v>Véhicules neufs</v>
      </c>
      <c r="V444" s="656" t="str">
        <f>+VLOOKUP($L444,Data_Validation!$A:$D,4,0)</f>
        <v>Camions détail</v>
      </c>
      <c r="W444" s="656" t="str">
        <f>+VLOOKUP($L444,Data_Validation!$A:$E,5,0)</f>
        <v>NB</v>
      </c>
      <c r="X444" s="656">
        <f>+VLOOKUP($L444,Data_Validation!$A:$F,6,0)</f>
        <v>0</v>
      </c>
    </row>
    <row r="445" spans="1:24" ht="15.75" customHeight="1">
      <c r="A445" s="1255" t="s">
        <v>988</v>
      </c>
      <c r="B445" s="1255" t="s">
        <v>989</v>
      </c>
      <c r="C445" s="1256"/>
      <c r="D445" s="1256"/>
      <c r="E445" s="1256"/>
      <c r="F445" s="1255" t="s">
        <v>7</v>
      </c>
      <c r="G445" s="1255" t="s">
        <v>987</v>
      </c>
      <c r="H445" s="1255" t="s">
        <v>3950</v>
      </c>
      <c r="I445" s="1257">
        <v>-9</v>
      </c>
      <c r="J445" s="1257">
        <v>-2</v>
      </c>
      <c r="K445" s="1257">
        <v>-11</v>
      </c>
      <c r="L445" s="653" t="str">
        <f t="shared" si="196"/>
        <v>4127@</v>
      </c>
      <c r="M445" s="654" t="str">
        <f t="shared" si="197"/>
        <v># DE VENTE - GOLF GTI</v>
      </c>
      <c r="N445" s="655">
        <f>+IF(OR($Q445=Parametres!$G$2,$Q445=Parametres!$G$3),I445,C445)</f>
        <v>-9</v>
      </c>
      <c r="O445" s="655">
        <f>+IF(OR($Q445=Parametres!$G$2,$Q445=Parametres!$G$3),J445,D445)</f>
        <v>-2</v>
      </c>
      <c r="P445" s="655">
        <f>+IF(OR($Q445=Parametres!$G$2,$Q445=Parametres!$G$3),K445,E445)</f>
        <v>-11</v>
      </c>
      <c r="Q445" s="654" t="str">
        <f t="shared" si="198"/>
        <v>10-Compte compteur</v>
      </c>
      <c r="R445" s="653" t="str">
        <f t="shared" si="199"/>
        <v>4127</v>
      </c>
      <c r="S445" s="654" t="str">
        <f t="shared" si="200"/>
        <v>_</v>
      </c>
      <c r="T445" s="656" t="str">
        <f>+VLOOKUP($L445,Data_Validation!$A:$D,1,0)</f>
        <v>4127@</v>
      </c>
      <c r="U445" s="656" t="str">
        <f>+VLOOKUP($L445,Data_Validation!$A:$D,3,0)</f>
        <v>Véhicules neufs</v>
      </c>
      <c r="V445" s="656" t="str">
        <f>+VLOOKUP($L445,Data_Validation!$A:$D,4,0)</f>
        <v>Autos détail</v>
      </c>
      <c r="W445" s="656" t="str">
        <f>+VLOOKUP($L445,Data_Validation!$A:$E,5,0)</f>
        <v>NB</v>
      </c>
      <c r="X445" s="656">
        <f>+VLOOKUP($L445,Data_Validation!$A:$F,6,0)</f>
        <v>0</v>
      </c>
    </row>
    <row r="446" spans="1:24" ht="15.75" customHeight="1">
      <c r="A446" s="1255" t="s">
        <v>992</v>
      </c>
      <c r="B446" s="1255" t="s">
        <v>993</v>
      </c>
      <c r="C446" s="1256"/>
      <c r="D446" s="1256"/>
      <c r="E446" s="1256"/>
      <c r="F446" s="1255" t="s">
        <v>7</v>
      </c>
      <c r="G446" s="1255" t="s">
        <v>991</v>
      </c>
      <c r="H446" s="1255" t="s">
        <v>3950</v>
      </c>
      <c r="I446" s="1257">
        <v>-15</v>
      </c>
      <c r="J446" s="1257">
        <v>-12</v>
      </c>
      <c r="K446" s="1257">
        <v>-27</v>
      </c>
      <c r="L446" s="653" t="str">
        <f t="shared" si="196"/>
        <v>4131@</v>
      </c>
      <c r="M446" s="654" t="str">
        <f t="shared" si="197"/>
        <v># DE VTE - TIGUAN LWB</v>
      </c>
      <c r="N446" s="655">
        <f>+IF(OR($Q446=Parametres!$G$2,$Q446=Parametres!$G$3),I446,C446)</f>
        <v>-15</v>
      </c>
      <c r="O446" s="655">
        <f>+IF(OR($Q446=Parametres!$G$2,$Q446=Parametres!$G$3),J446,D446)</f>
        <v>-12</v>
      </c>
      <c r="P446" s="655">
        <f>+IF(OR($Q446=Parametres!$G$2,$Q446=Parametres!$G$3),K446,E446)</f>
        <v>-27</v>
      </c>
      <c r="Q446" s="654" t="str">
        <f t="shared" si="198"/>
        <v>10-Compte compteur</v>
      </c>
      <c r="R446" s="653" t="str">
        <f t="shared" si="199"/>
        <v>4131</v>
      </c>
      <c r="S446" s="654" t="str">
        <f t="shared" si="200"/>
        <v>_</v>
      </c>
      <c r="T446" s="656" t="str">
        <f>+VLOOKUP($L446,Data_Validation!$A:$D,1,0)</f>
        <v>4131@</v>
      </c>
      <c r="U446" s="656" t="str">
        <f>+VLOOKUP($L446,Data_Validation!$A:$D,3,0)</f>
        <v>Véhicules neufs</v>
      </c>
      <c r="V446" s="656" t="str">
        <f>+VLOOKUP($L446,Data_Validation!$A:$D,4,0)</f>
        <v>Camions détail</v>
      </c>
      <c r="W446" s="656" t="str">
        <f>+VLOOKUP($L446,Data_Validation!$A:$E,5,0)</f>
        <v>NB</v>
      </c>
      <c r="X446" s="656">
        <f>+VLOOKUP($L446,Data_Validation!$A:$F,6,0)</f>
        <v>0</v>
      </c>
    </row>
    <row r="447" spans="1:24" ht="15.75" customHeight="1">
      <c r="A447" s="1255" t="s">
        <v>996</v>
      </c>
      <c r="B447" s="1255" t="s">
        <v>997</v>
      </c>
      <c r="C447" s="1256"/>
      <c r="D447" s="1256"/>
      <c r="E447" s="1256"/>
      <c r="F447" s="1255" t="s">
        <v>7</v>
      </c>
      <c r="G447" s="1255" t="s">
        <v>995</v>
      </c>
      <c r="H447" s="1255" t="s">
        <v>3950</v>
      </c>
      <c r="I447" s="1257">
        <v>-12</v>
      </c>
      <c r="J447" s="1257">
        <v>0</v>
      </c>
      <c r="K447" s="1257">
        <v>-12</v>
      </c>
      <c r="L447" s="653" t="str">
        <f t="shared" si="196"/>
        <v>4137@</v>
      </c>
      <c r="M447" s="654" t="str">
        <f t="shared" si="197"/>
        <v>VW FLOTTE/VENTE ENTR/EMPLOYE/VEH DEMONST</v>
      </c>
      <c r="N447" s="655">
        <f>+IF(OR($Q447=Parametres!$G$2,$Q447=Parametres!$G$3),I447,C447)</f>
        <v>-12</v>
      </c>
      <c r="O447" s="655">
        <f>+IF(OR($Q447=Parametres!$G$2,$Q447=Parametres!$G$3),J447,D447)</f>
        <v>0</v>
      </c>
      <c r="P447" s="655">
        <f>+IF(OR($Q447=Parametres!$G$2,$Q447=Parametres!$G$3),K447,E447)</f>
        <v>-12</v>
      </c>
      <c r="Q447" s="654" t="str">
        <f t="shared" si="198"/>
        <v>10-Compte compteur</v>
      </c>
      <c r="R447" s="653" t="str">
        <f t="shared" si="199"/>
        <v>4137</v>
      </c>
      <c r="S447" s="654" t="str">
        <f t="shared" si="200"/>
        <v>_</v>
      </c>
      <c r="T447" s="656" t="str">
        <f>+VLOOKUP($L447,Data_Validation!$A:$D,1,0)</f>
        <v>4137@</v>
      </c>
      <c r="U447" s="656" t="str">
        <f>+VLOOKUP($L447,Data_Validation!$A:$D,3,0)</f>
        <v>Véhicules neufs</v>
      </c>
      <c r="V447" s="656" t="str">
        <f>+VLOOKUP($L447,Data_Validation!$A:$D,4,0)</f>
        <v>Flottes</v>
      </c>
      <c r="W447" s="656" t="str">
        <f>+VLOOKUP($L447,Data_Validation!$A:$E,5,0)</f>
        <v>NB</v>
      </c>
      <c r="X447" s="656">
        <f>+VLOOKUP($L447,Data_Validation!$A:$F,6,0)</f>
        <v>0</v>
      </c>
    </row>
    <row r="448" spans="1:24" ht="15.75" customHeight="1">
      <c r="A448" s="1255" t="s">
        <v>1000</v>
      </c>
      <c r="B448" s="1255" t="s">
        <v>1001</v>
      </c>
      <c r="C448" s="1256"/>
      <c r="D448" s="1256"/>
      <c r="E448" s="1256"/>
      <c r="F448" s="1255" t="s">
        <v>7</v>
      </c>
      <c r="G448" s="1255" t="s">
        <v>999</v>
      </c>
      <c r="H448" s="1255" t="s">
        <v>3950</v>
      </c>
      <c r="I448" s="1257">
        <v>-10</v>
      </c>
      <c r="J448" s="1257">
        <v>-5</v>
      </c>
      <c r="K448" s="1257">
        <v>-15</v>
      </c>
      <c r="L448" s="653" t="str">
        <f t="shared" si="196"/>
        <v>4139@</v>
      </c>
      <c r="M448" s="654" t="str">
        <f t="shared" si="197"/>
        <v>VENTES A PARK AVENUE LOCATION</v>
      </c>
      <c r="N448" s="655">
        <f>+IF(OR($Q448=Parametres!$G$2,$Q448=Parametres!$G$3),I448,C448)</f>
        <v>-10</v>
      </c>
      <c r="O448" s="655">
        <f>+IF(OR($Q448=Parametres!$G$2,$Q448=Parametres!$G$3),J448,D448)</f>
        <v>-5</v>
      </c>
      <c r="P448" s="655">
        <f>+IF(OR($Q448=Parametres!$G$2,$Q448=Parametres!$G$3),K448,E448)</f>
        <v>-15</v>
      </c>
      <c r="Q448" s="654" t="str">
        <f t="shared" si="198"/>
        <v>10-Compte compteur</v>
      </c>
      <c r="R448" s="653" t="str">
        <f t="shared" si="199"/>
        <v>4139</v>
      </c>
      <c r="S448" s="654" t="str">
        <f t="shared" si="200"/>
        <v>_</v>
      </c>
      <c r="T448" s="656" t="str">
        <f>+VLOOKUP($L448,Data_Validation!$A:$D,1,0)</f>
        <v>4139@</v>
      </c>
      <c r="U448" s="656" t="str">
        <f>+VLOOKUP($L448,Data_Validation!$A:$D,3,0)</f>
        <v>Véhicules neufs</v>
      </c>
      <c r="V448" s="656" t="str">
        <f>+VLOOKUP($L448,Data_Validation!$A:$D,4,0)</f>
        <v>Ex-Démos et courtoisies</v>
      </c>
      <c r="W448" s="656" t="str">
        <f>+VLOOKUP($L448,Data_Validation!$A:$E,5,0)</f>
        <v>NB</v>
      </c>
      <c r="X448" s="656">
        <f>+VLOOKUP($L448,Data_Validation!$A:$F,6,0)</f>
        <v>0</v>
      </c>
    </row>
    <row r="449" spans="1:24" ht="15.75" customHeight="1">
      <c r="A449" s="1255" t="s">
        <v>3897</v>
      </c>
      <c r="B449" s="1255" t="s">
        <v>3898</v>
      </c>
      <c r="C449" s="1256"/>
      <c r="D449" s="1256"/>
      <c r="E449" s="1256"/>
      <c r="F449" s="1255" t="s">
        <v>7</v>
      </c>
      <c r="G449" s="1255" t="s">
        <v>3894</v>
      </c>
      <c r="H449" s="1255" t="s">
        <v>3950</v>
      </c>
      <c r="I449" s="1257">
        <v>-26</v>
      </c>
      <c r="J449" s="1257">
        <v>-15</v>
      </c>
      <c r="K449" s="1257">
        <v>-41</v>
      </c>
      <c r="L449" s="653" t="str">
        <f t="shared" si="196"/>
        <v>4141@</v>
      </c>
      <c r="M449" s="654" t="str">
        <f t="shared" si="197"/>
        <v># DE VTW - ID4</v>
      </c>
      <c r="N449" s="655">
        <f>+IF(OR($Q449=Parametres!$G$2,$Q449=Parametres!$G$3),I449,C449)</f>
        <v>-26</v>
      </c>
      <c r="O449" s="655">
        <f>+IF(OR($Q449=Parametres!$G$2,$Q449=Parametres!$G$3),J449,D449)</f>
        <v>-15</v>
      </c>
      <c r="P449" s="655">
        <f>+IF(OR($Q449=Parametres!$G$2,$Q449=Parametres!$G$3),K449,E449)</f>
        <v>-41</v>
      </c>
      <c r="Q449" s="654" t="str">
        <f t="shared" si="198"/>
        <v>10-Compte compteur</v>
      </c>
      <c r="R449" s="653" t="str">
        <f t="shared" si="199"/>
        <v>4141</v>
      </c>
      <c r="S449" s="654" t="str">
        <f t="shared" si="200"/>
        <v>_</v>
      </c>
      <c r="T449" s="656" t="str">
        <f>+VLOOKUP($L449,Data_Validation!$A:$D,1,0)</f>
        <v>4141@</v>
      </c>
      <c r="U449" s="656" t="str">
        <f>+VLOOKUP($L449,Data_Validation!$A:$D,3,0)</f>
        <v>Véhicules neufs</v>
      </c>
      <c r="V449" s="656" t="str">
        <f>+VLOOKUP($L449,Data_Validation!$A:$D,4,0)</f>
        <v>Camions détail</v>
      </c>
      <c r="W449" s="656" t="str">
        <f>+VLOOKUP($L449,Data_Validation!$A:$E,5,0)</f>
        <v>NB</v>
      </c>
      <c r="X449" s="656">
        <f>+VLOOKUP($L449,Data_Validation!$A:$F,6,0)</f>
        <v>0</v>
      </c>
    </row>
    <row r="450" spans="1:24" ht="15.75" customHeight="1">
      <c r="A450" s="1255" t="s">
        <v>1004</v>
      </c>
      <c r="B450" s="1255" t="s">
        <v>1005</v>
      </c>
      <c r="C450" s="1256"/>
      <c r="D450" s="1256"/>
      <c r="E450" s="1256"/>
      <c r="F450" s="1255" t="s">
        <v>7</v>
      </c>
      <c r="G450" s="1255" t="s">
        <v>1003</v>
      </c>
      <c r="H450" s="1255" t="s">
        <v>3950</v>
      </c>
      <c r="I450" s="1257">
        <v>-5</v>
      </c>
      <c r="J450" s="1257">
        <v>-1</v>
      </c>
      <c r="K450" s="1257">
        <v>-6</v>
      </c>
      <c r="L450" s="653" t="str">
        <f t="shared" si="196"/>
        <v>4144@</v>
      </c>
      <c r="M450" s="654" t="str">
        <f t="shared" si="197"/>
        <v># OF VTES -JETTA GLI</v>
      </c>
      <c r="N450" s="655">
        <f>+IF(OR($Q450=Parametres!$G$2,$Q450=Parametres!$G$3),I450,C450)</f>
        <v>-5</v>
      </c>
      <c r="O450" s="655">
        <f>+IF(OR($Q450=Parametres!$G$2,$Q450=Parametres!$G$3),J450,D450)</f>
        <v>-1</v>
      </c>
      <c r="P450" s="655">
        <f>+IF(OR($Q450=Parametres!$G$2,$Q450=Parametres!$G$3),K450,E450)</f>
        <v>-6</v>
      </c>
      <c r="Q450" s="654" t="str">
        <f t="shared" si="198"/>
        <v>10-Compte compteur</v>
      </c>
      <c r="R450" s="653" t="str">
        <f t="shared" si="199"/>
        <v>414</v>
      </c>
      <c r="S450" s="654" t="str">
        <f t="shared" si="200"/>
        <v>_</v>
      </c>
      <c r="T450" s="656" t="str">
        <f>+VLOOKUP($L450,Data_Validation!$A:$D,1,0)</f>
        <v>4144@</v>
      </c>
      <c r="U450" s="656" t="str">
        <f>+VLOOKUP($L450,Data_Validation!$A:$D,3,0)</f>
        <v>Véhicules neufs</v>
      </c>
      <c r="V450" s="656" t="str">
        <f>+VLOOKUP($L450,Data_Validation!$A:$D,4,0)</f>
        <v>Autos détail</v>
      </c>
      <c r="W450" s="656" t="str">
        <f>+VLOOKUP($L450,Data_Validation!$A:$E,5,0)</f>
        <v>NB</v>
      </c>
      <c r="X450" s="656">
        <f>+VLOOKUP($L450,Data_Validation!$A:$F,6,0)</f>
        <v>0</v>
      </c>
    </row>
    <row r="451" spans="1:24" ht="15.75" customHeight="1">
      <c r="A451" s="1255" t="s">
        <v>1008</v>
      </c>
      <c r="B451" s="1255" t="s">
        <v>1009</v>
      </c>
      <c r="C451" s="1256"/>
      <c r="D451" s="1256"/>
      <c r="E451" s="1256"/>
      <c r="F451" s="1255" t="s">
        <v>7</v>
      </c>
      <c r="G451" s="1255" t="s">
        <v>1007</v>
      </c>
      <c r="H451" s="1255" t="s">
        <v>3950</v>
      </c>
      <c r="I451" s="1257">
        <v>-87</v>
      </c>
      <c r="J451" s="1257">
        <v>-29</v>
      </c>
      <c r="K451" s="1257">
        <v>-116</v>
      </c>
      <c r="L451" s="653" t="str">
        <f t="shared" si="196"/>
        <v>4201@</v>
      </c>
      <c r="M451" s="654" t="str">
        <f t="shared" si="197"/>
        <v># DE VTE - VEH.USAGE VW DET.CERT.</v>
      </c>
      <c r="N451" s="655">
        <f>+IF(OR($Q451=Parametres!$G$2,$Q451=Parametres!$G$3),I451,C451)</f>
        <v>-87</v>
      </c>
      <c r="O451" s="655">
        <f>+IF(OR($Q451=Parametres!$G$2,$Q451=Parametres!$G$3),J451,D451)</f>
        <v>-29</v>
      </c>
      <c r="P451" s="655">
        <f>+IF(OR($Q451=Parametres!$G$2,$Q451=Parametres!$G$3),K451,E451)</f>
        <v>-116</v>
      </c>
      <c r="Q451" s="654" t="str">
        <f t="shared" si="198"/>
        <v>10-Compte compteur</v>
      </c>
      <c r="R451" s="653" t="str">
        <f t="shared" si="199"/>
        <v>4201</v>
      </c>
      <c r="S451" s="654" t="str">
        <f t="shared" si="200"/>
        <v>_</v>
      </c>
      <c r="T451" s="656" t="str">
        <f>+VLOOKUP($L451,Data_Validation!$A:$D,1,0)</f>
        <v>4201@</v>
      </c>
      <c r="U451" s="656" t="str">
        <f>+VLOOKUP($L451,Data_Validation!$A:$D,3,0)</f>
        <v>Véhicules usagés</v>
      </c>
      <c r="V451" s="656" t="str">
        <f>+VLOOKUP($L451,Data_Validation!$A:$D,4,0)</f>
        <v>Certifié</v>
      </c>
      <c r="W451" s="656" t="str">
        <f>+VLOOKUP($L451,Data_Validation!$A:$E,5,0)</f>
        <v>NB</v>
      </c>
      <c r="X451" s="656">
        <f>+VLOOKUP($L451,Data_Validation!$A:$F,6,0)</f>
        <v>0</v>
      </c>
    </row>
    <row r="452" spans="1:24" ht="15.75" customHeight="1">
      <c r="A452" s="1255" t="s">
        <v>1012</v>
      </c>
      <c r="B452" s="1255" t="s">
        <v>1013</v>
      </c>
      <c r="C452" s="1256"/>
      <c r="D452" s="1256"/>
      <c r="E452" s="1256"/>
      <c r="F452" s="1255" t="s">
        <v>7</v>
      </c>
      <c r="G452" s="1255" t="s">
        <v>1011</v>
      </c>
      <c r="H452" s="1255" t="s">
        <v>3950</v>
      </c>
      <c r="I452" s="1257">
        <v>-7</v>
      </c>
      <c r="J452" s="1257">
        <v>-1</v>
      </c>
      <c r="K452" s="1257">
        <v>-8</v>
      </c>
      <c r="L452" s="653" t="str">
        <f t="shared" si="196"/>
        <v>4211@</v>
      </c>
      <c r="M452" s="654" t="str">
        <f t="shared" si="197"/>
        <v>VENTES USED DET. CHAMBLY</v>
      </c>
      <c r="N452" s="655">
        <f>+IF(OR($Q452=Parametres!$G$2,$Q452=Parametres!$G$3),I452,C452)</f>
        <v>-7</v>
      </c>
      <c r="O452" s="655">
        <f>+IF(OR($Q452=Parametres!$G$2,$Q452=Parametres!$G$3),J452,D452)</f>
        <v>-1</v>
      </c>
      <c r="P452" s="655">
        <f>+IF(OR($Q452=Parametres!$G$2,$Q452=Parametres!$G$3),K452,E452)</f>
        <v>-8</v>
      </c>
      <c r="Q452" s="654" t="str">
        <f t="shared" si="198"/>
        <v>10-Compte compteur</v>
      </c>
      <c r="R452" s="653" t="str">
        <f t="shared" si="199"/>
        <v>4211</v>
      </c>
      <c r="S452" s="654" t="str">
        <f t="shared" si="200"/>
        <v>_</v>
      </c>
      <c r="T452" s="656" t="str">
        <f>+VLOOKUP($L452,Data_Validation!$A:$D,1,0)</f>
        <v>4211@</v>
      </c>
      <c r="U452" s="656" t="str">
        <f>+VLOOKUP($L452,Data_Validation!$A:$D,3,0)</f>
        <v>Véhicules usagés</v>
      </c>
      <c r="V452" s="656" t="str">
        <f>+VLOOKUP($L452,Data_Validation!$A:$D,4,0)</f>
        <v>Non Certifié</v>
      </c>
      <c r="W452" s="656" t="str">
        <f>+VLOOKUP($L452,Data_Validation!$A:$E,5,0)</f>
        <v>NB</v>
      </c>
      <c r="X452" s="656">
        <f>+VLOOKUP($L452,Data_Validation!$A:$F,6,0)</f>
        <v>0</v>
      </c>
    </row>
    <row r="453" spans="1:24" ht="15.75" customHeight="1">
      <c r="A453" s="1255" t="s">
        <v>1016</v>
      </c>
      <c r="B453" s="1255" t="s">
        <v>1017</v>
      </c>
      <c r="C453" s="1256"/>
      <c r="D453" s="1256"/>
      <c r="E453" s="1256"/>
      <c r="F453" s="1255" t="s">
        <v>7</v>
      </c>
      <c r="G453" s="1255" t="s">
        <v>1015</v>
      </c>
      <c r="H453" s="1255" t="s">
        <v>3950</v>
      </c>
      <c r="I453" s="1257">
        <v>-7</v>
      </c>
      <c r="J453" s="1257">
        <v>0</v>
      </c>
      <c r="K453" s="1257">
        <v>-7</v>
      </c>
      <c r="L453" s="653" t="str">
        <f t="shared" si="196"/>
        <v>4285@</v>
      </c>
      <c r="M453" s="654" t="str">
        <f t="shared" si="197"/>
        <v>AUTRE MARQUES DETAIL - USAGE</v>
      </c>
      <c r="N453" s="655">
        <f>+IF(OR($Q453=Parametres!$G$2,$Q453=Parametres!$G$3),I453,C453)</f>
        <v>-7</v>
      </c>
      <c r="O453" s="655">
        <f>+IF(OR($Q453=Parametres!$G$2,$Q453=Parametres!$G$3),J453,D453)</f>
        <v>0</v>
      </c>
      <c r="P453" s="655">
        <f>+IF(OR($Q453=Parametres!$G$2,$Q453=Parametres!$G$3),K453,E453)</f>
        <v>-7</v>
      </c>
      <c r="Q453" s="654" t="str">
        <f t="shared" si="198"/>
        <v>10-Compte compteur</v>
      </c>
      <c r="R453" s="653" t="str">
        <f t="shared" si="199"/>
        <v>4261</v>
      </c>
      <c r="S453" s="654" t="str">
        <f t="shared" si="200"/>
        <v>_</v>
      </c>
      <c r="T453" s="656" t="str">
        <f>+VLOOKUP($L453,Data_Validation!$A:$D,1,0)</f>
        <v>4285@</v>
      </c>
      <c r="U453" s="656" t="str">
        <f>+VLOOKUP($L453,Data_Validation!$A:$D,3,0)</f>
        <v>Véhicules usagés</v>
      </c>
      <c r="V453" s="656" t="str">
        <f>+VLOOKUP($L453,Data_Validation!$A:$D,4,0)</f>
        <v>Autres Marques</v>
      </c>
      <c r="W453" s="656" t="str">
        <f>+VLOOKUP($L453,Data_Validation!$A:$E,5,0)</f>
        <v>NB</v>
      </c>
      <c r="X453" s="656">
        <f>+VLOOKUP($L453,Data_Validation!$A:$F,6,0)</f>
        <v>0</v>
      </c>
    </row>
    <row r="454" spans="1:24" ht="15.75" customHeight="1">
      <c r="A454" s="1255" t="s">
        <v>1020</v>
      </c>
      <c r="B454" s="1255" t="s">
        <v>1021</v>
      </c>
      <c r="C454" s="1256"/>
      <c r="D454" s="1256"/>
      <c r="E454" s="1256"/>
      <c r="F454" s="1255" t="s">
        <v>7</v>
      </c>
      <c r="G454" s="1255" t="s">
        <v>1019</v>
      </c>
      <c r="H454" s="1255" t="s">
        <v>3950</v>
      </c>
      <c r="I454" s="1257">
        <v>-57</v>
      </c>
      <c r="J454" s="1257">
        <v>-26</v>
      </c>
      <c r="K454" s="1257">
        <v>-83</v>
      </c>
      <c r="L454" s="653" t="str">
        <f t="shared" si="196"/>
        <v>4291@</v>
      </c>
      <c r="M454" s="654" t="str">
        <f t="shared" si="197"/>
        <v>VENTE AU GROS - USAGES</v>
      </c>
      <c r="N454" s="655">
        <f>+IF(OR($Q454=Parametres!$G$2,$Q454=Parametres!$G$3),I454,C454)</f>
        <v>-57</v>
      </c>
      <c r="O454" s="655">
        <f>+IF(OR($Q454=Parametres!$G$2,$Q454=Parametres!$G$3),J454,D454)</f>
        <v>-26</v>
      </c>
      <c r="P454" s="655">
        <f>+IF(OR($Q454=Parametres!$G$2,$Q454=Parametres!$G$3),K454,E454)</f>
        <v>-83</v>
      </c>
      <c r="Q454" s="654" t="str">
        <f t="shared" si="198"/>
        <v>10-Compte compteur</v>
      </c>
      <c r="R454" s="653" t="str">
        <f t="shared" si="199"/>
        <v>4281</v>
      </c>
      <c r="S454" s="654" t="str">
        <f t="shared" si="200"/>
        <v>_</v>
      </c>
      <c r="T454" s="656" t="str">
        <f>+VLOOKUP($L454,Data_Validation!$A:$D,1,0)</f>
        <v>4291@</v>
      </c>
      <c r="U454" s="656" t="str">
        <f>+VLOOKUP($L454,Data_Validation!$A:$D,3,0)</f>
        <v>Véhicules usagés</v>
      </c>
      <c r="V454" s="656" t="str">
        <f>+VLOOKUP($L454,Data_Validation!$A:$D,4,0)</f>
        <v>Ventes au Gros</v>
      </c>
      <c r="W454" s="656" t="str">
        <f>+VLOOKUP($L454,Data_Validation!$A:$E,5,0)</f>
        <v>NB</v>
      </c>
      <c r="X454" s="656">
        <f>+VLOOKUP($L454,Data_Validation!$A:$F,6,0)</f>
        <v>0</v>
      </c>
    </row>
    <row r="455" spans="1:24" ht="15.75" customHeight="1">
      <c r="A455" s="1255" t="s">
        <v>3671</v>
      </c>
      <c r="B455" s="1255" t="s">
        <v>1024</v>
      </c>
      <c r="C455" s="1256"/>
      <c r="D455" s="1256"/>
      <c r="E455" s="1256"/>
      <c r="F455" s="1255" t="s">
        <v>7</v>
      </c>
      <c r="G455" s="1255" t="s">
        <v>1023</v>
      </c>
      <c r="H455" s="1255" t="s">
        <v>3950</v>
      </c>
      <c r="I455" s="1257">
        <v>-1619</v>
      </c>
      <c r="J455" s="1257">
        <v>-670</v>
      </c>
      <c r="K455" s="1257">
        <v>-2289</v>
      </c>
      <c r="L455" s="653" t="str">
        <f t="shared" si="196"/>
        <v>4401@</v>
      </c>
      <c r="M455" s="654" t="str">
        <f t="shared" si="197"/>
        <v>MAIN-D'OEUVRE - CLIENT VW - MCI</v>
      </c>
      <c r="N455" s="655">
        <f>+IF(OR($Q455=Parametres!$G$2,$Q455=Parametres!$G$3),I455,C455)</f>
        <v>-1619</v>
      </c>
      <c r="O455" s="655">
        <f>+IF(OR($Q455=Parametres!$G$2,$Q455=Parametres!$G$3),J455,D455)</f>
        <v>-670</v>
      </c>
      <c r="P455" s="655">
        <f>+IF(OR($Q455=Parametres!$G$2,$Q455=Parametres!$G$3),K455,E455)</f>
        <v>-2289</v>
      </c>
      <c r="Q455" s="654" t="str">
        <f t="shared" si="198"/>
        <v>10-Compte compteur</v>
      </c>
      <c r="R455" s="653" t="str">
        <f t="shared" si="199"/>
        <v>4401</v>
      </c>
      <c r="S455" s="654" t="str">
        <f t="shared" si="200"/>
        <v>_</v>
      </c>
      <c r="T455" s="656" t="str">
        <f>+VLOOKUP($L455,Data_Validation!$A:$D,1,0)</f>
        <v>4401@</v>
      </c>
      <c r="U455" s="656" t="str">
        <f>+VLOOKUP($L455,Data_Validation!$A:$D,3,0)</f>
        <v>Service</v>
      </c>
      <c r="V455" s="656" t="str">
        <f>+VLOOKUP($L455,Data_Validation!$A:$D,4,0)</f>
        <v>M/O Client</v>
      </c>
      <c r="W455" s="656" t="str">
        <f>+VLOOKUP($L455,Data_Validation!$A:$E,5,0)</f>
        <v>NB</v>
      </c>
      <c r="X455" s="656">
        <f>+VLOOKUP($L455,Data_Validation!$A:$F,6,0)</f>
        <v>0</v>
      </c>
    </row>
    <row r="456" spans="1:24" ht="15.75" customHeight="1">
      <c r="A456" s="1255" t="s">
        <v>3672</v>
      </c>
      <c r="B456" s="1255" t="s">
        <v>1029</v>
      </c>
      <c r="C456" s="1256"/>
      <c r="D456" s="1256"/>
      <c r="E456" s="1256"/>
      <c r="F456" s="1255" t="s">
        <v>7</v>
      </c>
      <c r="G456" s="1255" t="s">
        <v>1028</v>
      </c>
      <c r="H456" s="1255" t="s">
        <v>3950</v>
      </c>
      <c r="I456" s="1257">
        <v>-968</v>
      </c>
      <c r="J456" s="1257">
        <v>-178</v>
      </c>
      <c r="K456" s="1257">
        <v>-1146</v>
      </c>
      <c r="L456" s="653" t="str">
        <f t="shared" si="196"/>
        <v>4403@</v>
      </c>
      <c r="M456" s="654" t="str">
        <f t="shared" si="197"/>
        <v>MAIN-D'OEUVRE - GARANTIE VW - MCI</v>
      </c>
      <c r="N456" s="655">
        <f>+IF(OR($Q456=Parametres!$G$2,$Q456=Parametres!$G$3),I456,C456)</f>
        <v>-968</v>
      </c>
      <c r="O456" s="655">
        <f>+IF(OR($Q456=Parametres!$G$2,$Q456=Parametres!$G$3),J456,D456)</f>
        <v>-178</v>
      </c>
      <c r="P456" s="655">
        <f>+IF(OR($Q456=Parametres!$G$2,$Q456=Parametres!$G$3),K456,E456)</f>
        <v>-1146</v>
      </c>
      <c r="Q456" s="654" t="str">
        <f t="shared" si="198"/>
        <v>10-Compte compteur</v>
      </c>
      <c r="R456" s="653" t="str">
        <f t="shared" si="199"/>
        <v>4403</v>
      </c>
      <c r="S456" s="654" t="str">
        <f t="shared" si="200"/>
        <v>_</v>
      </c>
      <c r="T456" s="656" t="str">
        <f>+VLOOKUP($L456,Data_Validation!$A:$D,1,0)</f>
        <v>4403@</v>
      </c>
      <c r="U456" s="656" t="str">
        <f>+VLOOKUP($L456,Data_Validation!$A:$D,3,0)</f>
        <v>Service</v>
      </c>
      <c r="V456" s="656" t="str">
        <f>+VLOOKUP($L456,Data_Validation!$A:$D,4,0)</f>
        <v>M/O Garantie</v>
      </c>
      <c r="W456" s="656" t="str">
        <f>+VLOOKUP($L456,Data_Validation!$A:$E,5,0)</f>
        <v>NB</v>
      </c>
      <c r="X456" s="656">
        <f>+VLOOKUP($L456,Data_Validation!$A:$F,6,0)</f>
        <v>0</v>
      </c>
    </row>
    <row r="457" spans="1:24" ht="15.75" customHeight="1">
      <c r="A457" s="1255" t="s">
        <v>3673</v>
      </c>
      <c r="B457" s="1255" t="s">
        <v>1032</v>
      </c>
      <c r="C457" s="1256"/>
      <c r="D457" s="1256"/>
      <c r="E457" s="1256"/>
      <c r="F457" s="1255" t="s">
        <v>7</v>
      </c>
      <c r="G457" s="1255" t="s">
        <v>1031</v>
      </c>
      <c r="H457" s="1255" t="s">
        <v>3950</v>
      </c>
      <c r="I457" s="1257">
        <v>-848</v>
      </c>
      <c r="J457" s="1257">
        <v>-247</v>
      </c>
      <c r="K457" s="1257">
        <v>-1095</v>
      </c>
      <c r="L457" s="653" t="str">
        <f t="shared" si="196"/>
        <v>4405@</v>
      </c>
      <c r="M457" s="654" t="str">
        <f t="shared" si="197"/>
        <v>MAIN-D'OEUVRE - INTERNE VW - MCI</v>
      </c>
      <c r="N457" s="655">
        <f>+IF(OR($Q457=Parametres!$G$2,$Q457=Parametres!$G$3),I457,C457)</f>
        <v>-848</v>
      </c>
      <c r="O457" s="655">
        <f>+IF(OR($Q457=Parametres!$G$2,$Q457=Parametres!$G$3),J457,D457)</f>
        <v>-247</v>
      </c>
      <c r="P457" s="655">
        <f>+IF(OR($Q457=Parametres!$G$2,$Q457=Parametres!$G$3),K457,E457)</f>
        <v>-1095</v>
      </c>
      <c r="Q457" s="654" t="str">
        <f t="shared" si="198"/>
        <v>10-Compte compteur</v>
      </c>
      <c r="R457" s="653" t="str">
        <f t="shared" si="199"/>
        <v>4405</v>
      </c>
      <c r="S457" s="654" t="str">
        <f t="shared" si="200"/>
        <v>_</v>
      </c>
      <c r="T457" s="656" t="str">
        <f>+VLOOKUP($L457,Data_Validation!$A:$D,1,0)</f>
        <v>4405@</v>
      </c>
      <c r="U457" s="656" t="str">
        <f>+VLOOKUP($L457,Data_Validation!$A:$D,3,0)</f>
        <v>Service</v>
      </c>
      <c r="V457" s="656" t="str">
        <f>+VLOOKUP($L457,Data_Validation!$A:$D,4,0)</f>
        <v>M/O Interne</v>
      </c>
      <c r="W457" s="656" t="str">
        <f>+VLOOKUP($L457,Data_Validation!$A:$E,5,0)</f>
        <v>NB</v>
      </c>
      <c r="X457" s="656">
        <f>+VLOOKUP($L457,Data_Validation!$A:$F,6,0)</f>
        <v>0</v>
      </c>
    </row>
    <row r="458" spans="1:24" ht="15.75" customHeight="1">
      <c r="A458" s="1255" t="s">
        <v>1033</v>
      </c>
      <c r="B458" s="1255" t="s">
        <v>1035</v>
      </c>
      <c r="C458" s="1256"/>
      <c r="D458" s="1256"/>
      <c r="E458" s="1256"/>
      <c r="F458" s="1255" t="s">
        <v>7</v>
      </c>
      <c r="G458" s="1255" t="s">
        <v>1034</v>
      </c>
      <c r="H458" s="1255" t="s">
        <v>3950</v>
      </c>
      <c r="I458" s="1257">
        <v>-1063</v>
      </c>
      <c r="J458" s="1257">
        <v>-406</v>
      </c>
      <c r="K458" s="1257">
        <v>-1469</v>
      </c>
      <c r="L458" s="653" t="str">
        <f t="shared" si="196"/>
        <v>4451@</v>
      </c>
      <c r="M458" s="654" t="str">
        <f t="shared" si="197"/>
        <v>CARBURANT/HUILE/GRAISSE</v>
      </c>
      <c r="N458" s="655">
        <f>+IF(OR($Q458=Parametres!$G$2,$Q458=Parametres!$G$3),I458,C458)</f>
        <v>-1063</v>
      </c>
      <c r="O458" s="655">
        <f>+IF(OR($Q458=Parametres!$G$2,$Q458=Parametres!$G$3),J458,D458)</f>
        <v>-406</v>
      </c>
      <c r="P458" s="655">
        <f>+IF(OR($Q458=Parametres!$G$2,$Q458=Parametres!$G$3),K458,E458)</f>
        <v>-1469</v>
      </c>
      <c r="Q458" s="654" t="str">
        <f t="shared" si="198"/>
        <v>10-Compte compteur</v>
      </c>
      <c r="R458" s="653" t="str">
        <f t="shared" si="199"/>
        <v>4782</v>
      </c>
      <c r="S458" s="654" t="str">
        <f t="shared" si="200"/>
        <v>_</v>
      </c>
      <c r="T458" s="656" t="str">
        <f>+VLOOKUP($L458,Data_Validation!$A:$D,1,0)</f>
        <v>4451@</v>
      </c>
      <c r="U458" s="656" t="str">
        <f>+VLOOKUP($L458,Data_Validation!$A:$D,3,0)</f>
        <v>Pièces</v>
      </c>
      <c r="V458" s="656" t="str">
        <f>+VLOOKUP($L458,Data_Validation!$A:$D,4,0)</f>
        <v>Huiles et Graisse</v>
      </c>
      <c r="W458" s="656" t="str">
        <f>+VLOOKUP($L458,Data_Validation!$A:$E,5,0)</f>
        <v>NB</v>
      </c>
      <c r="X458" s="656">
        <f>+VLOOKUP($L458,Data_Validation!$A:$F,6,0)</f>
        <v>0</v>
      </c>
    </row>
    <row r="459" spans="1:24" ht="15.75" customHeight="1">
      <c r="A459" s="1255" t="s">
        <v>1036</v>
      </c>
      <c r="B459" s="1255" t="s">
        <v>1038</v>
      </c>
      <c r="C459" s="1256"/>
      <c r="D459" s="1256"/>
      <c r="E459" s="1256"/>
      <c r="F459" s="1255" t="s">
        <v>7</v>
      </c>
      <c r="G459" s="1255" t="s">
        <v>1037</v>
      </c>
      <c r="H459" s="1255" t="s">
        <v>3950</v>
      </c>
      <c r="I459" s="1257">
        <v>-199</v>
      </c>
      <c r="J459" s="1257">
        <v>-99</v>
      </c>
      <c r="K459" s="1257">
        <v>-298</v>
      </c>
      <c r="L459" s="653" t="str">
        <f t="shared" si="196"/>
        <v>4491@</v>
      </c>
      <c r="M459" s="654" t="str">
        <f t="shared" si="197"/>
        <v>REPARATION SOUS-LOC. - GENERAL</v>
      </c>
      <c r="N459" s="655">
        <f>+IF(OR($Q459=Parametres!$G$2,$Q459=Parametres!$G$3),I459,C459)</f>
        <v>-199</v>
      </c>
      <c r="O459" s="655">
        <f>+IF(OR($Q459=Parametres!$G$2,$Q459=Parametres!$G$3),J459,D459)</f>
        <v>-99</v>
      </c>
      <c r="P459" s="655">
        <f>+IF(OR($Q459=Parametres!$G$2,$Q459=Parametres!$G$3),K459,E459)</f>
        <v>-298</v>
      </c>
      <c r="Q459" s="654" t="str">
        <f t="shared" si="198"/>
        <v>10-Compte compteur</v>
      </c>
      <c r="R459" s="653" t="str">
        <f t="shared" si="199"/>
        <v>4491</v>
      </c>
      <c r="S459" s="654" t="str">
        <f t="shared" si="200"/>
        <v>_</v>
      </c>
      <c r="T459" s="656" t="str">
        <f>+VLOOKUP($L459,Data_Validation!$A:$D,1,0)</f>
        <v>4491@</v>
      </c>
      <c r="U459" s="656" t="str">
        <f>+VLOOKUP($L459,Data_Validation!$A:$D,3,0)</f>
        <v>Service</v>
      </c>
      <c r="V459" s="656" t="str">
        <f>+VLOOKUP($L459,Data_Validation!$A:$D,4,0)</f>
        <v>Sous-traitement</v>
      </c>
      <c r="W459" s="656" t="str">
        <f>+VLOOKUP($L459,Data_Validation!$A:$E,5,0)</f>
        <v>NB</v>
      </c>
      <c r="X459" s="656">
        <f>+VLOOKUP($L459,Data_Validation!$A:$F,6,0)</f>
        <v>0</v>
      </c>
    </row>
    <row r="460" spans="1:24" ht="15.75" customHeight="1">
      <c r="A460" s="1255" t="s">
        <v>1041</v>
      </c>
      <c r="B460" s="1255" t="s">
        <v>1042</v>
      </c>
      <c r="C460" s="1256"/>
      <c r="D460" s="1256"/>
      <c r="E460" s="1256"/>
      <c r="F460" s="1255" t="s">
        <v>7</v>
      </c>
      <c r="G460" s="1255" t="s">
        <v>1040</v>
      </c>
      <c r="H460" s="1255" t="s">
        <v>3950</v>
      </c>
      <c r="I460" s="1257">
        <v>-16</v>
      </c>
      <c r="J460" s="1257">
        <v>-1</v>
      </c>
      <c r="K460" s="1257">
        <v>-17</v>
      </c>
      <c r="L460" s="653" t="str">
        <f t="shared" si="196"/>
        <v>4493@</v>
      </c>
      <c r="M460" s="654" t="str">
        <f t="shared" si="197"/>
        <v># DE VTE - SOUS-TRAITANCE GARANTIE</v>
      </c>
      <c r="N460" s="655">
        <f>+IF(OR($Q460=Parametres!$G$2,$Q460=Parametres!$G$3),I460,C460)</f>
        <v>-16</v>
      </c>
      <c r="O460" s="655">
        <f>+IF(OR($Q460=Parametres!$G$2,$Q460=Parametres!$G$3),J460,D460)</f>
        <v>-1</v>
      </c>
      <c r="P460" s="655">
        <f>+IF(OR($Q460=Parametres!$G$2,$Q460=Parametres!$G$3),K460,E460)</f>
        <v>-17</v>
      </c>
      <c r="Q460" s="654" t="str">
        <f t="shared" si="198"/>
        <v>10-Compte compteur</v>
      </c>
      <c r="R460" s="653" t="str">
        <f t="shared" si="199"/>
        <v>4493</v>
      </c>
      <c r="S460" s="654" t="str">
        <f t="shared" si="200"/>
        <v>_</v>
      </c>
      <c r="T460" s="656" t="str">
        <f>+VLOOKUP($L460,Data_Validation!$A:$D,1,0)</f>
        <v>4493@</v>
      </c>
      <c r="U460" s="656" t="str">
        <f>+VLOOKUP($L460,Data_Validation!$A:$D,3,0)</f>
        <v>Service</v>
      </c>
      <c r="V460" s="656" t="str">
        <f>+VLOOKUP($L460,Data_Validation!$A:$D,4,0)</f>
        <v>Sous-traitement</v>
      </c>
      <c r="W460" s="656" t="str">
        <f>+VLOOKUP($L460,Data_Validation!$A:$E,5,0)</f>
        <v>NB</v>
      </c>
      <c r="X460" s="656">
        <f>+VLOOKUP($L460,Data_Validation!$A:$F,6,0)</f>
        <v>0</v>
      </c>
    </row>
    <row r="461" spans="1:24" ht="15.75" customHeight="1">
      <c r="A461" s="1255" t="s">
        <v>1045</v>
      </c>
      <c r="B461" s="1255" t="s">
        <v>1046</v>
      </c>
      <c r="C461" s="1256"/>
      <c r="D461" s="1256"/>
      <c r="E461" s="1256"/>
      <c r="F461" s="1255" t="s">
        <v>7</v>
      </c>
      <c r="G461" s="1255" t="s">
        <v>1044</v>
      </c>
      <c r="H461" s="1255" t="s">
        <v>3950</v>
      </c>
      <c r="I461" s="1257">
        <v>-191</v>
      </c>
      <c r="J461" s="1257">
        <v>-82</v>
      </c>
      <c r="K461" s="1257">
        <v>-273</v>
      </c>
      <c r="L461" s="653" t="str">
        <f t="shared" si="196"/>
        <v>4495@</v>
      </c>
      <c r="M461" s="654" t="str">
        <f t="shared" si="197"/>
        <v># DE VTE - S-TRAITANCE MEC.INTERNE VW</v>
      </c>
      <c r="N461" s="655">
        <f>+IF(OR($Q461=Parametres!$G$2,$Q461=Parametres!$G$3),I461,C461)</f>
        <v>-191</v>
      </c>
      <c r="O461" s="655">
        <f>+IF(OR($Q461=Parametres!$G$2,$Q461=Parametres!$G$3),J461,D461)</f>
        <v>-82</v>
      </c>
      <c r="P461" s="655">
        <f>+IF(OR($Q461=Parametres!$G$2,$Q461=Parametres!$G$3),K461,E461)</f>
        <v>-273</v>
      </c>
      <c r="Q461" s="654" t="str">
        <f t="shared" si="198"/>
        <v>10-Compte compteur</v>
      </c>
      <c r="R461" s="653" t="str">
        <f t="shared" si="199"/>
        <v>4495</v>
      </c>
      <c r="S461" s="654" t="str">
        <f t="shared" si="200"/>
        <v>_</v>
      </c>
      <c r="T461" s="656" t="str">
        <f>+VLOOKUP($L461,Data_Validation!$A:$D,1,0)</f>
        <v>4495@</v>
      </c>
      <c r="U461" s="656" t="str">
        <f>+VLOOKUP($L461,Data_Validation!$A:$D,3,0)</f>
        <v>Service</v>
      </c>
      <c r="V461" s="656" t="str">
        <f>+VLOOKUP($L461,Data_Validation!$A:$D,4,0)</f>
        <v>Sous-traitement</v>
      </c>
      <c r="W461" s="656" t="str">
        <f>+VLOOKUP($L461,Data_Validation!$A:$E,5,0)</f>
        <v>NB</v>
      </c>
      <c r="X461" s="656">
        <f>+VLOOKUP($L461,Data_Validation!$A:$F,6,0)</f>
        <v>0</v>
      </c>
    </row>
    <row r="462" spans="1:24" ht="15.75" customHeight="1">
      <c r="A462" s="1255" t="s">
        <v>3430</v>
      </c>
      <c r="B462" s="1255" t="s">
        <v>3431</v>
      </c>
      <c r="C462" s="1256"/>
      <c r="D462" s="1256"/>
      <c r="E462" s="1256"/>
      <c r="F462" s="1255" t="s">
        <v>7</v>
      </c>
      <c r="G462" s="1255" t="s">
        <v>3427</v>
      </c>
      <c r="H462" s="1255" t="s">
        <v>3950</v>
      </c>
      <c r="I462" s="1257">
        <v>-149</v>
      </c>
      <c r="J462" s="1257">
        <v>-68</v>
      </c>
      <c r="K462" s="1257">
        <v>-217</v>
      </c>
      <c r="L462" s="653" t="str">
        <f t="shared" si="196"/>
        <v>4505@</v>
      </c>
      <c r="M462" s="654" t="str">
        <f t="shared" si="197"/>
        <v># DE VTE - M.O. INTERNE CARROSSERIE</v>
      </c>
      <c r="N462" s="655">
        <f>+IF(OR($Q462=Parametres!$G$2,$Q462=Parametres!$G$3),I462,C462)</f>
        <v>-149</v>
      </c>
      <c r="O462" s="655">
        <f>+IF(OR($Q462=Parametres!$G$2,$Q462=Parametres!$G$3),J462,D462)</f>
        <v>-68</v>
      </c>
      <c r="P462" s="655">
        <f>+IF(OR($Q462=Parametres!$G$2,$Q462=Parametres!$G$3),K462,E462)</f>
        <v>-217</v>
      </c>
      <c r="Q462" s="654" t="str">
        <f t="shared" si="198"/>
        <v>10-Compte compteur</v>
      </c>
      <c r="R462" s="653" t="str">
        <f t="shared" si="199"/>
        <v>4505</v>
      </c>
      <c r="S462" s="654" t="str">
        <f t="shared" si="200"/>
        <v>_</v>
      </c>
      <c r="T462" s="656" t="str">
        <f>+VLOOKUP($L462,Data_Validation!$A:$D,1,0)</f>
        <v>4505@</v>
      </c>
      <c r="U462" s="656" t="str">
        <f>+VLOOKUP($L462,Data_Validation!$A:$D,3,0)</f>
        <v>Service</v>
      </c>
      <c r="V462" s="656" t="str">
        <f>+VLOOKUP($L462,Data_Validation!$A:$D,4,0)</f>
        <v>M.O. Recond. MCPA</v>
      </c>
      <c r="W462" s="656" t="str">
        <f>+VLOOKUP($L462,Data_Validation!$A:$E,5,0)</f>
        <v>NB</v>
      </c>
      <c r="X462" s="656">
        <f>+VLOOKUP($L462,Data_Validation!$A:$F,6,0)</f>
        <v>0</v>
      </c>
    </row>
    <row r="463" spans="1:24" ht="15.75" customHeight="1">
      <c r="A463" s="1255" t="s">
        <v>1052</v>
      </c>
      <c r="B463" s="1255" t="s">
        <v>1053</v>
      </c>
      <c r="C463" s="1256"/>
      <c r="D463" s="1256"/>
      <c r="E463" s="1256"/>
      <c r="F463" s="1255" t="s">
        <v>7</v>
      </c>
      <c r="G463" s="1255" t="s">
        <v>1051</v>
      </c>
      <c r="H463" s="1255" t="s">
        <v>3950</v>
      </c>
      <c r="I463" s="1257">
        <v>-12</v>
      </c>
      <c r="J463" s="1257">
        <v>-2</v>
      </c>
      <c r="K463" s="1257">
        <v>-14</v>
      </c>
      <c r="L463" s="653" t="str">
        <f t="shared" si="196"/>
        <v>4591@</v>
      </c>
      <c r="M463" s="654" t="str">
        <f t="shared" si="197"/>
        <v>REPARATION SOUS-LOC.-PEINT/DEB</v>
      </c>
      <c r="N463" s="655">
        <f>+IF(OR($Q463=Parametres!$G$2,$Q463=Parametres!$G$3),I463,C463)</f>
        <v>-12</v>
      </c>
      <c r="O463" s="655">
        <f>+IF(OR($Q463=Parametres!$G$2,$Q463=Parametres!$G$3),J463,D463)</f>
        <v>-2</v>
      </c>
      <c r="P463" s="655">
        <f>+IF(OR($Q463=Parametres!$G$2,$Q463=Parametres!$G$3),K463,E463)</f>
        <v>-14</v>
      </c>
      <c r="Q463" s="654" t="str">
        <f t="shared" si="198"/>
        <v>10-Compte compteur</v>
      </c>
      <c r="R463" s="653" t="str">
        <f t="shared" si="199"/>
        <v>4591</v>
      </c>
      <c r="S463" s="654" t="str">
        <f t="shared" si="200"/>
        <v>_</v>
      </c>
      <c r="T463" s="656" t="str">
        <f>+VLOOKUP($L463,Data_Validation!$A:$D,1,0)</f>
        <v>4591@</v>
      </c>
      <c r="U463" s="656" t="str">
        <f>+VLOOKUP($L463,Data_Validation!$A:$D,3,0)</f>
        <v>Carrosserie</v>
      </c>
      <c r="V463" s="656" t="str">
        <f>+VLOOKUP($L463,Data_Validation!$A:$D,4,0)</f>
        <v>M/O Sous-traitement</v>
      </c>
      <c r="W463" s="656" t="str">
        <f>+VLOOKUP($L463,Data_Validation!$A:$E,5,0)</f>
        <v>NB</v>
      </c>
      <c r="X463" s="656">
        <f>+VLOOKUP($L463,Data_Validation!$A:$F,6,0)</f>
        <v>0</v>
      </c>
    </row>
    <row r="464" spans="1:24" ht="15.75" customHeight="1">
      <c r="A464" s="1255" t="s">
        <v>1056</v>
      </c>
      <c r="B464" s="1255" t="s">
        <v>1057</v>
      </c>
      <c r="C464" s="1256"/>
      <c r="D464" s="1256"/>
      <c r="E464" s="1256"/>
      <c r="F464" s="1255" t="s">
        <v>7</v>
      </c>
      <c r="G464" s="1255" t="s">
        <v>1055</v>
      </c>
      <c r="H464" s="1255" t="s">
        <v>3950</v>
      </c>
      <c r="I464" s="1257">
        <v>-22</v>
      </c>
      <c r="J464" s="1257">
        <v>-3</v>
      </c>
      <c r="K464" s="1257">
        <v>-25</v>
      </c>
      <c r="L464" s="653" t="str">
        <f t="shared" ref="L464:L466" si="201">TEXT(B464,0)</f>
        <v>4593@</v>
      </c>
      <c r="M464" s="654" t="str">
        <f t="shared" ref="M464:M466" si="202">+A464</f>
        <v># DE VTE - S-TRAITANCE GAR.CARR.</v>
      </c>
      <c r="N464" s="655">
        <f>+IF(OR($Q464=Parametres!$G$2,$Q464=Parametres!$G$3),I464,C464)</f>
        <v>-22</v>
      </c>
      <c r="O464" s="655">
        <f>+IF(OR($Q464=Parametres!$G$2,$Q464=Parametres!$G$3),J464,D464)</f>
        <v>-3</v>
      </c>
      <c r="P464" s="655">
        <f>+IF(OR($Q464=Parametres!$G$2,$Q464=Parametres!$G$3),K464,E464)</f>
        <v>-25</v>
      </c>
      <c r="Q464" s="654" t="str">
        <f t="shared" ref="Q464:Q466" si="203">+F464</f>
        <v>10-Compte compteur</v>
      </c>
      <c r="R464" s="653" t="str">
        <f t="shared" ref="R464:R466" si="204">+G464</f>
        <v>4593</v>
      </c>
      <c r="S464" s="654" t="str">
        <f t="shared" ref="S464:S466" si="205">+H464</f>
        <v>_</v>
      </c>
      <c r="T464" s="656" t="str">
        <f>+VLOOKUP($L464,Data_Validation!$A:$D,1,0)</f>
        <v>4593@</v>
      </c>
      <c r="U464" s="656" t="str">
        <f>+VLOOKUP($L464,Data_Validation!$A:$D,3,0)</f>
        <v>Carrosserie</v>
      </c>
      <c r="V464" s="656" t="str">
        <f>+VLOOKUP($L464,Data_Validation!$A:$D,4,0)</f>
        <v>M/O Sous-traitement</v>
      </c>
      <c r="W464" s="656" t="str">
        <f>+VLOOKUP($L464,Data_Validation!$A:$E,5,0)</f>
        <v>NB</v>
      </c>
      <c r="X464" s="656">
        <f>+VLOOKUP($L464,Data_Validation!$A:$F,6,0)</f>
        <v>0</v>
      </c>
    </row>
    <row r="465" spans="1:24" ht="15.75" customHeight="1">
      <c r="A465" s="1255" t="s">
        <v>1060</v>
      </c>
      <c r="B465" s="1255" t="s">
        <v>1061</v>
      </c>
      <c r="C465" s="1256"/>
      <c r="D465" s="1256"/>
      <c r="E465" s="1256"/>
      <c r="F465" s="1255" t="s">
        <v>7</v>
      </c>
      <c r="G465" s="1255" t="s">
        <v>1059</v>
      </c>
      <c r="H465" s="1255" t="s">
        <v>3950</v>
      </c>
      <c r="I465" s="1257">
        <v>-4</v>
      </c>
      <c r="J465" s="1257">
        <v>0</v>
      </c>
      <c r="K465" s="1257">
        <v>-4</v>
      </c>
      <c r="L465" s="653" t="str">
        <f t="shared" si="201"/>
        <v>4595@</v>
      </c>
      <c r="M465" s="654" t="str">
        <f t="shared" si="202"/>
        <v># DE VTE - S-TRAIT.INTERNE CARR.</v>
      </c>
      <c r="N465" s="655">
        <f>+IF(OR($Q465=Parametres!$G$2,$Q465=Parametres!$G$3),I465,C465)</f>
        <v>-4</v>
      </c>
      <c r="O465" s="655">
        <f>+IF(OR($Q465=Parametres!$G$2,$Q465=Parametres!$G$3),J465,D465)</f>
        <v>0</v>
      </c>
      <c r="P465" s="655">
        <f>+IF(OR($Q465=Parametres!$G$2,$Q465=Parametres!$G$3),K465,E465)</f>
        <v>-4</v>
      </c>
      <c r="Q465" s="654" t="str">
        <f t="shared" si="203"/>
        <v>10-Compte compteur</v>
      </c>
      <c r="R465" s="653" t="str">
        <f t="shared" si="204"/>
        <v>4595</v>
      </c>
      <c r="S465" s="654" t="str">
        <f t="shared" si="205"/>
        <v>_</v>
      </c>
      <c r="T465" s="656" t="str">
        <f>+VLOOKUP($L465,Data_Validation!$A:$D,1,0)</f>
        <v>4595@</v>
      </c>
      <c r="U465" s="656" t="str">
        <f>+VLOOKUP($L465,Data_Validation!$A:$D,3,0)</f>
        <v>Carrosserie</v>
      </c>
      <c r="V465" s="656" t="str">
        <f>+VLOOKUP($L465,Data_Validation!$A:$D,4,0)</f>
        <v>M/O Sous-traitement</v>
      </c>
      <c r="W465" s="656" t="str">
        <f>+VLOOKUP($L465,Data_Validation!$A:$E,5,0)</f>
        <v>NB</v>
      </c>
      <c r="X465" s="656">
        <f>+VLOOKUP($L465,Data_Validation!$A:$F,6,0)</f>
        <v>0</v>
      </c>
    </row>
    <row r="466" spans="1:24" ht="15.75" customHeight="1">
      <c r="A466" s="1255" t="s">
        <v>3674</v>
      </c>
      <c r="B466" s="1255" t="s">
        <v>1065</v>
      </c>
      <c r="C466" s="1256"/>
      <c r="D466" s="1256"/>
      <c r="E466" s="1256"/>
      <c r="F466" s="1255" t="s">
        <v>7</v>
      </c>
      <c r="G466" s="1255" t="s">
        <v>1063</v>
      </c>
      <c r="H466" s="1255" t="s">
        <v>3950</v>
      </c>
      <c r="I466" s="1257">
        <v>-1642</v>
      </c>
      <c r="J466" s="1257">
        <v>-664</v>
      </c>
      <c r="K466" s="1257">
        <v>-2306</v>
      </c>
      <c r="L466" s="653" t="str">
        <f t="shared" si="201"/>
        <v>4701@</v>
      </c>
      <c r="M466" s="654" t="str">
        <f t="shared" si="202"/>
        <v>VW P&amp;A - BR - CLIENT - MCI</v>
      </c>
      <c r="N466" s="655">
        <f>+IF(OR($Q466=Parametres!$G$2,$Q466=Parametres!$G$3),I466,C466)</f>
        <v>-1642</v>
      </c>
      <c r="O466" s="655">
        <f>+IF(OR($Q466=Parametres!$G$2,$Q466=Parametres!$G$3),J466,D466)</f>
        <v>-664</v>
      </c>
      <c r="P466" s="655">
        <f>+IF(OR($Q466=Parametres!$G$2,$Q466=Parametres!$G$3),K466,E466)</f>
        <v>-2306</v>
      </c>
      <c r="Q466" s="654" t="str">
        <f t="shared" si="203"/>
        <v>10-Compte compteur</v>
      </c>
      <c r="R466" s="653" t="str">
        <f t="shared" si="204"/>
        <v>4701</v>
      </c>
      <c r="S466" s="654" t="str">
        <f t="shared" si="205"/>
        <v>_</v>
      </c>
      <c r="T466" s="656" t="str">
        <f>+VLOOKUP($L466,Data_Validation!$A:$D,1,0)</f>
        <v>4701@</v>
      </c>
      <c r="U466" s="656" t="str">
        <f>+VLOOKUP($L466,Data_Validation!$A:$D,3,0)</f>
        <v>Pièces</v>
      </c>
      <c r="V466" s="656" t="str">
        <f>+VLOOKUP($L466,Data_Validation!$A:$D,4,0)</f>
        <v>Pièces Ro Clients</v>
      </c>
      <c r="W466" s="656" t="str">
        <f>+VLOOKUP($L466,Data_Validation!$A:$E,5,0)</f>
        <v>NB</v>
      </c>
      <c r="X466" s="656">
        <f>+VLOOKUP($L466,Data_Validation!$A:$F,6,0)</f>
        <v>0</v>
      </c>
    </row>
    <row r="467" spans="1:24" ht="15.75" customHeight="1">
      <c r="A467" s="1255" t="s">
        <v>3675</v>
      </c>
      <c r="B467" s="1255" t="s">
        <v>1071</v>
      </c>
      <c r="C467" s="1256"/>
      <c r="D467" s="1256"/>
      <c r="E467" s="1256"/>
      <c r="F467" s="1255" t="s">
        <v>7</v>
      </c>
      <c r="G467" s="1255" t="s">
        <v>1069</v>
      </c>
      <c r="H467" s="1255" t="s">
        <v>3950</v>
      </c>
      <c r="I467" s="1257">
        <v>-831</v>
      </c>
      <c r="J467" s="1257">
        <v>-143</v>
      </c>
      <c r="K467" s="1257">
        <v>-974</v>
      </c>
      <c r="L467" s="653" t="str">
        <f t="shared" ref="L467:L469" si="206">TEXT(B467,0)</f>
        <v>4703@</v>
      </c>
      <c r="M467" s="654" t="str">
        <f t="shared" ref="M467:M469" si="207">+A467</f>
        <v>VW P&amp;A - BR - GARANTIE - MCI</v>
      </c>
      <c r="N467" s="655">
        <f>+IF(OR($Q467=Parametres!$G$2,$Q467=Parametres!$G$3),I467,C467)</f>
        <v>-831</v>
      </c>
      <c r="O467" s="655">
        <f>+IF(OR($Q467=Parametres!$G$2,$Q467=Parametres!$G$3),J467,D467)</f>
        <v>-143</v>
      </c>
      <c r="P467" s="655">
        <f>+IF(OR($Q467=Parametres!$G$2,$Q467=Parametres!$G$3),K467,E467)</f>
        <v>-974</v>
      </c>
      <c r="Q467" s="654" t="str">
        <f t="shared" ref="Q467:Q469" si="208">+F467</f>
        <v>10-Compte compteur</v>
      </c>
      <c r="R467" s="653" t="str">
        <f t="shared" ref="R467:R469" si="209">+G467</f>
        <v>4703</v>
      </c>
      <c r="S467" s="654" t="str">
        <f t="shared" ref="S467:S469" si="210">+H467</f>
        <v>_</v>
      </c>
      <c r="T467" s="656" t="str">
        <f>+VLOOKUP($L467,Data_Validation!$A:$D,1,0)</f>
        <v>4703@</v>
      </c>
      <c r="U467" s="656" t="str">
        <f>+VLOOKUP($L467,Data_Validation!$A:$D,3,0)</f>
        <v>Pièces</v>
      </c>
      <c r="V467" s="656" t="str">
        <f>+VLOOKUP($L467,Data_Validation!$A:$D,4,0)</f>
        <v>P/A Garantie</v>
      </c>
      <c r="W467" s="656" t="str">
        <f>+VLOOKUP($L467,Data_Validation!$A:$E,5,0)</f>
        <v>NB</v>
      </c>
      <c r="X467" s="656">
        <f>+VLOOKUP($L467,Data_Validation!$A:$F,6,0)</f>
        <v>0</v>
      </c>
    </row>
    <row r="468" spans="1:24" ht="15.75" customHeight="1">
      <c r="A468" s="1255" t="s">
        <v>3676</v>
      </c>
      <c r="B468" s="1255" t="s">
        <v>1075</v>
      </c>
      <c r="C468" s="1256"/>
      <c r="D468" s="1256"/>
      <c r="E468" s="1256"/>
      <c r="F468" s="1255" t="s">
        <v>7</v>
      </c>
      <c r="G468" s="1255" t="s">
        <v>1073</v>
      </c>
      <c r="H468" s="1255" t="s">
        <v>3950</v>
      </c>
      <c r="I468" s="1257">
        <v>-949</v>
      </c>
      <c r="J468" s="1257">
        <v>-237</v>
      </c>
      <c r="K468" s="1257">
        <v>-1186</v>
      </c>
      <c r="L468" s="653" t="str">
        <f t="shared" si="206"/>
        <v>4705@</v>
      </c>
      <c r="M468" s="654" t="str">
        <f t="shared" si="207"/>
        <v>VW P&amp;A - BR - INTERNE - MCI</v>
      </c>
      <c r="N468" s="655">
        <f>+IF(OR($Q468=Parametres!$G$2,$Q468=Parametres!$G$3),I468,C468)</f>
        <v>-949</v>
      </c>
      <c r="O468" s="655">
        <f>+IF(OR($Q468=Parametres!$G$2,$Q468=Parametres!$G$3),J468,D468)</f>
        <v>-237</v>
      </c>
      <c r="P468" s="655">
        <f>+IF(OR($Q468=Parametres!$G$2,$Q468=Parametres!$G$3),K468,E468)</f>
        <v>-1186</v>
      </c>
      <c r="Q468" s="654" t="str">
        <f t="shared" si="208"/>
        <v>10-Compte compteur</v>
      </c>
      <c r="R468" s="653" t="str">
        <f t="shared" si="209"/>
        <v>4705</v>
      </c>
      <c r="S468" s="654" t="str">
        <f t="shared" si="210"/>
        <v>_</v>
      </c>
      <c r="T468" s="656" t="str">
        <f>+VLOOKUP($L468,Data_Validation!$A:$D,1,0)</f>
        <v>4705@</v>
      </c>
      <c r="U468" s="656" t="str">
        <f>+VLOOKUP($L468,Data_Validation!$A:$D,3,0)</f>
        <v>Pièces</v>
      </c>
      <c r="V468" s="656" t="str">
        <f>+VLOOKUP($L468,Data_Validation!$A:$D,4,0)</f>
        <v>Ventes Internes</v>
      </c>
      <c r="W468" s="656" t="str">
        <f>+VLOOKUP($L468,Data_Validation!$A:$E,5,0)</f>
        <v>NB</v>
      </c>
      <c r="X468" s="656">
        <f>+VLOOKUP($L468,Data_Validation!$A:$F,6,0)</f>
        <v>0</v>
      </c>
    </row>
    <row r="469" spans="1:24" ht="15.75" customHeight="1">
      <c r="A469" s="1255" t="s">
        <v>1079</v>
      </c>
      <c r="B469" s="1255" t="s">
        <v>1080</v>
      </c>
      <c r="C469" s="1256"/>
      <c r="D469" s="1256"/>
      <c r="E469" s="1256"/>
      <c r="F469" s="1255" t="s">
        <v>7</v>
      </c>
      <c r="G469" s="1255" t="s">
        <v>1078</v>
      </c>
      <c r="H469" s="1255" t="s">
        <v>3950</v>
      </c>
      <c r="I469" s="1257">
        <v>-796</v>
      </c>
      <c r="J469" s="1257">
        <v>-311</v>
      </c>
      <c r="K469" s="1257">
        <v>-1107</v>
      </c>
      <c r="L469" s="653" t="str">
        <f t="shared" si="206"/>
        <v>4711@</v>
      </c>
      <c r="M469" s="654" t="str">
        <f t="shared" si="207"/>
        <v># DE VTE - P&amp;A B.T. CLIENT AUDI</v>
      </c>
      <c r="N469" s="655">
        <f>+IF(OR($Q469=Parametres!$G$2,$Q469=Parametres!$G$3),I469,C469)</f>
        <v>-796</v>
      </c>
      <c r="O469" s="655">
        <f>+IF(OR($Q469=Parametres!$G$2,$Q469=Parametres!$G$3),J469,D469)</f>
        <v>-311</v>
      </c>
      <c r="P469" s="655">
        <f>+IF(OR($Q469=Parametres!$G$2,$Q469=Parametres!$G$3),K469,E469)</f>
        <v>-1107</v>
      </c>
      <c r="Q469" s="654" t="str">
        <f t="shared" si="208"/>
        <v>10-Compte compteur</v>
      </c>
      <c r="R469" s="653" t="str">
        <f t="shared" si="209"/>
        <v>84711</v>
      </c>
      <c r="S469" s="654" t="str">
        <f t="shared" si="210"/>
        <v>_</v>
      </c>
      <c r="T469" s="656" t="str">
        <f>+VLOOKUP($L469,Data_Validation!$A:$D,1,0)</f>
        <v>4711@</v>
      </c>
      <c r="U469" s="656" t="str">
        <f>+VLOOKUP($L469,Data_Validation!$A:$D,3,0)</f>
        <v>Pièces</v>
      </c>
      <c r="V469" s="656" t="str">
        <f>+VLOOKUP($L469,Data_Validation!$A:$D,4,0)</f>
        <v>Pièces Ro Clients</v>
      </c>
      <c r="W469" s="656" t="str">
        <f>+VLOOKUP($L469,Data_Validation!$A:$E,5,0)</f>
        <v>NB</v>
      </c>
      <c r="X469" s="656">
        <f>+VLOOKUP($L469,Data_Validation!$A:$F,6,0)</f>
        <v>0</v>
      </c>
    </row>
    <row r="470" spans="1:24" ht="15.75" customHeight="1">
      <c r="A470" s="1255" t="s">
        <v>1087</v>
      </c>
      <c r="B470" s="1255" t="s">
        <v>1088</v>
      </c>
      <c r="C470" s="1256"/>
      <c r="D470" s="1256"/>
      <c r="E470" s="1256"/>
      <c r="F470" s="1255" t="s">
        <v>7</v>
      </c>
      <c r="G470" s="1255" t="s">
        <v>1086</v>
      </c>
      <c r="H470" s="1255" t="s">
        <v>3950</v>
      </c>
      <c r="I470" s="1257">
        <v>-1</v>
      </c>
      <c r="J470" s="1257">
        <v>0</v>
      </c>
      <c r="K470" s="1257">
        <v>-1</v>
      </c>
      <c r="L470" s="653" t="str">
        <f t="shared" ref="L470:L473" si="211">TEXT(B470,0)</f>
        <v>4731@</v>
      </c>
      <c r="M470" s="654" t="str">
        <f t="shared" ref="M470:M473" si="212">+A470</f>
        <v>PIECES-BON REPAR. PEINT/DEBOS</v>
      </c>
      <c r="N470" s="655">
        <f>+IF(OR($Q470=Parametres!$G$2,$Q470=Parametres!$G$3),I470,C470)</f>
        <v>-1</v>
      </c>
      <c r="O470" s="655">
        <f>+IF(OR($Q470=Parametres!$G$2,$Q470=Parametres!$G$3),J470,D470)</f>
        <v>0</v>
      </c>
      <c r="P470" s="655">
        <f>+IF(OR($Q470=Parametres!$G$2,$Q470=Parametres!$G$3),K470,E470)</f>
        <v>-1</v>
      </c>
      <c r="Q470" s="654" t="str">
        <f t="shared" ref="Q470:Q473" si="213">+F470</f>
        <v>10-Compte compteur</v>
      </c>
      <c r="R470" s="653" t="str">
        <f t="shared" ref="R470:R473" si="214">+G470</f>
        <v>4731</v>
      </c>
      <c r="S470" s="654" t="str">
        <f t="shared" ref="S470:S473" si="215">+H470</f>
        <v>_</v>
      </c>
      <c r="T470" s="656" t="str">
        <f>+VLOOKUP($L470,Data_Validation!$A:$D,1,0)</f>
        <v>4731@</v>
      </c>
      <c r="U470" s="656" t="str">
        <f>+VLOOKUP($L470,Data_Validation!$A:$D,3,0)</f>
        <v>Pièces</v>
      </c>
      <c r="V470" s="656" t="str">
        <f>+VLOOKUP($L470,Data_Validation!$A:$D,4,0)</f>
        <v>Pièces Ro Carrosserie</v>
      </c>
      <c r="W470" s="656" t="str">
        <f>+VLOOKUP($L470,Data_Validation!$A:$E,5,0)</f>
        <v>NB</v>
      </c>
      <c r="X470" s="656">
        <f>+VLOOKUP($L470,Data_Validation!$A:$F,6,0)</f>
        <v>0</v>
      </c>
    </row>
    <row r="471" spans="1:24" ht="15.75" customHeight="1">
      <c r="A471" s="1255" t="s">
        <v>1091</v>
      </c>
      <c r="B471" s="1255" t="s">
        <v>1092</v>
      </c>
      <c r="C471" s="1256"/>
      <c r="D471" s="1256"/>
      <c r="E471" s="1256"/>
      <c r="F471" s="1255" t="s">
        <v>7</v>
      </c>
      <c r="G471" s="1255" t="s">
        <v>1090</v>
      </c>
      <c r="H471" s="1255" t="s">
        <v>3950</v>
      </c>
      <c r="I471" s="1257">
        <v>-16</v>
      </c>
      <c r="J471" s="1257">
        <v>-3</v>
      </c>
      <c r="K471" s="1257">
        <v>-19</v>
      </c>
      <c r="L471" s="653" t="str">
        <f t="shared" si="211"/>
        <v>4733@</v>
      </c>
      <c r="M471" s="654" t="str">
        <f t="shared" si="212"/>
        <v># DE VTE - P&amp;A B.T. GARANTIE CARR.</v>
      </c>
      <c r="N471" s="655">
        <f>+IF(OR($Q471=Parametres!$G$2,$Q471=Parametres!$G$3),I471,C471)</f>
        <v>-16</v>
      </c>
      <c r="O471" s="655">
        <f>+IF(OR($Q471=Parametres!$G$2,$Q471=Parametres!$G$3),J471,D471)</f>
        <v>-3</v>
      </c>
      <c r="P471" s="655">
        <f>+IF(OR($Q471=Parametres!$G$2,$Q471=Parametres!$G$3),K471,E471)</f>
        <v>-19</v>
      </c>
      <c r="Q471" s="654" t="str">
        <f t="shared" si="213"/>
        <v>10-Compte compteur</v>
      </c>
      <c r="R471" s="653" t="str">
        <f t="shared" si="214"/>
        <v>4733</v>
      </c>
      <c r="S471" s="654" t="str">
        <f t="shared" si="215"/>
        <v>_</v>
      </c>
      <c r="T471" s="656" t="str">
        <f>+VLOOKUP($L471,Data_Validation!$A:$D,1,0)</f>
        <v>4733@</v>
      </c>
      <c r="U471" s="656" t="str">
        <f>+VLOOKUP($L471,Data_Validation!$A:$D,3,0)</f>
        <v>Pièces</v>
      </c>
      <c r="V471" s="656" t="str">
        <f>+VLOOKUP($L471,Data_Validation!$A:$D,4,0)</f>
        <v>Pièces Ro Carrosserie</v>
      </c>
      <c r="W471" s="656" t="str">
        <f>+VLOOKUP($L471,Data_Validation!$A:$E,5,0)</f>
        <v>NB</v>
      </c>
      <c r="X471" s="656">
        <f>+VLOOKUP($L471,Data_Validation!$A:$F,6,0)</f>
        <v>0</v>
      </c>
    </row>
    <row r="472" spans="1:24" ht="15.75" customHeight="1">
      <c r="A472" s="1255" t="s">
        <v>1095</v>
      </c>
      <c r="B472" s="1255" t="s">
        <v>1096</v>
      </c>
      <c r="C472" s="1256"/>
      <c r="D472" s="1256"/>
      <c r="E472" s="1256"/>
      <c r="F472" s="1255" t="s">
        <v>7</v>
      </c>
      <c r="G472" s="1255" t="s">
        <v>1094</v>
      </c>
      <c r="H472" s="1255" t="s">
        <v>3950</v>
      </c>
      <c r="I472" s="1257">
        <v>-18</v>
      </c>
      <c r="J472" s="1257">
        <v>0</v>
      </c>
      <c r="K472" s="1257">
        <v>-18</v>
      </c>
      <c r="L472" s="653" t="str">
        <f t="shared" si="211"/>
        <v>4735@</v>
      </c>
      <c r="M472" s="654" t="str">
        <f t="shared" si="212"/>
        <v># DE VTE - P&amp;A B.T. INTERNE CARROS.</v>
      </c>
      <c r="N472" s="655">
        <f>+IF(OR($Q472=Parametres!$G$2,$Q472=Parametres!$G$3),I472,C472)</f>
        <v>-18</v>
      </c>
      <c r="O472" s="655">
        <f>+IF(OR($Q472=Parametres!$G$2,$Q472=Parametres!$G$3),J472,D472)</f>
        <v>0</v>
      </c>
      <c r="P472" s="655">
        <f>+IF(OR($Q472=Parametres!$G$2,$Q472=Parametres!$G$3),K472,E472)</f>
        <v>-18</v>
      </c>
      <c r="Q472" s="654" t="str">
        <f t="shared" si="213"/>
        <v>10-Compte compteur</v>
      </c>
      <c r="R472" s="653" t="str">
        <f t="shared" si="214"/>
        <v>4735</v>
      </c>
      <c r="S472" s="654" t="str">
        <f t="shared" si="215"/>
        <v>_</v>
      </c>
      <c r="T472" s="656" t="str">
        <f>+VLOOKUP($L472,Data_Validation!$A:$D,1,0)</f>
        <v>4735@</v>
      </c>
      <c r="U472" s="656" t="str">
        <f>+VLOOKUP($L472,Data_Validation!$A:$D,3,0)</f>
        <v>Pièces</v>
      </c>
      <c r="V472" s="656" t="str">
        <f>+VLOOKUP($L472,Data_Validation!$A:$D,4,0)</f>
        <v>Pièces Ro Carrosserie</v>
      </c>
      <c r="W472" s="656" t="str">
        <f>+VLOOKUP($L472,Data_Validation!$A:$E,5,0)</f>
        <v>NB</v>
      </c>
      <c r="X472" s="656">
        <f>+VLOOKUP($L472,Data_Validation!$A:$F,6,0)</f>
        <v>0</v>
      </c>
    </row>
    <row r="473" spans="1:24" ht="15.75" customHeight="1">
      <c r="A473" s="1255" t="s">
        <v>1099</v>
      </c>
      <c r="B473" s="1255" t="s">
        <v>1100</v>
      </c>
      <c r="C473" s="1256"/>
      <c r="D473" s="1256"/>
      <c r="E473" s="1256"/>
      <c r="F473" s="1255" t="s">
        <v>7</v>
      </c>
      <c r="G473" s="1255" t="s">
        <v>1098</v>
      </c>
      <c r="H473" s="1255" t="s">
        <v>3950</v>
      </c>
      <c r="I473" s="1257">
        <v>-545</v>
      </c>
      <c r="J473" s="1257">
        <v>-146</v>
      </c>
      <c r="K473" s="1257">
        <v>-691</v>
      </c>
      <c r="L473" s="653" t="str">
        <f t="shared" si="211"/>
        <v>4761@</v>
      </c>
      <c r="M473" s="654" t="str">
        <f t="shared" si="212"/>
        <v>PIECES-COMPTOIR-DETAIL</v>
      </c>
      <c r="N473" s="655">
        <f>+IF(OR($Q473=Parametres!$G$2,$Q473=Parametres!$G$3),I473,C473)</f>
        <v>-545</v>
      </c>
      <c r="O473" s="655">
        <f>+IF(OR($Q473=Parametres!$G$2,$Q473=Parametres!$G$3),J473,D473)</f>
        <v>-146</v>
      </c>
      <c r="P473" s="655">
        <f>+IF(OR($Q473=Parametres!$G$2,$Q473=Parametres!$G$3),K473,E473)</f>
        <v>-691</v>
      </c>
      <c r="Q473" s="654" t="str">
        <f t="shared" si="213"/>
        <v>10-Compte compteur</v>
      </c>
      <c r="R473" s="653" t="str">
        <f t="shared" si="214"/>
        <v>4761</v>
      </c>
      <c r="S473" s="654" t="str">
        <f t="shared" si="215"/>
        <v>_</v>
      </c>
      <c r="T473" s="656" t="str">
        <f>+VLOOKUP($L473,Data_Validation!$A:$D,1,0)</f>
        <v>4761@</v>
      </c>
      <c r="U473" s="656" t="str">
        <f>+VLOOKUP($L473,Data_Validation!$A:$D,3,0)</f>
        <v>Pièces</v>
      </c>
      <c r="V473" s="656" t="str">
        <f>+VLOOKUP($L473,Data_Validation!$A:$D,4,0)</f>
        <v>Ventes Détails</v>
      </c>
      <c r="W473" s="656" t="str">
        <f>+VLOOKUP($L473,Data_Validation!$A:$E,5,0)</f>
        <v>NB</v>
      </c>
      <c r="X473" s="656">
        <f>+VLOOKUP($L473,Data_Validation!$A:$F,6,0)</f>
        <v>0</v>
      </c>
    </row>
    <row r="474" spans="1:24" ht="15.75" customHeight="1">
      <c r="A474" s="1255" t="s">
        <v>1103</v>
      </c>
      <c r="B474" s="1255" t="s">
        <v>1104</v>
      </c>
      <c r="C474" s="1256"/>
      <c r="D474" s="1256"/>
      <c r="E474" s="1256"/>
      <c r="F474" s="1255" t="s">
        <v>7</v>
      </c>
      <c r="G474" s="1255" t="s">
        <v>1102</v>
      </c>
      <c r="H474" s="1255" t="s">
        <v>3950</v>
      </c>
      <c r="I474" s="1257">
        <v>-1697</v>
      </c>
      <c r="J474" s="1257">
        <v>-423</v>
      </c>
      <c r="K474" s="1257">
        <v>-2120</v>
      </c>
      <c r="L474" s="653" t="str">
        <f t="shared" ref="L474:L478" si="216">TEXT(B474,0)</f>
        <v>4763@</v>
      </c>
      <c r="M474" s="654" t="str">
        <f t="shared" ref="M474:M478" si="217">+A474</f>
        <v>PIECES-COMPTOIR-COMM. GROS</v>
      </c>
      <c r="N474" s="655">
        <f>+IF(OR($Q474=Parametres!$G$2,$Q474=Parametres!$G$3),I474,C474)</f>
        <v>-1697</v>
      </c>
      <c r="O474" s="655">
        <f>+IF(OR($Q474=Parametres!$G$2,$Q474=Parametres!$G$3),J474,D474)</f>
        <v>-423</v>
      </c>
      <c r="P474" s="655">
        <f>+IF(OR($Q474=Parametres!$G$2,$Q474=Parametres!$G$3),K474,E474)</f>
        <v>-2120</v>
      </c>
      <c r="Q474" s="654" t="str">
        <f t="shared" ref="Q474:Q478" si="218">+F474</f>
        <v>10-Compte compteur</v>
      </c>
      <c r="R474" s="653" t="str">
        <f t="shared" ref="R474:R478" si="219">+G474</f>
        <v>4763</v>
      </c>
      <c r="S474" s="654" t="str">
        <f t="shared" ref="S474:S478" si="220">+H474</f>
        <v>_</v>
      </c>
      <c r="T474" s="656" t="str">
        <f>+VLOOKUP($L474,Data_Validation!$A:$D,1,0)</f>
        <v>4763@</v>
      </c>
      <c r="U474" s="656" t="str">
        <f>+VLOOKUP($L474,Data_Validation!$A:$D,3,0)</f>
        <v>Pièces</v>
      </c>
      <c r="V474" s="656" t="str">
        <f>+VLOOKUP($L474,Data_Validation!$A:$D,4,0)</f>
        <v>Ventes de Gros</v>
      </c>
      <c r="W474" s="656" t="str">
        <f>+VLOOKUP($L474,Data_Validation!$A:$E,5,0)</f>
        <v>NB</v>
      </c>
      <c r="X474" s="656">
        <f>+VLOOKUP($L474,Data_Validation!$A:$F,6,0)</f>
        <v>0</v>
      </c>
    </row>
    <row r="475" spans="1:24" ht="15.75" customHeight="1">
      <c r="A475" s="1255" t="s">
        <v>1105</v>
      </c>
      <c r="B475" s="1255" t="s">
        <v>1107</v>
      </c>
      <c r="C475" s="1256"/>
      <c r="D475" s="1256"/>
      <c r="E475" s="1256"/>
      <c r="F475" s="1255" t="s">
        <v>7</v>
      </c>
      <c r="G475" s="1255" t="s">
        <v>1106</v>
      </c>
      <c r="H475" s="1255" t="s">
        <v>3950</v>
      </c>
      <c r="I475" s="1257">
        <v>-177</v>
      </c>
      <c r="J475" s="1257">
        <v>-47</v>
      </c>
      <c r="K475" s="1257">
        <v>-224</v>
      </c>
      <c r="L475" s="653" t="str">
        <f t="shared" si="216"/>
        <v>4781@</v>
      </c>
      <c r="M475" s="654" t="str">
        <f t="shared" si="217"/>
        <v>VENTES PNEUS</v>
      </c>
      <c r="N475" s="655">
        <f>+IF(OR($Q475=Parametres!$G$2,$Q475=Parametres!$G$3),I475,C475)</f>
        <v>-177</v>
      </c>
      <c r="O475" s="655">
        <f>+IF(OR($Q475=Parametres!$G$2,$Q475=Parametres!$G$3),J475,D475)</f>
        <v>-47</v>
      </c>
      <c r="P475" s="655">
        <f>+IF(OR($Q475=Parametres!$G$2,$Q475=Parametres!$G$3),K475,E475)</f>
        <v>-224</v>
      </c>
      <c r="Q475" s="654" t="str">
        <f t="shared" si="218"/>
        <v>10-Compte compteur</v>
      </c>
      <c r="R475" s="653" t="str">
        <f t="shared" si="219"/>
        <v>4781</v>
      </c>
      <c r="S475" s="654" t="str">
        <f t="shared" si="220"/>
        <v>_</v>
      </c>
      <c r="T475" s="656" t="str">
        <f>+VLOOKUP($L475,Data_Validation!$A:$D,1,0)</f>
        <v>4781@</v>
      </c>
      <c r="U475" s="656" t="str">
        <f>+VLOOKUP($L475,Data_Validation!$A:$D,3,0)</f>
        <v>Pièces</v>
      </c>
      <c r="V475" s="656" t="str">
        <f>+VLOOKUP($L475,Data_Validation!$A:$D,4,0)</f>
        <v>Ventes Pneus</v>
      </c>
      <c r="W475" s="656" t="str">
        <f>+VLOOKUP($L475,Data_Validation!$A:$E,5,0)</f>
        <v>NB</v>
      </c>
      <c r="X475" s="656">
        <f>+VLOOKUP($L475,Data_Validation!$A:$F,6,0)</f>
        <v>0</v>
      </c>
    </row>
    <row r="476" spans="1:24" ht="15.75" customHeight="1">
      <c r="A476" s="1255" t="s">
        <v>1294</v>
      </c>
      <c r="B476" s="1255" t="s">
        <v>1296</v>
      </c>
      <c r="C476" s="1256"/>
      <c r="D476" s="1256"/>
      <c r="E476" s="1256"/>
      <c r="F476" s="1255" t="s">
        <v>7</v>
      </c>
      <c r="G476" s="1255" t="s">
        <v>1295</v>
      </c>
      <c r="H476" s="1255" t="s">
        <v>3950</v>
      </c>
      <c r="I476" s="1257">
        <v>-42</v>
      </c>
      <c r="J476" s="1257">
        <v>-11</v>
      </c>
      <c r="K476" s="1257">
        <v>-53</v>
      </c>
      <c r="L476" s="653" t="str">
        <f t="shared" si="216"/>
        <v>9163@</v>
      </c>
      <c r="M476" s="654" t="str">
        <f t="shared" si="217"/>
        <v>RESERVE FIN ET ASS VEH OCCASION</v>
      </c>
      <c r="N476" s="655">
        <f>+IF(OR($Q476=Parametres!$G$2,$Q476=Parametres!$G$3),I476,C476)</f>
        <v>-42</v>
      </c>
      <c r="O476" s="655">
        <f>+IF(OR($Q476=Parametres!$G$2,$Q476=Parametres!$G$3),J476,D476)</f>
        <v>-11</v>
      </c>
      <c r="P476" s="655">
        <f>+IF(OR($Q476=Parametres!$G$2,$Q476=Parametres!$G$3),K476,E476)</f>
        <v>-53</v>
      </c>
      <c r="Q476" s="654" t="str">
        <f t="shared" si="218"/>
        <v>10-Compte compteur</v>
      </c>
      <c r="R476" s="653" t="str">
        <f t="shared" si="219"/>
        <v>9163</v>
      </c>
      <c r="S476" s="654" t="str">
        <f t="shared" si="220"/>
        <v>_</v>
      </c>
      <c r="T476" s="656" t="str">
        <f>+VLOOKUP($L476,Data_Validation!$A:$D,1,0)</f>
        <v>9163@</v>
      </c>
      <c r="U476" s="656" t="str">
        <f>+VLOOKUP($L476,Data_Validation!$A:$D,3,0)</f>
        <v>Véhicules usagés</v>
      </c>
      <c r="V476" s="656">
        <f>+VLOOKUP($L476,Data_Validation!$A:$D,4,0)</f>
        <v>0</v>
      </c>
      <c r="W476" s="656" t="str">
        <f>+VLOOKUP($L476,Data_Validation!$A:$E,5,0)</f>
        <v>NB</v>
      </c>
      <c r="X476" s="656">
        <f>+VLOOKUP($L476,Data_Validation!$A:$F,6,0)</f>
        <v>0</v>
      </c>
    </row>
    <row r="477" spans="1:24" ht="15.75" customHeight="1">
      <c r="A477" s="1255" t="s">
        <v>3347</v>
      </c>
      <c r="B477" s="1255" t="s">
        <v>3348</v>
      </c>
      <c r="C477" s="1256"/>
      <c r="D477" s="1256"/>
      <c r="E477" s="1256"/>
      <c r="F477" s="1255" t="s">
        <v>7</v>
      </c>
      <c r="G477" s="1255" t="s">
        <v>1291</v>
      </c>
      <c r="H477" s="1255" t="s">
        <v>3950</v>
      </c>
      <c r="I477" s="1257">
        <v>-195</v>
      </c>
      <c r="J477" s="1257">
        <v>-57</v>
      </c>
      <c r="K477" s="1257">
        <v>-252</v>
      </c>
      <c r="L477" s="653" t="str">
        <f t="shared" si="216"/>
        <v>9170@</v>
      </c>
      <c r="M477" s="654" t="str">
        <f t="shared" si="217"/>
        <v># DE PROFIT PROTECTIONS - NEUFS</v>
      </c>
      <c r="N477" s="655">
        <f>+IF(OR($Q477=Parametres!$G$2,$Q477=Parametres!$G$3),I477,C477)</f>
        <v>-195</v>
      </c>
      <c r="O477" s="655">
        <f>+IF(OR($Q477=Parametres!$G$2,$Q477=Parametres!$G$3),J477,D477)</f>
        <v>-57</v>
      </c>
      <c r="P477" s="655">
        <f>+IF(OR($Q477=Parametres!$G$2,$Q477=Parametres!$G$3),K477,E477)</f>
        <v>-252</v>
      </c>
      <c r="Q477" s="654" t="str">
        <f t="shared" si="218"/>
        <v>10-Compte compteur</v>
      </c>
      <c r="R477" s="653" t="str">
        <f t="shared" si="219"/>
        <v>9161</v>
      </c>
      <c r="S477" s="654" t="str">
        <f t="shared" si="220"/>
        <v>_</v>
      </c>
      <c r="T477" s="656" t="str">
        <f>+VLOOKUP($L477,Data_Validation!$A:$D,1,0)</f>
        <v>9170@</v>
      </c>
      <c r="U477" s="656" t="str">
        <f>+VLOOKUP($L477,Data_Validation!$A:$D,3,0)</f>
        <v>Véhicules neufs</v>
      </c>
      <c r="V477" s="656">
        <f>+VLOOKUP($L477,Data_Validation!$A:$D,4,0)</f>
        <v>0</v>
      </c>
      <c r="W477" s="656" t="str">
        <f>+VLOOKUP($L477,Data_Validation!$A:$E,5,0)</f>
        <v>NB</v>
      </c>
      <c r="X477" s="656">
        <f>+VLOOKUP($L477,Data_Validation!$A:$F,6,0)</f>
        <v>0</v>
      </c>
    </row>
    <row r="478" spans="1:24" ht="15.75" customHeight="1">
      <c r="A478" s="1255" t="s">
        <v>1307</v>
      </c>
      <c r="B478" s="1255" t="s">
        <v>1308</v>
      </c>
      <c r="C478" s="1256"/>
      <c r="D478" s="1256"/>
      <c r="E478" s="1256"/>
      <c r="F478" s="1255" t="s">
        <v>7</v>
      </c>
      <c r="G478" s="1255" t="s">
        <v>1295</v>
      </c>
      <c r="H478" s="1255" t="s">
        <v>3950</v>
      </c>
      <c r="I478" s="1257">
        <v>-100</v>
      </c>
      <c r="J478" s="1257">
        <v>-31</v>
      </c>
      <c r="K478" s="1257">
        <v>-131</v>
      </c>
      <c r="L478" s="653" t="str">
        <f t="shared" si="216"/>
        <v>9172@</v>
      </c>
      <c r="M478" s="654" t="str">
        <f t="shared" si="217"/>
        <v># DE PROFIT PROTECTIONS - USAGES</v>
      </c>
      <c r="N478" s="655">
        <f>+IF(OR($Q478=Parametres!$G$2,$Q478=Parametres!$G$3),I478,C478)</f>
        <v>-100</v>
      </c>
      <c r="O478" s="655">
        <f>+IF(OR($Q478=Parametres!$G$2,$Q478=Parametres!$G$3),J478,D478)</f>
        <v>-31</v>
      </c>
      <c r="P478" s="655">
        <f>+IF(OR($Q478=Parametres!$G$2,$Q478=Parametres!$G$3),K478,E478)</f>
        <v>-131</v>
      </c>
      <c r="Q478" s="654" t="str">
        <f t="shared" si="218"/>
        <v>10-Compte compteur</v>
      </c>
      <c r="R478" s="653" t="str">
        <f t="shared" si="219"/>
        <v>9163</v>
      </c>
      <c r="S478" s="654" t="str">
        <f t="shared" si="220"/>
        <v>_</v>
      </c>
      <c r="T478" s="656" t="str">
        <f>+VLOOKUP($L478,Data_Validation!$A:$D,1,0)</f>
        <v>9172@</v>
      </c>
      <c r="U478" s="656" t="str">
        <f>+VLOOKUP($L478,Data_Validation!$A:$D,3,0)</f>
        <v>Véhicules usagés</v>
      </c>
      <c r="V478" s="656">
        <f>+VLOOKUP($L478,Data_Validation!$A:$D,4,0)</f>
        <v>0</v>
      </c>
      <c r="W478" s="656" t="str">
        <f>+VLOOKUP($L478,Data_Validation!$A:$E,5,0)</f>
        <v>NB</v>
      </c>
      <c r="X478" s="656">
        <f>+VLOOKUP($L478,Data_Validation!$A:$F,6,0)</f>
        <v>0</v>
      </c>
    </row>
    <row r="479" spans="1:24" ht="15.75" customHeight="1">
      <c r="C479" s="1023"/>
      <c r="D479" s="1023"/>
      <c r="E479" s="1023"/>
      <c r="I479" s="1024"/>
      <c r="J479" s="1024"/>
      <c r="K479" s="1024"/>
      <c r="O479" s="673"/>
    </row>
    <row r="480" spans="1:24" ht="15.75" customHeight="1">
      <c r="C480" s="1023"/>
      <c r="D480" s="1023"/>
      <c r="E480" s="1023"/>
      <c r="I480" s="1024"/>
      <c r="J480" s="1024"/>
      <c r="K480" s="1024"/>
      <c r="O480" s="673"/>
    </row>
    <row r="481" spans="3:15" ht="15.75" customHeight="1">
      <c r="C481" s="1023"/>
      <c r="D481" s="1023"/>
      <c r="E481" s="1023"/>
      <c r="I481" s="1024"/>
      <c r="J481" s="1024"/>
      <c r="K481" s="1024"/>
      <c r="O481" s="673"/>
    </row>
    <row r="482" spans="3:15" ht="15.75" customHeight="1">
      <c r="C482" s="1023"/>
      <c r="D482" s="1023"/>
      <c r="E482" s="1023"/>
      <c r="I482" s="1024"/>
      <c r="J482" s="1024"/>
      <c r="K482" s="1024"/>
      <c r="O482" s="673"/>
    </row>
    <row r="483" spans="3:15" ht="15.75" customHeight="1">
      <c r="C483" s="1023"/>
      <c r="D483" s="1023"/>
      <c r="E483" s="1023"/>
      <c r="I483" s="1024"/>
      <c r="J483" s="1024"/>
      <c r="K483" s="1024"/>
      <c r="O483" s="673"/>
    </row>
    <row r="484" spans="3:15" ht="15.75" customHeight="1">
      <c r="C484" s="1023"/>
      <c r="D484" s="1023"/>
      <c r="E484" s="1023"/>
      <c r="I484" s="1024"/>
      <c r="J484" s="1024"/>
      <c r="K484" s="1024"/>
      <c r="O484" s="673"/>
    </row>
    <row r="485" spans="3:15" ht="15.75" customHeight="1">
      <c r="C485" s="1023"/>
      <c r="D485" s="1023"/>
      <c r="E485" s="1023"/>
      <c r="I485" s="1024"/>
      <c r="J485" s="1024"/>
      <c r="K485" s="1024"/>
      <c r="O485" s="673"/>
    </row>
    <row r="486" spans="3:15" ht="15.75" customHeight="1">
      <c r="C486" s="1023"/>
      <c r="D486" s="1023"/>
      <c r="E486" s="1023"/>
      <c r="I486" s="1024"/>
      <c r="J486" s="1024"/>
      <c r="K486" s="1024"/>
      <c r="O486" s="673"/>
    </row>
    <row r="487" spans="3:15" ht="15.75" customHeight="1">
      <c r="C487" s="1023"/>
      <c r="D487" s="1023"/>
      <c r="E487" s="1023"/>
      <c r="I487" s="1024"/>
      <c r="J487" s="1024"/>
      <c r="K487" s="1024"/>
      <c r="O487" s="673"/>
    </row>
    <row r="488" spans="3:15" ht="15.75" customHeight="1">
      <c r="C488" s="1023"/>
      <c r="D488" s="1023"/>
      <c r="E488" s="1023"/>
      <c r="I488" s="1024"/>
      <c r="J488" s="1024"/>
      <c r="K488" s="1024"/>
      <c r="O488" s="673"/>
    </row>
    <row r="489" spans="3:15" ht="15.75" customHeight="1">
      <c r="C489" s="1023"/>
      <c r="D489" s="1023"/>
      <c r="E489" s="1023"/>
      <c r="I489" s="1024"/>
      <c r="J489" s="1024"/>
      <c r="K489" s="1024"/>
      <c r="O489" s="673"/>
    </row>
    <row r="490" spans="3:15" ht="15.75" customHeight="1">
      <c r="C490" s="1023"/>
      <c r="D490" s="1023"/>
      <c r="E490" s="1023"/>
      <c r="I490" s="1024"/>
      <c r="J490" s="1024"/>
      <c r="K490" s="1024"/>
      <c r="O490" s="673"/>
    </row>
    <row r="491" spans="3:15" ht="15.75" customHeight="1">
      <c r="C491" s="1023"/>
      <c r="D491" s="1023"/>
      <c r="E491" s="1023"/>
      <c r="I491" s="1024"/>
      <c r="J491" s="1024"/>
      <c r="K491" s="1024"/>
      <c r="O491" s="673"/>
    </row>
    <row r="492" spans="3:15" ht="15.75" customHeight="1">
      <c r="C492" s="1023"/>
      <c r="D492" s="1023"/>
      <c r="E492" s="1023"/>
      <c r="I492" s="1024"/>
      <c r="J492" s="1024"/>
      <c r="K492" s="1024"/>
      <c r="O492" s="673"/>
    </row>
    <row r="493" spans="3:15" ht="15.75" customHeight="1">
      <c r="C493" s="1023"/>
      <c r="D493" s="1023"/>
      <c r="E493" s="1023"/>
      <c r="I493" s="1024"/>
      <c r="J493" s="1024"/>
      <c r="K493" s="1024"/>
      <c r="O493" s="673"/>
    </row>
    <row r="494" spans="3:15" ht="15.75" customHeight="1">
      <c r="C494" s="1023"/>
      <c r="D494" s="1023"/>
      <c r="E494" s="1023"/>
      <c r="I494" s="1024"/>
      <c r="J494" s="1024"/>
      <c r="K494" s="1024"/>
      <c r="O494" s="673"/>
    </row>
    <row r="495" spans="3:15" ht="15.75" customHeight="1">
      <c r="C495" s="1023"/>
      <c r="D495" s="1023"/>
      <c r="E495" s="1023"/>
      <c r="I495" s="1024"/>
      <c r="J495" s="1024"/>
      <c r="K495" s="1024"/>
      <c r="O495" s="673"/>
    </row>
    <row r="496" spans="3:15" ht="15.75" customHeight="1">
      <c r="C496" s="1023"/>
      <c r="D496" s="1023"/>
      <c r="E496" s="1023"/>
      <c r="I496" s="1024"/>
      <c r="J496" s="1024"/>
      <c r="K496" s="1024"/>
      <c r="O496" s="673"/>
    </row>
    <row r="497" spans="3:15" ht="15.75" customHeight="1">
      <c r="C497" s="1023"/>
      <c r="D497" s="1023"/>
      <c r="E497" s="1023"/>
      <c r="I497" s="1024"/>
      <c r="J497" s="1024"/>
      <c r="K497" s="1024"/>
      <c r="O497" s="673"/>
    </row>
    <row r="498" spans="3:15" ht="15.75" customHeight="1">
      <c r="C498" s="1023"/>
      <c r="D498" s="1023"/>
      <c r="E498" s="1023"/>
      <c r="I498" s="1024"/>
      <c r="J498" s="1024"/>
      <c r="K498" s="1024"/>
      <c r="O498" s="673"/>
    </row>
    <row r="499" spans="3:15" ht="15.75" customHeight="1">
      <c r="C499" s="1023"/>
      <c r="D499" s="1023"/>
      <c r="E499" s="1023"/>
      <c r="I499" s="1024"/>
      <c r="J499" s="1024"/>
      <c r="K499" s="1024"/>
      <c r="O499" s="673"/>
    </row>
    <row r="500" spans="3:15" ht="15.75" customHeight="1">
      <c r="C500" s="1023"/>
      <c r="D500" s="1023"/>
      <c r="E500" s="1023"/>
      <c r="I500" s="1024"/>
      <c r="J500" s="1024"/>
      <c r="K500" s="1024"/>
      <c r="O500" s="673"/>
    </row>
    <row r="501" spans="3:15" ht="15.75" customHeight="1">
      <c r="C501" s="1023"/>
      <c r="D501" s="1023"/>
      <c r="E501" s="1023"/>
      <c r="I501" s="1024"/>
      <c r="J501" s="1024"/>
      <c r="K501" s="1024"/>
      <c r="O501" s="673"/>
    </row>
    <row r="502" spans="3:15" ht="15.75" customHeight="1">
      <c r="C502" s="1023"/>
      <c r="D502" s="1023"/>
      <c r="E502" s="1023"/>
      <c r="I502" s="1024"/>
      <c r="J502" s="1024"/>
      <c r="K502" s="1024"/>
      <c r="O502" s="673"/>
    </row>
    <row r="503" spans="3:15" ht="15.75" customHeight="1">
      <c r="C503" s="1023"/>
      <c r="D503" s="1023"/>
      <c r="E503" s="1023"/>
      <c r="I503" s="1024"/>
      <c r="J503" s="1024"/>
      <c r="K503" s="1024"/>
      <c r="O503" s="673"/>
    </row>
    <row r="504" spans="3:15" ht="15.75" customHeight="1">
      <c r="C504" s="1023"/>
      <c r="D504" s="1023"/>
      <c r="E504" s="1023"/>
      <c r="I504" s="1024"/>
      <c r="J504" s="1024"/>
      <c r="K504" s="1024"/>
      <c r="O504" s="673"/>
    </row>
    <row r="505" spans="3:15" ht="15.75" customHeight="1">
      <c r="C505" s="1023"/>
      <c r="D505" s="1023"/>
      <c r="E505" s="1023"/>
      <c r="I505" s="1024"/>
      <c r="J505" s="1024"/>
      <c r="K505" s="1024"/>
      <c r="O505" s="673"/>
    </row>
    <row r="506" spans="3:15" ht="15.75" customHeight="1">
      <c r="C506" s="1023"/>
      <c r="D506" s="1023"/>
      <c r="E506" s="1023"/>
      <c r="I506" s="1024"/>
      <c r="J506" s="1024"/>
      <c r="K506" s="1024"/>
      <c r="O506" s="673"/>
    </row>
    <row r="507" spans="3:15" ht="15.75" customHeight="1">
      <c r="C507" s="1023"/>
      <c r="D507" s="1023"/>
      <c r="E507" s="1023"/>
      <c r="I507" s="1024"/>
      <c r="J507" s="1024"/>
      <c r="K507" s="1024"/>
      <c r="O507" s="673"/>
    </row>
    <row r="508" spans="3:15" ht="15.75" customHeight="1">
      <c r="C508" s="1023"/>
      <c r="D508" s="1023"/>
      <c r="E508" s="1023"/>
      <c r="I508" s="1024"/>
      <c r="J508" s="1024"/>
      <c r="K508" s="1024"/>
      <c r="O508" s="673"/>
    </row>
    <row r="509" spans="3:15" ht="15.75" customHeight="1">
      <c r="C509" s="1023"/>
      <c r="D509" s="1023"/>
      <c r="E509" s="1023"/>
      <c r="I509" s="1024"/>
      <c r="J509" s="1024"/>
      <c r="K509" s="1024"/>
      <c r="O509" s="673"/>
    </row>
    <row r="510" spans="3:15" ht="15.75" customHeight="1">
      <c r="C510" s="1023"/>
      <c r="D510" s="1023"/>
      <c r="E510" s="1023"/>
      <c r="I510" s="1024"/>
      <c r="J510" s="1024"/>
      <c r="K510" s="1024"/>
      <c r="O510" s="673"/>
    </row>
    <row r="511" spans="3:15" ht="15.75" customHeight="1">
      <c r="C511" s="1023"/>
      <c r="D511" s="1023"/>
      <c r="E511" s="1023"/>
      <c r="I511" s="1024"/>
      <c r="J511" s="1024"/>
      <c r="K511" s="1024"/>
      <c r="O511" s="673"/>
    </row>
    <row r="512" spans="3:15" ht="15.75" customHeight="1">
      <c r="C512" s="1023"/>
      <c r="D512" s="1023"/>
      <c r="E512" s="1023"/>
      <c r="I512" s="1024"/>
      <c r="J512" s="1024"/>
      <c r="K512" s="1024"/>
      <c r="O512" s="673"/>
    </row>
    <row r="513" spans="3:15" ht="15.75" customHeight="1">
      <c r="C513" s="1023"/>
      <c r="D513" s="1023"/>
      <c r="E513" s="1023"/>
      <c r="I513" s="1024"/>
      <c r="J513" s="1024"/>
      <c r="K513" s="1024"/>
      <c r="O513" s="673"/>
    </row>
    <row r="514" spans="3:15" ht="15.75" customHeight="1">
      <c r="C514" s="1023"/>
      <c r="D514" s="1023"/>
      <c r="E514" s="1023"/>
      <c r="I514" s="1024"/>
      <c r="J514" s="1024"/>
      <c r="K514" s="1024"/>
      <c r="O514" s="673"/>
    </row>
    <row r="515" spans="3:15" ht="15.75" customHeight="1">
      <c r="C515" s="1023"/>
      <c r="D515" s="1023"/>
      <c r="E515" s="1023"/>
      <c r="I515" s="1024"/>
      <c r="J515" s="1024"/>
      <c r="K515" s="1024"/>
      <c r="O515" s="673"/>
    </row>
    <row r="516" spans="3:15" ht="15.75" customHeight="1">
      <c r="C516" s="1023"/>
      <c r="D516" s="1023"/>
      <c r="E516" s="1023"/>
      <c r="I516" s="1024"/>
      <c r="J516" s="1024"/>
      <c r="K516" s="1024"/>
      <c r="O516" s="673"/>
    </row>
    <row r="517" spans="3:15" ht="15.75" customHeight="1">
      <c r="C517" s="1023"/>
      <c r="D517" s="1023"/>
      <c r="E517" s="1023"/>
      <c r="I517" s="1024"/>
      <c r="J517" s="1024"/>
      <c r="K517" s="1024"/>
      <c r="O517" s="673"/>
    </row>
    <row r="518" spans="3:15" ht="15.75" customHeight="1">
      <c r="C518" s="1023"/>
      <c r="D518" s="1023"/>
      <c r="E518" s="1023"/>
      <c r="I518" s="1024"/>
      <c r="J518" s="1024"/>
      <c r="K518" s="1024"/>
      <c r="O518" s="673"/>
    </row>
    <row r="519" spans="3:15" ht="15.75" customHeight="1">
      <c r="C519" s="1023"/>
      <c r="D519" s="1023"/>
      <c r="E519" s="1023"/>
      <c r="I519" s="1024"/>
      <c r="J519" s="1024"/>
      <c r="K519" s="1024"/>
      <c r="O519" s="673"/>
    </row>
    <row r="520" spans="3:15" ht="15.75" customHeight="1">
      <c r="C520" s="1023"/>
      <c r="D520" s="1023"/>
      <c r="E520" s="1023"/>
      <c r="I520" s="1024"/>
      <c r="J520" s="1024"/>
      <c r="K520" s="1024"/>
      <c r="O520" s="673"/>
    </row>
    <row r="521" spans="3:15" ht="15.75" customHeight="1">
      <c r="C521" s="1023"/>
      <c r="D521" s="1023"/>
      <c r="E521" s="1023"/>
      <c r="I521" s="1024"/>
      <c r="J521" s="1024"/>
      <c r="K521" s="1024"/>
      <c r="O521" s="673"/>
    </row>
    <row r="522" spans="3:15" ht="15.75" customHeight="1">
      <c r="C522" s="1023"/>
      <c r="D522" s="1023"/>
      <c r="E522" s="1023"/>
      <c r="I522" s="1024"/>
      <c r="J522" s="1024"/>
      <c r="K522" s="1024"/>
      <c r="O522" s="673"/>
    </row>
    <row r="523" spans="3:15" ht="15.75" customHeight="1">
      <c r="C523" s="1023"/>
      <c r="D523" s="1023"/>
      <c r="E523" s="1023"/>
      <c r="I523" s="1024"/>
      <c r="J523" s="1024"/>
      <c r="K523" s="1024"/>
      <c r="O523" s="673"/>
    </row>
    <row r="524" spans="3:15" ht="15.75" customHeight="1">
      <c r="C524" s="1023"/>
      <c r="D524" s="1023"/>
      <c r="E524" s="1023"/>
      <c r="I524" s="1024"/>
      <c r="J524" s="1024"/>
      <c r="K524" s="1024"/>
      <c r="O524" s="673"/>
    </row>
    <row r="525" spans="3:15" ht="15.75" customHeight="1">
      <c r="C525" s="1023"/>
      <c r="D525" s="1023"/>
      <c r="E525" s="1023"/>
      <c r="I525" s="1024"/>
      <c r="J525" s="1024"/>
      <c r="K525" s="1024"/>
      <c r="O525" s="673"/>
    </row>
    <row r="526" spans="3:15" ht="15.75" customHeight="1">
      <c r="C526" s="1023"/>
      <c r="D526" s="1023"/>
      <c r="E526" s="1023"/>
      <c r="I526" s="1024"/>
      <c r="J526" s="1024"/>
      <c r="K526" s="1024"/>
      <c r="O526" s="673"/>
    </row>
    <row r="527" spans="3:15" ht="15.75" customHeight="1">
      <c r="C527" s="1023"/>
      <c r="D527" s="1023"/>
      <c r="E527" s="1023"/>
      <c r="I527" s="1024"/>
      <c r="J527" s="1024"/>
      <c r="K527" s="1024"/>
      <c r="O527" s="673"/>
    </row>
    <row r="528" spans="3:15" ht="15.75" customHeight="1">
      <c r="C528" s="1023"/>
      <c r="D528" s="1023"/>
      <c r="E528" s="1023"/>
      <c r="I528" s="1024"/>
      <c r="J528" s="1024"/>
      <c r="K528" s="1024"/>
      <c r="O528" s="673"/>
    </row>
    <row r="529" spans="3:15" ht="15.75" customHeight="1">
      <c r="C529" s="1023"/>
      <c r="D529" s="1023"/>
      <c r="E529" s="1023"/>
      <c r="I529" s="1024"/>
      <c r="J529" s="1024"/>
      <c r="K529" s="1024"/>
      <c r="O529" s="673"/>
    </row>
    <row r="530" spans="3:15" ht="15.75" customHeight="1">
      <c r="C530" s="1023"/>
      <c r="D530" s="1023"/>
      <c r="E530" s="1023"/>
      <c r="I530" s="1024"/>
      <c r="J530" s="1024"/>
      <c r="K530" s="1024"/>
      <c r="O530" s="673"/>
    </row>
    <row r="531" spans="3:15" ht="15.75" customHeight="1">
      <c r="C531" s="1023"/>
      <c r="D531" s="1023"/>
      <c r="E531" s="1023"/>
      <c r="I531" s="1024"/>
      <c r="J531" s="1024"/>
      <c r="K531" s="1024"/>
      <c r="O531" s="673"/>
    </row>
    <row r="532" spans="3:15" ht="15.75" customHeight="1">
      <c r="C532" s="1023"/>
      <c r="D532" s="1023"/>
      <c r="E532" s="1023"/>
      <c r="I532" s="1024"/>
      <c r="J532" s="1024"/>
      <c r="K532" s="1024"/>
      <c r="O532" s="673"/>
    </row>
    <row r="533" spans="3:15" ht="15.75" customHeight="1">
      <c r="C533" s="1023"/>
      <c r="D533" s="1023"/>
      <c r="E533" s="1023"/>
      <c r="I533" s="1024"/>
      <c r="J533" s="1024"/>
      <c r="K533" s="1024"/>
      <c r="O533" s="673"/>
    </row>
    <row r="534" spans="3:15" ht="15.75" customHeight="1">
      <c r="C534" s="1023"/>
      <c r="D534" s="1023"/>
      <c r="E534" s="1023"/>
      <c r="I534" s="1024"/>
      <c r="J534" s="1024"/>
      <c r="K534" s="1024"/>
      <c r="O534" s="673"/>
    </row>
    <row r="535" spans="3:15" ht="15.75" customHeight="1">
      <c r="C535" s="1023"/>
      <c r="D535" s="1023"/>
      <c r="E535" s="1023"/>
      <c r="I535" s="1024"/>
      <c r="J535" s="1024"/>
      <c r="K535" s="1024"/>
      <c r="O535" s="673"/>
    </row>
    <row r="536" spans="3:15" ht="15.75" customHeight="1">
      <c r="C536" s="1023"/>
      <c r="D536" s="1023"/>
      <c r="E536" s="1023"/>
      <c r="I536" s="1024"/>
      <c r="J536" s="1024"/>
      <c r="K536" s="1024"/>
      <c r="O536" s="673"/>
    </row>
    <row r="537" spans="3:15" ht="15.75" customHeight="1">
      <c r="C537" s="1023"/>
      <c r="D537" s="1023"/>
      <c r="E537" s="1023"/>
      <c r="I537" s="1024"/>
      <c r="J537" s="1024"/>
      <c r="K537" s="1024"/>
      <c r="O537" s="673"/>
    </row>
    <row r="538" spans="3:15" ht="15.75" customHeight="1">
      <c r="C538" s="1023"/>
      <c r="D538" s="1023"/>
      <c r="E538" s="1023"/>
      <c r="I538" s="1024"/>
      <c r="J538" s="1024"/>
      <c r="K538" s="1024"/>
      <c r="O538" s="673"/>
    </row>
    <row r="539" spans="3:15" ht="15.75" customHeight="1">
      <c r="C539" s="1023"/>
      <c r="D539" s="1023"/>
      <c r="E539" s="1023"/>
      <c r="I539" s="1024"/>
      <c r="J539" s="1024"/>
      <c r="K539" s="1024"/>
      <c r="O539" s="673"/>
    </row>
    <row r="540" spans="3:15" ht="15.75" customHeight="1">
      <c r="C540" s="1023"/>
      <c r="D540" s="1023"/>
      <c r="E540" s="1023"/>
      <c r="I540" s="1024"/>
      <c r="J540" s="1024"/>
      <c r="K540" s="1024"/>
      <c r="O540" s="673"/>
    </row>
    <row r="541" spans="3:15" ht="15.75" customHeight="1">
      <c r="C541" s="1023"/>
      <c r="D541" s="1023"/>
      <c r="E541" s="1023"/>
      <c r="I541" s="1024"/>
      <c r="J541" s="1024"/>
      <c r="K541" s="1024"/>
      <c r="O541" s="673"/>
    </row>
    <row r="542" spans="3:15" ht="15.75" customHeight="1">
      <c r="C542" s="1023"/>
      <c r="D542" s="1023"/>
      <c r="E542" s="1023"/>
      <c r="I542" s="1024"/>
      <c r="J542" s="1024"/>
      <c r="K542" s="1024"/>
      <c r="O542" s="673"/>
    </row>
    <row r="543" spans="3:15" ht="15.75" customHeight="1">
      <c r="C543" s="1023"/>
      <c r="D543" s="1023"/>
      <c r="E543" s="1023"/>
      <c r="I543" s="1024"/>
      <c r="J543" s="1024"/>
      <c r="K543" s="1024"/>
      <c r="O543" s="673"/>
    </row>
    <row r="544" spans="3:15" ht="15.75" customHeight="1">
      <c r="C544" s="1023"/>
      <c r="D544" s="1023"/>
      <c r="E544" s="1023"/>
      <c r="I544" s="1024"/>
      <c r="J544" s="1024"/>
      <c r="K544" s="1024"/>
      <c r="O544" s="673"/>
    </row>
    <row r="545" spans="3:15" ht="15.75" customHeight="1">
      <c r="C545" s="1023"/>
      <c r="D545" s="1023"/>
      <c r="E545" s="1023"/>
      <c r="I545" s="1024"/>
      <c r="J545" s="1024"/>
      <c r="K545" s="1024"/>
      <c r="O545" s="673"/>
    </row>
    <row r="546" spans="3:15" ht="15.75" customHeight="1">
      <c r="C546" s="1023"/>
      <c r="D546" s="1023"/>
      <c r="E546" s="1023"/>
      <c r="I546" s="1024"/>
      <c r="J546" s="1024"/>
      <c r="K546" s="1024"/>
      <c r="O546" s="673"/>
    </row>
    <row r="547" spans="3:15" ht="15.75" customHeight="1">
      <c r="C547" s="1023"/>
      <c r="D547" s="1023"/>
      <c r="E547" s="1023"/>
      <c r="I547" s="1024"/>
      <c r="J547" s="1024"/>
      <c r="K547" s="1024"/>
      <c r="O547" s="673"/>
    </row>
    <row r="548" spans="3:15" ht="15.75" customHeight="1">
      <c r="C548" s="1023"/>
      <c r="D548" s="1023"/>
      <c r="E548" s="1023"/>
      <c r="I548" s="1024"/>
      <c r="J548" s="1024"/>
      <c r="K548" s="1024"/>
      <c r="O548" s="673"/>
    </row>
    <row r="549" spans="3:15" ht="15.75" customHeight="1">
      <c r="C549" s="1023"/>
      <c r="D549" s="1023"/>
      <c r="E549" s="1023"/>
      <c r="I549" s="1024"/>
      <c r="J549" s="1024"/>
      <c r="K549" s="1024"/>
      <c r="O549" s="673"/>
    </row>
    <row r="550" spans="3:15" ht="15.75" customHeight="1">
      <c r="C550" s="1023"/>
      <c r="D550" s="1023"/>
      <c r="E550" s="1023"/>
      <c r="I550" s="1024"/>
      <c r="J550" s="1024"/>
      <c r="K550" s="1024"/>
      <c r="O550" s="673"/>
    </row>
    <row r="551" spans="3:15" ht="15.75" customHeight="1">
      <c r="C551" s="1023"/>
      <c r="D551" s="1023"/>
      <c r="E551" s="1023"/>
      <c r="I551" s="1024"/>
      <c r="J551" s="1024"/>
      <c r="K551" s="1024"/>
      <c r="O551" s="673"/>
    </row>
    <row r="552" spans="3:15" ht="15.75" customHeight="1">
      <c r="C552" s="1023"/>
      <c r="D552" s="1023"/>
      <c r="E552" s="1023"/>
      <c r="I552" s="1024"/>
      <c r="J552" s="1024"/>
      <c r="K552" s="1024"/>
      <c r="O552" s="673"/>
    </row>
    <row r="553" spans="3:15" ht="15.75" customHeight="1">
      <c r="C553" s="1023"/>
      <c r="D553" s="1023"/>
      <c r="E553" s="1023"/>
      <c r="I553" s="1024"/>
      <c r="J553" s="1024"/>
      <c r="K553" s="1024"/>
      <c r="O553" s="673"/>
    </row>
    <row r="554" spans="3:15" ht="15.75" customHeight="1">
      <c r="C554" s="1023"/>
      <c r="D554" s="1023"/>
      <c r="E554" s="1023"/>
      <c r="I554" s="1024"/>
      <c r="J554" s="1024"/>
      <c r="K554" s="1024"/>
      <c r="O554" s="673"/>
    </row>
    <row r="555" spans="3:15" ht="15.75" customHeight="1">
      <c r="C555" s="1023"/>
      <c r="D555" s="1023"/>
      <c r="E555" s="1023"/>
      <c r="I555" s="1024"/>
      <c r="J555" s="1024"/>
      <c r="K555" s="1024"/>
      <c r="O555" s="673"/>
    </row>
    <row r="556" spans="3:15" ht="15.75" customHeight="1">
      <c r="C556" s="1023"/>
      <c r="D556" s="1023"/>
      <c r="E556" s="1023"/>
      <c r="I556" s="1024"/>
      <c r="J556" s="1024"/>
      <c r="K556" s="1024"/>
      <c r="O556" s="673"/>
    </row>
    <row r="557" spans="3:15" ht="15.75" customHeight="1">
      <c r="C557" s="1023"/>
      <c r="D557" s="1023"/>
      <c r="E557" s="1023"/>
      <c r="I557" s="1024"/>
      <c r="J557" s="1024"/>
      <c r="K557" s="1024"/>
      <c r="O557" s="673"/>
    </row>
    <row r="558" spans="3:15" ht="15.75" customHeight="1">
      <c r="C558" s="1023"/>
      <c r="D558" s="1023"/>
      <c r="E558" s="1023"/>
      <c r="I558" s="1024"/>
      <c r="J558" s="1024"/>
      <c r="K558" s="1024"/>
      <c r="O558" s="673"/>
    </row>
    <row r="559" spans="3:15" ht="15.75" customHeight="1">
      <c r="C559" s="1023"/>
      <c r="D559" s="1023"/>
      <c r="E559" s="1023"/>
      <c r="I559" s="1024"/>
      <c r="J559" s="1024"/>
      <c r="K559" s="1024"/>
      <c r="O559" s="673"/>
    </row>
    <row r="560" spans="3:15" ht="15.75" customHeight="1">
      <c r="C560" s="1023"/>
      <c r="D560" s="1023"/>
      <c r="E560" s="1023"/>
      <c r="I560" s="1024"/>
      <c r="J560" s="1024"/>
      <c r="K560" s="1024"/>
      <c r="O560" s="673"/>
    </row>
    <row r="561" spans="3:15" ht="15.75" customHeight="1">
      <c r="C561" s="1023"/>
      <c r="D561" s="1023"/>
      <c r="E561" s="1023"/>
      <c r="I561" s="1024"/>
      <c r="J561" s="1024"/>
      <c r="K561" s="1024"/>
      <c r="O561" s="673"/>
    </row>
    <row r="562" spans="3:15" ht="15.75" customHeight="1">
      <c r="C562" s="1023"/>
      <c r="D562" s="1023"/>
      <c r="E562" s="1023"/>
      <c r="I562" s="1024"/>
      <c r="J562" s="1024"/>
      <c r="K562" s="1024"/>
      <c r="O562" s="673"/>
    </row>
    <row r="563" spans="3:15" ht="15.75" customHeight="1">
      <c r="C563" s="1023"/>
      <c r="D563" s="1023"/>
      <c r="E563" s="1023"/>
      <c r="I563" s="1024"/>
      <c r="J563" s="1024"/>
      <c r="K563" s="1024"/>
      <c r="O563" s="673"/>
    </row>
    <row r="564" spans="3:15" ht="15.75" customHeight="1">
      <c r="C564" s="1023"/>
      <c r="D564" s="1023"/>
      <c r="E564" s="1023"/>
      <c r="I564" s="1024"/>
      <c r="J564" s="1024"/>
      <c r="K564" s="1024"/>
      <c r="O564" s="673"/>
    </row>
    <row r="565" spans="3:15" ht="15.75" customHeight="1">
      <c r="C565" s="1023"/>
      <c r="D565" s="1023"/>
      <c r="E565" s="1023"/>
      <c r="I565" s="1024"/>
      <c r="J565" s="1024"/>
      <c r="K565" s="1024"/>
      <c r="O565" s="673"/>
    </row>
    <row r="566" spans="3:15" ht="15.75" customHeight="1">
      <c r="C566" s="1023"/>
      <c r="D566" s="1023"/>
      <c r="E566" s="1023"/>
      <c r="I566" s="1024"/>
      <c r="J566" s="1024"/>
      <c r="K566" s="1024"/>
      <c r="O566" s="673"/>
    </row>
    <row r="567" spans="3:15" ht="15.75" customHeight="1">
      <c r="C567" s="1023"/>
      <c r="D567" s="1023"/>
      <c r="E567" s="1023"/>
      <c r="I567" s="1024"/>
      <c r="J567" s="1024"/>
      <c r="K567" s="1024"/>
      <c r="O567" s="673"/>
    </row>
    <row r="568" spans="3:15" ht="15.75" customHeight="1">
      <c r="C568" s="1023"/>
      <c r="D568" s="1023"/>
      <c r="E568" s="1023"/>
      <c r="I568" s="1024"/>
      <c r="J568" s="1024"/>
      <c r="K568" s="1024"/>
      <c r="O568" s="673"/>
    </row>
    <row r="569" spans="3:15" ht="15.75" customHeight="1">
      <c r="C569" s="1023"/>
      <c r="D569" s="1023"/>
      <c r="E569" s="1023"/>
      <c r="I569" s="1024"/>
      <c r="J569" s="1024"/>
      <c r="K569" s="1024"/>
      <c r="O569" s="673"/>
    </row>
    <row r="570" spans="3:15" ht="15.75" customHeight="1">
      <c r="C570" s="1023"/>
      <c r="D570" s="1023"/>
      <c r="E570" s="1023"/>
      <c r="I570" s="1024"/>
      <c r="J570" s="1024"/>
      <c r="K570" s="1024"/>
      <c r="O570" s="673"/>
    </row>
    <row r="571" spans="3:15" ht="15.75" customHeight="1">
      <c r="C571" s="1023"/>
      <c r="D571" s="1023"/>
      <c r="E571" s="1023"/>
      <c r="I571" s="1024"/>
      <c r="J571" s="1024"/>
      <c r="K571" s="1024"/>
      <c r="O571" s="673"/>
    </row>
    <row r="572" spans="3:15" ht="15.75" customHeight="1">
      <c r="C572" s="1023"/>
      <c r="D572" s="1023"/>
      <c r="E572" s="1023"/>
      <c r="I572" s="1024"/>
      <c r="J572" s="1024"/>
      <c r="K572" s="1024"/>
      <c r="O572" s="673"/>
    </row>
    <row r="573" spans="3:15" ht="15.75" customHeight="1">
      <c r="C573" s="1023"/>
      <c r="D573" s="1023"/>
      <c r="E573" s="1023"/>
      <c r="I573" s="1024"/>
      <c r="J573" s="1024"/>
      <c r="K573" s="1024"/>
      <c r="O573" s="673"/>
    </row>
    <row r="574" spans="3:15" ht="15.75" customHeight="1">
      <c r="C574" s="1023"/>
      <c r="D574" s="1023"/>
      <c r="E574" s="1023"/>
      <c r="I574" s="1024"/>
      <c r="J574" s="1024"/>
      <c r="K574" s="1024"/>
      <c r="O574" s="673"/>
    </row>
    <row r="575" spans="3:15" ht="15.75" customHeight="1">
      <c r="C575" s="1023"/>
      <c r="D575" s="1023"/>
      <c r="E575" s="1023"/>
      <c r="I575" s="1024"/>
      <c r="J575" s="1024"/>
      <c r="K575" s="1024"/>
      <c r="O575" s="673"/>
    </row>
    <row r="576" spans="3:15" ht="15.75" customHeight="1">
      <c r="C576" s="1023"/>
      <c r="D576" s="1023"/>
      <c r="E576" s="1023"/>
      <c r="I576" s="1024"/>
      <c r="J576" s="1024"/>
      <c r="K576" s="1024"/>
      <c r="O576" s="673"/>
    </row>
    <row r="577" spans="3:15" ht="15.75" customHeight="1">
      <c r="C577" s="1023"/>
      <c r="D577" s="1023"/>
      <c r="E577" s="1023"/>
      <c r="I577" s="1024"/>
      <c r="J577" s="1024"/>
      <c r="K577" s="1024"/>
      <c r="O577" s="673"/>
    </row>
    <row r="578" spans="3:15" ht="15.75" customHeight="1">
      <c r="C578" s="1023"/>
      <c r="D578" s="1023"/>
      <c r="E578" s="1023"/>
      <c r="I578" s="1024"/>
      <c r="J578" s="1024"/>
      <c r="K578" s="1024"/>
      <c r="O578" s="673"/>
    </row>
  </sheetData>
  <autoFilter ref="A1:X478" xr:uid="{00000000-0009-0000-0000-00000E000000}">
    <sortState xmlns:xlrd2="http://schemas.microsoft.com/office/spreadsheetml/2017/richdata2" ref="A180:X388">
      <sortCondition ref="O1:O388"/>
    </sortState>
  </autoFilter>
  <dataValidations disablePrompts="1" count="1">
    <dataValidation type="list" allowBlank="1" showErrorMessage="1" sqref="U1" xr:uid="{00000000-0002-0000-0E00-000000000000}">
      <formula1>$D$1:$D$26</formula1>
    </dataValidation>
  </dataValidations>
  <pageMargins left="0.7" right="0.7" top="0.75" bottom="0.75" header="0" footer="0"/>
  <pageSetup scale="63" orientation="landscape"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C1143"/>
  <sheetViews>
    <sheetView topLeftCell="A46" workbookViewId="0">
      <selection activeCell="B83" sqref="B83"/>
    </sheetView>
  </sheetViews>
  <sheetFormatPr baseColWidth="10" defaultColWidth="12.625" defaultRowHeight="15" customHeight="1" outlineLevelCol="1"/>
  <cols>
    <col min="1" max="1" width="9.25" customWidth="1"/>
    <col min="2" max="2" width="42.5" customWidth="1"/>
    <col min="3" max="3" width="20.75" customWidth="1"/>
    <col min="4" max="4" width="29.875" customWidth="1"/>
    <col min="5" max="8" width="21.75" customWidth="1"/>
    <col min="9" max="9" width="28.625" customWidth="1" outlineLevel="1"/>
    <col min="10" max="10" width="3.25" customWidth="1" outlineLevel="1"/>
    <col min="11" max="11" width="35.375" customWidth="1" outlineLevel="1"/>
    <col min="12" max="29" width="9.375" customWidth="1"/>
  </cols>
  <sheetData>
    <row r="1" spans="1:13">
      <c r="A1" s="1018" t="s">
        <v>1317</v>
      </c>
      <c r="B1" s="674" t="s">
        <v>251</v>
      </c>
      <c r="C1" s="674" t="s">
        <v>1318</v>
      </c>
      <c r="D1" s="674" t="s">
        <v>718</v>
      </c>
      <c r="E1" s="675" t="s">
        <v>719</v>
      </c>
      <c r="F1" s="675" t="s">
        <v>1319</v>
      </c>
      <c r="G1" s="675" t="s">
        <v>1320</v>
      </c>
      <c r="H1" s="4"/>
      <c r="I1" s="676" t="s">
        <v>1318</v>
      </c>
      <c r="K1" s="676" t="s">
        <v>718</v>
      </c>
    </row>
    <row r="2" spans="1:13" ht="15" customHeight="1">
      <c r="A2" s="690" t="s">
        <v>1438</v>
      </c>
      <c r="B2" s="678" t="s">
        <v>720</v>
      </c>
      <c r="C2" s="679"/>
      <c r="D2" s="679"/>
      <c r="E2" s="680"/>
      <c r="F2" s="681"/>
      <c r="G2" s="682" t="s">
        <v>2</v>
      </c>
      <c r="H2" s="3"/>
      <c r="I2" s="683" t="s">
        <v>1321</v>
      </c>
      <c r="K2" s="683">
        <f>Print_Mois!C4</f>
        <v>0</v>
      </c>
    </row>
    <row r="3" spans="1:13" ht="15" customHeight="1">
      <c r="A3" s="690" t="s">
        <v>1441</v>
      </c>
      <c r="B3" s="678" t="s">
        <v>729</v>
      </c>
      <c r="C3" s="679"/>
      <c r="D3" s="679"/>
      <c r="E3" s="680"/>
      <c r="F3" s="681"/>
      <c r="G3" s="682" t="e">
        <v>#N/A</v>
      </c>
      <c r="H3" s="33"/>
      <c r="I3" s="683" t="str">
        <f>Print_Mois!K1</f>
        <v>Véhicules neufs</v>
      </c>
      <c r="K3" s="683" t="s">
        <v>83</v>
      </c>
    </row>
    <row r="4" spans="1:13" ht="15" customHeight="1">
      <c r="A4" s="690" t="s">
        <v>1444</v>
      </c>
      <c r="B4" s="678" t="s">
        <v>730</v>
      </c>
      <c r="C4" s="679"/>
      <c r="D4" s="679"/>
      <c r="E4" s="680"/>
      <c r="F4" s="681"/>
      <c r="G4" s="682" t="s">
        <v>816</v>
      </c>
      <c r="H4" s="33"/>
      <c r="I4" s="683" t="str">
        <f>Print_Mois!K89</f>
        <v>Véhicules usagés</v>
      </c>
      <c r="K4" s="683" t="str">
        <f>Print_Mois!C184</f>
        <v>Ajustement M/O</v>
      </c>
      <c r="M4" s="684" t="s">
        <v>1322</v>
      </c>
    </row>
    <row r="5" spans="1:13" ht="15" customHeight="1">
      <c r="A5" s="690" t="s">
        <v>817</v>
      </c>
      <c r="B5" s="678" t="s">
        <v>815</v>
      </c>
      <c r="C5" s="679" t="s">
        <v>1321</v>
      </c>
      <c r="D5" s="679" t="s">
        <v>25</v>
      </c>
      <c r="E5" s="680" t="s">
        <v>303</v>
      </c>
      <c r="F5" s="681"/>
      <c r="G5" s="682" t="s">
        <v>816</v>
      </c>
      <c r="H5" s="33"/>
      <c r="I5" s="683" t="str">
        <f>Print_Mois!AE402</f>
        <v>TOTAL DES REVENUS ET DÉPENSES</v>
      </c>
      <c r="K5" s="683" t="s">
        <v>70</v>
      </c>
      <c r="M5" s="138" t="s">
        <v>1323</v>
      </c>
    </row>
    <row r="6" spans="1:13" ht="15" customHeight="1">
      <c r="A6" s="690" t="s">
        <v>3356</v>
      </c>
      <c r="B6" s="678" t="s">
        <v>1338</v>
      </c>
      <c r="C6" s="679" t="s">
        <v>1321</v>
      </c>
      <c r="D6" s="679" t="s">
        <v>25</v>
      </c>
      <c r="E6" s="680" t="s">
        <v>303</v>
      </c>
      <c r="F6" s="681"/>
      <c r="G6" s="680" t="s">
        <v>816</v>
      </c>
      <c r="H6" s="33"/>
      <c r="I6" s="683" t="str">
        <f>Print_Mois!K168</f>
        <v>Service</v>
      </c>
      <c r="K6" s="683" t="s">
        <v>72</v>
      </c>
      <c r="M6" s="138" t="s">
        <v>1324</v>
      </c>
    </row>
    <row r="7" spans="1:13" ht="15" customHeight="1">
      <c r="A7" s="690" t="s">
        <v>3357</v>
      </c>
      <c r="B7" s="678" t="s">
        <v>818</v>
      </c>
      <c r="C7" s="679" t="s">
        <v>1321</v>
      </c>
      <c r="D7" s="679" t="s">
        <v>25</v>
      </c>
      <c r="E7" s="680" t="s">
        <v>303</v>
      </c>
      <c r="F7" s="681"/>
      <c r="G7" s="682" t="s">
        <v>816</v>
      </c>
      <c r="H7" s="33"/>
      <c r="I7" s="683" t="str">
        <f>Print_Mois!K236</f>
        <v>Carrosserie</v>
      </c>
      <c r="K7" s="683" t="str">
        <f>Print_Mois!V491</f>
        <v>Amortissement</v>
      </c>
      <c r="M7" s="138" t="s">
        <v>304</v>
      </c>
    </row>
    <row r="8" spans="1:13" ht="15" customHeight="1">
      <c r="A8" s="690" t="s">
        <v>3358</v>
      </c>
      <c r="B8" s="678" t="s">
        <v>1340</v>
      </c>
      <c r="C8" s="679" t="s">
        <v>1321</v>
      </c>
      <c r="D8" s="679" t="s">
        <v>25</v>
      </c>
      <c r="E8" s="680" t="s">
        <v>303</v>
      </c>
      <c r="F8" s="681"/>
      <c r="G8" s="680" t="e">
        <v>#N/A</v>
      </c>
      <c r="H8" s="33"/>
      <c r="I8" s="683" t="str">
        <f>Print_Mois!K291</f>
        <v>Pièces</v>
      </c>
      <c r="K8" s="683" t="s">
        <v>85</v>
      </c>
      <c r="M8" s="138" t="s">
        <v>161</v>
      </c>
    </row>
    <row r="9" spans="1:13" ht="15" customHeight="1">
      <c r="A9" s="690" t="s">
        <v>3359</v>
      </c>
      <c r="B9" s="678" t="s">
        <v>1341</v>
      </c>
      <c r="C9" s="679" t="s">
        <v>1321</v>
      </c>
      <c r="D9" s="679" t="s">
        <v>25</v>
      </c>
      <c r="E9" s="680" t="s">
        <v>303</v>
      </c>
      <c r="F9" s="681"/>
      <c r="G9" s="680" t="s">
        <v>816</v>
      </c>
      <c r="H9" s="33"/>
      <c r="I9" s="683" t="s">
        <v>1325</v>
      </c>
      <c r="K9" s="683" t="str">
        <f>Print_Mois!V457</f>
        <v>Assurances</v>
      </c>
      <c r="M9" s="138" t="s">
        <v>180</v>
      </c>
    </row>
    <row r="10" spans="1:13" ht="15" customHeight="1">
      <c r="A10" s="690" t="s">
        <v>3888</v>
      </c>
      <c r="B10" s="678" t="s">
        <v>3887</v>
      </c>
      <c r="C10" s="679" t="s">
        <v>1321</v>
      </c>
      <c r="D10" s="679" t="s">
        <v>25</v>
      </c>
      <c r="E10" s="680" t="s">
        <v>303</v>
      </c>
      <c r="F10" s="681"/>
      <c r="G10" s="680" t="s">
        <v>2</v>
      </c>
      <c r="H10" s="33"/>
      <c r="I10" s="683"/>
      <c r="K10" s="683"/>
      <c r="M10" s="138"/>
    </row>
    <row r="11" spans="1:13" ht="15" customHeight="1">
      <c r="A11" s="690" t="s">
        <v>3360</v>
      </c>
      <c r="B11" s="678" t="s">
        <v>819</v>
      </c>
      <c r="C11" s="679" t="s">
        <v>1321</v>
      </c>
      <c r="D11" s="679" t="s">
        <v>25</v>
      </c>
      <c r="E11" s="680" t="s">
        <v>303</v>
      </c>
      <c r="F11" s="681"/>
      <c r="G11" s="682" t="s">
        <v>2</v>
      </c>
      <c r="H11" s="33"/>
      <c r="I11" s="683"/>
      <c r="K11" s="683" t="s">
        <v>1326</v>
      </c>
      <c r="M11" s="138" t="s">
        <v>176</v>
      </c>
    </row>
    <row r="12" spans="1:13" ht="15" customHeight="1">
      <c r="A12" s="690" t="s">
        <v>1449</v>
      </c>
      <c r="B12" s="678" t="s">
        <v>1342</v>
      </c>
      <c r="C12" s="679" t="s">
        <v>1321</v>
      </c>
      <c r="D12" s="679" t="s">
        <v>25</v>
      </c>
      <c r="E12" s="680" t="s">
        <v>303</v>
      </c>
      <c r="F12" s="681"/>
      <c r="G12" s="680" t="s">
        <v>902</v>
      </c>
      <c r="H12" s="33"/>
      <c r="I12" s="683"/>
      <c r="K12" s="683" t="s">
        <v>1327</v>
      </c>
      <c r="M12" s="684" t="s">
        <v>1328</v>
      </c>
    </row>
    <row r="13" spans="1:13" ht="15" customHeight="1">
      <c r="A13" s="690" t="s">
        <v>1452</v>
      </c>
      <c r="B13" s="678" t="s">
        <v>820</v>
      </c>
      <c r="C13" s="679" t="s">
        <v>1321</v>
      </c>
      <c r="D13" s="679" t="s">
        <v>25</v>
      </c>
      <c r="E13" s="680" t="s">
        <v>303</v>
      </c>
      <c r="F13" s="681"/>
      <c r="G13" s="682" t="s">
        <v>902</v>
      </c>
      <c r="H13" s="33"/>
      <c r="K13" s="683" t="str">
        <f>Print_Mois!C6</f>
        <v>Autos détail</v>
      </c>
      <c r="M13" s="5" t="s">
        <v>1324</v>
      </c>
    </row>
    <row r="14" spans="1:13" ht="15" customHeight="1">
      <c r="A14" s="690" t="s">
        <v>3361</v>
      </c>
      <c r="B14" s="678" t="s">
        <v>1343</v>
      </c>
      <c r="C14" s="679" t="s">
        <v>1321</v>
      </c>
      <c r="D14" s="679" t="s">
        <v>25</v>
      </c>
      <c r="E14" s="680" t="s">
        <v>303</v>
      </c>
      <c r="F14" s="681"/>
      <c r="G14" s="680" t="e">
        <v>#N/A</v>
      </c>
      <c r="H14" s="33"/>
      <c r="K14" s="683" t="s">
        <v>173</v>
      </c>
    </row>
    <row r="15" spans="1:13" ht="15" customHeight="1">
      <c r="A15" s="690" t="s">
        <v>3362</v>
      </c>
      <c r="B15" s="678" t="s">
        <v>820</v>
      </c>
      <c r="C15" s="679" t="s">
        <v>1321</v>
      </c>
      <c r="D15" s="679" t="s">
        <v>25</v>
      </c>
      <c r="E15" s="680" t="s">
        <v>303</v>
      </c>
      <c r="F15" s="681"/>
      <c r="G15" s="682" t="e">
        <v>#N/A</v>
      </c>
      <c r="H15" s="33"/>
      <c r="K15" s="683" t="str">
        <f>Print_Mois!C312</f>
        <v>Autostock</v>
      </c>
      <c r="M15" s="5" t="s">
        <v>304</v>
      </c>
    </row>
    <row r="16" spans="1:13" ht="15" customHeight="1">
      <c r="A16" s="690" t="s">
        <v>3352</v>
      </c>
      <c r="B16" s="678" t="s">
        <v>731</v>
      </c>
      <c r="C16" s="679"/>
      <c r="D16" s="679"/>
      <c r="E16" s="680"/>
      <c r="F16" s="681"/>
      <c r="G16" s="682" t="e">
        <v>#N/A</v>
      </c>
      <c r="H16" s="33"/>
      <c r="K16" s="683" t="s">
        <v>43</v>
      </c>
    </row>
    <row r="17" spans="1:13" ht="15" customHeight="1">
      <c r="A17" s="690" t="s">
        <v>823</v>
      </c>
      <c r="B17" s="678" t="s">
        <v>822</v>
      </c>
      <c r="C17" s="679" t="s">
        <v>1321</v>
      </c>
      <c r="D17" s="679" t="s">
        <v>29</v>
      </c>
      <c r="E17" s="680" t="s">
        <v>303</v>
      </c>
      <c r="F17" s="681"/>
      <c r="G17" s="682" t="e">
        <v>#N/A</v>
      </c>
      <c r="H17" s="33"/>
      <c r="K17" s="683" t="s">
        <v>57</v>
      </c>
      <c r="M17" s="684" t="s">
        <v>1329</v>
      </c>
    </row>
    <row r="18" spans="1:13" ht="15" customHeight="1">
      <c r="A18" s="690" t="s">
        <v>825</v>
      </c>
      <c r="B18" s="678" t="s">
        <v>824</v>
      </c>
      <c r="C18" s="679" t="s">
        <v>1321</v>
      </c>
      <c r="D18" s="679" t="s">
        <v>30</v>
      </c>
      <c r="E18" s="680" t="s">
        <v>303</v>
      </c>
      <c r="F18" s="681"/>
      <c r="G18" s="682" t="s">
        <v>902</v>
      </c>
      <c r="H18" s="33"/>
      <c r="K18" s="683" t="s">
        <v>73</v>
      </c>
      <c r="M18" s="5" t="s">
        <v>1324</v>
      </c>
    </row>
    <row r="19" spans="1:13" ht="15" customHeight="1">
      <c r="A19" s="690" t="s">
        <v>1459</v>
      </c>
      <c r="B19" s="678" t="s">
        <v>826</v>
      </c>
      <c r="C19" s="679" t="s">
        <v>1321</v>
      </c>
      <c r="D19" s="679" t="s">
        <v>30</v>
      </c>
      <c r="E19" s="680" t="s">
        <v>303</v>
      </c>
      <c r="F19" s="681"/>
      <c r="G19" s="682" t="s">
        <v>902</v>
      </c>
      <c r="H19" s="33"/>
      <c r="K19" s="683" t="s">
        <v>31</v>
      </c>
      <c r="M19" s="5" t="s">
        <v>304</v>
      </c>
    </row>
    <row r="20" spans="1:13" ht="15" customHeight="1">
      <c r="A20" s="690" t="s">
        <v>828</v>
      </c>
      <c r="B20" s="678" t="s">
        <v>827</v>
      </c>
      <c r="C20" s="679" t="s">
        <v>1321</v>
      </c>
      <c r="D20" s="679" t="s">
        <v>34</v>
      </c>
      <c r="E20" s="680" t="s">
        <v>303</v>
      </c>
      <c r="F20" s="681"/>
      <c r="G20" s="682" t="s">
        <v>902</v>
      </c>
      <c r="H20" s="33"/>
      <c r="K20" s="683" t="s">
        <v>54</v>
      </c>
    </row>
    <row r="21" spans="1:13" ht="15" customHeight="1">
      <c r="A21" s="690" t="s">
        <v>1464</v>
      </c>
      <c r="B21" s="678" t="s">
        <v>829</v>
      </c>
      <c r="C21" s="679" t="s">
        <v>1321</v>
      </c>
      <c r="D21" s="679" t="s">
        <v>38</v>
      </c>
      <c r="E21" s="680" t="s">
        <v>303</v>
      </c>
      <c r="F21" s="681"/>
      <c r="G21" s="682" t="s">
        <v>902</v>
      </c>
      <c r="H21" s="33"/>
      <c r="K21" s="683" t="s">
        <v>82</v>
      </c>
    </row>
    <row r="22" spans="1:13" ht="15" customHeight="1">
      <c r="A22" s="690" t="s">
        <v>3363</v>
      </c>
      <c r="B22" s="678" t="s">
        <v>830</v>
      </c>
      <c r="C22" s="679" t="s">
        <v>1321</v>
      </c>
      <c r="D22" s="679" t="s">
        <v>40</v>
      </c>
      <c r="E22" s="680" t="s">
        <v>303</v>
      </c>
      <c r="F22" s="681"/>
      <c r="G22" s="682" t="s">
        <v>902</v>
      </c>
      <c r="H22" s="33"/>
      <c r="K22" s="683" t="s">
        <v>67</v>
      </c>
    </row>
    <row r="23" spans="1:13" ht="15" customHeight="1">
      <c r="A23" s="690" t="s">
        <v>3364</v>
      </c>
      <c r="B23" s="678" t="s">
        <v>831</v>
      </c>
      <c r="C23" s="679" t="s">
        <v>1321</v>
      </c>
      <c r="D23" s="679" t="s">
        <v>40</v>
      </c>
      <c r="E23" s="680" t="s">
        <v>303</v>
      </c>
      <c r="F23" s="681"/>
      <c r="G23" s="682" t="s">
        <v>902</v>
      </c>
      <c r="H23" s="33"/>
      <c r="K23" s="683" t="s">
        <v>68</v>
      </c>
    </row>
    <row r="24" spans="1:13" ht="15" customHeight="1">
      <c r="A24" s="690" t="s">
        <v>1467</v>
      </c>
      <c r="B24" s="678" t="s">
        <v>832</v>
      </c>
      <c r="C24" s="679" t="s">
        <v>1321</v>
      </c>
      <c r="D24" s="679" t="s">
        <v>32</v>
      </c>
      <c r="E24" s="680" t="s">
        <v>303</v>
      </c>
      <c r="F24" s="681"/>
      <c r="G24" s="682" t="s">
        <v>902</v>
      </c>
      <c r="H24" s="33"/>
      <c r="K24" s="683" t="str">
        <f>Print_Mois!V430</f>
        <v>Bénéfices marginaux</v>
      </c>
    </row>
    <row r="25" spans="1:13" ht="15" customHeight="1">
      <c r="A25" s="690" t="s">
        <v>835</v>
      </c>
      <c r="B25" s="678" t="s">
        <v>834</v>
      </c>
      <c r="C25" s="679" t="s">
        <v>1321</v>
      </c>
      <c r="D25" s="679" t="s">
        <v>36</v>
      </c>
      <c r="E25" s="680" t="s">
        <v>303</v>
      </c>
      <c r="F25" s="681"/>
      <c r="G25" s="682" t="s">
        <v>902</v>
      </c>
      <c r="H25" s="33"/>
      <c r="K25" s="683" t="s">
        <v>86</v>
      </c>
    </row>
    <row r="26" spans="1:13" ht="15" customHeight="1">
      <c r="A26" s="690" t="s">
        <v>1472</v>
      </c>
      <c r="B26" s="678" t="s">
        <v>836</v>
      </c>
      <c r="C26" s="679" t="s">
        <v>1321</v>
      </c>
      <c r="D26" s="679" t="s">
        <v>1344</v>
      </c>
      <c r="E26" s="680" t="s">
        <v>303</v>
      </c>
      <c r="F26" s="681"/>
      <c r="G26" s="682" t="s">
        <v>902</v>
      </c>
      <c r="H26" s="33"/>
      <c r="K26" s="683" t="s">
        <v>1321</v>
      </c>
    </row>
    <row r="27" spans="1:13" ht="15" customHeight="1">
      <c r="A27" s="690" t="s">
        <v>1475</v>
      </c>
      <c r="B27" s="678" t="s">
        <v>837</v>
      </c>
      <c r="C27" s="679" t="s">
        <v>1321</v>
      </c>
      <c r="D27" s="679" t="s">
        <v>32</v>
      </c>
      <c r="E27" s="680" t="s">
        <v>303</v>
      </c>
      <c r="F27" s="681"/>
      <c r="G27" s="682" t="s">
        <v>902</v>
      </c>
      <c r="H27" s="33"/>
      <c r="K27" s="683" t="s">
        <v>196</v>
      </c>
    </row>
    <row r="28" spans="1:13" ht="15" customHeight="1">
      <c r="A28" s="687" t="s">
        <v>3344</v>
      </c>
      <c r="B28" s="687" t="s">
        <v>1345</v>
      </c>
      <c r="C28" s="679" t="s">
        <v>1321</v>
      </c>
      <c r="D28" s="679" t="s">
        <v>42</v>
      </c>
      <c r="E28" s="680" t="s">
        <v>303</v>
      </c>
      <c r="F28" s="681"/>
      <c r="G28" s="680" t="s">
        <v>2</v>
      </c>
      <c r="H28" s="33"/>
      <c r="K28" s="683" t="s">
        <v>98</v>
      </c>
    </row>
    <row r="29" spans="1:13" ht="15" customHeight="1">
      <c r="A29" s="687" t="s">
        <v>3365</v>
      </c>
      <c r="B29" s="687" t="s">
        <v>1345</v>
      </c>
      <c r="C29" s="679" t="s">
        <v>1321</v>
      </c>
      <c r="D29" s="679" t="s">
        <v>42</v>
      </c>
      <c r="E29" s="680" t="s">
        <v>303</v>
      </c>
      <c r="F29" s="681"/>
      <c r="G29" s="680" t="s">
        <v>902</v>
      </c>
      <c r="H29" s="33"/>
      <c r="K29" s="683" t="s">
        <v>84</v>
      </c>
    </row>
    <row r="30" spans="1:13" ht="15" customHeight="1">
      <c r="A30" s="690" t="s">
        <v>1478</v>
      </c>
      <c r="B30" s="678" t="s">
        <v>1346</v>
      </c>
      <c r="C30" s="679" t="s">
        <v>1321</v>
      </c>
      <c r="D30" s="679" t="s">
        <v>1344</v>
      </c>
      <c r="E30" s="680" t="s">
        <v>303</v>
      </c>
      <c r="F30" s="681"/>
      <c r="G30" s="680" t="s">
        <v>902</v>
      </c>
      <c r="H30" s="33"/>
      <c r="K30" s="683" t="str">
        <f>Print_Mois!C94</f>
        <v>Certifié</v>
      </c>
    </row>
    <row r="31" spans="1:13" ht="15" customHeight="1">
      <c r="A31" s="690" t="s">
        <v>1429</v>
      </c>
      <c r="B31" s="678" t="s">
        <v>1347</v>
      </c>
      <c r="C31" s="679" t="s">
        <v>1321</v>
      </c>
      <c r="D31" s="679" t="s">
        <v>35</v>
      </c>
      <c r="E31" s="680" t="s">
        <v>303</v>
      </c>
      <c r="F31" s="681"/>
      <c r="G31" s="680" t="s">
        <v>902</v>
      </c>
      <c r="H31" s="33"/>
      <c r="K31" s="683" t="str">
        <f>Print_Mois!V458</f>
        <v>Chauffage, éclairage</v>
      </c>
    </row>
    <row r="32" spans="1:13" ht="15" customHeight="1">
      <c r="A32" s="690" t="s">
        <v>839</v>
      </c>
      <c r="B32" s="678" t="s">
        <v>838</v>
      </c>
      <c r="C32" s="679" t="s">
        <v>1321</v>
      </c>
      <c r="D32" s="679" t="s">
        <v>34</v>
      </c>
      <c r="E32" s="680" t="s">
        <v>303</v>
      </c>
      <c r="F32" s="681"/>
      <c r="G32" s="682" t="s">
        <v>902</v>
      </c>
      <c r="H32" s="33"/>
      <c r="K32" s="683" t="str">
        <f>Print_Mois!C32</f>
        <v>Comm. F&amp;I</v>
      </c>
    </row>
    <row r="33" spans="1:11" ht="15" customHeight="1">
      <c r="A33" s="690" t="s">
        <v>841</v>
      </c>
      <c r="B33" s="678" t="s">
        <v>840</v>
      </c>
      <c r="C33" s="679" t="s">
        <v>1321</v>
      </c>
      <c r="D33" s="679" t="s">
        <v>46</v>
      </c>
      <c r="E33" s="680" t="s">
        <v>303</v>
      </c>
      <c r="F33" s="681"/>
      <c r="G33" s="682" t="s">
        <v>902</v>
      </c>
      <c r="H33" s="33"/>
      <c r="K33" s="683" t="str">
        <f>Print_Mois!C31</f>
        <v>Comm. vendeurs</v>
      </c>
    </row>
    <row r="34" spans="1:11" ht="15" customHeight="1">
      <c r="A34" s="690" t="s">
        <v>843</v>
      </c>
      <c r="B34" s="678" t="s">
        <v>842</v>
      </c>
      <c r="C34" s="679" t="s">
        <v>1321</v>
      </c>
      <c r="D34" s="679"/>
      <c r="E34" s="686" t="s">
        <v>341</v>
      </c>
      <c r="F34" s="681"/>
      <c r="G34" s="682" t="s">
        <v>1154</v>
      </c>
      <c r="H34" s="33"/>
      <c r="K34" s="683" t="s">
        <v>33</v>
      </c>
    </row>
    <row r="35" spans="1:11" ht="15" customHeight="1">
      <c r="A35" s="690" t="s">
        <v>1487</v>
      </c>
      <c r="B35" s="678" t="s">
        <v>844</v>
      </c>
      <c r="C35" s="679" t="s">
        <v>1321</v>
      </c>
      <c r="D35" s="679" t="s">
        <v>46</v>
      </c>
      <c r="E35" s="680" t="s">
        <v>303</v>
      </c>
      <c r="F35" s="681"/>
      <c r="G35" s="682" t="s">
        <v>902</v>
      </c>
      <c r="H35" s="33"/>
      <c r="K35" s="683" t="s">
        <v>1330</v>
      </c>
    </row>
    <row r="36" spans="1:11" ht="15" customHeight="1">
      <c r="A36" s="690" t="s">
        <v>846</v>
      </c>
      <c r="B36" s="678" t="s">
        <v>845</v>
      </c>
      <c r="C36" s="679" t="s">
        <v>1321</v>
      </c>
      <c r="D36" s="679" t="s">
        <v>48</v>
      </c>
      <c r="E36" s="680" t="s">
        <v>303</v>
      </c>
      <c r="F36" s="681"/>
      <c r="G36" s="682" t="s">
        <v>902</v>
      </c>
      <c r="H36" s="33"/>
      <c r="K36" s="683" t="s">
        <v>1331</v>
      </c>
    </row>
    <row r="37" spans="1:11" ht="15" customHeight="1">
      <c r="A37" s="690" t="s">
        <v>848</v>
      </c>
      <c r="B37" s="678" t="s">
        <v>847</v>
      </c>
      <c r="C37" s="679" t="s">
        <v>1321</v>
      </c>
      <c r="D37" s="679" t="s">
        <v>48</v>
      </c>
      <c r="E37" s="680" t="s">
        <v>303</v>
      </c>
      <c r="F37" s="681"/>
      <c r="G37" s="682" t="s">
        <v>2</v>
      </c>
      <c r="H37" s="33"/>
      <c r="K37" s="683" t="str">
        <f>Print_Mois!V431</f>
        <v>Csst</v>
      </c>
    </row>
    <row r="38" spans="1:11" ht="15" customHeight="1">
      <c r="A38" s="690" t="s">
        <v>850</v>
      </c>
      <c r="B38" s="678" t="s">
        <v>849</v>
      </c>
      <c r="C38" s="679" t="s">
        <v>1321</v>
      </c>
      <c r="D38" s="679"/>
      <c r="E38" s="686" t="s">
        <v>341</v>
      </c>
      <c r="F38" s="681"/>
      <c r="G38" s="682" t="s">
        <v>1154</v>
      </c>
      <c r="H38" s="33"/>
      <c r="K38" s="683" t="s">
        <v>55</v>
      </c>
    </row>
    <row r="39" spans="1:11" ht="15" customHeight="1">
      <c r="A39" s="690" t="s">
        <v>1430</v>
      </c>
      <c r="B39" s="678" t="s">
        <v>1349</v>
      </c>
      <c r="C39" s="679" t="s">
        <v>1321</v>
      </c>
      <c r="D39" s="679" t="s">
        <v>48</v>
      </c>
      <c r="E39" s="680" t="s">
        <v>303</v>
      </c>
      <c r="F39" s="681"/>
      <c r="G39" s="680" t="s">
        <v>902</v>
      </c>
      <c r="H39" s="33"/>
      <c r="K39" s="683" t="str">
        <f>Print_Mois!V429</f>
        <v>Déduction à la source</v>
      </c>
    </row>
    <row r="40" spans="1:11" ht="15" customHeight="1">
      <c r="A40" s="1020" t="s">
        <v>1406</v>
      </c>
      <c r="B40" s="678" t="s">
        <v>1407</v>
      </c>
      <c r="C40" s="679"/>
      <c r="D40" s="679"/>
      <c r="E40" s="680"/>
      <c r="F40" s="681"/>
      <c r="G40" s="680" t="s">
        <v>1154</v>
      </c>
      <c r="H40" s="33"/>
      <c r="K40" s="683" t="s">
        <v>39</v>
      </c>
    </row>
    <row r="41" spans="1:11" ht="15" customHeight="1">
      <c r="A41" s="690" t="s">
        <v>852</v>
      </c>
      <c r="B41" s="678" t="s">
        <v>851</v>
      </c>
      <c r="C41" s="679" t="s">
        <v>1321</v>
      </c>
      <c r="D41" s="679" t="s">
        <v>46</v>
      </c>
      <c r="E41" s="680" t="s">
        <v>303</v>
      </c>
      <c r="F41" s="681"/>
      <c r="G41" s="682" t="s">
        <v>902</v>
      </c>
      <c r="H41" s="33"/>
      <c r="K41" s="683" t="s">
        <v>71</v>
      </c>
    </row>
    <row r="42" spans="1:11" ht="15" customHeight="1">
      <c r="A42" s="690" t="s">
        <v>3366</v>
      </c>
      <c r="B42" s="678" t="s">
        <v>853</v>
      </c>
      <c r="C42" s="679" t="s">
        <v>1321</v>
      </c>
      <c r="D42" s="679" t="s">
        <v>46</v>
      </c>
      <c r="E42" s="680" t="s">
        <v>303</v>
      </c>
      <c r="F42" s="681"/>
      <c r="G42" s="682" t="s">
        <v>902</v>
      </c>
      <c r="H42" s="33"/>
      <c r="K42" s="683" t="str">
        <f>Print_Mois!V446</f>
        <v>Divers</v>
      </c>
    </row>
    <row r="43" spans="1:11" ht="15" customHeight="1">
      <c r="A43" s="690" t="s">
        <v>856</v>
      </c>
      <c r="B43" s="678" t="s">
        <v>855</v>
      </c>
      <c r="C43" s="679" t="s">
        <v>1321</v>
      </c>
      <c r="D43" s="679" t="s">
        <v>50</v>
      </c>
      <c r="E43" s="680" t="s">
        <v>303</v>
      </c>
      <c r="F43" s="681"/>
      <c r="G43" s="682" t="s">
        <v>2</v>
      </c>
      <c r="H43" s="33"/>
      <c r="K43" s="683" t="s">
        <v>87</v>
      </c>
    </row>
    <row r="44" spans="1:11" ht="15" customHeight="1">
      <c r="A44" s="690" t="s">
        <v>3367</v>
      </c>
      <c r="B44" s="678" t="s">
        <v>857</v>
      </c>
      <c r="C44" s="679" t="s">
        <v>1321</v>
      </c>
      <c r="D44" s="679" t="s">
        <v>50</v>
      </c>
      <c r="E44" s="680" t="s">
        <v>303</v>
      </c>
      <c r="F44" s="681"/>
      <c r="G44" s="682" t="s">
        <v>902</v>
      </c>
      <c r="H44" s="33"/>
      <c r="K44" s="683" t="s">
        <v>214</v>
      </c>
    </row>
    <row r="45" spans="1:11" ht="15" customHeight="1">
      <c r="A45" s="690" t="s">
        <v>1498</v>
      </c>
      <c r="B45" s="678" t="s">
        <v>858</v>
      </c>
      <c r="C45" s="679" t="s">
        <v>1321</v>
      </c>
      <c r="D45" s="679" t="s">
        <v>50</v>
      </c>
      <c r="E45" s="680" t="s">
        <v>303</v>
      </c>
      <c r="F45" s="681"/>
      <c r="G45" s="682" t="s">
        <v>902</v>
      </c>
      <c r="H45" s="33"/>
      <c r="K45" s="683" t="s">
        <v>47</v>
      </c>
    </row>
    <row r="46" spans="1:11" ht="15" customHeight="1">
      <c r="A46" s="690" t="s">
        <v>860</v>
      </c>
      <c r="B46" s="678" t="s">
        <v>859</v>
      </c>
      <c r="C46" s="679" t="s">
        <v>1321</v>
      </c>
      <c r="D46" s="679" t="s">
        <v>50</v>
      </c>
      <c r="E46" s="680" t="s">
        <v>303</v>
      </c>
      <c r="F46" s="681"/>
      <c r="G46" s="682" t="s">
        <v>902</v>
      </c>
      <c r="H46" s="33"/>
      <c r="K46" s="683" t="s">
        <v>49</v>
      </c>
    </row>
    <row r="47" spans="1:11" ht="15" customHeight="1">
      <c r="A47" s="690" t="s">
        <v>862</v>
      </c>
      <c r="B47" s="678" t="s">
        <v>861</v>
      </c>
      <c r="C47" s="679" t="s">
        <v>1321</v>
      </c>
      <c r="D47" s="679" t="s">
        <v>56</v>
      </c>
      <c r="E47" s="680" t="s">
        <v>303</v>
      </c>
      <c r="F47" s="681"/>
      <c r="G47" s="682" t="s">
        <v>2</v>
      </c>
      <c r="H47" s="33"/>
      <c r="K47" s="683" t="s">
        <v>25</v>
      </c>
    </row>
    <row r="48" spans="1:11" ht="15" customHeight="1">
      <c r="A48" s="690" t="s">
        <v>1505</v>
      </c>
      <c r="B48" s="678" t="s">
        <v>863</v>
      </c>
      <c r="C48" s="679" t="s">
        <v>1321</v>
      </c>
      <c r="D48" s="679" t="s">
        <v>58</v>
      </c>
      <c r="E48" s="680" t="s">
        <v>303</v>
      </c>
      <c r="F48" s="681"/>
      <c r="G48" s="682" t="s">
        <v>2</v>
      </c>
      <c r="H48" s="33"/>
      <c r="K48" s="683" t="s">
        <v>79</v>
      </c>
    </row>
    <row r="49" spans="1:11" ht="15" customHeight="1">
      <c r="A49" s="690" t="s">
        <v>1508</v>
      </c>
      <c r="B49" s="678" t="s">
        <v>864</v>
      </c>
      <c r="C49" s="679" t="s">
        <v>1321</v>
      </c>
      <c r="D49" s="679" t="s">
        <v>50</v>
      </c>
      <c r="E49" s="680" t="s">
        <v>303</v>
      </c>
      <c r="F49" s="681"/>
      <c r="G49" s="682" t="s">
        <v>902</v>
      </c>
      <c r="H49" s="33"/>
      <c r="K49" s="683" t="str">
        <f>Print_Mois!C35</f>
        <v>Entretien stock</v>
      </c>
    </row>
    <row r="50" spans="1:11" ht="15" customHeight="1">
      <c r="A50" s="690" t="s">
        <v>3368</v>
      </c>
      <c r="B50" s="678" t="s">
        <v>1350</v>
      </c>
      <c r="C50" s="679" t="s">
        <v>1321</v>
      </c>
      <c r="D50" s="679" t="s">
        <v>50</v>
      </c>
      <c r="E50" s="680" t="s">
        <v>303</v>
      </c>
      <c r="F50" s="681"/>
      <c r="G50" s="680" t="s">
        <v>2</v>
      </c>
      <c r="H50" s="33"/>
      <c r="K50" s="683" t="s">
        <v>76</v>
      </c>
    </row>
    <row r="51" spans="1:11" ht="15" customHeight="1">
      <c r="A51" s="690" t="s">
        <v>866</v>
      </c>
      <c r="B51" s="678" t="s">
        <v>865</v>
      </c>
      <c r="C51" s="679" t="s">
        <v>1321</v>
      </c>
      <c r="D51" s="679" t="s">
        <v>50</v>
      </c>
      <c r="E51" s="680" t="s">
        <v>303</v>
      </c>
      <c r="F51" s="681"/>
      <c r="G51" s="682" t="s">
        <v>2</v>
      </c>
      <c r="H51" s="33"/>
      <c r="K51" s="683"/>
    </row>
    <row r="52" spans="1:11" ht="15" customHeight="1">
      <c r="A52" s="690" t="s">
        <v>1513</v>
      </c>
      <c r="B52" s="678" t="s">
        <v>867</v>
      </c>
      <c r="C52" s="679" t="s">
        <v>1321</v>
      </c>
      <c r="D52" s="679" t="s">
        <v>60</v>
      </c>
      <c r="E52" s="680" t="s">
        <v>303</v>
      </c>
      <c r="F52" s="681"/>
      <c r="G52" s="682" t="s">
        <v>2</v>
      </c>
      <c r="H52" s="33"/>
      <c r="K52" s="683" t="s">
        <v>74</v>
      </c>
    </row>
    <row r="53" spans="1:11" ht="15" customHeight="1">
      <c r="A53" s="690" t="s">
        <v>1516</v>
      </c>
      <c r="B53" s="678" t="s">
        <v>869</v>
      </c>
      <c r="C53" s="679" t="s">
        <v>1321</v>
      </c>
      <c r="D53" s="679" t="s">
        <v>60</v>
      </c>
      <c r="E53" s="680" t="s">
        <v>303</v>
      </c>
      <c r="F53" s="681"/>
      <c r="G53" s="682" t="s">
        <v>2</v>
      </c>
      <c r="H53" s="33"/>
      <c r="K53" s="683" t="s">
        <v>77</v>
      </c>
    </row>
    <row r="54" spans="1:11" ht="15" customHeight="1">
      <c r="A54" s="678" t="s">
        <v>1519</v>
      </c>
      <c r="B54" s="688" t="s">
        <v>870</v>
      </c>
      <c r="C54" s="679" t="s">
        <v>1321</v>
      </c>
      <c r="D54" s="679" t="s">
        <v>60</v>
      </c>
      <c r="E54" s="680" t="s">
        <v>303</v>
      </c>
      <c r="F54" s="681"/>
      <c r="G54" s="682" t="s">
        <v>902</v>
      </c>
      <c r="H54" s="33"/>
      <c r="K54" s="683" t="str">
        <f>Print_Mois!C302</f>
        <v>Escomptes</v>
      </c>
    </row>
    <row r="55" spans="1:11" ht="15" customHeight="1">
      <c r="A55" s="678" t="s">
        <v>1522</v>
      </c>
      <c r="B55" s="688" t="s">
        <v>1351</v>
      </c>
      <c r="C55" s="679" t="s">
        <v>1321</v>
      </c>
      <c r="D55" s="679" t="s">
        <v>60</v>
      </c>
      <c r="E55" s="680" t="s">
        <v>303</v>
      </c>
      <c r="F55" s="681"/>
      <c r="G55" s="680" t="s">
        <v>902</v>
      </c>
      <c r="H55" s="33"/>
      <c r="K55" s="683" t="str">
        <f>Print_Mois!C15</f>
        <v>Ex-Démos et courtoisies</v>
      </c>
    </row>
    <row r="56" spans="1:11" ht="15" customHeight="1">
      <c r="A56" s="678" t="s">
        <v>1525</v>
      </c>
      <c r="B56" s="688" t="s">
        <v>871</v>
      </c>
      <c r="C56" s="679" t="s">
        <v>1321</v>
      </c>
      <c r="D56" s="679" t="s">
        <v>60</v>
      </c>
      <c r="E56" s="680" t="s">
        <v>303</v>
      </c>
      <c r="F56" s="681"/>
      <c r="G56" s="682" t="s">
        <v>902</v>
      </c>
      <c r="H56" s="33"/>
      <c r="K56" s="683" t="str">
        <f>Print_Mois!C17</f>
        <v>Flottes</v>
      </c>
    </row>
    <row r="57" spans="1:11" ht="15" customHeight="1">
      <c r="A57" s="690" t="s">
        <v>1528</v>
      </c>
      <c r="B57" s="678" t="s">
        <v>872</v>
      </c>
      <c r="C57" s="679" t="s">
        <v>1321</v>
      </c>
      <c r="D57" s="679" t="s">
        <v>60</v>
      </c>
      <c r="E57" s="680" t="s">
        <v>303</v>
      </c>
      <c r="F57" s="681"/>
      <c r="G57" s="682" t="e">
        <v>#N/A</v>
      </c>
      <c r="H57" s="33"/>
      <c r="K57" s="683" t="s">
        <v>1332</v>
      </c>
    </row>
    <row r="58" spans="1:11" ht="15" customHeight="1">
      <c r="A58" s="690" t="s">
        <v>1531</v>
      </c>
      <c r="B58" s="678" t="s">
        <v>1352</v>
      </c>
      <c r="C58" s="679" t="s">
        <v>1321</v>
      </c>
      <c r="D58" s="679" t="s">
        <v>60</v>
      </c>
      <c r="E58" s="680" t="s">
        <v>303</v>
      </c>
      <c r="F58" s="681"/>
      <c r="G58" s="680" t="e">
        <v>#N/A</v>
      </c>
      <c r="H58" s="33"/>
      <c r="K58" s="683" t="str">
        <f>Print_Mois!V447</f>
        <v>Formation</v>
      </c>
    </row>
    <row r="59" spans="1:11" ht="15" customHeight="1">
      <c r="A59" s="690" t="s">
        <v>3369</v>
      </c>
      <c r="B59" s="678" t="s">
        <v>1353</v>
      </c>
      <c r="C59" s="679" t="s">
        <v>1321</v>
      </c>
      <c r="D59" s="679" t="s">
        <v>60</v>
      </c>
      <c r="E59" s="680" t="s">
        <v>303</v>
      </c>
      <c r="F59" s="681"/>
      <c r="G59" s="680" t="s">
        <v>902</v>
      </c>
      <c r="H59" s="33"/>
      <c r="K59" s="683" t="str">
        <f>Print_Mois!V441</f>
        <v>Fournitures autres</v>
      </c>
    </row>
    <row r="60" spans="1:11" ht="15" customHeight="1">
      <c r="A60" s="690" t="s">
        <v>1534</v>
      </c>
      <c r="B60" s="678" t="s">
        <v>1354</v>
      </c>
      <c r="C60" s="679" t="s">
        <v>1321</v>
      </c>
      <c r="D60" s="679" t="s">
        <v>57</v>
      </c>
      <c r="E60" s="680" t="s">
        <v>303</v>
      </c>
      <c r="F60" s="681"/>
      <c r="G60" s="680" t="s">
        <v>902</v>
      </c>
      <c r="H60" s="33"/>
      <c r="K60" s="683" t="s">
        <v>490</v>
      </c>
    </row>
    <row r="61" spans="1:11" ht="15" customHeight="1">
      <c r="A61" s="690" t="s">
        <v>1537</v>
      </c>
      <c r="B61" s="678" t="s">
        <v>1355</v>
      </c>
      <c r="C61" s="679" t="s">
        <v>1321</v>
      </c>
      <c r="D61" s="679" t="s">
        <v>60</v>
      </c>
      <c r="E61" s="680" t="s">
        <v>303</v>
      </c>
      <c r="F61" s="681"/>
      <c r="G61" s="680" t="s">
        <v>2</v>
      </c>
      <c r="H61" s="33"/>
      <c r="K61" s="683" t="str">
        <f>Print_Mois!V480</f>
        <v>Frais administration</v>
      </c>
    </row>
    <row r="62" spans="1:11" ht="15" customHeight="1">
      <c r="A62" s="690" t="s">
        <v>1540</v>
      </c>
      <c r="B62" s="678" t="s">
        <v>873</v>
      </c>
      <c r="C62" s="679" t="s">
        <v>1321</v>
      </c>
      <c r="D62" s="679" t="s">
        <v>60</v>
      </c>
      <c r="E62" s="680" t="s">
        <v>303</v>
      </c>
      <c r="F62" s="681"/>
      <c r="G62" s="682" t="s">
        <v>902</v>
      </c>
      <c r="H62" s="33"/>
      <c r="K62" s="683" t="s">
        <v>142</v>
      </c>
    </row>
    <row r="63" spans="1:11" ht="15" customHeight="1">
      <c r="A63" s="690" t="s">
        <v>1543</v>
      </c>
      <c r="B63" s="678" t="s">
        <v>874</v>
      </c>
      <c r="C63" s="679" t="s">
        <v>1321</v>
      </c>
      <c r="D63" s="679" t="s">
        <v>60</v>
      </c>
      <c r="E63" s="680" t="s">
        <v>303</v>
      </c>
      <c r="F63" s="681"/>
      <c r="G63" s="682" t="s">
        <v>902</v>
      </c>
      <c r="H63" s="33"/>
      <c r="K63" s="683"/>
    </row>
    <row r="64" spans="1:11" ht="15" customHeight="1">
      <c r="A64" s="690" t="s">
        <v>1546</v>
      </c>
      <c r="B64" s="678" t="s">
        <v>1356</v>
      </c>
      <c r="C64" s="679" t="s">
        <v>1321</v>
      </c>
      <c r="D64" s="679" t="s">
        <v>60</v>
      </c>
      <c r="E64" s="680" t="s">
        <v>303</v>
      </c>
      <c r="F64" s="681"/>
      <c r="G64" s="680" t="s">
        <v>2</v>
      </c>
      <c r="H64" s="33"/>
      <c r="K64" s="683" t="str">
        <f>Print_Mois!V451</f>
        <v>[...]</v>
      </c>
    </row>
    <row r="65" spans="1:11" ht="15" customHeight="1">
      <c r="A65" s="690" t="s">
        <v>1549</v>
      </c>
      <c r="B65" s="678" t="s">
        <v>1357</v>
      </c>
      <c r="C65" s="679" t="s">
        <v>1321</v>
      </c>
      <c r="D65" s="679" t="s">
        <v>60</v>
      </c>
      <c r="E65" s="680" t="s">
        <v>303</v>
      </c>
      <c r="F65" s="681"/>
      <c r="G65" s="680" t="s">
        <v>2</v>
      </c>
      <c r="H65" s="33"/>
      <c r="K65" s="683" t="str">
        <f>Print_Mois!V438</f>
        <v>Frais de déplacement</v>
      </c>
    </row>
    <row r="66" spans="1:11" ht="15" customHeight="1">
      <c r="A66" s="690" t="s">
        <v>1552</v>
      </c>
      <c r="B66" s="678" t="s">
        <v>875</v>
      </c>
      <c r="C66" s="679" t="s">
        <v>1321</v>
      </c>
      <c r="D66" s="679" t="s">
        <v>60</v>
      </c>
      <c r="E66" s="680" t="s">
        <v>303</v>
      </c>
      <c r="F66" s="681"/>
      <c r="G66" s="682" t="s">
        <v>2</v>
      </c>
      <c r="H66" s="33"/>
      <c r="K66" s="683" t="str">
        <f>Print_Mois!C33</f>
        <v>Frais de livraison</v>
      </c>
    </row>
    <row r="67" spans="1:11" ht="15" customHeight="1">
      <c r="A67" s="690" t="s">
        <v>1555</v>
      </c>
      <c r="B67" s="678" t="s">
        <v>876</v>
      </c>
      <c r="C67" s="679" t="s">
        <v>1321</v>
      </c>
      <c r="D67" s="679" t="s">
        <v>57</v>
      </c>
      <c r="E67" s="680" t="s">
        <v>303</v>
      </c>
      <c r="F67" s="681"/>
      <c r="G67" s="682" t="e">
        <v>#N/A</v>
      </c>
      <c r="H67" s="33"/>
      <c r="K67" s="683" t="s">
        <v>1334</v>
      </c>
    </row>
    <row r="68" spans="1:11" ht="15" customHeight="1">
      <c r="A68" s="690" t="s">
        <v>1558</v>
      </c>
      <c r="B68" s="678" t="s">
        <v>877</v>
      </c>
      <c r="C68" s="679" t="s">
        <v>1321</v>
      </c>
      <c r="D68" s="679" t="s">
        <v>57</v>
      </c>
      <c r="E68" s="680" t="s">
        <v>303</v>
      </c>
      <c r="F68" s="681"/>
      <c r="G68" s="682" t="e">
        <v>#N/A</v>
      </c>
      <c r="H68" s="33"/>
      <c r="K68" s="683" t="s">
        <v>60</v>
      </c>
    </row>
    <row r="69" spans="1:11" ht="15" customHeight="1">
      <c r="A69" s="690" t="s">
        <v>1561</v>
      </c>
      <c r="B69" s="678" t="s">
        <v>878</v>
      </c>
      <c r="C69" s="679" t="s">
        <v>1321</v>
      </c>
      <c r="D69" s="679" t="s">
        <v>60</v>
      </c>
      <c r="E69" s="680" t="s">
        <v>303</v>
      </c>
      <c r="F69" s="681"/>
      <c r="G69" s="682" t="e">
        <v>#N/A</v>
      </c>
      <c r="H69" s="33"/>
      <c r="K69" s="683" t="str">
        <f>Print_Mois!V445</f>
        <v>Frais postaux</v>
      </c>
    </row>
    <row r="70" spans="1:11" ht="15" customHeight="1">
      <c r="A70" s="690" t="s">
        <v>3370</v>
      </c>
      <c r="B70" s="678" t="s">
        <v>879</v>
      </c>
      <c r="C70" s="679" t="s">
        <v>1321</v>
      </c>
      <c r="D70" s="679" t="s">
        <v>60</v>
      </c>
      <c r="E70" s="680" t="s">
        <v>303</v>
      </c>
      <c r="F70" s="681"/>
      <c r="G70" s="682" t="s">
        <v>2</v>
      </c>
      <c r="H70" s="33"/>
      <c r="K70" s="683" t="s">
        <v>1336</v>
      </c>
    </row>
    <row r="71" spans="1:11" ht="15" customHeight="1">
      <c r="A71" s="690" t="s">
        <v>1564</v>
      </c>
      <c r="B71" s="678" t="s">
        <v>880</v>
      </c>
      <c r="C71" s="679" t="s">
        <v>1321</v>
      </c>
      <c r="D71" s="679" t="s">
        <v>60</v>
      </c>
      <c r="E71" s="680" t="s">
        <v>303</v>
      </c>
      <c r="F71" s="681"/>
      <c r="G71" s="682" t="s">
        <v>957</v>
      </c>
      <c r="H71" s="33"/>
      <c r="K71" s="683" t="str">
        <f>Print_Mois!V436</f>
        <v>Frais véhicules de cie</v>
      </c>
    </row>
    <row r="72" spans="1:11" ht="15" customHeight="1">
      <c r="A72" s="690" t="s">
        <v>1567</v>
      </c>
      <c r="B72" s="678" t="s">
        <v>1358</v>
      </c>
      <c r="C72" s="679" t="s">
        <v>1321</v>
      </c>
      <c r="D72" s="679" t="s">
        <v>60</v>
      </c>
      <c r="E72" s="680" t="s">
        <v>303</v>
      </c>
      <c r="F72" s="681"/>
      <c r="G72" s="680" t="s">
        <v>957</v>
      </c>
      <c r="H72" s="33"/>
      <c r="K72" s="683" t="s">
        <v>1337</v>
      </c>
    </row>
    <row r="73" spans="1:11" ht="15" customHeight="1">
      <c r="A73" s="690" t="s">
        <v>1570</v>
      </c>
      <c r="B73" s="678" t="s">
        <v>881</v>
      </c>
      <c r="C73" s="679" t="s">
        <v>1321</v>
      </c>
      <c r="D73" s="679" t="s">
        <v>60</v>
      </c>
      <c r="E73" s="680" t="s">
        <v>303</v>
      </c>
      <c r="F73" s="681"/>
      <c r="G73" s="682" t="s">
        <v>957</v>
      </c>
      <c r="H73" s="33"/>
      <c r="K73" s="683" t="str">
        <f>Print_Mois!V470</f>
        <v>Holdbacks</v>
      </c>
    </row>
    <row r="74" spans="1:11" ht="15" customHeight="1">
      <c r="A74" s="690" t="s">
        <v>3371</v>
      </c>
      <c r="B74" s="678" t="s">
        <v>882</v>
      </c>
      <c r="C74" s="679" t="s">
        <v>1321</v>
      </c>
      <c r="D74" s="679" t="s">
        <v>60</v>
      </c>
      <c r="E74" s="680" t="s">
        <v>303</v>
      </c>
      <c r="F74" s="681"/>
      <c r="G74" s="682" t="s">
        <v>2</v>
      </c>
      <c r="H74" s="33"/>
      <c r="K74" s="683" t="str">
        <f>Print_Mois!V459</f>
        <v>Honoraires</v>
      </c>
    </row>
    <row r="75" spans="1:11" ht="15" customHeight="1">
      <c r="A75" s="690" t="s">
        <v>1573</v>
      </c>
      <c r="B75" s="678" t="s">
        <v>883</v>
      </c>
      <c r="C75" s="679" t="s">
        <v>1321</v>
      </c>
      <c r="D75" s="679" t="s">
        <v>60</v>
      </c>
      <c r="E75" s="680" t="s">
        <v>303</v>
      </c>
      <c r="F75" s="681"/>
      <c r="G75" s="682" t="s">
        <v>2</v>
      </c>
      <c r="H75" s="33"/>
      <c r="K75" s="683" t="str">
        <f>Print_Mois!C308</f>
        <v>Huiles et Graisse</v>
      </c>
    </row>
    <row r="76" spans="1:11" ht="15" customHeight="1">
      <c r="A76" s="690" t="s">
        <v>1576</v>
      </c>
      <c r="B76" s="678" t="s">
        <v>1359</v>
      </c>
      <c r="C76" s="679" t="s">
        <v>1321</v>
      </c>
      <c r="D76" s="679" t="s">
        <v>60</v>
      </c>
      <c r="E76" s="680" t="s">
        <v>303</v>
      </c>
      <c r="F76" s="681"/>
      <c r="G76" s="680" t="s">
        <v>2</v>
      </c>
      <c r="H76" s="33"/>
      <c r="K76" s="683" t="s">
        <v>69</v>
      </c>
    </row>
    <row r="77" spans="1:11" ht="15" customHeight="1">
      <c r="A77" s="690" t="s">
        <v>1579</v>
      </c>
      <c r="B77" s="678" t="s">
        <v>1360</v>
      </c>
      <c r="C77" s="679" t="s">
        <v>1321</v>
      </c>
      <c r="D77" s="679" t="s">
        <v>60</v>
      </c>
      <c r="E77" s="680" t="s">
        <v>303</v>
      </c>
      <c r="F77" s="681"/>
      <c r="G77" s="680" t="s">
        <v>2</v>
      </c>
      <c r="H77" s="33"/>
      <c r="K77" s="683" t="s">
        <v>37</v>
      </c>
    </row>
    <row r="78" spans="1:11" ht="15" customHeight="1">
      <c r="A78" s="690" t="s">
        <v>1582</v>
      </c>
      <c r="B78" s="678" t="s">
        <v>1361</v>
      </c>
      <c r="C78" s="679" t="s">
        <v>1321</v>
      </c>
      <c r="D78" s="679" t="s">
        <v>60</v>
      </c>
      <c r="E78" s="680" t="s">
        <v>303</v>
      </c>
      <c r="F78" s="681"/>
      <c r="G78" s="680" t="s">
        <v>2</v>
      </c>
      <c r="H78" s="33"/>
      <c r="K78" s="683" t="s">
        <v>65</v>
      </c>
    </row>
    <row r="79" spans="1:11" ht="15" customHeight="1">
      <c r="A79" s="690" t="s">
        <v>1585</v>
      </c>
      <c r="B79" s="678" t="s">
        <v>884</v>
      </c>
      <c r="C79" s="679" t="s">
        <v>1321</v>
      </c>
      <c r="D79" s="679" t="s">
        <v>70</v>
      </c>
      <c r="E79" s="680" t="s">
        <v>303</v>
      </c>
      <c r="F79" s="681"/>
      <c r="G79" s="682" t="s">
        <v>2</v>
      </c>
      <c r="H79" s="33"/>
      <c r="K79" s="683" t="str">
        <f>Print_Mois!V437</f>
        <v>Informatique</v>
      </c>
    </row>
    <row r="80" spans="1:11" ht="15" customHeight="1">
      <c r="A80" s="690" t="s">
        <v>1588</v>
      </c>
      <c r="B80" s="678" t="s">
        <v>886</v>
      </c>
      <c r="C80" s="679" t="s">
        <v>1321</v>
      </c>
      <c r="D80" s="679" t="s">
        <v>70</v>
      </c>
      <c r="E80" s="680" t="s">
        <v>303</v>
      </c>
      <c r="F80" s="681"/>
      <c r="G80" s="682" t="s">
        <v>2</v>
      </c>
      <c r="H80" s="33"/>
      <c r="K80" s="683" t="s">
        <v>177</v>
      </c>
    </row>
    <row r="81" spans="1:11" ht="15" customHeight="1">
      <c r="A81" s="690" t="s">
        <v>3372</v>
      </c>
      <c r="B81" s="678" t="s">
        <v>884</v>
      </c>
      <c r="C81" s="679" t="s">
        <v>1321</v>
      </c>
      <c r="D81" s="679" t="s">
        <v>70</v>
      </c>
      <c r="E81" s="680" t="s">
        <v>303</v>
      </c>
      <c r="F81" s="681"/>
      <c r="G81" s="682" t="s">
        <v>957</v>
      </c>
      <c r="H81" s="33"/>
      <c r="K81" s="683" t="s">
        <v>117</v>
      </c>
    </row>
    <row r="82" spans="1:11" ht="15" customHeight="1">
      <c r="A82" s="690" t="s">
        <v>3927</v>
      </c>
      <c r="B82" s="678" t="s">
        <v>3926</v>
      </c>
      <c r="C82" s="679" t="s">
        <v>1321</v>
      </c>
      <c r="D82" s="679" t="s">
        <v>70</v>
      </c>
      <c r="E82" s="680" t="s">
        <v>303</v>
      </c>
      <c r="F82" s="681"/>
      <c r="G82" s="682" t="s">
        <v>957</v>
      </c>
      <c r="H82" s="33"/>
      <c r="K82" s="683"/>
    </row>
    <row r="83" spans="1:11" ht="15" customHeight="1">
      <c r="A83" s="1021" t="s">
        <v>3407</v>
      </c>
      <c r="B83" s="678" t="s">
        <v>3406</v>
      </c>
      <c r="C83" s="679" t="s">
        <v>1321</v>
      </c>
      <c r="D83" s="679" t="s">
        <v>70</v>
      </c>
      <c r="E83" s="680" t="s">
        <v>303</v>
      </c>
      <c r="F83" s="681"/>
      <c r="G83" s="682" t="s">
        <v>957</v>
      </c>
      <c r="H83" s="33"/>
      <c r="K83" s="683" t="str">
        <f>Print_Mois!V492</f>
        <v>Intérêts sur marge</v>
      </c>
    </row>
    <row r="84" spans="1:11" ht="15" customHeight="1">
      <c r="A84" s="1021" t="s">
        <v>3929</v>
      </c>
      <c r="B84" s="678" t="s">
        <v>3928</v>
      </c>
      <c r="C84" s="679" t="s">
        <v>1321</v>
      </c>
      <c r="D84" s="679" t="s">
        <v>70</v>
      </c>
      <c r="E84" s="680" t="s">
        <v>303</v>
      </c>
      <c r="F84" s="681"/>
      <c r="G84" s="682" t="s">
        <v>957</v>
      </c>
      <c r="H84" s="33"/>
      <c r="K84" s="683"/>
    </row>
    <row r="85" spans="1:11" ht="15" customHeight="1">
      <c r="A85" s="690" t="s">
        <v>1591</v>
      </c>
      <c r="B85" s="678" t="s">
        <v>887</v>
      </c>
      <c r="C85" s="679" t="s">
        <v>1321</v>
      </c>
      <c r="D85" s="679" t="s">
        <v>74</v>
      </c>
      <c r="E85" s="680" t="s">
        <v>303</v>
      </c>
      <c r="F85" s="681"/>
      <c r="G85" s="682" t="s">
        <v>2</v>
      </c>
      <c r="H85" s="33"/>
      <c r="K85" s="683" t="str">
        <f>Print_Mois!V493</f>
        <v>Intérêts sur prêt</v>
      </c>
    </row>
    <row r="86" spans="1:11" ht="15" customHeight="1">
      <c r="A86" s="690" t="s">
        <v>1594</v>
      </c>
      <c r="B86" s="678" t="s">
        <v>888</v>
      </c>
      <c r="C86" s="679" t="s">
        <v>1321</v>
      </c>
      <c r="D86" s="679" t="s">
        <v>74</v>
      </c>
      <c r="E86" s="680" t="s">
        <v>303</v>
      </c>
      <c r="F86" s="681"/>
      <c r="G86" s="682" t="s">
        <v>2</v>
      </c>
      <c r="H86" s="33"/>
      <c r="K86" s="683" t="s">
        <v>50</v>
      </c>
    </row>
    <row r="87" spans="1:11" ht="15" customHeight="1">
      <c r="A87" s="690" t="s">
        <v>1597</v>
      </c>
      <c r="B87" s="678" t="s">
        <v>889</v>
      </c>
      <c r="C87" s="679" t="s">
        <v>1321</v>
      </c>
      <c r="D87" s="679" t="s">
        <v>74</v>
      </c>
      <c r="E87" s="680" t="s">
        <v>303</v>
      </c>
      <c r="F87" s="681"/>
      <c r="G87" s="682" t="s">
        <v>2</v>
      </c>
      <c r="H87" s="33"/>
      <c r="K87" s="683" t="s">
        <v>46</v>
      </c>
    </row>
    <row r="88" spans="1:11" ht="15" customHeight="1">
      <c r="A88" s="690" t="s">
        <v>1600</v>
      </c>
      <c r="B88" s="678" t="s">
        <v>890</v>
      </c>
      <c r="C88" s="679" t="s">
        <v>1321</v>
      </c>
      <c r="D88" s="679" t="s">
        <v>74</v>
      </c>
      <c r="E88" s="680" t="s">
        <v>303</v>
      </c>
      <c r="F88" s="681"/>
      <c r="G88" s="682" t="e">
        <v>#N/A</v>
      </c>
      <c r="H88" s="33"/>
      <c r="K88" s="683" t="s">
        <v>48</v>
      </c>
    </row>
    <row r="89" spans="1:11" ht="15" customHeight="1">
      <c r="A89" s="690" t="s">
        <v>1603</v>
      </c>
      <c r="B89" s="678" t="s">
        <v>1362</v>
      </c>
      <c r="C89" s="679" t="s">
        <v>1321</v>
      </c>
      <c r="D89" s="679" t="s">
        <v>77</v>
      </c>
      <c r="E89" s="680" t="s">
        <v>303</v>
      </c>
      <c r="F89" s="681"/>
      <c r="G89" s="680" t="s">
        <v>2</v>
      </c>
      <c r="H89" s="33"/>
      <c r="K89" s="683" t="str">
        <f>Print_Mois!V461</f>
        <v>Location équipement</v>
      </c>
    </row>
    <row r="90" spans="1:11" ht="15" customHeight="1">
      <c r="A90" s="690" t="s">
        <v>1606</v>
      </c>
      <c r="B90" s="678" t="s">
        <v>1363</v>
      </c>
      <c r="C90" s="679" t="s">
        <v>1321</v>
      </c>
      <c r="D90" s="679" t="s">
        <v>77</v>
      </c>
      <c r="E90" s="680" t="s">
        <v>303</v>
      </c>
      <c r="F90" s="681"/>
      <c r="G90" s="680" t="s">
        <v>2</v>
      </c>
      <c r="H90" s="33"/>
      <c r="K90" s="683" t="str">
        <f>Print_Mois!V453</f>
        <v>Loyer</v>
      </c>
    </row>
    <row r="91" spans="1:11" ht="15" customHeight="1">
      <c r="A91" s="690" t="s">
        <v>1609</v>
      </c>
      <c r="B91" s="678" t="s">
        <v>891</v>
      </c>
      <c r="C91" s="679" t="s">
        <v>1321</v>
      </c>
      <c r="D91" s="679" t="s">
        <v>75</v>
      </c>
      <c r="E91" s="680" t="s">
        <v>303</v>
      </c>
      <c r="F91" s="681"/>
      <c r="G91" s="682" t="e">
        <v>#N/A</v>
      </c>
      <c r="H91" s="33"/>
      <c r="K91" s="683" t="str">
        <f>Print_Mois!C244</f>
        <v>M/O Carrosserie</v>
      </c>
    </row>
    <row r="92" spans="1:11" ht="15" customHeight="1">
      <c r="A92" s="690" t="s">
        <v>1612</v>
      </c>
      <c r="B92" s="678" t="s">
        <v>892</v>
      </c>
      <c r="C92" s="679" t="s">
        <v>1321</v>
      </c>
      <c r="D92" s="679" t="s">
        <v>75</v>
      </c>
      <c r="E92" s="680" t="s">
        <v>303</v>
      </c>
      <c r="F92" s="681"/>
      <c r="G92" s="682" t="e">
        <v>#N/A</v>
      </c>
      <c r="H92" s="33"/>
      <c r="K92" s="683" t="str">
        <f>Print_Mois!C172</f>
        <v>M/O Client</v>
      </c>
    </row>
    <row r="93" spans="1:11" ht="15" customHeight="1">
      <c r="A93" s="690" t="s">
        <v>1615</v>
      </c>
      <c r="B93" s="678" t="s">
        <v>893</v>
      </c>
      <c r="C93" s="679" t="s">
        <v>1321</v>
      </c>
      <c r="D93" s="679" t="s">
        <v>74</v>
      </c>
      <c r="E93" s="680" t="s">
        <v>303</v>
      </c>
      <c r="F93" s="681"/>
      <c r="G93" s="682" t="e">
        <v>#N/A</v>
      </c>
      <c r="H93" s="33"/>
      <c r="K93" s="683" t="str">
        <f>Print_Mois!C181</f>
        <v>M/O Esthétique</v>
      </c>
    </row>
    <row r="94" spans="1:11" ht="15" customHeight="1">
      <c r="A94" s="690" t="s">
        <v>1618</v>
      </c>
      <c r="B94" s="678" t="s">
        <v>894</v>
      </c>
      <c r="C94" s="679" t="s">
        <v>1321</v>
      </c>
      <c r="D94" s="679" t="s">
        <v>74</v>
      </c>
      <c r="E94" s="680" t="s">
        <v>303</v>
      </c>
      <c r="F94" s="681"/>
      <c r="G94" s="682" t="e">
        <v>#N/A</v>
      </c>
      <c r="H94" s="33"/>
      <c r="K94" s="683" t="str">
        <f>+Print_Mois!C247</f>
        <v>M/O Esthétique Carr.</v>
      </c>
    </row>
    <row r="95" spans="1:11" ht="15" customHeight="1">
      <c r="A95" s="690" t="s">
        <v>1621</v>
      </c>
      <c r="B95" s="678" t="s">
        <v>895</v>
      </c>
      <c r="C95" s="679" t="s">
        <v>1321</v>
      </c>
      <c r="D95" s="679" t="s">
        <v>76</v>
      </c>
      <c r="E95" s="680" t="s">
        <v>303</v>
      </c>
      <c r="F95" s="681"/>
      <c r="G95" s="682" t="e">
        <v>#N/A</v>
      </c>
      <c r="H95" s="33"/>
      <c r="K95" s="683" t="str">
        <f>Print_Mois!C175</f>
        <v>M/O Garantie</v>
      </c>
    </row>
    <row r="96" spans="1:11" ht="15" customHeight="1">
      <c r="A96" s="690" t="s">
        <v>1624</v>
      </c>
      <c r="B96" s="678" t="s">
        <v>896</v>
      </c>
      <c r="C96" s="679" t="s">
        <v>1321</v>
      </c>
      <c r="D96" s="679" t="s">
        <v>76</v>
      </c>
      <c r="E96" s="680" t="s">
        <v>303</v>
      </c>
      <c r="F96" s="681"/>
      <c r="G96" s="682" t="e">
        <v>#N/A</v>
      </c>
      <c r="H96" s="33"/>
      <c r="K96" s="683" t="str">
        <f>Print_Mois!C178</f>
        <v>M/O Interne</v>
      </c>
    </row>
    <row r="97" spans="1:11" ht="15" customHeight="1">
      <c r="A97" s="690" t="s">
        <v>1627</v>
      </c>
      <c r="B97" s="678" t="s">
        <v>897</v>
      </c>
      <c r="C97" s="679" t="s">
        <v>1321</v>
      </c>
      <c r="D97" s="679" t="s">
        <v>79</v>
      </c>
      <c r="E97" s="680" t="s">
        <v>303</v>
      </c>
      <c r="F97" s="681"/>
      <c r="G97" s="682" t="e">
        <v>#N/A</v>
      </c>
      <c r="H97" s="33"/>
      <c r="K97" s="683" t="s">
        <v>26</v>
      </c>
    </row>
    <row r="98" spans="1:11" ht="15" customHeight="1">
      <c r="A98" s="690" t="s">
        <v>1630</v>
      </c>
      <c r="B98" s="678" t="s">
        <v>898</v>
      </c>
      <c r="C98" s="679" t="s">
        <v>1321</v>
      </c>
      <c r="D98" s="679" t="s">
        <v>79</v>
      </c>
      <c r="E98" s="680" t="s">
        <v>303</v>
      </c>
      <c r="F98" s="681"/>
      <c r="G98" s="682" t="e">
        <v>#N/A</v>
      </c>
      <c r="H98" s="33"/>
      <c r="K98" s="683" t="s">
        <v>1339</v>
      </c>
    </row>
    <row r="99" spans="1:11" ht="15" customHeight="1">
      <c r="A99" s="690" t="s">
        <v>899</v>
      </c>
      <c r="B99" s="678" t="s">
        <v>3320</v>
      </c>
      <c r="C99" s="679" t="s">
        <v>1321</v>
      </c>
      <c r="D99" s="679" t="s">
        <v>82</v>
      </c>
      <c r="E99" s="680" t="s">
        <v>303</v>
      </c>
      <c r="F99" s="681"/>
      <c r="G99" s="682" t="s">
        <v>963</v>
      </c>
      <c r="H99" s="33"/>
      <c r="K99" s="683" t="s">
        <v>75</v>
      </c>
    </row>
    <row r="100" spans="1:11" ht="15" customHeight="1">
      <c r="A100" s="690" t="s">
        <v>3373</v>
      </c>
      <c r="B100" s="678" t="s">
        <v>3321</v>
      </c>
      <c r="C100" s="679" t="s">
        <v>1321</v>
      </c>
      <c r="D100" s="679" t="s">
        <v>82</v>
      </c>
      <c r="E100" s="680" t="s">
        <v>303</v>
      </c>
      <c r="F100" s="681"/>
      <c r="G100" s="682" t="s">
        <v>7</v>
      </c>
      <c r="H100" s="33"/>
      <c r="K100" s="683" t="str">
        <f>Print_Mois!C95</f>
        <v>Non Certifié</v>
      </c>
    </row>
    <row r="101" spans="1:11" ht="15" customHeight="1">
      <c r="A101" s="690" t="s">
        <v>1635</v>
      </c>
      <c r="B101" s="678" t="s">
        <v>900</v>
      </c>
      <c r="C101" s="679" t="s">
        <v>1321</v>
      </c>
      <c r="D101" s="679" t="s">
        <v>42</v>
      </c>
      <c r="E101" s="680" t="s">
        <v>303</v>
      </c>
      <c r="F101" s="681"/>
      <c r="G101" s="682" t="e">
        <v>#N/A</v>
      </c>
      <c r="H101" s="33"/>
      <c r="K101" s="683"/>
    </row>
    <row r="102" spans="1:11" ht="15" customHeight="1">
      <c r="A102" s="690" t="s">
        <v>1638</v>
      </c>
      <c r="B102" s="678" t="s">
        <v>721</v>
      </c>
      <c r="C102" s="679"/>
      <c r="D102" s="679"/>
      <c r="E102" s="680"/>
      <c r="F102" s="681"/>
      <c r="G102" s="682" t="e">
        <v>#N/A</v>
      </c>
      <c r="H102" s="33"/>
      <c r="K102" s="683" t="str">
        <f>Print_Mois!C297</f>
        <v>P/A Garantie</v>
      </c>
    </row>
    <row r="103" spans="1:11" ht="15" customHeight="1">
      <c r="A103" s="690" t="s">
        <v>903</v>
      </c>
      <c r="B103" s="678" t="s">
        <v>901</v>
      </c>
      <c r="C103" s="679" t="s">
        <v>1321</v>
      </c>
      <c r="D103" s="679" t="s">
        <v>47</v>
      </c>
      <c r="E103" s="680" t="s">
        <v>303</v>
      </c>
      <c r="F103" s="681"/>
      <c r="G103" s="682" t="e">
        <v>#N/A</v>
      </c>
      <c r="H103" s="33"/>
      <c r="K103" s="683" t="str">
        <f>Print_Mois!V443</f>
        <v>Papeterie</v>
      </c>
    </row>
    <row r="104" spans="1:11" ht="15" customHeight="1">
      <c r="A104" s="690" t="s">
        <v>905</v>
      </c>
      <c r="B104" s="678" t="s">
        <v>904</v>
      </c>
      <c r="C104" s="679" t="s">
        <v>1321</v>
      </c>
      <c r="D104" s="679" t="s">
        <v>49</v>
      </c>
      <c r="E104" s="680" t="s">
        <v>303</v>
      </c>
      <c r="F104" s="681"/>
      <c r="G104" s="682" t="e">
        <v>#N/A</v>
      </c>
      <c r="H104" s="33"/>
      <c r="K104" s="683" t="str">
        <f>Print_Mois!C296</f>
        <v>Pièces Ro Carrosserie</v>
      </c>
    </row>
    <row r="105" spans="1:11" ht="15" customHeight="1">
      <c r="A105" s="690" t="s">
        <v>3374</v>
      </c>
      <c r="B105" s="678" t="s">
        <v>3313</v>
      </c>
      <c r="C105" s="679" t="s">
        <v>1321</v>
      </c>
      <c r="D105" s="679" t="s">
        <v>57</v>
      </c>
      <c r="E105" s="680" t="s">
        <v>303</v>
      </c>
      <c r="F105" s="681"/>
      <c r="G105" s="682" t="e">
        <v>#N/A</v>
      </c>
      <c r="H105" s="33"/>
      <c r="K105" s="683" t="str">
        <f>Print_Mois!C295</f>
        <v>Pièces Ro Clients</v>
      </c>
    </row>
    <row r="106" spans="1:11" ht="15" customHeight="1">
      <c r="A106" s="690" t="s">
        <v>3375</v>
      </c>
      <c r="B106" s="678" t="s">
        <v>3314</v>
      </c>
      <c r="C106" s="679" t="s">
        <v>1321</v>
      </c>
      <c r="D106" s="679" t="s">
        <v>57</v>
      </c>
      <c r="E106" s="680" t="s">
        <v>303</v>
      </c>
      <c r="F106" s="681"/>
      <c r="G106" s="682" t="e">
        <v>#N/A</v>
      </c>
      <c r="H106" s="33"/>
      <c r="K106" s="683" t="s">
        <v>28</v>
      </c>
    </row>
    <row r="107" spans="1:11" ht="15" customHeight="1">
      <c r="A107" s="690" t="s">
        <v>907</v>
      </c>
      <c r="B107" s="678" t="s">
        <v>906</v>
      </c>
      <c r="C107" s="679" t="s">
        <v>1321</v>
      </c>
      <c r="D107" s="679" t="s">
        <v>28</v>
      </c>
      <c r="E107" s="680" t="s">
        <v>303</v>
      </c>
      <c r="F107" s="681"/>
      <c r="G107" s="682" t="e">
        <v>#N/A</v>
      </c>
      <c r="H107" s="33"/>
      <c r="K107" s="683" t="str">
        <f>Print_Mois!V471</f>
        <v>Programme neuf 1</v>
      </c>
    </row>
    <row r="108" spans="1:11" ht="15" customHeight="1">
      <c r="A108" s="678" t="s">
        <v>909</v>
      </c>
      <c r="B108" s="678" t="s">
        <v>908</v>
      </c>
      <c r="C108" s="679" t="s">
        <v>1321</v>
      </c>
      <c r="D108" s="679" t="s">
        <v>35</v>
      </c>
      <c r="E108" s="680" t="s">
        <v>303</v>
      </c>
      <c r="F108" s="680"/>
      <c r="G108" s="682" t="s">
        <v>963</v>
      </c>
      <c r="H108" s="33"/>
      <c r="K108" s="683" t="s">
        <v>41</v>
      </c>
    </row>
    <row r="109" spans="1:11" ht="15" customHeight="1">
      <c r="A109" s="678" t="s">
        <v>911</v>
      </c>
      <c r="B109" s="678" t="s">
        <v>910</v>
      </c>
      <c r="C109" s="679" t="s">
        <v>1321</v>
      </c>
      <c r="D109" s="679" t="s">
        <v>35</v>
      </c>
      <c r="E109" s="680" t="s">
        <v>303</v>
      </c>
      <c r="F109" s="680"/>
      <c r="G109" s="682" t="s">
        <v>7</v>
      </c>
      <c r="H109" s="33"/>
      <c r="K109" s="683"/>
    </row>
    <row r="110" spans="1:11" ht="15" customHeight="1">
      <c r="A110" s="678" t="s">
        <v>1652</v>
      </c>
      <c r="B110" s="678" t="s">
        <v>912</v>
      </c>
      <c r="C110" s="679" t="s">
        <v>1321</v>
      </c>
      <c r="D110" s="679" t="s">
        <v>35</v>
      </c>
      <c r="E110" s="680" t="s">
        <v>303</v>
      </c>
      <c r="F110" s="680"/>
      <c r="G110" s="682" t="e">
        <v>#N/A</v>
      </c>
      <c r="H110" s="33"/>
      <c r="K110" s="683" t="str">
        <f>Print_Mois!V472</f>
        <v>Programme neuf 2</v>
      </c>
    </row>
    <row r="111" spans="1:11" ht="15" customHeight="1">
      <c r="A111" s="678" t="s">
        <v>914</v>
      </c>
      <c r="B111" s="678" t="s">
        <v>913</v>
      </c>
      <c r="C111" s="679" t="s">
        <v>1321</v>
      </c>
      <c r="D111" s="679" t="s">
        <v>35</v>
      </c>
      <c r="E111" s="680" t="s">
        <v>303</v>
      </c>
      <c r="F111" s="680"/>
      <c r="G111" s="682" t="s">
        <v>963</v>
      </c>
      <c r="H111" s="33"/>
      <c r="K111" s="683" t="str">
        <f>Print_Mois!V473</f>
        <v>Programme neuf 3</v>
      </c>
    </row>
    <row r="112" spans="1:11" ht="15" customHeight="1">
      <c r="A112" s="678" t="s">
        <v>1657</v>
      </c>
      <c r="B112" s="678" t="s">
        <v>915</v>
      </c>
      <c r="C112" s="679" t="s">
        <v>1321</v>
      </c>
      <c r="D112" s="679" t="s">
        <v>35</v>
      </c>
      <c r="E112" s="680" t="s">
        <v>303</v>
      </c>
      <c r="F112" s="680"/>
      <c r="G112" s="682" t="s">
        <v>7</v>
      </c>
      <c r="H112" s="33"/>
      <c r="K112" s="683" t="s">
        <v>116</v>
      </c>
    </row>
    <row r="113" spans="1:11" ht="15" customHeight="1">
      <c r="A113" s="678" t="s">
        <v>1660</v>
      </c>
      <c r="B113" s="678" t="s">
        <v>916</v>
      </c>
      <c r="C113" s="679" t="s">
        <v>1321</v>
      </c>
      <c r="D113" s="679" t="s">
        <v>35</v>
      </c>
      <c r="E113" s="680" t="s">
        <v>303</v>
      </c>
      <c r="F113" s="680"/>
      <c r="G113" s="682" t="e">
        <v>#N/A</v>
      </c>
      <c r="H113" s="33"/>
      <c r="K113" s="683" t="s">
        <v>129</v>
      </c>
    </row>
    <row r="114" spans="1:11" ht="15" customHeight="1">
      <c r="A114" s="678" t="s">
        <v>1663</v>
      </c>
      <c r="B114" s="678" t="s">
        <v>917</v>
      </c>
      <c r="C114" s="679" t="s">
        <v>1321</v>
      </c>
      <c r="D114" s="679" t="s">
        <v>43</v>
      </c>
      <c r="E114" s="680" t="s">
        <v>303</v>
      </c>
      <c r="F114" s="680"/>
      <c r="G114" s="682" t="e">
        <v>#N/A</v>
      </c>
      <c r="H114" s="33"/>
      <c r="K114" s="683" t="str">
        <f>Print_Mois!C19</f>
        <v>Rachat bail</v>
      </c>
    </row>
    <row r="115" spans="1:11" ht="15" customHeight="1">
      <c r="A115" s="678" t="s">
        <v>918</v>
      </c>
      <c r="B115" s="678" t="s">
        <v>919</v>
      </c>
      <c r="C115" s="679" t="s">
        <v>1321</v>
      </c>
      <c r="D115" s="679" t="s">
        <v>43</v>
      </c>
      <c r="E115" s="680" t="s">
        <v>303</v>
      </c>
      <c r="F115" s="680"/>
      <c r="G115" s="682" t="e">
        <v>#N/A</v>
      </c>
      <c r="H115" s="33"/>
      <c r="K115" s="683" t="s">
        <v>42</v>
      </c>
    </row>
    <row r="116" spans="1:11" ht="15" customHeight="1">
      <c r="A116" s="690" t="s">
        <v>1668</v>
      </c>
      <c r="B116" s="678" t="s">
        <v>920</v>
      </c>
      <c r="C116" s="679" t="s">
        <v>1321</v>
      </c>
      <c r="D116" s="679" t="s">
        <v>43</v>
      </c>
      <c r="E116" s="680" t="s">
        <v>303</v>
      </c>
      <c r="F116" s="681"/>
      <c r="G116" s="682" t="e">
        <v>#N/A</v>
      </c>
      <c r="H116" s="33"/>
      <c r="K116" s="683" t="s">
        <v>38</v>
      </c>
    </row>
    <row r="117" spans="1:11" ht="15" customHeight="1">
      <c r="A117" s="690" t="s">
        <v>1671</v>
      </c>
      <c r="B117" s="678" t="s">
        <v>921</v>
      </c>
      <c r="C117" s="679" t="s">
        <v>1321</v>
      </c>
      <c r="D117" s="679" t="s">
        <v>43</v>
      </c>
      <c r="E117" s="680" t="s">
        <v>303</v>
      </c>
      <c r="F117" s="681"/>
      <c r="G117" s="682" t="s">
        <v>963</v>
      </c>
      <c r="H117" s="33"/>
      <c r="K117" s="683" t="s">
        <v>29</v>
      </c>
    </row>
    <row r="118" spans="1:11" ht="15" customHeight="1">
      <c r="A118" s="690" t="s">
        <v>1674</v>
      </c>
      <c r="B118" s="678" t="s">
        <v>732</v>
      </c>
      <c r="C118" s="679"/>
      <c r="D118" s="679"/>
      <c r="E118" s="680"/>
      <c r="F118" s="681"/>
      <c r="G118" s="682" t="s">
        <v>816</v>
      </c>
      <c r="H118" s="33"/>
      <c r="K118" s="683" t="s">
        <v>29</v>
      </c>
    </row>
    <row r="119" spans="1:11" ht="15" customHeight="1">
      <c r="A119" s="690" t="s">
        <v>923</v>
      </c>
      <c r="B119" s="678" t="s">
        <v>922</v>
      </c>
      <c r="C119" s="679" t="s">
        <v>1321</v>
      </c>
      <c r="D119" s="679" t="s">
        <v>33</v>
      </c>
      <c r="E119" s="680" t="s">
        <v>303</v>
      </c>
      <c r="F119" s="681"/>
      <c r="G119" s="682" t="s">
        <v>7</v>
      </c>
      <c r="H119" s="33"/>
      <c r="K119" s="683" t="s">
        <v>36</v>
      </c>
    </row>
    <row r="120" spans="1:11" ht="15" customHeight="1">
      <c r="A120" s="690" t="s">
        <v>1679</v>
      </c>
      <c r="B120" s="678" t="s">
        <v>924</v>
      </c>
      <c r="C120" s="679" t="s">
        <v>1321</v>
      </c>
      <c r="D120" s="679" t="s">
        <v>43</v>
      </c>
      <c r="E120" s="680" t="s">
        <v>303</v>
      </c>
      <c r="F120" s="681"/>
      <c r="G120" s="682" t="s">
        <v>963</v>
      </c>
      <c r="H120" s="33"/>
      <c r="K120" s="683" t="s">
        <v>34</v>
      </c>
    </row>
    <row r="121" spans="1:11" ht="15" customHeight="1">
      <c r="A121" s="690" t="s">
        <v>928</v>
      </c>
      <c r="B121" s="678" t="s">
        <v>925</v>
      </c>
      <c r="C121" s="679" t="s">
        <v>1321</v>
      </c>
      <c r="D121" s="679" t="s">
        <v>57</v>
      </c>
      <c r="E121" s="680" t="s">
        <v>303</v>
      </c>
      <c r="F121" s="681"/>
      <c r="G121" s="682" t="s">
        <v>7</v>
      </c>
      <c r="H121" s="33"/>
      <c r="K121" s="683" t="s">
        <v>30</v>
      </c>
    </row>
    <row r="122" spans="1:11" ht="15" customHeight="1">
      <c r="A122" s="690" t="s">
        <v>3376</v>
      </c>
      <c r="B122" s="678" t="s">
        <v>1365</v>
      </c>
      <c r="C122" s="679" t="s">
        <v>1321</v>
      </c>
      <c r="D122" s="679" t="s">
        <v>57</v>
      </c>
      <c r="E122" s="680" t="s">
        <v>303</v>
      </c>
      <c r="F122" s="681"/>
      <c r="G122" s="682" t="e">
        <v>#N/A</v>
      </c>
      <c r="H122" s="33"/>
      <c r="K122" s="683" t="s">
        <v>189</v>
      </c>
    </row>
    <row r="123" spans="1:11" ht="15" customHeight="1">
      <c r="A123" s="690" t="s">
        <v>1684</v>
      </c>
      <c r="B123" s="678" t="s">
        <v>927</v>
      </c>
      <c r="C123" s="679" t="s">
        <v>1321</v>
      </c>
      <c r="D123" s="679" t="s">
        <v>57</v>
      </c>
      <c r="E123" s="680" t="s">
        <v>303</v>
      </c>
      <c r="F123" s="681"/>
      <c r="G123" s="682" t="e">
        <v>#N/A</v>
      </c>
      <c r="H123" s="33"/>
      <c r="K123" s="683" t="s">
        <v>40</v>
      </c>
    </row>
    <row r="124" spans="1:11" ht="15" customHeight="1">
      <c r="A124" s="690" t="s">
        <v>3377</v>
      </c>
      <c r="B124" s="678" t="s">
        <v>1366</v>
      </c>
      <c r="C124" s="679" t="s">
        <v>1321</v>
      </c>
      <c r="D124" s="679" t="s">
        <v>41</v>
      </c>
      <c r="E124" s="680" t="s">
        <v>303</v>
      </c>
      <c r="F124" s="681"/>
      <c r="G124" s="682" t="e">
        <v>#N/A</v>
      </c>
      <c r="H124" s="33"/>
      <c r="K124" s="683" t="str">
        <f>Print_Mois!V460</f>
        <v>Réparation équipement</v>
      </c>
    </row>
    <row r="125" spans="1:11" ht="15" customHeight="1">
      <c r="A125" s="690" t="s">
        <v>1687</v>
      </c>
      <c r="B125" s="678" t="s">
        <v>930</v>
      </c>
      <c r="C125" s="679" t="s">
        <v>1321</v>
      </c>
      <c r="D125" s="679" t="s">
        <v>57</v>
      </c>
      <c r="E125" s="680" t="s">
        <v>303</v>
      </c>
      <c r="F125" s="681"/>
      <c r="G125" s="682" t="s">
        <v>963</v>
      </c>
      <c r="H125" s="33"/>
      <c r="K125" s="683" t="s">
        <v>1348</v>
      </c>
    </row>
    <row r="126" spans="1:11" ht="15" customHeight="1">
      <c r="A126" s="690" t="s">
        <v>1690</v>
      </c>
      <c r="B126" s="678" t="s">
        <v>733</v>
      </c>
      <c r="C126" s="679"/>
      <c r="D126" s="679"/>
      <c r="E126" s="680" t="s">
        <v>303</v>
      </c>
      <c r="F126" s="681"/>
      <c r="G126" s="682" t="e">
        <v>#N/A</v>
      </c>
      <c r="H126" s="33"/>
      <c r="K126" s="683" t="str">
        <f>Print_Mois!C23</f>
        <v>Rev. Autres</v>
      </c>
    </row>
    <row r="127" spans="1:11" ht="15" customHeight="1">
      <c r="A127" s="690" t="s">
        <v>3337</v>
      </c>
      <c r="B127" s="678" t="s">
        <v>3338</v>
      </c>
      <c r="C127" s="679" t="s">
        <v>1321</v>
      </c>
      <c r="D127" s="679" t="s">
        <v>55</v>
      </c>
      <c r="E127" s="680" t="s">
        <v>303</v>
      </c>
      <c r="F127" s="681"/>
      <c r="G127" s="682" t="s">
        <v>7</v>
      </c>
      <c r="H127" s="33"/>
      <c r="K127" s="683" t="str">
        <f>Print_Mois!C24</f>
        <v>Total F&amp;I</v>
      </c>
    </row>
    <row r="128" spans="1:11" ht="15" customHeight="1">
      <c r="A128" s="690" t="s">
        <v>932</v>
      </c>
      <c r="B128" s="678" t="s">
        <v>931</v>
      </c>
      <c r="C128" s="679" t="s">
        <v>1321</v>
      </c>
      <c r="D128" s="679" t="s">
        <v>55</v>
      </c>
      <c r="E128" s="680" t="s">
        <v>303</v>
      </c>
      <c r="F128" s="681"/>
      <c r="G128" s="682" t="s">
        <v>963</v>
      </c>
      <c r="H128" s="33"/>
      <c r="K128" s="683" t="str">
        <f>Print_Mois!C21</f>
        <v>Rev. Finances</v>
      </c>
    </row>
    <row r="129" spans="1:29" ht="15" customHeight="1">
      <c r="A129" s="690" t="s">
        <v>1695</v>
      </c>
      <c r="B129" s="678" t="s">
        <v>933</v>
      </c>
      <c r="C129" s="679" t="s">
        <v>1321</v>
      </c>
      <c r="D129" s="679" t="s">
        <v>55</v>
      </c>
      <c r="E129" s="680" t="s">
        <v>303</v>
      </c>
      <c r="F129" s="681"/>
      <c r="G129" s="682" t="s">
        <v>7</v>
      </c>
      <c r="H129" s="33"/>
      <c r="K129" s="683" t="str">
        <f>Print_Mois!C22</f>
        <v>Rev. Protections</v>
      </c>
    </row>
    <row r="130" spans="1:29" ht="15" customHeight="1">
      <c r="A130" s="690" t="s">
        <v>1698</v>
      </c>
      <c r="B130" s="678" t="s">
        <v>734</v>
      </c>
      <c r="C130" s="679"/>
      <c r="D130" s="679"/>
      <c r="E130" s="680"/>
      <c r="F130" s="681"/>
      <c r="G130" s="682" t="s">
        <v>816</v>
      </c>
      <c r="H130" s="33"/>
      <c r="K130" s="683" t="str">
        <f>Print_Mois!V469</f>
        <v>Revenus autres</v>
      </c>
    </row>
    <row r="131" spans="1:29" ht="15" customHeight="1">
      <c r="A131" s="690" t="s">
        <v>1701</v>
      </c>
      <c r="B131" s="678" t="s">
        <v>934</v>
      </c>
      <c r="C131" s="679" t="s">
        <v>1321</v>
      </c>
      <c r="D131" s="679" t="s">
        <v>55</v>
      </c>
      <c r="E131" s="680" t="s">
        <v>303</v>
      </c>
      <c r="F131" s="681"/>
      <c r="G131" s="682" t="e">
        <v>#N/A</v>
      </c>
      <c r="H131" s="33"/>
      <c r="K131" s="683" t="s">
        <v>53</v>
      </c>
    </row>
    <row r="132" spans="1:29" ht="15" customHeight="1">
      <c r="A132" s="690" t="s">
        <v>1704</v>
      </c>
      <c r="B132" s="678" t="s">
        <v>935</v>
      </c>
      <c r="C132" s="679" t="s">
        <v>1321</v>
      </c>
      <c r="D132" s="679" t="s">
        <v>55</v>
      </c>
      <c r="E132" s="680" t="s">
        <v>303</v>
      </c>
      <c r="F132" s="681"/>
      <c r="G132" s="682" t="e">
        <v>#N/A</v>
      </c>
      <c r="H132" s="33"/>
      <c r="K132" s="683" t="str">
        <f>Print_Mois!V423</f>
        <v>Salaires autres</v>
      </c>
    </row>
    <row r="133" spans="1:29" ht="15" customHeight="1">
      <c r="A133" s="690" t="s">
        <v>1707</v>
      </c>
      <c r="B133" s="678" t="s">
        <v>936</v>
      </c>
      <c r="C133" s="679" t="s">
        <v>1321</v>
      </c>
      <c r="D133" s="679" t="s">
        <v>55</v>
      </c>
      <c r="E133" s="680" t="s">
        <v>303</v>
      </c>
      <c r="F133" s="681"/>
      <c r="G133" s="682" t="s">
        <v>963</v>
      </c>
      <c r="H133" s="33"/>
      <c r="K133" s="683" t="str">
        <f>Print_Mois!V421</f>
        <v>Salaires cadres</v>
      </c>
    </row>
    <row r="134" spans="1:29" ht="15" customHeight="1">
      <c r="A134" s="690" t="s">
        <v>1710</v>
      </c>
      <c r="B134" s="678" t="s">
        <v>735</v>
      </c>
      <c r="C134" s="679"/>
      <c r="D134" s="679"/>
      <c r="E134" s="680"/>
      <c r="F134" s="681"/>
      <c r="G134" s="682" t="s">
        <v>816</v>
      </c>
      <c r="H134" s="33"/>
      <c r="K134" s="683" t="str">
        <f>Print_Mois!C43</f>
        <v>Salaires commis</v>
      </c>
    </row>
    <row r="135" spans="1:29" ht="15" customHeight="1">
      <c r="A135" s="690" t="s">
        <v>1713</v>
      </c>
      <c r="B135" s="678" t="s">
        <v>736</v>
      </c>
      <c r="C135" s="679"/>
      <c r="D135" s="679"/>
      <c r="E135" s="680"/>
      <c r="F135" s="681"/>
      <c r="G135" s="682" t="s">
        <v>816</v>
      </c>
      <c r="H135" s="33"/>
      <c r="K135" s="683" t="str">
        <f>Print_Mois!V422</f>
        <v>Salaires commis</v>
      </c>
    </row>
    <row r="136" spans="1:29" ht="15" customHeight="1">
      <c r="A136" s="690" t="s">
        <v>938</v>
      </c>
      <c r="B136" s="678" t="s">
        <v>937</v>
      </c>
      <c r="C136" s="679" t="s">
        <v>1321</v>
      </c>
      <c r="D136" s="679" t="s">
        <v>39</v>
      </c>
      <c r="E136" s="680" t="s">
        <v>303</v>
      </c>
      <c r="F136" s="681"/>
      <c r="G136" s="682" t="s">
        <v>7</v>
      </c>
      <c r="H136" s="33"/>
      <c r="K136" s="683" t="str">
        <f>Print_Mois!V428</f>
        <v>Salaires en absences</v>
      </c>
    </row>
    <row r="137" spans="1:29" ht="15" customHeight="1">
      <c r="A137" s="690" t="s">
        <v>1718</v>
      </c>
      <c r="B137" s="678" t="s">
        <v>737</v>
      </c>
      <c r="C137" s="679"/>
      <c r="D137" s="679"/>
      <c r="E137" s="680"/>
      <c r="F137" s="681"/>
      <c r="G137" s="682" t="s">
        <v>816</v>
      </c>
      <c r="H137" s="33"/>
      <c r="K137" s="683" t="str">
        <f>Print_Mois!V420</f>
        <v>Salaires propriétaire</v>
      </c>
    </row>
    <row r="138" spans="1:29" ht="15" customHeight="1">
      <c r="A138" s="690" t="s">
        <v>1721</v>
      </c>
      <c r="B138" s="678" t="s">
        <v>738</v>
      </c>
      <c r="C138" s="679"/>
      <c r="D138" s="679"/>
      <c r="E138" s="680"/>
      <c r="F138" s="681"/>
      <c r="G138" s="682" t="s">
        <v>816</v>
      </c>
      <c r="H138" s="33"/>
      <c r="K138" s="683" t="str">
        <f>Print_Mois!V424</f>
        <v>Salaires spécialistes</v>
      </c>
    </row>
    <row r="139" spans="1:29" ht="15" customHeight="1">
      <c r="A139" s="690" t="s">
        <v>1724</v>
      </c>
      <c r="B139" s="678" t="s">
        <v>739</v>
      </c>
      <c r="C139" s="679"/>
      <c r="D139" s="679"/>
      <c r="E139" s="680"/>
      <c r="F139" s="681"/>
      <c r="G139" s="682" t="s">
        <v>816</v>
      </c>
      <c r="H139" s="33"/>
      <c r="K139" s="683" t="str">
        <f>Print_Mois!C34</f>
        <v>Service gratuit 1</v>
      </c>
    </row>
    <row r="140" spans="1:29" ht="15" customHeight="1">
      <c r="A140" s="690" t="s">
        <v>1727</v>
      </c>
      <c r="B140" s="678" t="s">
        <v>740</v>
      </c>
      <c r="C140" s="679"/>
      <c r="D140" s="679"/>
      <c r="E140" s="680"/>
      <c r="F140" s="681"/>
      <c r="G140" s="682" t="s">
        <v>816</v>
      </c>
      <c r="H140" s="33"/>
      <c r="K140" s="683" t="str">
        <f>Print_Mois!V435</f>
        <v>Service gratuit 2</v>
      </c>
    </row>
    <row r="141" spans="1:29" ht="15" customHeight="1">
      <c r="A141" s="690" t="s">
        <v>940</v>
      </c>
      <c r="B141" s="678" t="s">
        <v>939</v>
      </c>
      <c r="C141" s="679" t="s">
        <v>1321</v>
      </c>
      <c r="D141" s="679" t="s">
        <v>53</v>
      </c>
      <c r="E141" s="680" t="s">
        <v>303</v>
      </c>
      <c r="F141" s="681"/>
      <c r="G141" s="682" t="s">
        <v>963</v>
      </c>
      <c r="H141" s="33"/>
      <c r="I141" s="3"/>
      <c r="J141" s="3"/>
      <c r="K141" s="683" t="str">
        <f>Print_Mois!V439</f>
        <v>Services extérieurs</v>
      </c>
      <c r="L141" s="3"/>
      <c r="M141" s="3"/>
      <c r="P141" s="3"/>
      <c r="Q141" s="3"/>
      <c r="R141" s="3"/>
      <c r="S141" s="3"/>
      <c r="T141" s="3"/>
      <c r="U141" s="3"/>
      <c r="V141" s="3"/>
      <c r="W141" s="3"/>
      <c r="X141" s="3"/>
      <c r="Y141" s="3"/>
      <c r="Z141" s="3"/>
      <c r="AA141" s="3"/>
      <c r="AB141" s="3"/>
      <c r="AC141" s="3"/>
    </row>
    <row r="142" spans="1:29" ht="15" customHeight="1">
      <c r="A142" s="690" t="s">
        <v>3378</v>
      </c>
      <c r="B142" s="678" t="s">
        <v>941</v>
      </c>
      <c r="C142" s="679" t="s">
        <v>1321</v>
      </c>
      <c r="D142" s="679" t="s">
        <v>53</v>
      </c>
      <c r="E142" s="680" t="s">
        <v>303</v>
      </c>
      <c r="F142" s="681"/>
      <c r="G142" s="682" t="s">
        <v>7</v>
      </c>
      <c r="H142" s="33"/>
      <c r="K142" s="683" t="s">
        <v>58</v>
      </c>
    </row>
    <row r="143" spans="1:29" ht="15" customHeight="1">
      <c r="A143" s="690" t="s">
        <v>944</v>
      </c>
      <c r="B143" s="678" t="s">
        <v>943</v>
      </c>
      <c r="C143" s="679" t="s">
        <v>1321</v>
      </c>
      <c r="D143" s="679" t="s">
        <v>53</v>
      </c>
      <c r="E143" s="680" t="s">
        <v>303</v>
      </c>
      <c r="F143" s="681"/>
      <c r="G143" s="682" t="s">
        <v>963</v>
      </c>
      <c r="H143" s="33"/>
      <c r="K143" s="683" t="str">
        <f>Print_Mois!C188</f>
        <v>Sous-traitement</v>
      </c>
    </row>
    <row r="144" spans="1:29" ht="15" customHeight="1">
      <c r="A144" s="690" t="s">
        <v>1734</v>
      </c>
      <c r="B144" s="678" t="s">
        <v>945</v>
      </c>
      <c r="C144" s="679" t="s">
        <v>1321</v>
      </c>
      <c r="D144" s="679" t="s">
        <v>53</v>
      </c>
      <c r="E144" s="680" t="s">
        <v>303</v>
      </c>
      <c r="F144" s="681"/>
      <c r="G144" s="682" t="s">
        <v>7</v>
      </c>
      <c r="H144" s="33"/>
      <c r="K144" s="683" t="s">
        <v>129</v>
      </c>
    </row>
    <row r="145" spans="1:11" ht="15" customHeight="1">
      <c r="A145" s="690" t="s">
        <v>1737</v>
      </c>
      <c r="B145" s="678" t="s">
        <v>1367</v>
      </c>
      <c r="C145" s="679" t="s">
        <v>1321</v>
      </c>
      <c r="D145" s="679" t="s">
        <v>53</v>
      </c>
      <c r="E145" s="680" t="s">
        <v>303</v>
      </c>
      <c r="F145" s="681"/>
      <c r="G145" s="680" t="e">
        <v>#N/A</v>
      </c>
      <c r="H145" s="33"/>
      <c r="K145" s="683" t="s">
        <v>99</v>
      </c>
    </row>
    <row r="146" spans="1:11" ht="15" customHeight="1">
      <c r="A146" s="690" t="s">
        <v>1740</v>
      </c>
      <c r="B146" s="678" t="s">
        <v>946</v>
      </c>
      <c r="C146" s="679" t="s">
        <v>1321</v>
      </c>
      <c r="D146" s="679" t="s">
        <v>53</v>
      </c>
      <c r="E146" s="680" t="s">
        <v>303</v>
      </c>
      <c r="F146" s="681"/>
      <c r="G146" s="682" t="s">
        <v>963</v>
      </c>
      <c r="H146" s="33"/>
      <c r="K146" s="683" t="s">
        <v>206</v>
      </c>
    </row>
    <row r="147" spans="1:11" ht="15" customHeight="1">
      <c r="A147" s="690" t="s">
        <v>1743</v>
      </c>
      <c r="B147" s="678" t="s">
        <v>947</v>
      </c>
      <c r="C147" s="679" t="s">
        <v>1321</v>
      </c>
      <c r="D147" s="679" t="s">
        <v>53</v>
      </c>
      <c r="E147" s="680" t="s">
        <v>303</v>
      </c>
      <c r="F147" s="681"/>
      <c r="G147" s="682" t="s">
        <v>7</v>
      </c>
      <c r="H147" s="33"/>
      <c r="K147" s="683" t="s">
        <v>207</v>
      </c>
    </row>
    <row r="148" spans="1:11" ht="15" customHeight="1">
      <c r="A148" s="690" t="s">
        <v>742</v>
      </c>
      <c r="B148" s="678" t="s">
        <v>741</v>
      </c>
      <c r="C148" s="679"/>
      <c r="D148" s="679"/>
      <c r="E148" s="680"/>
      <c r="F148" s="681"/>
      <c r="G148" s="682" t="s">
        <v>816</v>
      </c>
      <c r="H148" s="33"/>
      <c r="K148" s="683" t="str">
        <f>Print_Mois!V456</f>
        <v>Taxe sur le capital</v>
      </c>
    </row>
    <row r="149" spans="1:11" ht="15" customHeight="1">
      <c r="A149" s="690" t="s">
        <v>949</v>
      </c>
      <c r="B149" s="678" t="s">
        <v>948</v>
      </c>
      <c r="C149" s="679" t="s">
        <v>1321</v>
      </c>
      <c r="D149" s="679" t="s">
        <v>57</v>
      </c>
      <c r="E149" s="680" t="s">
        <v>303</v>
      </c>
      <c r="F149" s="681"/>
      <c r="G149" s="682" t="s">
        <v>2</v>
      </c>
      <c r="H149" s="33"/>
      <c r="K149" s="683" t="s">
        <v>35</v>
      </c>
    </row>
    <row r="150" spans="1:11" ht="15" customHeight="1">
      <c r="A150" s="690" t="s">
        <v>3379</v>
      </c>
      <c r="B150" s="678" t="s">
        <v>950</v>
      </c>
      <c r="C150" s="679" t="s">
        <v>1321</v>
      </c>
      <c r="D150" s="679" t="s">
        <v>57</v>
      </c>
      <c r="E150" s="680" t="s">
        <v>303</v>
      </c>
      <c r="F150" s="681"/>
      <c r="G150" s="682" t="s">
        <v>963</v>
      </c>
      <c r="H150" s="33"/>
      <c r="K150" s="683" t="str">
        <f>Print_Mois!V444</f>
        <v>Téléphone</v>
      </c>
    </row>
    <row r="151" spans="1:11" ht="15" customHeight="1">
      <c r="A151" s="690" t="s">
        <v>744</v>
      </c>
      <c r="B151" s="678" t="s">
        <v>743</v>
      </c>
      <c r="C151" s="679"/>
      <c r="D151" s="679"/>
      <c r="E151" s="680"/>
      <c r="F151" s="681"/>
      <c r="G151" s="682" t="s">
        <v>816</v>
      </c>
      <c r="H151" s="33"/>
      <c r="K151" s="683" t="s">
        <v>56</v>
      </c>
    </row>
    <row r="152" spans="1:11" ht="15" customHeight="1">
      <c r="A152" s="690" t="s">
        <v>1750</v>
      </c>
      <c r="B152" s="678" t="s">
        <v>745</v>
      </c>
      <c r="C152" s="679"/>
      <c r="D152" s="679"/>
      <c r="E152" s="680"/>
      <c r="F152" s="681"/>
      <c r="G152" s="682" t="s">
        <v>816</v>
      </c>
      <c r="H152" s="33"/>
      <c r="K152" s="683" t="s">
        <v>136</v>
      </c>
    </row>
    <row r="153" spans="1:11" ht="15" customHeight="1">
      <c r="A153" s="690" t="s">
        <v>1753</v>
      </c>
      <c r="B153" s="678" t="s">
        <v>746</v>
      </c>
      <c r="C153" s="679"/>
      <c r="D153" s="679"/>
      <c r="E153" s="680"/>
      <c r="F153" s="681"/>
      <c r="G153" s="682" t="s">
        <v>816</v>
      </c>
      <c r="H153" s="33"/>
      <c r="K153" s="683" t="str">
        <f>Print_Mois!C100</f>
        <v>Ventes au Gros</v>
      </c>
    </row>
    <row r="154" spans="1:11" ht="15" customHeight="1">
      <c r="A154" s="690" t="s">
        <v>953</v>
      </c>
      <c r="B154" s="678" t="s">
        <v>952</v>
      </c>
      <c r="C154" s="679" t="s">
        <v>1321</v>
      </c>
      <c r="D154" s="679" t="s">
        <v>71</v>
      </c>
      <c r="E154" s="680" t="s">
        <v>303</v>
      </c>
      <c r="F154" s="681"/>
      <c r="G154" s="682" t="s">
        <v>7</v>
      </c>
      <c r="H154" s="33"/>
      <c r="K154" s="683"/>
    </row>
    <row r="155" spans="1:11" ht="15" customHeight="1">
      <c r="A155" s="690" t="s">
        <v>955</v>
      </c>
      <c r="B155" s="678" t="s">
        <v>954</v>
      </c>
      <c r="C155" s="679" t="s">
        <v>1321</v>
      </c>
      <c r="D155" s="679" t="s">
        <v>57</v>
      </c>
      <c r="E155" s="680" t="s">
        <v>303</v>
      </c>
      <c r="F155" s="681"/>
      <c r="G155" s="682" t="s">
        <v>2</v>
      </c>
      <c r="H155" s="33"/>
      <c r="K155" s="683" t="str">
        <f>Print_Mois!C300</f>
        <v>Ventes de Gros</v>
      </c>
    </row>
    <row r="156" spans="1:11" ht="15" customHeight="1">
      <c r="A156" s="690" t="s">
        <v>748</v>
      </c>
      <c r="B156" s="678" t="s">
        <v>722</v>
      </c>
      <c r="C156" s="679"/>
      <c r="D156" s="679"/>
      <c r="E156" s="680"/>
      <c r="F156" s="681"/>
      <c r="G156" s="682" t="e">
        <v>#N/A</v>
      </c>
      <c r="H156" s="33"/>
      <c r="K156" s="683" t="s">
        <v>186</v>
      </c>
    </row>
    <row r="157" spans="1:11" ht="15" customHeight="1">
      <c r="A157" s="690" t="s">
        <v>1763</v>
      </c>
      <c r="B157" s="678" t="s">
        <v>747</v>
      </c>
      <c r="C157" s="679"/>
      <c r="D157" s="679"/>
      <c r="E157" s="680"/>
      <c r="F157" s="681"/>
      <c r="G157" s="682" t="e">
        <v>#N/A</v>
      </c>
      <c r="H157" s="33"/>
      <c r="K157" s="683" t="str">
        <f>Print_Mois!C298</f>
        <v>Ventes Internes</v>
      </c>
    </row>
    <row r="158" spans="1:11" ht="15" customHeight="1">
      <c r="A158" s="690" t="s">
        <v>958</v>
      </c>
      <c r="B158" s="678" t="s">
        <v>956</v>
      </c>
      <c r="C158" s="679" t="s">
        <v>1321</v>
      </c>
      <c r="D158" s="679" t="s">
        <v>84</v>
      </c>
      <c r="E158" s="680" t="s">
        <v>303</v>
      </c>
      <c r="F158" s="681"/>
      <c r="G158" s="682" t="e">
        <v>#N/A</v>
      </c>
      <c r="H158" s="33"/>
      <c r="K158" s="683"/>
    </row>
    <row r="159" spans="1:11" ht="15" customHeight="1">
      <c r="A159" s="690" t="s">
        <v>1768</v>
      </c>
      <c r="B159" s="678" t="s">
        <v>959</v>
      </c>
      <c r="C159" s="679" t="s">
        <v>1321</v>
      </c>
      <c r="D159" s="679" t="s">
        <v>85</v>
      </c>
      <c r="E159" s="680" t="s">
        <v>303</v>
      </c>
      <c r="F159" s="681"/>
      <c r="G159" s="682" t="e">
        <v>#N/A</v>
      </c>
      <c r="H159" s="33"/>
      <c r="K159" s="683" t="str">
        <f>Print_Mois!C307</f>
        <v>Ventes Pneus</v>
      </c>
    </row>
    <row r="160" spans="1:11" ht="15" customHeight="1">
      <c r="A160" s="690" t="s">
        <v>1771</v>
      </c>
      <c r="B160" s="678" t="s">
        <v>960</v>
      </c>
      <c r="C160" s="679" t="s">
        <v>1321</v>
      </c>
      <c r="D160" s="679" t="s">
        <v>84</v>
      </c>
      <c r="E160" s="680"/>
      <c r="F160" s="681"/>
      <c r="G160" s="682" t="e">
        <v>#N/A</v>
      </c>
      <c r="H160" s="33"/>
    </row>
    <row r="161" spans="1:8" ht="15" customHeight="1">
      <c r="A161" s="690" t="s">
        <v>1774</v>
      </c>
      <c r="B161" s="678" t="s">
        <v>749</v>
      </c>
      <c r="C161" s="679"/>
      <c r="D161" s="679"/>
      <c r="E161" s="680"/>
      <c r="F161" s="681"/>
      <c r="G161" s="682" t="e">
        <v>#N/A</v>
      </c>
      <c r="H161" s="33"/>
    </row>
    <row r="162" spans="1:8" ht="15" customHeight="1">
      <c r="A162" s="690" t="s">
        <v>1777</v>
      </c>
      <c r="B162" s="678" t="s">
        <v>750</v>
      </c>
      <c r="C162" s="679"/>
      <c r="D162" s="679"/>
      <c r="E162" s="680"/>
      <c r="F162" s="681"/>
      <c r="G162" s="682" t="e">
        <v>#N/A</v>
      </c>
      <c r="H162" s="33"/>
    </row>
    <row r="163" spans="1:8" ht="15" customHeight="1">
      <c r="A163" s="690" t="s">
        <v>1780</v>
      </c>
      <c r="B163" s="678" t="s">
        <v>751</v>
      </c>
      <c r="C163" s="679"/>
      <c r="D163" s="679"/>
      <c r="E163" s="680"/>
      <c r="F163" s="681"/>
      <c r="G163" s="682" t="s">
        <v>816</v>
      </c>
      <c r="H163" s="33"/>
    </row>
    <row r="164" spans="1:8" ht="15" customHeight="1">
      <c r="A164" s="690" t="s">
        <v>1783</v>
      </c>
      <c r="B164" s="678" t="s">
        <v>752</v>
      </c>
      <c r="C164" s="679"/>
      <c r="D164" s="679"/>
      <c r="E164" s="680"/>
      <c r="F164" s="681"/>
      <c r="G164" s="682" t="e">
        <v>#N/A</v>
      </c>
      <c r="H164" s="33"/>
    </row>
    <row r="165" spans="1:8" ht="15" customHeight="1">
      <c r="A165" s="690" t="s">
        <v>1786</v>
      </c>
      <c r="B165" s="678" t="s">
        <v>753</v>
      </c>
      <c r="C165" s="679"/>
      <c r="D165" s="679"/>
      <c r="E165" s="680"/>
      <c r="F165" s="681"/>
      <c r="G165" s="682" t="s">
        <v>816</v>
      </c>
      <c r="H165" s="33"/>
    </row>
    <row r="166" spans="1:8" ht="15" customHeight="1">
      <c r="A166" s="690" t="s">
        <v>1789</v>
      </c>
      <c r="B166" s="678" t="s">
        <v>754</v>
      </c>
      <c r="C166" s="679"/>
      <c r="D166" s="679"/>
      <c r="E166" s="680"/>
      <c r="F166" s="681"/>
      <c r="G166" s="682" t="s">
        <v>7</v>
      </c>
      <c r="H166" s="3"/>
    </row>
    <row r="167" spans="1:8" ht="15" customHeight="1">
      <c r="A167" s="690" t="s">
        <v>1792</v>
      </c>
      <c r="B167" s="678" t="s">
        <v>755</v>
      </c>
      <c r="C167" s="679"/>
      <c r="D167" s="679"/>
      <c r="E167" s="680"/>
      <c r="F167" s="681"/>
      <c r="G167" s="682" t="s">
        <v>816</v>
      </c>
      <c r="H167" s="3"/>
    </row>
    <row r="168" spans="1:8" ht="15" customHeight="1">
      <c r="A168" s="690" t="s">
        <v>1795</v>
      </c>
      <c r="B168" s="678" t="s">
        <v>961</v>
      </c>
      <c r="C168" s="679" t="s">
        <v>1321</v>
      </c>
      <c r="D168" s="679" t="s">
        <v>86</v>
      </c>
      <c r="E168" s="680" t="s">
        <v>303</v>
      </c>
      <c r="F168" s="681"/>
      <c r="G168" s="682" t="e">
        <v>#N/A</v>
      </c>
      <c r="H168" s="3"/>
    </row>
    <row r="169" spans="1:8" ht="15" customHeight="1">
      <c r="A169" s="690" t="s">
        <v>1798</v>
      </c>
      <c r="B169" s="678" t="s">
        <v>756</v>
      </c>
      <c r="C169" s="679"/>
      <c r="D169" s="679"/>
      <c r="E169" s="680"/>
      <c r="F169" s="681"/>
      <c r="G169" s="682" t="s">
        <v>816</v>
      </c>
      <c r="H169" s="3"/>
    </row>
    <row r="170" spans="1:8" ht="15" customHeight="1">
      <c r="A170" s="678" t="s">
        <v>1801</v>
      </c>
      <c r="B170" s="678" t="s">
        <v>757</v>
      </c>
      <c r="C170" s="679"/>
      <c r="D170" s="679"/>
      <c r="E170" s="680"/>
      <c r="F170" s="681"/>
      <c r="G170" s="682" t="s">
        <v>816</v>
      </c>
      <c r="H170" s="3"/>
    </row>
    <row r="171" spans="1:8" ht="15" customHeight="1">
      <c r="A171" s="690" t="s">
        <v>1804</v>
      </c>
      <c r="B171" s="678" t="s">
        <v>758</v>
      </c>
      <c r="C171" s="679"/>
      <c r="D171" s="679"/>
      <c r="E171" s="680"/>
      <c r="F171" s="681"/>
      <c r="G171" s="682" t="s">
        <v>7</v>
      </c>
      <c r="H171" s="3"/>
    </row>
    <row r="172" spans="1:8" ht="15" customHeight="1">
      <c r="A172" s="690" t="s">
        <v>1807</v>
      </c>
      <c r="B172" s="678" t="s">
        <v>759</v>
      </c>
      <c r="C172" s="679"/>
      <c r="D172" s="679"/>
      <c r="E172" s="680"/>
      <c r="F172" s="681"/>
      <c r="G172" s="682" t="e">
        <v>#N/A</v>
      </c>
      <c r="H172" s="3"/>
    </row>
    <row r="173" spans="1:8" ht="15" customHeight="1">
      <c r="A173" s="690" t="s">
        <v>761</v>
      </c>
      <c r="B173" s="678" t="s">
        <v>723</v>
      </c>
      <c r="C173" s="679"/>
      <c r="D173" s="679"/>
      <c r="E173" s="680"/>
      <c r="F173" s="681"/>
      <c r="G173" s="682" t="s">
        <v>816</v>
      </c>
      <c r="H173" s="3"/>
    </row>
    <row r="174" spans="1:8" ht="15" customHeight="1">
      <c r="A174" s="690" t="s">
        <v>1812</v>
      </c>
      <c r="B174" s="678" t="s">
        <v>760</v>
      </c>
      <c r="C174" s="679"/>
      <c r="D174" s="679"/>
      <c r="E174" s="680"/>
      <c r="F174" s="681"/>
      <c r="G174" s="682" t="e">
        <v>#N/A</v>
      </c>
      <c r="H174" s="3"/>
    </row>
    <row r="175" spans="1:8" ht="15" customHeight="1">
      <c r="A175" s="690" t="s">
        <v>1815</v>
      </c>
      <c r="B175" s="678" t="s">
        <v>762</v>
      </c>
      <c r="C175" s="679"/>
      <c r="D175" s="679"/>
      <c r="E175" s="680"/>
      <c r="F175" s="681"/>
      <c r="G175" s="682" t="s">
        <v>816</v>
      </c>
      <c r="H175" s="3"/>
    </row>
    <row r="176" spans="1:8" ht="15" customHeight="1">
      <c r="A176" s="690" t="s">
        <v>1818</v>
      </c>
      <c r="B176" s="678" t="s">
        <v>763</v>
      </c>
      <c r="C176" s="679"/>
      <c r="D176" s="679"/>
      <c r="E176" s="680"/>
      <c r="F176" s="681"/>
      <c r="G176" s="682" t="s">
        <v>816</v>
      </c>
      <c r="H176" s="3"/>
    </row>
    <row r="177" spans="1:11" ht="15" customHeight="1">
      <c r="A177" s="690" t="s">
        <v>1821</v>
      </c>
      <c r="B177" s="678" t="s">
        <v>764</v>
      </c>
      <c r="C177" s="679"/>
      <c r="D177" s="679"/>
      <c r="E177" s="686"/>
      <c r="F177" s="686"/>
      <c r="G177" s="682" t="s">
        <v>816</v>
      </c>
      <c r="H177" s="3"/>
    </row>
    <row r="178" spans="1:11" ht="15" customHeight="1">
      <c r="A178" s="690" t="s">
        <v>1824</v>
      </c>
      <c r="B178" s="678" t="s">
        <v>765</v>
      </c>
      <c r="C178" s="679"/>
      <c r="D178" s="679"/>
      <c r="E178" s="680"/>
      <c r="F178" s="681"/>
      <c r="G178" s="682" t="s">
        <v>816</v>
      </c>
      <c r="H178" s="3"/>
    </row>
    <row r="179" spans="1:11" ht="15" customHeight="1">
      <c r="A179" s="690" t="s">
        <v>1827</v>
      </c>
      <c r="B179" s="678" t="s">
        <v>766</v>
      </c>
      <c r="C179" s="679"/>
      <c r="D179" s="679"/>
      <c r="E179" s="680"/>
      <c r="F179" s="681"/>
      <c r="G179" s="682" t="s">
        <v>816</v>
      </c>
      <c r="H179" s="3"/>
    </row>
    <row r="180" spans="1:11" ht="15" customHeight="1">
      <c r="A180" s="690" t="s">
        <v>1830</v>
      </c>
      <c r="B180" s="678" t="s">
        <v>767</v>
      </c>
      <c r="C180" s="679"/>
      <c r="D180" s="679"/>
      <c r="E180" s="680"/>
      <c r="F180" s="681"/>
      <c r="G180" s="682" t="s">
        <v>816</v>
      </c>
      <c r="H180" s="3"/>
      <c r="K180" s="3"/>
    </row>
    <row r="181" spans="1:11" ht="15" customHeight="1">
      <c r="A181" s="690" t="s">
        <v>1833</v>
      </c>
      <c r="B181" s="678" t="s">
        <v>768</v>
      </c>
      <c r="C181" s="679"/>
      <c r="D181" s="679"/>
      <c r="E181" s="686"/>
      <c r="F181" s="686"/>
      <c r="G181" s="682" t="s">
        <v>816</v>
      </c>
      <c r="H181" s="3"/>
    </row>
    <row r="182" spans="1:11" ht="15" customHeight="1">
      <c r="A182" s="690" t="s">
        <v>1836</v>
      </c>
      <c r="B182" s="678" t="s">
        <v>769</v>
      </c>
      <c r="C182" s="679"/>
      <c r="D182" s="679"/>
      <c r="E182" s="680"/>
      <c r="F182" s="681"/>
      <c r="G182" s="682" t="s">
        <v>816</v>
      </c>
      <c r="H182" s="3"/>
    </row>
    <row r="183" spans="1:11" ht="15" customHeight="1">
      <c r="A183" s="690" t="s">
        <v>1839</v>
      </c>
      <c r="B183" s="678" t="s">
        <v>770</v>
      </c>
      <c r="C183" s="679"/>
      <c r="D183" s="679"/>
      <c r="E183" s="686"/>
      <c r="F183" s="686"/>
      <c r="G183" s="682" t="s">
        <v>816</v>
      </c>
      <c r="H183" s="3"/>
    </row>
    <row r="184" spans="1:11" ht="15" customHeight="1">
      <c r="A184" s="690" t="s">
        <v>964</v>
      </c>
      <c r="B184" s="678" t="s">
        <v>962</v>
      </c>
      <c r="C184" s="679" t="s">
        <v>92</v>
      </c>
      <c r="D184" s="679" t="s">
        <v>104</v>
      </c>
      <c r="E184" s="680" t="s">
        <v>303</v>
      </c>
      <c r="F184" s="681" t="s">
        <v>1368</v>
      </c>
      <c r="G184" s="682" t="e">
        <v>#N/A</v>
      </c>
      <c r="H184" s="3"/>
    </row>
    <row r="185" spans="1:11" ht="15" customHeight="1">
      <c r="A185" s="690" t="s">
        <v>966</v>
      </c>
      <c r="B185" s="678" t="s">
        <v>965</v>
      </c>
      <c r="C185" s="679" t="s">
        <v>92</v>
      </c>
      <c r="D185" s="679" t="s">
        <v>104</v>
      </c>
      <c r="E185" s="686" t="s">
        <v>341</v>
      </c>
      <c r="F185" s="686"/>
      <c r="G185" s="682" t="s">
        <v>1154</v>
      </c>
      <c r="H185" s="3"/>
    </row>
    <row r="186" spans="1:11" ht="15" customHeight="1">
      <c r="A186" s="690" t="s">
        <v>1846</v>
      </c>
      <c r="B186" s="678" t="s">
        <v>1369</v>
      </c>
      <c r="C186" s="679" t="s">
        <v>92</v>
      </c>
      <c r="D186" s="679" t="s">
        <v>97</v>
      </c>
      <c r="E186" s="680" t="s">
        <v>303</v>
      </c>
      <c r="F186" s="681" t="s">
        <v>1368</v>
      </c>
      <c r="G186" s="680" t="e">
        <v>#N/A</v>
      </c>
      <c r="H186" s="3"/>
    </row>
    <row r="187" spans="1:11" ht="15" customHeight="1">
      <c r="A187" s="690" t="s">
        <v>1408</v>
      </c>
      <c r="B187" s="678" t="s">
        <v>1409</v>
      </c>
      <c r="C187" s="679" t="s">
        <v>92</v>
      </c>
      <c r="D187" s="679" t="s">
        <v>97</v>
      </c>
      <c r="E187" s="686" t="s">
        <v>341</v>
      </c>
      <c r="F187" s="686"/>
      <c r="G187" s="680" t="s">
        <v>1154</v>
      </c>
      <c r="H187" s="3"/>
    </row>
    <row r="188" spans="1:11" ht="15" customHeight="1">
      <c r="A188" s="690" t="s">
        <v>1431</v>
      </c>
      <c r="B188" s="678" t="s">
        <v>1370</v>
      </c>
      <c r="C188" s="679" t="s">
        <v>92</v>
      </c>
      <c r="D188" s="679" t="s">
        <v>97</v>
      </c>
      <c r="E188" s="680" t="s">
        <v>303</v>
      </c>
      <c r="F188" s="681" t="s">
        <v>1368</v>
      </c>
      <c r="G188" s="680" t="s">
        <v>963</v>
      </c>
      <c r="H188" s="3"/>
    </row>
    <row r="189" spans="1:11" ht="15" customHeight="1">
      <c r="A189" s="690" t="s">
        <v>1410</v>
      </c>
      <c r="B189" s="678" t="s">
        <v>1411</v>
      </c>
      <c r="C189" s="679" t="s">
        <v>92</v>
      </c>
      <c r="D189" s="679" t="s">
        <v>97</v>
      </c>
      <c r="E189" s="686" t="s">
        <v>341</v>
      </c>
      <c r="F189" s="686"/>
      <c r="G189" s="680" t="e">
        <v>#N/A</v>
      </c>
      <c r="H189" s="3"/>
    </row>
    <row r="190" spans="1:11" ht="15" customHeight="1">
      <c r="A190" s="690" t="s">
        <v>1432</v>
      </c>
      <c r="B190" s="678" t="s">
        <v>1371</v>
      </c>
      <c r="C190" s="679" t="s">
        <v>92</v>
      </c>
      <c r="D190" s="679" t="s">
        <v>97</v>
      </c>
      <c r="E190" s="680" t="s">
        <v>303</v>
      </c>
      <c r="F190" s="681" t="s">
        <v>1368</v>
      </c>
      <c r="G190" s="680" t="s">
        <v>7</v>
      </c>
      <c r="H190" s="3"/>
    </row>
    <row r="191" spans="1:11" ht="15" customHeight="1">
      <c r="A191" s="690" t="s">
        <v>1412</v>
      </c>
      <c r="B191" s="678" t="s">
        <v>1413</v>
      </c>
      <c r="C191" s="679" t="s">
        <v>92</v>
      </c>
      <c r="D191" s="679" t="s">
        <v>97</v>
      </c>
      <c r="E191" s="686" t="s">
        <v>341</v>
      </c>
      <c r="F191" s="686"/>
      <c r="G191" s="680" t="s">
        <v>1154</v>
      </c>
      <c r="H191" s="3"/>
    </row>
    <row r="192" spans="1:11" ht="15" customHeight="1">
      <c r="A192" s="690" t="s">
        <v>968</v>
      </c>
      <c r="B192" s="678" t="s">
        <v>967</v>
      </c>
      <c r="C192" s="679" t="s">
        <v>92</v>
      </c>
      <c r="D192" s="679" t="s">
        <v>97</v>
      </c>
      <c r="E192" s="680" t="s">
        <v>303</v>
      </c>
      <c r="F192" s="681" t="s">
        <v>1368</v>
      </c>
      <c r="G192" s="682" t="e">
        <v>#N/A</v>
      </c>
      <c r="H192" s="3"/>
    </row>
    <row r="193" spans="1:8" ht="15" customHeight="1">
      <c r="A193" s="690" t="s">
        <v>970</v>
      </c>
      <c r="B193" s="678" t="s">
        <v>969</v>
      </c>
      <c r="C193" s="679" t="s">
        <v>92</v>
      </c>
      <c r="D193" s="679" t="s">
        <v>97</v>
      </c>
      <c r="E193" s="686" t="s">
        <v>341</v>
      </c>
      <c r="F193" s="686"/>
      <c r="G193" s="682" t="s">
        <v>1154</v>
      </c>
      <c r="H193" s="3"/>
    </row>
    <row r="194" spans="1:8" ht="15" customHeight="1">
      <c r="A194" s="690" t="s">
        <v>978</v>
      </c>
      <c r="B194" s="678" t="s">
        <v>771</v>
      </c>
      <c r="C194" s="679"/>
      <c r="D194" s="679"/>
      <c r="E194" s="680"/>
      <c r="F194" s="681"/>
      <c r="G194" s="682" t="e">
        <v>#N/A</v>
      </c>
      <c r="H194" s="3"/>
    </row>
    <row r="195" spans="1:8" ht="15" customHeight="1">
      <c r="A195" s="690" t="s">
        <v>972</v>
      </c>
      <c r="B195" s="678" t="s">
        <v>1372</v>
      </c>
      <c r="C195" s="679" t="s">
        <v>92</v>
      </c>
      <c r="D195" s="679" t="s">
        <v>97</v>
      </c>
      <c r="E195" s="680" t="s">
        <v>303</v>
      </c>
      <c r="F195" s="681" t="s">
        <v>1368</v>
      </c>
      <c r="G195" s="682" t="s">
        <v>963</v>
      </c>
      <c r="H195" s="3"/>
    </row>
    <row r="196" spans="1:8" ht="15" customHeight="1">
      <c r="A196" s="690" t="s">
        <v>973</v>
      </c>
      <c r="B196" s="678" t="s">
        <v>1414</v>
      </c>
      <c r="C196" s="679" t="s">
        <v>92</v>
      </c>
      <c r="D196" s="679" t="s">
        <v>97</v>
      </c>
      <c r="E196" s="686" t="s">
        <v>341</v>
      </c>
      <c r="F196" s="686"/>
      <c r="G196" s="682" t="s">
        <v>1154</v>
      </c>
      <c r="H196" s="3"/>
    </row>
    <row r="197" spans="1:8" ht="15" customHeight="1">
      <c r="A197" s="690" t="s">
        <v>1869</v>
      </c>
      <c r="B197" s="678" t="s">
        <v>1373</v>
      </c>
      <c r="C197" s="679" t="s">
        <v>92</v>
      </c>
      <c r="D197" s="679" t="s">
        <v>97</v>
      </c>
      <c r="E197" s="680" t="s">
        <v>303</v>
      </c>
      <c r="F197" s="681" t="s">
        <v>1368</v>
      </c>
      <c r="G197" s="680" t="s">
        <v>7</v>
      </c>
      <c r="H197" s="3"/>
    </row>
    <row r="198" spans="1:8" ht="15" customHeight="1">
      <c r="A198" s="690" t="s">
        <v>1415</v>
      </c>
      <c r="B198" s="678" t="s">
        <v>1416</v>
      </c>
      <c r="C198" s="679" t="s">
        <v>92</v>
      </c>
      <c r="D198" s="679" t="s">
        <v>97</v>
      </c>
      <c r="E198" s="686" t="s">
        <v>341</v>
      </c>
      <c r="F198" s="686"/>
      <c r="G198" s="680" t="s">
        <v>1154</v>
      </c>
      <c r="H198" s="3"/>
    </row>
    <row r="199" spans="1:8" ht="15" customHeight="1">
      <c r="A199" s="690" t="s">
        <v>1435</v>
      </c>
      <c r="B199" s="678" t="s">
        <v>1374</v>
      </c>
      <c r="C199" s="679" t="s">
        <v>92</v>
      </c>
      <c r="D199" s="679" t="s">
        <v>97</v>
      </c>
      <c r="E199" s="680" t="s">
        <v>303</v>
      </c>
      <c r="F199" s="681" t="s">
        <v>1368</v>
      </c>
      <c r="G199" s="680" t="e">
        <v>#N/A</v>
      </c>
      <c r="H199" s="3"/>
    </row>
    <row r="200" spans="1:8" ht="15" customHeight="1">
      <c r="A200" s="690" t="s">
        <v>1417</v>
      </c>
      <c r="B200" s="678" t="s">
        <v>1418</v>
      </c>
      <c r="C200" s="679" t="s">
        <v>92</v>
      </c>
      <c r="D200" s="679" t="s">
        <v>97</v>
      </c>
      <c r="E200" s="686" t="s">
        <v>341</v>
      </c>
      <c r="F200" s="686"/>
      <c r="G200" s="680" t="s">
        <v>1154</v>
      </c>
      <c r="H200" s="3"/>
    </row>
    <row r="201" spans="1:8" ht="15" customHeight="1">
      <c r="A201" s="678" t="s">
        <v>3380</v>
      </c>
      <c r="B201" s="678" t="s">
        <v>1375</v>
      </c>
      <c r="C201" s="679" t="s">
        <v>92</v>
      </c>
      <c r="D201" s="679" t="s">
        <v>98</v>
      </c>
      <c r="E201" s="680" t="s">
        <v>303</v>
      </c>
      <c r="F201" s="681" t="s">
        <v>1368</v>
      </c>
      <c r="G201" s="682" t="e">
        <v>#N/A</v>
      </c>
      <c r="H201" s="3"/>
    </row>
    <row r="202" spans="1:8" ht="15" customHeight="1">
      <c r="A202" s="1020" t="s">
        <v>977</v>
      </c>
      <c r="B202" s="678" t="s">
        <v>1419</v>
      </c>
      <c r="C202" s="679" t="s">
        <v>92</v>
      </c>
      <c r="D202" s="679" t="s">
        <v>98</v>
      </c>
      <c r="E202" s="686" t="s">
        <v>341</v>
      </c>
      <c r="F202" s="686"/>
      <c r="G202" s="682" t="s">
        <v>1154</v>
      </c>
      <c r="H202" s="3"/>
    </row>
    <row r="203" spans="1:8" ht="15" customHeight="1">
      <c r="A203" s="678" t="s">
        <v>980</v>
      </c>
      <c r="B203" s="678" t="s">
        <v>979</v>
      </c>
      <c r="C203" s="679" t="s">
        <v>92</v>
      </c>
      <c r="D203" s="679" t="s">
        <v>98</v>
      </c>
      <c r="E203" s="680" t="s">
        <v>303</v>
      </c>
      <c r="F203" s="681" t="s">
        <v>1368</v>
      </c>
      <c r="G203" s="682" t="e">
        <v>#N/A</v>
      </c>
      <c r="H203" s="3"/>
    </row>
    <row r="204" spans="1:8" ht="15" customHeight="1">
      <c r="A204" s="690" t="s">
        <v>982</v>
      </c>
      <c r="B204" s="678" t="s">
        <v>981</v>
      </c>
      <c r="C204" s="679" t="s">
        <v>92</v>
      </c>
      <c r="D204" s="679" t="s">
        <v>98</v>
      </c>
      <c r="E204" s="686" t="s">
        <v>341</v>
      </c>
      <c r="F204" s="686"/>
      <c r="G204" s="682" t="s">
        <v>1154</v>
      </c>
      <c r="H204" s="3"/>
    </row>
    <row r="205" spans="1:8" ht="15" customHeight="1">
      <c r="A205" s="690" t="s">
        <v>3353</v>
      </c>
      <c r="B205" s="678" t="s">
        <v>772</v>
      </c>
      <c r="C205" s="679"/>
      <c r="D205" s="679"/>
      <c r="E205" s="680"/>
      <c r="F205" s="681"/>
      <c r="G205" s="682" t="s">
        <v>816</v>
      </c>
      <c r="H205" s="3"/>
    </row>
    <row r="206" spans="1:8" ht="15" customHeight="1">
      <c r="A206" s="690" t="s">
        <v>3349</v>
      </c>
      <c r="B206" s="685" t="s">
        <v>983</v>
      </c>
      <c r="C206" s="679" t="s">
        <v>92</v>
      </c>
      <c r="D206" s="679" t="s">
        <v>98</v>
      </c>
      <c r="E206" s="680" t="s">
        <v>303</v>
      </c>
      <c r="F206" s="681" t="s">
        <v>249</v>
      </c>
      <c r="G206" s="682" t="s">
        <v>963</v>
      </c>
      <c r="H206" s="3"/>
    </row>
    <row r="207" spans="1:8" ht="15" customHeight="1">
      <c r="A207" s="1020" t="s">
        <v>985</v>
      </c>
      <c r="B207" s="685" t="s">
        <v>984</v>
      </c>
      <c r="C207" s="679" t="s">
        <v>92</v>
      </c>
      <c r="D207" s="679" t="s">
        <v>98</v>
      </c>
      <c r="E207" s="686" t="s">
        <v>341</v>
      </c>
      <c r="F207" s="681"/>
      <c r="G207" s="682" t="s">
        <v>1154</v>
      </c>
      <c r="H207" s="3"/>
    </row>
    <row r="208" spans="1:8" ht="15" customHeight="1">
      <c r="A208" s="690" t="s">
        <v>987</v>
      </c>
      <c r="B208" s="678" t="s">
        <v>986</v>
      </c>
      <c r="C208" s="679" t="s">
        <v>92</v>
      </c>
      <c r="D208" s="679" t="s">
        <v>97</v>
      </c>
      <c r="E208" s="680" t="s">
        <v>303</v>
      </c>
      <c r="F208" s="681" t="s">
        <v>1368</v>
      </c>
      <c r="G208" s="682" t="s">
        <v>7</v>
      </c>
      <c r="H208" s="3"/>
    </row>
    <row r="209" spans="1:8" ht="15" customHeight="1">
      <c r="A209" s="690" t="s">
        <v>989</v>
      </c>
      <c r="B209" s="678" t="s">
        <v>988</v>
      </c>
      <c r="C209" s="679" t="s">
        <v>92</v>
      </c>
      <c r="D209" s="679" t="s">
        <v>97</v>
      </c>
      <c r="E209" s="686" t="s">
        <v>341</v>
      </c>
      <c r="F209" s="686"/>
      <c r="G209" s="682" t="s">
        <v>1154</v>
      </c>
      <c r="H209" s="3"/>
    </row>
    <row r="210" spans="1:8" ht="15" customHeight="1">
      <c r="A210" s="690" t="s">
        <v>991</v>
      </c>
      <c r="B210" s="678" t="s">
        <v>990</v>
      </c>
      <c r="C210" s="679" t="s">
        <v>92</v>
      </c>
      <c r="D210" s="679" t="s">
        <v>98</v>
      </c>
      <c r="E210" s="680" t="s">
        <v>303</v>
      </c>
      <c r="F210" s="681" t="s">
        <v>1368</v>
      </c>
      <c r="G210" s="682" t="s">
        <v>963</v>
      </c>
      <c r="H210" s="3"/>
    </row>
    <row r="211" spans="1:8" ht="15" customHeight="1">
      <c r="A211" s="678" t="s">
        <v>993</v>
      </c>
      <c r="B211" s="678" t="s">
        <v>992</v>
      </c>
      <c r="C211" s="679" t="s">
        <v>92</v>
      </c>
      <c r="D211" s="679" t="s">
        <v>98</v>
      </c>
      <c r="E211" s="686" t="s">
        <v>341</v>
      </c>
      <c r="F211" s="686"/>
      <c r="G211" s="682" t="s">
        <v>1154</v>
      </c>
      <c r="H211" s="3"/>
    </row>
    <row r="212" spans="1:8" ht="15" customHeight="1">
      <c r="A212" s="690" t="s">
        <v>1433</v>
      </c>
      <c r="B212" s="678" t="s">
        <v>1376</v>
      </c>
      <c r="C212" s="679" t="s">
        <v>92</v>
      </c>
      <c r="D212" s="679" t="s">
        <v>97</v>
      </c>
      <c r="E212" s="680" t="s">
        <v>303</v>
      </c>
      <c r="F212" s="681" t="s">
        <v>1368</v>
      </c>
      <c r="G212" s="680" t="e">
        <v>#N/A</v>
      </c>
      <c r="H212" s="3"/>
    </row>
    <row r="213" spans="1:8" ht="15" customHeight="1">
      <c r="A213" s="690" t="s">
        <v>1420</v>
      </c>
      <c r="B213" s="678" t="s">
        <v>1421</v>
      </c>
      <c r="C213" s="679" t="s">
        <v>92</v>
      </c>
      <c r="D213" s="679" t="s">
        <v>97</v>
      </c>
      <c r="E213" s="686" t="s">
        <v>341</v>
      </c>
      <c r="F213" s="686"/>
      <c r="G213" s="680" t="s">
        <v>1154</v>
      </c>
      <c r="H213" s="3"/>
    </row>
    <row r="214" spans="1:8" ht="15" customHeight="1">
      <c r="A214" s="690" t="s">
        <v>995</v>
      </c>
      <c r="B214" s="678" t="s">
        <v>994</v>
      </c>
      <c r="C214" s="679" t="s">
        <v>92</v>
      </c>
      <c r="D214" s="679" t="s">
        <v>103</v>
      </c>
      <c r="E214" s="680" t="s">
        <v>303</v>
      </c>
      <c r="F214" s="681" t="s">
        <v>1368</v>
      </c>
      <c r="G214" s="682" t="s">
        <v>963</v>
      </c>
      <c r="H214" s="3"/>
    </row>
    <row r="215" spans="1:8" ht="15" customHeight="1">
      <c r="A215" s="690" t="s">
        <v>997</v>
      </c>
      <c r="B215" s="678" t="s">
        <v>996</v>
      </c>
      <c r="C215" s="679" t="s">
        <v>92</v>
      </c>
      <c r="D215" s="679" t="s">
        <v>103</v>
      </c>
      <c r="E215" s="686" t="s">
        <v>341</v>
      </c>
      <c r="F215" s="686"/>
      <c r="G215" s="682" t="e">
        <v>#N/A</v>
      </c>
      <c r="H215" s="3"/>
    </row>
    <row r="216" spans="1:8" ht="15" customHeight="1">
      <c r="A216" s="690" t="s">
        <v>999</v>
      </c>
      <c r="B216" s="678" t="s">
        <v>998</v>
      </c>
      <c r="C216" s="679" t="s">
        <v>92</v>
      </c>
      <c r="D216" s="679" t="s">
        <v>102</v>
      </c>
      <c r="E216" s="680" t="s">
        <v>303</v>
      </c>
      <c r="F216" s="681" t="s">
        <v>1368</v>
      </c>
      <c r="G216" s="682" t="s">
        <v>7</v>
      </c>
      <c r="H216" s="3"/>
    </row>
    <row r="217" spans="1:8" ht="15" customHeight="1">
      <c r="A217" s="678" t="s">
        <v>1001</v>
      </c>
      <c r="B217" s="678" t="s">
        <v>1000</v>
      </c>
      <c r="C217" s="679" t="s">
        <v>92</v>
      </c>
      <c r="D217" s="679" t="s">
        <v>102</v>
      </c>
      <c r="E217" s="686" t="s">
        <v>341</v>
      </c>
      <c r="F217" s="686"/>
      <c r="G217" s="682" t="s">
        <v>2</v>
      </c>
      <c r="H217" s="3"/>
    </row>
    <row r="218" spans="1:8" ht="15" customHeight="1">
      <c r="A218" s="678" t="s">
        <v>3894</v>
      </c>
      <c r="B218" s="678" t="s">
        <v>3893</v>
      </c>
      <c r="C218" s="679" t="s">
        <v>92</v>
      </c>
      <c r="D218" s="679" t="s">
        <v>98</v>
      </c>
      <c r="E218" s="680" t="s">
        <v>303</v>
      </c>
      <c r="F218" s="681" t="s">
        <v>1368</v>
      </c>
      <c r="G218" s="682" t="e">
        <v>#N/A</v>
      </c>
      <c r="H218" s="3"/>
    </row>
    <row r="219" spans="1:8" ht="15" customHeight="1">
      <c r="A219" s="1156" t="s">
        <v>3898</v>
      </c>
      <c r="B219" s="678" t="s">
        <v>3897</v>
      </c>
      <c r="C219" s="679" t="s">
        <v>92</v>
      </c>
      <c r="D219" s="679" t="s">
        <v>98</v>
      </c>
      <c r="E219" s="686" t="s">
        <v>341</v>
      </c>
      <c r="F219" s="686"/>
      <c r="G219" s="682" t="s">
        <v>1154</v>
      </c>
      <c r="H219" s="3"/>
    </row>
    <row r="220" spans="1:8" ht="15" customHeight="1">
      <c r="A220" s="690" t="s">
        <v>3381</v>
      </c>
      <c r="B220" s="678" t="s">
        <v>1377</v>
      </c>
      <c r="C220" s="679" t="s">
        <v>92</v>
      </c>
      <c r="D220" s="679" t="s">
        <v>97</v>
      </c>
      <c r="E220" s="680" t="s">
        <v>303</v>
      </c>
      <c r="F220" s="681" t="s">
        <v>1368</v>
      </c>
      <c r="G220" s="682" t="s">
        <v>963</v>
      </c>
      <c r="H220" s="3"/>
    </row>
    <row r="221" spans="1:8" ht="15" customHeight="1">
      <c r="A221" s="690" t="s">
        <v>1005</v>
      </c>
      <c r="B221" s="678" t="s">
        <v>1422</v>
      </c>
      <c r="C221" s="679" t="s">
        <v>92</v>
      </c>
      <c r="D221" s="679" t="s">
        <v>97</v>
      </c>
      <c r="E221" s="686" t="s">
        <v>341</v>
      </c>
      <c r="F221" s="686"/>
      <c r="G221" s="682" t="s">
        <v>1154</v>
      </c>
      <c r="H221" s="3"/>
    </row>
    <row r="222" spans="1:8" ht="15" customHeight="1">
      <c r="A222" s="690" t="s">
        <v>3382</v>
      </c>
      <c r="B222" s="678" t="s">
        <v>1378</v>
      </c>
      <c r="C222" s="679" t="s">
        <v>92</v>
      </c>
      <c r="D222" s="679" t="s">
        <v>104</v>
      </c>
      <c r="E222" s="680" t="s">
        <v>303</v>
      </c>
      <c r="F222" s="681" t="s">
        <v>1368</v>
      </c>
      <c r="G222" s="680" t="s">
        <v>7</v>
      </c>
      <c r="H222" s="3"/>
    </row>
    <row r="223" spans="1:8" ht="15" customHeight="1">
      <c r="A223" s="690" t="s">
        <v>1007</v>
      </c>
      <c r="B223" s="678" t="s">
        <v>1006</v>
      </c>
      <c r="C223" s="679" t="s">
        <v>152</v>
      </c>
      <c r="D223" s="679" t="s">
        <v>153</v>
      </c>
      <c r="E223" s="680" t="s">
        <v>303</v>
      </c>
      <c r="F223" s="681" t="s">
        <v>1368</v>
      </c>
      <c r="G223" s="682" t="e">
        <v>#N/A</v>
      </c>
      <c r="H223" s="3"/>
    </row>
    <row r="224" spans="1:8" ht="15" customHeight="1">
      <c r="A224" s="690" t="s">
        <v>1009</v>
      </c>
      <c r="B224" s="678" t="s">
        <v>1008</v>
      </c>
      <c r="C224" s="679" t="s">
        <v>152</v>
      </c>
      <c r="D224" s="679" t="s">
        <v>153</v>
      </c>
      <c r="E224" s="686" t="s">
        <v>341</v>
      </c>
      <c r="F224" s="686"/>
      <c r="G224" s="682" t="s">
        <v>1154</v>
      </c>
      <c r="H224" s="3"/>
    </row>
    <row r="225" spans="1:9" ht="15" customHeight="1">
      <c r="A225" s="690" t="s">
        <v>1905</v>
      </c>
      <c r="B225" s="678" t="s">
        <v>773</v>
      </c>
      <c r="C225" s="679"/>
      <c r="D225" s="679"/>
      <c r="E225" s="680"/>
      <c r="F225" s="681"/>
      <c r="G225" s="682" t="s">
        <v>816</v>
      </c>
      <c r="H225" s="3"/>
    </row>
    <row r="226" spans="1:9" ht="15" customHeight="1">
      <c r="A226" s="690" t="s">
        <v>1011</v>
      </c>
      <c r="B226" s="678" t="s">
        <v>1010</v>
      </c>
      <c r="C226" s="679" t="s">
        <v>152</v>
      </c>
      <c r="D226" s="679" t="s">
        <v>154</v>
      </c>
      <c r="E226" s="680" t="s">
        <v>303</v>
      </c>
      <c r="F226" s="681" t="s">
        <v>1368</v>
      </c>
      <c r="G226" s="682" t="e">
        <v>#N/A</v>
      </c>
      <c r="H226" s="4"/>
    </row>
    <row r="227" spans="1:9" ht="15" customHeight="1">
      <c r="A227" s="690" t="s">
        <v>1013</v>
      </c>
      <c r="B227" s="678" t="s">
        <v>1012</v>
      </c>
      <c r="C227" s="679" t="s">
        <v>152</v>
      </c>
      <c r="D227" s="679" t="s">
        <v>154</v>
      </c>
      <c r="E227" s="686" t="s">
        <v>341</v>
      </c>
      <c r="F227" s="686"/>
      <c r="G227" s="682" t="s">
        <v>1154</v>
      </c>
      <c r="H227" s="3"/>
    </row>
    <row r="228" spans="1:9" ht="15" customHeight="1">
      <c r="A228" s="690" t="s">
        <v>1912</v>
      </c>
      <c r="B228" s="678" t="s">
        <v>774</v>
      </c>
      <c r="C228" s="679"/>
      <c r="D228" s="679"/>
      <c r="E228" s="680"/>
      <c r="F228" s="681"/>
      <c r="G228" s="682" t="e">
        <v>#N/A</v>
      </c>
      <c r="H228" s="3"/>
    </row>
    <row r="229" spans="1:9" ht="15" customHeight="1">
      <c r="A229" s="690" t="s">
        <v>1915</v>
      </c>
      <c r="B229" s="678" t="s">
        <v>775</v>
      </c>
      <c r="C229" s="679"/>
      <c r="D229" s="679"/>
      <c r="E229" s="680"/>
      <c r="F229" s="681"/>
      <c r="G229" s="682" t="s">
        <v>816</v>
      </c>
      <c r="H229" s="3"/>
    </row>
    <row r="230" spans="1:9" ht="15" customHeight="1">
      <c r="A230" s="690" t="s">
        <v>1918</v>
      </c>
      <c r="B230" s="678" t="s">
        <v>776</v>
      </c>
      <c r="C230" s="679"/>
      <c r="D230" s="679"/>
      <c r="E230" s="680"/>
      <c r="F230" s="681"/>
      <c r="G230" s="682" t="e">
        <v>#N/A</v>
      </c>
      <c r="H230" s="3"/>
    </row>
    <row r="231" spans="1:9" ht="15" customHeight="1">
      <c r="A231" s="690" t="s">
        <v>1921</v>
      </c>
      <c r="B231" s="678" t="s">
        <v>777</v>
      </c>
      <c r="C231" s="679"/>
      <c r="D231" s="679"/>
      <c r="E231" s="680"/>
      <c r="F231" s="681"/>
      <c r="G231" s="682" t="s">
        <v>816</v>
      </c>
      <c r="H231" s="3"/>
    </row>
    <row r="232" spans="1:9" ht="15" customHeight="1">
      <c r="A232" s="690" t="s">
        <v>1924</v>
      </c>
      <c r="B232" s="678" t="s">
        <v>778</v>
      </c>
      <c r="C232" s="679"/>
      <c r="D232" s="679"/>
      <c r="E232" s="680"/>
      <c r="F232" s="681"/>
      <c r="G232" s="682" t="s">
        <v>816</v>
      </c>
      <c r="H232" s="3"/>
    </row>
    <row r="233" spans="1:9" ht="15" customHeight="1">
      <c r="A233" s="690" t="s">
        <v>1927</v>
      </c>
      <c r="B233" s="678" t="s">
        <v>779</v>
      </c>
      <c r="C233" s="679"/>
      <c r="D233" s="679"/>
      <c r="E233" s="680"/>
      <c r="F233" s="681"/>
      <c r="G233" s="682" t="e">
        <v>#N/A</v>
      </c>
      <c r="H233" s="3"/>
    </row>
    <row r="234" spans="1:9" ht="15" customHeight="1">
      <c r="A234" s="690" t="s">
        <v>1930</v>
      </c>
      <c r="B234" s="678" t="s">
        <v>780</v>
      </c>
      <c r="C234" s="679"/>
      <c r="D234" s="679"/>
      <c r="E234" s="680"/>
      <c r="F234" s="681"/>
      <c r="G234" s="682" t="e">
        <v>#N/A</v>
      </c>
      <c r="H234" s="3"/>
    </row>
    <row r="235" spans="1:9" ht="15" customHeight="1">
      <c r="A235" s="690" t="s">
        <v>1933</v>
      </c>
      <c r="B235" s="678" t="s">
        <v>1014</v>
      </c>
      <c r="C235" s="679" t="s">
        <v>152</v>
      </c>
      <c r="D235" s="679" t="s">
        <v>3859</v>
      </c>
      <c r="E235" s="680" t="s">
        <v>303</v>
      </c>
      <c r="F235" s="681" t="s">
        <v>1368</v>
      </c>
      <c r="G235" s="682" t="s">
        <v>963</v>
      </c>
      <c r="H235" s="3"/>
      <c r="I235" s="1195" t="s">
        <v>3859</v>
      </c>
    </row>
    <row r="236" spans="1:9" ht="15" customHeight="1">
      <c r="A236" s="690" t="s">
        <v>1017</v>
      </c>
      <c r="B236" s="678" t="s">
        <v>1016</v>
      </c>
      <c r="C236" s="679" t="s">
        <v>152</v>
      </c>
      <c r="D236" s="679" t="s">
        <v>3859</v>
      </c>
      <c r="E236" s="686" t="s">
        <v>341</v>
      </c>
      <c r="F236" s="686"/>
      <c r="G236" s="682" t="s">
        <v>1154</v>
      </c>
      <c r="H236" s="3"/>
    </row>
    <row r="237" spans="1:9" ht="15" customHeight="1">
      <c r="A237" s="690" t="s">
        <v>1939</v>
      </c>
      <c r="B237" s="678" t="s">
        <v>781</v>
      </c>
      <c r="C237" s="679"/>
      <c r="D237" s="679"/>
      <c r="E237" s="680"/>
      <c r="F237" s="681"/>
      <c r="G237" s="682" t="e">
        <v>#N/A</v>
      </c>
      <c r="H237" s="3"/>
    </row>
    <row r="238" spans="1:9" ht="15" customHeight="1">
      <c r="A238" s="690" t="s">
        <v>1942</v>
      </c>
      <c r="B238" s="678" t="s">
        <v>1018</v>
      </c>
      <c r="C238" s="679" t="s">
        <v>152</v>
      </c>
      <c r="D238" s="679" t="s">
        <v>156</v>
      </c>
      <c r="E238" s="680" t="s">
        <v>303</v>
      </c>
      <c r="F238" s="681" t="s">
        <v>1368</v>
      </c>
      <c r="G238" s="682" t="s">
        <v>7</v>
      </c>
      <c r="H238" s="3"/>
    </row>
    <row r="239" spans="1:9" ht="15" customHeight="1">
      <c r="A239" s="690" t="s">
        <v>1021</v>
      </c>
      <c r="B239" s="678" t="s">
        <v>1020</v>
      </c>
      <c r="C239" s="679" t="s">
        <v>152</v>
      </c>
      <c r="D239" s="679" t="s">
        <v>156</v>
      </c>
      <c r="E239" s="686" t="s">
        <v>341</v>
      </c>
      <c r="F239" s="686"/>
      <c r="G239" s="682" t="s">
        <v>1154</v>
      </c>
      <c r="H239" s="3"/>
    </row>
    <row r="240" spans="1:9" ht="15" customHeight="1">
      <c r="A240" s="690" t="s">
        <v>1947</v>
      </c>
      <c r="B240" s="678" t="s">
        <v>782</v>
      </c>
      <c r="C240" s="679"/>
      <c r="D240" s="679"/>
      <c r="E240" s="680"/>
      <c r="F240" s="681"/>
      <c r="G240" s="682" t="e">
        <v>#N/A</v>
      </c>
      <c r="H240" s="3"/>
    </row>
    <row r="241" spans="1:8" ht="15" customHeight="1">
      <c r="A241" s="690" t="s">
        <v>1950</v>
      </c>
      <c r="B241" s="678" t="s">
        <v>783</v>
      </c>
      <c r="C241" s="679"/>
      <c r="D241" s="679"/>
      <c r="E241" s="680"/>
      <c r="F241" s="681"/>
      <c r="G241" s="682" t="s">
        <v>816</v>
      </c>
      <c r="H241" s="3"/>
    </row>
    <row r="242" spans="1:8" ht="15" customHeight="1">
      <c r="A242" s="690" t="s">
        <v>3354</v>
      </c>
      <c r="B242" s="678" t="s">
        <v>1333</v>
      </c>
      <c r="C242" s="679"/>
      <c r="D242" s="679"/>
      <c r="E242" s="680"/>
      <c r="F242" s="681"/>
      <c r="G242" s="682" t="e">
        <v>#N/A</v>
      </c>
      <c r="H242" s="3"/>
    </row>
    <row r="243" spans="1:8" ht="15" customHeight="1">
      <c r="A243" s="690" t="s">
        <v>1023</v>
      </c>
      <c r="B243" s="678" t="s">
        <v>1022</v>
      </c>
      <c r="C243" s="679" t="s">
        <v>161</v>
      </c>
      <c r="D243" s="679" t="s">
        <v>164</v>
      </c>
      <c r="E243" s="680" t="s">
        <v>303</v>
      </c>
      <c r="F243" s="681" t="s">
        <v>1368</v>
      </c>
      <c r="G243" s="682" t="s">
        <v>963</v>
      </c>
      <c r="H243" s="4"/>
    </row>
    <row r="244" spans="1:8" ht="15" customHeight="1">
      <c r="A244" s="690" t="s">
        <v>1024</v>
      </c>
      <c r="B244" s="678" t="s">
        <v>1022</v>
      </c>
      <c r="C244" s="679" t="s">
        <v>161</v>
      </c>
      <c r="D244" s="679" t="s">
        <v>164</v>
      </c>
      <c r="E244" s="686" t="s">
        <v>341</v>
      </c>
      <c r="F244" s="686"/>
      <c r="G244" s="682" t="s">
        <v>1154</v>
      </c>
      <c r="H244" s="3"/>
    </row>
    <row r="245" spans="1:8" ht="15" customHeight="1">
      <c r="A245" s="690" t="s">
        <v>1026</v>
      </c>
      <c r="B245" s="678" t="s">
        <v>1025</v>
      </c>
      <c r="C245" s="679" t="s">
        <v>161</v>
      </c>
      <c r="D245" s="679" t="s">
        <v>168</v>
      </c>
      <c r="E245" s="680" t="s">
        <v>303</v>
      </c>
      <c r="F245" s="681" t="s">
        <v>1368</v>
      </c>
      <c r="G245" s="682" t="s">
        <v>7</v>
      </c>
      <c r="H245" s="3"/>
    </row>
    <row r="246" spans="1:8" ht="15" customHeight="1">
      <c r="A246" s="690" t="s">
        <v>1423</v>
      </c>
      <c r="B246" s="678" t="s">
        <v>1424</v>
      </c>
      <c r="C246" s="679" t="s">
        <v>161</v>
      </c>
      <c r="D246" s="679" t="s">
        <v>168</v>
      </c>
      <c r="E246" s="686" t="s">
        <v>341</v>
      </c>
      <c r="F246" s="686"/>
      <c r="G246" s="680" t="e">
        <v>#N/A</v>
      </c>
      <c r="H246" s="3"/>
    </row>
    <row r="247" spans="1:8" ht="15" customHeight="1">
      <c r="A247" s="690" t="s">
        <v>1028</v>
      </c>
      <c r="B247" s="678" t="s">
        <v>1027</v>
      </c>
      <c r="C247" s="679" t="s">
        <v>161</v>
      </c>
      <c r="D247" s="679" t="s">
        <v>166</v>
      </c>
      <c r="E247" s="680" t="s">
        <v>303</v>
      </c>
      <c r="F247" s="681" t="s">
        <v>1368</v>
      </c>
      <c r="G247" s="682" t="s">
        <v>963</v>
      </c>
      <c r="H247" s="3"/>
    </row>
    <row r="248" spans="1:8" ht="15" customHeight="1">
      <c r="A248" s="690" t="s">
        <v>1029</v>
      </c>
      <c r="B248" s="678" t="s">
        <v>1027</v>
      </c>
      <c r="C248" s="679" t="s">
        <v>161</v>
      </c>
      <c r="D248" s="679" t="s">
        <v>166</v>
      </c>
      <c r="E248" s="686" t="s">
        <v>341</v>
      </c>
      <c r="F248" s="686"/>
      <c r="G248" s="682" t="e">
        <v>#N/A</v>
      </c>
      <c r="H248" s="3"/>
    </row>
    <row r="249" spans="1:8" ht="15" customHeight="1">
      <c r="A249" s="678" t="s">
        <v>1031</v>
      </c>
      <c r="B249" s="678" t="s">
        <v>1030</v>
      </c>
      <c r="C249" s="679" t="s">
        <v>161</v>
      </c>
      <c r="D249" s="679" t="s">
        <v>167</v>
      </c>
      <c r="E249" s="680" t="s">
        <v>303</v>
      </c>
      <c r="F249" s="681" t="s">
        <v>1368</v>
      </c>
      <c r="G249" s="682" t="s">
        <v>7</v>
      </c>
      <c r="H249" s="3"/>
    </row>
    <row r="250" spans="1:8" ht="15" customHeight="1">
      <c r="A250" s="690" t="s">
        <v>1032</v>
      </c>
      <c r="B250" s="678" t="s">
        <v>1030</v>
      </c>
      <c r="C250" s="679" t="s">
        <v>161</v>
      </c>
      <c r="D250" s="679" t="s">
        <v>167</v>
      </c>
      <c r="E250" s="686" t="s">
        <v>341</v>
      </c>
      <c r="F250" s="686"/>
      <c r="G250" s="682" t="e">
        <v>#N/A</v>
      </c>
      <c r="H250" s="3"/>
    </row>
    <row r="251" spans="1:8" ht="15" customHeight="1">
      <c r="A251" s="678" t="s">
        <v>1969</v>
      </c>
      <c r="B251" s="688" t="s">
        <v>1379</v>
      </c>
      <c r="C251" s="679" t="s">
        <v>161</v>
      </c>
      <c r="D251" s="679" t="s">
        <v>164</v>
      </c>
      <c r="E251" s="680" t="s">
        <v>303</v>
      </c>
      <c r="F251" s="681" t="s">
        <v>1368</v>
      </c>
      <c r="G251" s="680" t="s">
        <v>963</v>
      </c>
      <c r="H251" s="3"/>
    </row>
    <row r="252" spans="1:8" ht="15" customHeight="1">
      <c r="A252" s="690" t="s">
        <v>1425</v>
      </c>
      <c r="B252" s="678" t="s">
        <v>1426</v>
      </c>
      <c r="C252" s="679" t="s">
        <v>161</v>
      </c>
      <c r="D252" s="679" t="s">
        <v>164</v>
      </c>
      <c r="E252" s="686" t="s">
        <v>341</v>
      </c>
      <c r="F252" s="686"/>
      <c r="G252" s="680" t="e">
        <v>#N/A</v>
      </c>
      <c r="H252" s="3"/>
    </row>
    <row r="253" spans="1:8" ht="15" customHeight="1">
      <c r="A253" s="690" t="s">
        <v>3425</v>
      </c>
      <c r="B253" s="678" t="s">
        <v>3424</v>
      </c>
      <c r="C253" s="679" t="s">
        <v>161</v>
      </c>
      <c r="D253" s="679" t="s">
        <v>167</v>
      </c>
      <c r="E253" s="680" t="s">
        <v>303</v>
      </c>
      <c r="F253" s="681" t="s">
        <v>1368</v>
      </c>
      <c r="G253" s="680" t="e">
        <v>#N/A</v>
      </c>
      <c r="H253" s="3"/>
    </row>
    <row r="254" spans="1:8" ht="15" customHeight="1">
      <c r="A254" s="690" t="s">
        <v>1974</v>
      </c>
      <c r="B254" s="678" t="s">
        <v>1033</v>
      </c>
      <c r="C254" s="679" t="s">
        <v>180</v>
      </c>
      <c r="D254" s="679" t="s">
        <v>192</v>
      </c>
      <c r="E254" s="680" t="s">
        <v>303</v>
      </c>
      <c r="F254" s="681" t="s">
        <v>1368</v>
      </c>
      <c r="G254" s="682" t="s">
        <v>7</v>
      </c>
      <c r="H254" s="3"/>
    </row>
    <row r="255" spans="1:8" ht="15" customHeight="1">
      <c r="A255" s="690" t="s">
        <v>1035</v>
      </c>
      <c r="B255" s="678" t="s">
        <v>1033</v>
      </c>
      <c r="C255" s="679" t="s">
        <v>180</v>
      </c>
      <c r="D255" s="679" t="s">
        <v>192</v>
      </c>
      <c r="E255" s="686" t="s">
        <v>341</v>
      </c>
      <c r="F255" s="686"/>
      <c r="G255" s="682" t="e">
        <v>#N/A</v>
      </c>
      <c r="H255" s="3"/>
    </row>
    <row r="256" spans="1:8" ht="15" customHeight="1">
      <c r="A256" s="690" t="s">
        <v>1037</v>
      </c>
      <c r="B256" s="678" t="s">
        <v>1036</v>
      </c>
      <c r="C256" s="679" t="s">
        <v>161</v>
      </c>
      <c r="D256" s="679" t="s">
        <v>172</v>
      </c>
      <c r="E256" s="680" t="s">
        <v>303</v>
      </c>
      <c r="F256" s="681" t="s">
        <v>1368</v>
      </c>
      <c r="G256" s="682" t="e">
        <v>#N/A</v>
      </c>
      <c r="H256" s="3"/>
    </row>
    <row r="257" spans="1:8" ht="15" customHeight="1">
      <c r="A257" s="690" t="s">
        <v>1038</v>
      </c>
      <c r="B257" s="678" t="s">
        <v>1036</v>
      </c>
      <c r="C257" s="679" t="s">
        <v>161</v>
      </c>
      <c r="D257" s="679" t="s">
        <v>172</v>
      </c>
      <c r="E257" s="686" t="s">
        <v>341</v>
      </c>
      <c r="F257" s="686"/>
      <c r="G257" s="682" t="s">
        <v>1285</v>
      </c>
      <c r="H257" s="3"/>
    </row>
    <row r="258" spans="1:8" ht="15" customHeight="1">
      <c r="A258" s="690" t="s">
        <v>1040</v>
      </c>
      <c r="B258" s="678" t="s">
        <v>1039</v>
      </c>
      <c r="C258" s="679" t="s">
        <v>161</v>
      </c>
      <c r="D258" s="679" t="s">
        <v>172</v>
      </c>
      <c r="E258" s="680" t="s">
        <v>303</v>
      </c>
      <c r="F258" s="681" t="s">
        <v>1368</v>
      </c>
      <c r="G258" s="682" t="s">
        <v>963</v>
      </c>
      <c r="H258" s="3"/>
    </row>
    <row r="259" spans="1:8" ht="15" customHeight="1">
      <c r="A259" s="690" t="s">
        <v>1042</v>
      </c>
      <c r="B259" s="678" t="s">
        <v>1041</v>
      </c>
      <c r="C259" s="679" t="s">
        <v>161</v>
      </c>
      <c r="D259" s="679" t="s">
        <v>172</v>
      </c>
      <c r="E259" s="686" t="s">
        <v>341</v>
      </c>
      <c r="F259" s="686"/>
      <c r="G259" s="682" t="s">
        <v>1285</v>
      </c>
      <c r="H259" s="3"/>
    </row>
    <row r="260" spans="1:8" ht="15" customHeight="1">
      <c r="A260" s="690" t="s">
        <v>1044</v>
      </c>
      <c r="B260" s="678" t="s">
        <v>1043</v>
      </c>
      <c r="C260" s="679" t="s">
        <v>161</v>
      </c>
      <c r="D260" s="679" t="s">
        <v>172</v>
      </c>
      <c r="E260" s="680" t="s">
        <v>303</v>
      </c>
      <c r="F260" s="681" t="s">
        <v>1368</v>
      </c>
      <c r="G260" s="682" t="s">
        <v>7</v>
      </c>
      <c r="H260" s="3"/>
    </row>
    <row r="261" spans="1:8" ht="15" customHeight="1">
      <c r="A261" s="690" t="s">
        <v>1046</v>
      </c>
      <c r="B261" s="678" t="s">
        <v>1045</v>
      </c>
      <c r="C261" s="679" t="s">
        <v>161</v>
      </c>
      <c r="D261" s="679" t="s">
        <v>172</v>
      </c>
      <c r="E261" s="686" t="s">
        <v>341</v>
      </c>
      <c r="F261" s="686"/>
      <c r="G261" s="682" t="e">
        <v>#N/A</v>
      </c>
      <c r="H261" s="3"/>
    </row>
    <row r="262" spans="1:8" ht="15" customHeight="1">
      <c r="A262" s="690" t="s">
        <v>3334</v>
      </c>
      <c r="B262" s="678" t="s">
        <v>1047</v>
      </c>
      <c r="C262" s="679" t="s">
        <v>176</v>
      </c>
      <c r="D262" s="679" t="s">
        <v>177</v>
      </c>
      <c r="E262" s="680" t="s">
        <v>303</v>
      </c>
      <c r="F262" s="681" t="s">
        <v>1368</v>
      </c>
      <c r="G262" s="682" t="s">
        <v>963</v>
      </c>
      <c r="H262" s="3"/>
    </row>
    <row r="263" spans="1:8" ht="15" customHeight="1">
      <c r="A263" s="1020" t="s">
        <v>1049</v>
      </c>
      <c r="B263" s="678" t="s">
        <v>1048</v>
      </c>
      <c r="C263" s="679" t="s">
        <v>176</v>
      </c>
      <c r="D263" s="679" t="s">
        <v>177</v>
      </c>
      <c r="E263" s="686" t="s">
        <v>341</v>
      </c>
      <c r="F263" s="686"/>
      <c r="G263" s="682" t="e">
        <v>#N/A</v>
      </c>
      <c r="H263" s="3"/>
    </row>
    <row r="264" spans="1:8" ht="15" customHeight="1">
      <c r="A264" s="690" t="s">
        <v>3427</v>
      </c>
      <c r="B264" s="678" t="s">
        <v>3426</v>
      </c>
      <c r="C264" s="679" t="s">
        <v>161</v>
      </c>
      <c r="D264" s="679" t="s">
        <v>173</v>
      </c>
      <c r="E264" s="680" t="s">
        <v>303</v>
      </c>
      <c r="F264" s="681" t="s">
        <v>1368</v>
      </c>
      <c r="G264" s="682" t="s">
        <v>7</v>
      </c>
      <c r="H264" s="3"/>
    </row>
    <row r="265" spans="1:8" ht="15" customHeight="1">
      <c r="A265" s="1020" t="s">
        <v>3431</v>
      </c>
      <c r="B265" s="678" t="s">
        <v>3430</v>
      </c>
      <c r="C265" s="679" t="s">
        <v>161</v>
      </c>
      <c r="D265" s="679" t="s">
        <v>173</v>
      </c>
      <c r="E265" s="686" t="s">
        <v>341</v>
      </c>
      <c r="F265" s="686"/>
      <c r="G265" s="682" t="s">
        <v>7</v>
      </c>
      <c r="H265" s="3"/>
    </row>
    <row r="266" spans="1:8" ht="15" customHeight="1">
      <c r="A266" s="690" t="s">
        <v>1051</v>
      </c>
      <c r="B266" s="678" t="s">
        <v>1050</v>
      </c>
      <c r="C266" s="679" t="s">
        <v>176</v>
      </c>
      <c r="D266" s="679" t="s">
        <v>177</v>
      </c>
      <c r="E266" s="680" t="s">
        <v>303</v>
      </c>
      <c r="F266" s="681" t="s">
        <v>1368</v>
      </c>
      <c r="G266" s="682" t="s">
        <v>1285</v>
      </c>
      <c r="H266" s="3"/>
    </row>
    <row r="267" spans="1:8" ht="15" customHeight="1">
      <c r="A267" s="690" t="s">
        <v>1053</v>
      </c>
      <c r="B267" s="678" t="s">
        <v>1052</v>
      </c>
      <c r="C267" s="679" t="s">
        <v>176</v>
      </c>
      <c r="D267" s="679" t="s">
        <v>177</v>
      </c>
      <c r="E267" s="686" t="s">
        <v>341</v>
      </c>
      <c r="F267" s="686"/>
      <c r="G267" s="682" t="s">
        <v>7</v>
      </c>
      <c r="H267" s="3"/>
    </row>
    <row r="268" spans="1:8" ht="15" customHeight="1">
      <c r="A268" s="690" t="s">
        <v>1055</v>
      </c>
      <c r="B268" s="678" t="s">
        <v>1054</v>
      </c>
      <c r="C268" s="679" t="s">
        <v>176</v>
      </c>
      <c r="D268" s="679" t="s">
        <v>177</v>
      </c>
      <c r="E268" s="680" t="s">
        <v>303</v>
      </c>
      <c r="F268" s="681" t="s">
        <v>1368</v>
      </c>
      <c r="G268" s="682" t="s">
        <v>1285</v>
      </c>
      <c r="H268" s="3"/>
    </row>
    <row r="269" spans="1:8" ht="15" customHeight="1">
      <c r="A269" s="690" t="s">
        <v>1057</v>
      </c>
      <c r="B269" s="678" t="s">
        <v>1056</v>
      </c>
      <c r="C269" s="679" t="s">
        <v>176</v>
      </c>
      <c r="D269" s="679" t="s">
        <v>177</v>
      </c>
      <c r="E269" s="686" t="s">
        <v>341</v>
      </c>
      <c r="F269" s="686"/>
      <c r="G269" s="682" t="s">
        <v>7</v>
      </c>
      <c r="H269" s="3"/>
    </row>
    <row r="270" spans="1:8" ht="15" customHeight="1">
      <c r="A270" s="690" t="s">
        <v>1059</v>
      </c>
      <c r="B270" s="678" t="s">
        <v>1058</v>
      </c>
      <c r="C270" s="679" t="s">
        <v>176</v>
      </c>
      <c r="D270" s="679" t="s">
        <v>177</v>
      </c>
      <c r="E270" s="680" t="s">
        <v>303</v>
      </c>
      <c r="F270" s="681" t="s">
        <v>1368</v>
      </c>
      <c r="G270" s="682" t="s">
        <v>1285</v>
      </c>
      <c r="H270" s="3"/>
    </row>
    <row r="271" spans="1:8" ht="15" customHeight="1">
      <c r="A271" s="678" t="s">
        <v>1061</v>
      </c>
      <c r="B271" s="678" t="s">
        <v>1060</v>
      </c>
      <c r="C271" s="679" t="s">
        <v>176</v>
      </c>
      <c r="D271" s="679" t="s">
        <v>177</v>
      </c>
      <c r="E271" s="686" t="s">
        <v>341</v>
      </c>
      <c r="F271" s="686"/>
      <c r="G271" s="682" t="s">
        <v>7</v>
      </c>
      <c r="H271" s="3"/>
    </row>
    <row r="272" spans="1:8" ht="15" customHeight="1">
      <c r="A272" s="690" t="s">
        <v>1063</v>
      </c>
      <c r="B272" s="678" t="s">
        <v>1062</v>
      </c>
      <c r="C272" s="679" t="s">
        <v>180</v>
      </c>
      <c r="D272" s="679" t="s">
        <v>182</v>
      </c>
      <c r="E272" s="680" t="s">
        <v>303</v>
      </c>
      <c r="F272" s="681" t="s">
        <v>1368</v>
      </c>
      <c r="G272" s="682" t="s">
        <v>963</v>
      </c>
      <c r="H272" s="3"/>
    </row>
    <row r="273" spans="1:8" ht="15" customHeight="1">
      <c r="A273" s="690" t="s">
        <v>1065</v>
      </c>
      <c r="B273" s="678" t="s">
        <v>1064</v>
      </c>
      <c r="C273" s="679" t="s">
        <v>180</v>
      </c>
      <c r="D273" s="679" t="s">
        <v>182</v>
      </c>
      <c r="E273" s="686" t="s">
        <v>341</v>
      </c>
      <c r="F273" s="686"/>
      <c r="G273" s="682" t="e">
        <v>#N/A</v>
      </c>
      <c r="H273" s="3"/>
    </row>
    <row r="274" spans="1:8" ht="15" customHeight="1">
      <c r="A274" s="690" t="s">
        <v>1067</v>
      </c>
      <c r="B274" s="678" t="s">
        <v>1066</v>
      </c>
      <c r="C274" s="679" t="s">
        <v>161</v>
      </c>
      <c r="D274" s="679" t="s">
        <v>164</v>
      </c>
      <c r="E274" s="680" t="s">
        <v>303</v>
      </c>
      <c r="F274" s="681" t="s">
        <v>1368</v>
      </c>
      <c r="G274" s="682" t="s">
        <v>7</v>
      </c>
      <c r="H274" s="3"/>
    </row>
    <row r="275" spans="1:8" ht="15" customHeight="1">
      <c r="A275" s="690" t="s">
        <v>1069</v>
      </c>
      <c r="B275" s="678" t="s">
        <v>1068</v>
      </c>
      <c r="C275" s="679" t="s">
        <v>180</v>
      </c>
      <c r="D275" s="679" t="s">
        <v>184</v>
      </c>
      <c r="E275" s="680" t="s">
        <v>303</v>
      </c>
      <c r="F275" s="681" t="s">
        <v>1368</v>
      </c>
      <c r="G275" s="682" t="s">
        <v>963</v>
      </c>
      <c r="H275" s="3"/>
    </row>
    <row r="276" spans="1:8" ht="15" customHeight="1">
      <c r="A276" s="690" t="s">
        <v>1071</v>
      </c>
      <c r="B276" s="678" t="s">
        <v>1070</v>
      </c>
      <c r="C276" s="679" t="s">
        <v>180</v>
      </c>
      <c r="D276" s="679" t="s">
        <v>184</v>
      </c>
      <c r="E276" s="686" t="s">
        <v>341</v>
      </c>
      <c r="F276" s="681"/>
      <c r="G276" s="682" t="s">
        <v>1285</v>
      </c>
      <c r="H276" s="3"/>
    </row>
    <row r="277" spans="1:8" ht="15" customHeight="1">
      <c r="A277" s="690" t="s">
        <v>3417</v>
      </c>
      <c r="B277" s="678" t="s">
        <v>1066</v>
      </c>
      <c r="C277" s="679" t="s">
        <v>161</v>
      </c>
      <c r="D277" s="679" t="s">
        <v>167</v>
      </c>
      <c r="E277" s="680" t="s">
        <v>303</v>
      </c>
      <c r="F277" s="681" t="s">
        <v>1368</v>
      </c>
      <c r="G277" s="682" t="s">
        <v>7</v>
      </c>
      <c r="H277" s="3"/>
    </row>
    <row r="278" spans="1:8" ht="15" customHeight="1">
      <c r="A278" s="690" t="s">
        <v>1073</v>
      </c>
      <c r="B278" s="678" t="s">
        <v>1072</v>
      </c>
      <c r="C278" s="679" t="s">
        <v>180</v>
      </c>
      <c r="D278" s="679" t="s">
        <v>185</v>
      </c>
      <c r="E278" s="680" t="s">
        <v>303</v>
      </c>
      <c r="F278" s="681" t="s">
        <v>1368</v>
      </c>
      <c r="G278" s="682" t="s">
        <v>963</v>
      </c>
      <c r="H278" s="3"/>
    </row>
    <row r="279" spans="1:8" ht="15" customHeight="1">
      <c r="A279" s="690" t="s">
        <v>1075</v>
      </c>
      <c r="B279" s="678" t="s">
        <v>1074</v>
      </c>
      <c r="C279" s="679" t="s">
        <v>180</v>
      </c>
      <c r="D279" s="679" t="s">
        <v>185</v>
      </c>
      <c r="E279" s="686" t="s">
        <v>341</v>
      </c>
      <c r="F279" s="681"/>
      <c r="G279" s="682" t="s">
        <v>7</v>
      </c>
      <c r="H279" s="3"/>
    </row>
    <row r="280" spans="1:8" ht="15" customHeight="1">
      <c r="A280" s="690" t="s">
        <v>1076</v>
      </c>
      <c r="B280" s="678" t="s">
        <v>1066</v>
      </c>
      <c r="C280" s="679" t="s">
        <v>161</v>
      </c>
      <c r="D280" s="679" t="s">
        <v>167</v>
      </c>
      <c r="E280" s="680" t="s">
        <v>303</v>
      </c>
      <c r="F280" s="681" t="s">
        <v>1368</v>
      </c>
      <c r="G280" s="682" t="s">
        <v>7</v>
      </c>
      <c r="H280" s="3"/>
    </row>
    <row r="281" spans="1:8" ht="15" customHeight="1">
      <c r="A281" s="690" t="s">
        <v>1142</v>
      </c>
      <c r="B281" s="678" t="s">
        <v>1077</v>
      </c>
      <c r="C281" s="679" t="s">
        <v>180</v>
      </c>
      <c r="D281" s="679" t="s">
        <v>182</v>
      </c>
      <c r="E281" s="680" t="s">
        <v>303</v>
      </c>
      <c r="F281" s="681" t="s">
        <v>1368</v>
      </c>
      <c r="G281" s="682" t="s">
        <v>963</v>
      </c>
      <c r="H281" s="3"/>
    </row>
    <row r="282" spans="1:8" ht="15" customHeight="1">
      <c r="A282" s="678" t="s">
        <v>1080</v>
      </c>
      <c r="B282" s="678" t="s">
        <v>1079</v>
      </c>
      <c r="C282" s="679" t="s">
        <v>180</v>
      </c>
      <c r="D282" s="679" t="s">
        <v>182</v>
      </c>
      <c r="E282" s="686" t="s">
        <v>341</v>
      </c>
      <c r="F282" s="681"/>
      <c r="G282" s="682" t="s">
        <v>1285</v>
      </c>
      <c r="H282" s="3"/>
    </row>
    <row r="283" spans="1:8" ht="15" customHeight="1">
      <c r="A283" s="690" t="s">
        <v>3383</v>
      </c>
      <c r="B283" s="678" t="s">
        <v>1081</v>
      </c>
      <c r="C283" s="679" t="s">
        <v>180</v>
      </c>
      <c r="D283" s="679" t="s">
        <v>185</v>
      </c>
      <c r="E283" s="680" t="s">
        <v>303</v>
      </c>
      <c r="F283" s="681" t="s">
        <v>1368</v>
      </c>
      <c r="G283" s="682" t="s">
        <v>7</v>
      </c>
      <c r="H283" s="3"/>
    </row>
    <row r="284" spans="1:8" ht="15" customHeight="1">
      <c r="A284" s="1036" t="s">
        <v>1083</v>
      </c>
      <c r="B284" s="678" t="s">
        <v>1082</v>
      </c>
      <c r="C284" s="679" t="s">
        <v>180</v>
      </c>
      <c r="D284" s="679" t="s">
        <v>185</v>
      </c>
      <c r="E284" s="686" t="s">
        <v>341</v>
      </c>
      <c r="F284" s="681"/>
      <c r="G284" s="682" t="s">
        <v>7</v>
      </c>
      <c r="H284" s="3"/>
    </row>
    <row r="285" spans="1:8" ht="15" customHeight="1">
      <c r="A285" s="678" t="s">
        <v>2022</v>
      </c>
      <c r="B285" s="678" t="s">
        <v>1077</v>
      </c>
      <c r="C285" s="679" t="s">
        <v>180</v>
      </c>
      <c r="D285" s="679" t="s">
        <v>182</v>
      </c>
      <c r="E285" s="680" t="s">
        <v>303</v>
      </c>
      <c r="F285" s="681" t="s">
        <v>1368</v>
      </c>
      <c r="G285" s="680" t="s">
        <v>963</v>
      </c>
      <c r="H285" s="3"/>
    </row>
    <row r="286" spans="1:8" ht="15" customHeight="1">
      <c r="A286" s="690" t="s">
        <v>1427</v>
      </c>
      <c r="B286" s="678" t="s">
        <v>1428</v>
      </c>
      <c r="C286" s="679" t="s">
        <v>180</v>
      </c>
      <c r="D286" s="679" t="s">
        <v>182</v>
      </c>
      <c r="E286" s="686" t="s">
        <v>341</v>
      </c>
      <c r="F286" s="681"/>
      <c r="G286" s="680" t="s">
        <v>1285</v>
      </c>
      <c r="H286" s="3"/>
    </row>
    <row r="287" spans="1:8" ht="15" customHeight="1">
      <c r="A287" s="690" t="s">
        <v>1086</v>
      </c>
      <c r="B287" s="678" t="s">
        <v>1085</v>
      </c>
      <c r="C287" s="679" t="s">
        <v>180</v>
      </c>
      <c r="D287" s="679" t="s">
        <v>183</v>
      </c>
      <c r="E287" s="680" t="s">
        <v>303</v>
      </c>
      <c r="F287" s="681" t="s">
        <v>1368</v>
      </c>
      <c r="G287" s="682" t="s">
        <v>963</v>
      </c>
      <c r="H287" s="3"/>
    </row>
    <row r="288" spans="1:8" ht="15" customHeight="1">
      <c r="A288" s="690" t="s">
        <v>1088</v>
      </c>
      <c r="B288" s="678" t="s">
        <v>1087</v>
      </c>
      <c r="C288" s="679" t="s">
        <v>180</v>
      </c>
      <c r="D288" s="679" t="s">
        <v>183</v>
      </c>
      <c r="E288" s="686" t="s">
        <v>341</v>
      </c>
      <c r="F288" s="681"/>
      <c r="G288" s="682" t="s">
        <v>7</v>
      </c>
      <c r="H288" s="3"/>
    </row>
    <row r="289" spans="1:8" ht="15" customHeight="1">
      <c r="A289" s="690" t="s">
        <v>1090</v>
      </c>
      <c r="B289" s="685" t="s">
        <v>1089</v>
      </c>
      <c r="C289" s="679" t="s">
        <v>180</v>
      </c>
      <c r="D289" s="679" t="s">
        <v>183</v>
      </c>
      <c r="E289" s="680" t="s">
        <v>303</v>
      </c>
      <c r="F289" s="681" t="s">
        <v>1368</v>
      </c>
      <c r="G289" s="682" t="s">
        <v>7</v>
      </c>
      <c r="H289" s="3"/>
    </row>
    <row r="290" spans="1:8" ht="15" customHeight="1">
      <c r="A290" s="690" t="s">
        <v>1092</v>
      </c>
      <c r="B290" s="685" t="s">
        <v>1091</v>
      </c>
      <c r="C290" s="679" t="s">
        <v>180</v>
      </c>
      <c r="D290" s="679" t="s">
        <v>183</v>
      </c>
      <c r="E290" s="686" t="s">
        <v>341</v>
      </c>
      <c r="F290" s="681"/>
      <c r="G290" s="682" t="s">
        <v>1285</v>
      </c>
      <c r="H290" s="3"/>
    </row>
    <row r="291" spans="1:8" ht="15" customHeight="1">
      <c r="A291" s="678" t="s">
        <v>1094</v>
      </c>
      <c r="B291" s="685" t="s">
        <v>1093</v>
      </c>
      <c r="C291" s="679" t="s">
        <v>180</v>
      </c>
      <c r="D291" s="679" t="s">
        <v>183</v>
      </c>
      <c r="E291" s="680" t="s">
        <v>303</v>
      </c>
      <c r="F291" s="681" t="s">
        <v>1368</v>
      </c>
      <c r="G291" s="682" t="e">
        <v>#N/A</v>
      </c>
      <c r="H291" s="3"/>
    </row>
    <row r="292" spans="1:8" ht="15" customHeight="1">
      <c r="A292" s="690" t="s">
        <v>1096</v>
      </c>
      <c r="B292" s="685" t="s">
        <v>1095</v>
      </c>
      <c r="C292" s="679" t="s">
        <v>180</v>
      </c>
      <c r="D292" s="679" t="s">
        <v>183</v>
      </c>
      <c r="E292" s="686" t="s">
        <v>341</v>
      </c>
      <c r="F292" s="681"/>
      <c r="G292" s="682" t="s">
        <v>7</v>
      </c>
      <c r="H292" s="3"/>
    </row>
    <row r="293" spans="1:8" ht="15" customHeight="1">
      <c r="A293" s="690" t="s">
        <v>1098</v>
      </c>
      <c r="B293" s="685" t="s">
        <v>1097</v>
      </c>
      <c r="C293" s="679" t="s">
        <v>180</v>
      </c>
      <c r="D293" s="679" t="s">
        <v>186</v>
      </c>
      <c r="E293" s="680" t="s">
        <v>303</v>
      </c>
      <c r="F293" s="681" t="s">
        <v>1368</v>
      </c>
      <c r="G293" s="682" t="e">
        <v>#N/A</v>
      </c>
      <c r="H293" s="3"/>
    </row>
    <row r="294" spans="1:8" ht="15" customHeight="1">
      <c r="A294" s="690" t="s">
        <v>1100</v>
      </c>
      <c r="B294" s="685" t="s">
        <v>1099</v>
      </c>
      <c r="C294" s="679" t="s">
        <v>180</v>
      </c>
      <c r="D294" s="679" t="s">
        <v>186</v>
      </c>
      <c r="E294" s="686" t="s">
        <v>341</v>
      </c>
      <c r="F294" s="681"/>
      <c r="G294" s="682" t="s">
        <v>1285</v>
      </c>
      <c r="H294" s="3"/>
    </row>
    <row r="295" spans="1:8" ht="15" customHeight="1">
      <c r="A295" s="690" t="s">
        <v>1102</v>
      </c>
      <c r="B295" s="685" t="s">
        <v>1101</v>
      </c>
      <c r="C295" s="679" t="s">
        <v>180</v>
      </c>
      <c r="D295" s="679" t="s">
        <v>187</v>
      </c>
      <c r="E295" s="680" t="s">
        <v>303</v>
      </c>
      <c r="F295" s="681" t="s">
        <v>1368</v>
      </c>
      <c r="G295" s="682" t="e">
        <v>#N/A</v>
      </c>
      <c r="H295" s="3"/>
    </row>
    <row r="296" spans="1:8" ht="15" customHeight="1">
      <c r="A296" s="690" t="s">
        <v>1104</v>
      </c>
      <c r="B296" s="685" t="s">
        <v>1103</v>
      </c>
      <c r="C296" s="679" t="s">
        <v>180</v>
      </c>
      <c r="D296" s="679" t="s">
        <v>187</v>
      </c>
      <c r="E296" s="686" t="s">
        <v>341</v>
      </c>
      <c r="F296" s="681"/>
      <c r="G296" s="682" t="s">
        <v>7</v>
      </c>
      <c r="H296" s="3"/>
    </row>
    <row r="297" spans="1:8" ht="15" customHeight="1">
      <c r="A297" s="690" t="s">
        <v>1106</v>
      </c>
      <c r="B297" s="685" t="s">
        <v>1105</v>
      </c>
      <c r="C297" s="679" t="s">
        <v>180</v>
      </c>
      <c r="D297" s="679" t="s">
        <v>191</v>
      </c>
      <c r="E297" s="680" t="s">
        <v>303</v>
      </c>
      <c r="F297" s="681" t="s">
        <v>1368</v>
      </c>
      <c r="G297" s="682" t="e">
        <v>#N/A</v>
      </c>
      <c r="H297" s="3"/>
    </row>
    <row r="298" spans="1:8" ht="15" customHeight="1">
      <c r="A298" s="690" t="s">
        <v>1107</v>
      </c>
      <c r="B298" s="685" t="s">
        <v>1105</v>
      </c>
      <c r="C298" s="679" t="s">
        <v>180</v>
      </c>
      <c r="D298" s="679" t="s">
        <v>191</v>
      </c>
      <c r="E298" s="686" t="s">
        <v>341</v>
      </c>
      <c r="F298" s="681"/>
      <c r="G298" s="682" t="s">
        <v>1285</v>
      </c>
      <c r="H298" s="3"/>
    </row>
    <row r="299" spans="1:8" ht="15" customHeight="1">
      <c r="A299" s="690" t="s">
        <v>2050</v>
      </c>
      <c r="B299" s="685" t="s">
        <v>1108</v>
      </c>
      <c r="C299" s="679" t="s">
        <v>180</v>
      </c>
      <c r="D299" s="679" t="s">
        <v>191</v>
      </c>
      <c r="E299" s="680" t="s">
        <v>303</v>
      </c>
      <c r="F299" s="681" t="s">
        <v>1368</v>
      </c>
      <c r="G299" s="682" t="s">
        <v>963</v>
      </c>
      <c r="H299" s="3"/>
    </row>
    <row r="300" spans="1:8" ht="15" customHeight="1">
      <c r="A300" s="1019" t="s">
        <v>785</v>
      </c>
      <c r="B300" s="695" t="s">
        <v>724</v>
      </c>
      <c r="C300" s="693"/>
      <c r="D300" s="679"/>
      <c r="E300" s="686"/>
      <c r="F300" s="681"/>
      <c r="G300" s="682" t="s">
        <v>816</v>
      </c>
      <c r="H300" s="3"/>
    </row>
    <row r="301" spans="1:8" ht="15" customHeight="1">
      <c r="A301" s="1019" t="s">
        <v>2055</v>
      </c>
      <c r="B301" s="694" t="s">
        <v>784</v>
      </c>
      <c r="C301" s="679"/>
      <c r="D301" s="679"/>
      <c r="E301" s="680" t="s">
        <v>303</v>
      </c>
      <c r="F301" s="680"/>
      <c r="G301" s="682" t="e">
        <v>#N/A</v>
      </c>
      <c r="H301" s="3"/>
    </row>
    <row r="302" spans="1:8" ht="15" customHeight="1">
      <c r="A302" s="692" t="s">
        <v>2058</v>
      </c>
      <c r="B302" s="694" t="s">
        <v>1109</v>
      </c>
      <c r="C302" s="679" t="s">
        <v>92</v>
      </c>
      <c r="D302" s="679" t="s">
        <v>104</v>
      </c>
      <c r="E302" s="680" t="s">
        <v>303</v>
      </c>
      <c r="F302" s="681"/>
      <c r="G302" s="682" t="s">
        <v>7</v>
      </c>
      <c r="H302" s="3"/>
    </row>
    <row r="303" spans="1:8" ht="15" customHeight="1">
      <c r="A303" s="1019" t="s">
        <v>2061</v>
      </c>
      <c r="B303" s="685" t="s">
        <v>1380</v>
      </c>
      <c r="C303" s="679" t="s">
        <v>92</v>
      </c>
      <c r="D303" s="679" t="s">
        <v>97</v>
      </c>
      <c r="E303" s="680" t="s">
        <v>303</v>
      </c>
      <c r="F303" s="680"/>
      <c r="G303" s="680" t="s">
        <v>963</v>
      </c>
      <c r="H303" s="3"/>
    </row>
    <row r="304" spans="1:8" ht="15" customHeight="1">
      <c r="A304" s="1019" t="s">
        <v>2064</v>
      </c>
      <c r="B304" s="1041" t="s">
        <v>1381</v>
      </c>
      <c r="C304" s="679" t="s">
        <v>92</v>
      </c>
      <c r="D304" s="679" t="s">
        <v>97</v>
      </c>
      <c r="E304" s="680" t="s">
        <v>303</v>
      </c>
      <c r="F304" s="680"/>
      <c r="G304" s="680" t="s">
        <v>7</v>
      </c>
      <c r="H304" s="3"/>
    </row>
    <row r="305" spans="1:8" ht="15" customHeight="1">
      <c r="A305" s="1019" t="s">
        <v>2067</v>
      </c>
      <c r="B305" s="695" t="s">
        <v>1382</v>
      </c>
      <c r="C305" s="693" t="s">
        <v>92</v>
      </c>
      <c r="D305" s="679" t="s">
        <v>97</v>
      </c>
      <c r="E305" s="680" t="s">
        <v>303</v>
      </c>
      <c r="F305" s="680"/>
      <c r="G305" s="680" t="s">
        <v>963</v>
      </c>
      <c r="H305" s="3"/>
    </row>
    <row r="306" spans="1:8" ht="15" customHeight="1">
      <c r="A306" s="690" t="s">
        <v>2070</v>
      </c>
      <c r="B306" s="678" t="s">
        <v>1111</v>
      </c>
      <c r="C306" s="679" t="s">
        <v>92</v>
      </c>
      <c r="D306" s="679" t="s">
        <v>97</v>
      </c>
      <c r="E306" s="680" t="s">
        <v>303</v>
      </c>
      <c r="F306" s="680"/>
      <c r="G306" s="682" t="s">
        <v>7</v>
      </c>
      <c r="H306" s="3"/>
    </row>
    <row r="307" spans="1:8" ht="15" customHeight="1">
      <c r="A307" s="690" t="s">
        <v>1113</v>
      </c>
      <c r="B307" s="685" t="s">
        <v>786</v>
      </c>
      <c r="C307" s="679"/>
      <c r="D307" s="679"/>
      <c r="E307" s="680" t="s">
        <v>303</v>
      </c>
      <c r="F307" s="680"/>
      <c r="G307" s="682" t="e">
        <v>#N/A</v>
      </c>
      <c r="H307" s="3"/>
    </row>
    <row r="308" spans="1:8" ht="15" customHeight="1">
      <c r="A308" s="690" t="s">
        <v>2075</v>
      </c>
      <c r="B308" s="678" t="s">
        <v>1383</v>
      </c>
      <c r="C308" s="679" t="s">
        <v>92</v>
      </c>
      <c r="D308" s="679" t="s">
        <v>97</v>
      </c>
      <c r="E308" s="680" t="s">
        <v>303</v>
      </c>
      <c r="F308" s="680"/>
      <c r="G308" s="682" t="s">
        <v>963</v>
      </c>
      <c r="H308" s="3"/>
    </row>
    <row r="309" spans="1:8" ht="15" customHeight="1">
      <c r="A309" s="690" t="s">
        <v>2078</v>
      </c>
      <c r="B309" s="685" t="s">
        <v>1384</v>
      </c>
      <c r="C309" s="679" t="s">
        <v>92</v>
      </c>
      <c r="D309" s="679" t="s">
        <v>97</v>
      </c>
      <c r="E309" s="680" t="s">
        <v>303</v>
      </c>
      <c r="F309" s="680"/>
      <c r="G309" s="680" t="s">
        <v>7</v>
      </c>
      <c r="H309" s="3"/>
    </row>
    <row r="310" spans="1:8" ht="15" customHeight="1">
      <c r="A310" s="690" t="s">
        <v>2081</v>
      </c>
      <c r="B310" s="678" t="s">
        <v>1385</v>
      </c>
      <c r="C310" s="679" t="s">
        <v>92</v>
      </c>
      <c r="D310" s="679" t="s">
        <v>97</v>
      </c>
      <c r="E310" s="680" t="s">
        <v>303</v>
      </c>
      <c r="F310" s="680"/>
      <c r="G310" s="680" t="s">
        <v>963</v>
      </c>
      <c r="H310" s="3"/>
    </row>
    <row r="311" spans="1:8" ht="15" customHeight="1">
      <c r="A311" s="690" t="s">
        <v>3384</v>
      </c>
      <c r="B311" s="685" t="s">
        <v>1112</v>
      </c>
      <c r="C311" s="679" t="s">
        <v>92</v>
      </c>
      <c r="D311" s="679" t="s">
        <v>98</v>
      </c>
      <c r="E311" s="680" t="s">
        <v>303</v>
      </c>
      <c r="F311" s="680"/>
      <c r="G311" s="682" t="s">
        <v>7</v>
      </c>
      <c r="H311" s="3"/>
    </row>
    <row r="312" spans="1:8" ht="15" customHeight="1">
      <c r="A312" s="690" t="s">
        <v>2084</v>
      </c>
      <c r="B312" s="685" t="s">
        <v>1114</v>
      </c>
      <c r="C312" s="679" t="s">
        <v>92</v>
      </c>
      <c r="D312" s="679" t="s">
        <v>98</v>
      </c>
      <c r="E312" s="680" t="s">
        <v>303</v>
      </c>
      <c r="F312" s="680"/>
      <c r="G312" s="682" t="s">
        <v>963</v>
      </c>
      <c r="H312" s="3"/>
    </row>
    <row r="313" spans="1:8" ht="15" customHeight="1">
      <c r="A313" s="690" t="s">
        <v>2087</v>
      </c>
      <c r="B313" s="678" t="s">
        <v>787</v>
      </c>
      <c r="C313" s="679"/>
      <c r="D313" s="679"/>
      <c r="E313" s="680" t="s">
        <v>303</v>
      </c>
      <c r="F313" s="680"/>
      <c r="G313" s="682" t="e">
        <v>#N/A</v>
      </c>
      <c r="H313" s="3"/>
    </row>
    <row r="314" spans="1:8" ht="15" customHeight="1">
      <c r="A314" s="690" t="s">
        <v>3385</v>
      </c>
      <c r="B314" s="685" t="s">
        <v>1115</v>
      </c>
      <c r="C314" s="679" t="s">
        <v>92</v>
      </c>
      <c r="D314" s="679" t="s">
        <v>98</v>
      </c>
      <c r="E314" s="680" t="s">
        <v>303</v>
      </c>
      <c r="F314" s="681"/>
      <c r="G314" s="682" t="s">
        <v>7</v>
      </c>
      <c r="H314" s="3"/>
    </row>
    <row r="315" spans="1:8" ht="15" customHeight="1">
      <c r="A315" s="690" t="s">
        <v>2090</v>
      </c>
      <c r="B315" s="678" t="s">
        <v>1116</v>
      </c>
      <c r="C315" s="679" t="s">
        <v>92</v>
      </c>
      <c r="D315" s="679" t="s">
        <v>97</v>
      </c>
      <c r="E315" s="680" t="s">
        <v>303</v>
      </c>
      <c r="F315" s="680"/>
      <c r="G315" s="682" t="s">
        <v>963</v>
      </c>
      <c r="H315" s="3"/>
    </row>
    <row r="316" spans="1:8" ht="15" customHeight="1">
      <c r="A316" s="690" t="s">
        <v>2093</v>
      </c>
      <c r="B316" s="678" t="s">
        <v>1117</v>
      </c>
      <c r="C316" s="679" t="s">
        <v>92</v>
      </c>
      <c r="D316" s="679" t="s">
        <v>98</v>
      </c>
      <c r="E316" s="680" t="s">
        <v>303</v>
      </c>
      <c r="F316" s="680"/>
      <c r="G316" s="682" t="e">
        <v>#N/A</v>
      </c>
      <c r="H316" s="3"/>
    </row>
    <row r="317" spans="1:8" ht="15" customHeight="1">
      <c r="A317" s="690" t="s">
        <v>2096</v>
      </c>
      <c r="B317" s="685" t="s">
        <v>1386</v>
      </c>
      <c r="C317" s="679" t="s">
        <v>92</v>
      </c>
      <c r="D317" s="679" t="s">
        <v>97</v>
      </c>
      <c r="E317" s="680" t="s">
        <v>303</v>
      </c>
      <c r="F317" s="680"/>
      <c r="G317" s="680" t="s">
        <v>2</v>
      </c>
      <c r="H317" s="3"/>
    </row>
    <row r="318" spans="1:8" ht="15" customHeight="1">
      <c r="A318" s="690" t="s">
        <v>2099</v>
      </c>
      <c r="B318" s="678" t="s">
        <v>1118</v>
      </c>
      <c r="C318" s="679" t="s">
        <v>92</v>
      </c>
      <c r="D318" s="679" t="s">
        <v>103</v>
      </c>
      <c r="E318" s="680" t="s">
        <v>303</v>
      </c>
      <c r="F318" s="680"/>
      <c r="G318" s="682" t="s">
        <v>1110</v>
      </c>
      <c r="H318" s="3"/>
    </row>
    <row r="319" spans="1:8" ht="15" customHeight="1">
      <c r="A319" s="690" t="s">
        <v>2102</v>
      </c>
      <c r="B319" s="685" t="s">
        <v>1118</v>
      </c>
      <c r="C319" s="679" t="s">
        <v>92</v>
      </c>
      <c r="D319" s="679" t="s">
        <v>102</v>
      </c>
      <c r="E319" s="680" t="s">
        <v>303</v>
      </c>
      <c r="F319" s="680"/>
      <c r="G319" s="682" t="e">
        <v>#N/A</v>
      </c>
      <c r="H319" s="3"/>
    </row>
    <row r="320" spans="1:8" ht="15" customHeight="1">
      <c r="A320" s="690" t="s">
        <v>3896</v>
      </c>
      <c r="B320" s="685" t="s">
        <v>3895</v>
      </c>
      <c r="C320" s="679" t="s">
        <v>92</v>
      </c>
      <c r="D320" s="679" t="s">
        <v>98</v>
      </c>
      <c r="E320" s="680" t="s">
        <v>303</v>
      </c>
      <c r="F320" s="680"/>
      <c r="G320" s="682" t="e">
        <v>#N/A</v>
      </c>
      <c r="H320" s="3"/>
    </row>
    <row r="321" spans="1:8" ht="15" customHeight="1">
      <c r="A321" s="690" t="s">
        <v>1120</v>
      </c>
      <c r="B321" s="678" t="s">
        <v>788</v>
      </c>
      <c r="C321" s="679"/>
      <c r="D321" s="679"/>
      <c r="E321" s="680" t="s">
        <v>303</v>
      </c>
      <c r="F321" s="680"/>
      <c r="G321" s="682" t="e">
        <v>#N/A</v>
      </c>
      <c r="H321" s="3"/>
    </row>
    <row r="322" spans="1:8" ht="15" customHeight="1">
      <c r="A322" s="690" t="s">
        <v>3386</v>
      </c>
      <c r="B322" s="678" t="s">
        <v>1119</v>
      </c>
      <c r="C322" s="679" t="s">
        <v>92</v>
      </c>
      <c r="D322" s="679" t="s">
        <v>97</v>
      </c>
      <c r="E322" s="680" t="s">
        <v>303</v>
      </c>
      <c r="F322" s="680"/>
      <c r="G322" s="682" t="e">
        <v>#N/A</v>
      </c>
      <c r="H322" s="3"/>
    </row>
    <row r="323" spans="1:8" ht="15" customHeight="1">
      <c r="A323" s="690" t="s">
        <v>2107</v>
      </c>
      <c r="B323" s="685" t="s">
        <v>1335</v>
      </c>
      <c r="C323" s="679"/>
      <c r="D323" s="679"/>
      <c r="E323" s="680" t="s">
        <v>303</v>
      </c>
      <c r="F323" s="680"/>
      <c r="G323" s="680" t="s">
        <v>816</v>
      </c>
      <c r="H323" s="3"/>
    </row>
    <row r="324" spans="1:8" ht="15" customHeight="1">
      <c r="A324" s="690" t="s">
        <v>2110</v>
      </c>
      <c r="B324" s="678" t="s">
        <v>789</v>
      </c>
      <c r="C324" s="679"/>
      <c r="D324" s="679"/>
      <c r="E324" s="680" t="s">
        <v>303</v>
      </c>
      <c r="F324" s="680"/>
      <c r="G324" s="682" t="e">
        <v>#N/A</v>
      </c>
      <c r="H324" s="3"/>
    </row>
    <row r="325" spans="1:8" ht="15" customHeight="1">
      <c r="A325" s="690" t="s">
        <v>2113</v>
      </c>
      <c r="B325" s="685" t="s">
        <v>1121</v>
      </c>
      <c r="C325" s="679" t="s">
        <v>152</v>
      </c>
      <c r="D325" s="679" t="s">
        <v>153</v>
      </c>
      <c r="E325" s="680" t="s">
        <v>303</v>
      </c>
      <c r="F325" s="680"/>
      <c r="G325" s="682" t="e">
        <v>#N/A</v>
      </c>
      <c r="H325" s="3"/>
    </row>
    <row r="326" spans="1:8" ht="15" customHeight="1">
      <c r="A326" s="690" t="s">
        <v>2116</v>
      </c>
      <c r="B326" s="678" t="s">
        <v>1122</v>
      </c>
      <c r="C326" s="679" t="s">
        <v>152</v>
      </c>
      <c r="D326" s="679" t="s">
        <v>153</v>
      </c>
      <c r="E326" s="680" t="s">
        <v>303</v>
      </c>
      <c r="F326" s="680"/>
      <c r="G326" s="682" t="s">
        <v>1110</v>
      </c>
      <c r="H326" s="3"/>
    </row>
    <row r="327" spans="1:8" ht="15" customHeight="1">
      <c r="A327" s="690" t="s">
        <v>2119</v>
      </c>
      <c r="B327" s="685" t="s">
        <v>790</v>
      </c>
      <c r="C327" s="679"/>
      <c r="D327" s="679"/>
      <c r="E327" s="680" t="s">
        <v>303</v>
      </c>
      <c r="F327" s="680"/>
      <c r="G327" s="682" t="s">
        <v>816</v>
      </c>
      <c r="H327" s="3"/>
    </row>
    <row r="328" spans="1:8" ht="15" customHeight="1">
      <c r="A328" s="690" t="s">
        <v>2122</v>
      </c>
      <c r="B328" s="685" t="s">
        <v>1123</v>
      </c>
      <c r="C328" s="679" t="s">
        <v>152</v>
      </c>
      <c r="D328" s="679" t="s">
        <v>154</v>
      </c>
      <c r="E328" s="680" t="s">
        <v>303</v>
      </c>
      <c r="F328" s="680"/>
      <c r="G328" s="682" t="s">
        <v>2</v>
      </c>
      <c r="H328" s="3"/>
    </row>
    <row r="329" spans="1:8" ht="15" customHeight="1">
      <c r="A329" s="690" t="s">
        <v>2125</v>
      </c>
      <c r="B329" s="678" t="s">
        <v>1124</v>
      </c>
      <c r="C329" s="679" t="s">
        <v>152</v>
      </c>
      <c r="D329" s="679" t="s">
        <v>154</v>
      </c>
      <c r="E329" s="680" t="s">
        <v>303</v>
      </c>
      <c r="F329" s="680"/>
      <c r="G329" s="682" t="s">
        <v>1110</v>
      </c>
      <c r="H329" s="3"/>
    </row>
    <row r="330" spans="1:8" ht="15" customHeight="1">
      <c r="A330" s="690" t="s">
        <v>2128</v>
      </c>
      <c r="B330" s="685" t="s">
        <v>791</v>
      </c>
      <c r="C330" s="679"/>
      <c r="D330" s="679"/>
      <c r="E330" s="680" t="s">
        <v>303</v>
      </c>
      <c r="F330" s="680"/>
      <c r="G330" s="682" t="s">
        <v>816</v>
      </c>
      <c r="H330" s="3"/>
    </row>
    <row r="331" spans="1:8" ht="15" customHeight="1">
      <c r="A331" s="690" t="s">
        <v>2131</v>
      </c>
      <c r="B331" s="685" t="s">
        <v>792</v>
      </c>
      <c r="C331" s="679"/>
      <c r="D331" s="679"/>
      <c r="E331" s="680" t="s">
        <v>303</v>
      </c>
      <c r="F331" s="680"/>
      <c r="G331" s="682" t="e">
        <v>#N/A</v>
      </c>
      <c r="H331" s="3"/>
    </row>
    <row r="332" spans="1:8" ht="15" customHeight="1">
      <c r="A332" s="678" t="s">
        <v>2133</v>
      </c>
      <c r="B332" s="685" t="s">
        <v>793</v>
      </c>
      <c r="C332" s="679"/>
      <c r="D332" s="679"/>
      <c r="E332" s="680" t="s">
        <v>303</v>
      </c>
      <c r="F332" s="680"/>
      <c r="G332" s="682" t="s">
        <v>816</v>
      </c>
      <c r="H332" s="3"/>
    </row>
    <row r="333" spans="1:8" ht="15" customHeight="1">
      <c r="A333" s="690" t="s">
        <v>2136</v>
      </c>
      <c r="B333" s="678" t="s">
        <v>1014</v>
      </c>
      <c r="C333" s="679" t="s">
        <v>152</v>
      </c>
      <c r="D333" s="679" t="s">
        <v>3859</v>
      </c>
      <c r="E333" s="680" t="s">
        <v>303</v>
      </c>
      <c r="F333" s="680"/>
      <c r="G333" s="682" t="e">
        <v>#N/A</v>
      </c>
      <c r="H333" s="3"/>
    </row>
    <row r="334" spans="1:8" ht="15" customHeight="1">
      <c r="A334" s="678" t="s">
        <v>2139</v>
      </c>
      <c r="B334" s="685" t="s">
        <v>1125</v>
      </c>
      <c r="C334" s="679" t="s">
        <v>152</v>
      </c>
      <c r="D334" s="679" t="s">
        <v>154</v>
      </c>
      <c r="E334" s="680" t="s">
        <v>303</v>
      </c>
      <c r="F334" s="680"/>
      <c r="G334" s="682" t="e">
        <v>#N/A</v>
      </c>
      <c r="H334" s="3"/>
    </row>
    <row r="335" spans="1:8" ht="15" customHeight="1">
      <c r="A335" s="690" t="s">
        <v>2142</v>
      </c>
      <c r="B335" s="685" t="s">
        <v>1018</v>
      </c>
      <c r="C335" s="679" t="s">
        <v>152</v>
      </c>
      <c r="D335" s="679" t="s">
        <v>156</v>
      </c>
      <c r="E335" s="680" t="s">
        <v>303</v>
      </c>
      <c r="F335" s="680"/>
      <c r="G335" s="682" t="s">
        <v>1110</v>
      </c>
      <c r="H335" s="3"/>
    </row>
    <row r="336" spans="1:8" ht="15" customHeight="1">
      <c r="A336" s="690" t="s">
        <v>2145</v>
      </c>
      <c r="B336" s="678" t="s">
        <v>1126</v>
      </c>
      <c r="C336" s="679" t="s">
        <v>161</v>
      </c>
      <c r="D336" s="679" t="s">
        <v>164</v>
      </c>
      <c r="E336" s="680" t="s">
        <v>303</v>
      </c>
      <c r="F336" s="680"/>
      <c r="G336" s="682" t="s">
        <v>1110</v>
      </c>
      <c r="H336" s="3"/>
    </row>
    <row r="337" spans="1:8" ht="15" customHeight="1">
      <c r="A337" s="690" t="s">
        <v>2148</v>
      </c>
      <c r="B337" s="685" t="s">
        <v>1127</v>
      </c>
      <c r="C337" s="679" t="s">
        <v>161</v>
      </c>
      <c r="D337" s="679" t="s">
        <v>168</v>
      </c>
      <c r="E337" s="680" t="s">
        <v>303</v>
      </c>
      <c r="F337" s="680"/>
      <c r="G337" s="682" t="s">
        <v>2</v>
      </c>
      <c r="H337" s="3"/>
    </row>
    <row r="338" spans="1:8" ht="15" customHeight="1">
      <c r="A338" s="690" t="s">
        <v>2151</v>
      </c>
      <c r="B338" s="685" t="s">
        <v>1128</v>
      </c>
      <c r="C338" s="679" t="s">
        <v>161</v>
      </c>
      <c r="D338" s="679" t="s">
        <v>166</v>
      </c>
      <c r="E338" s="680" t="s">
        <v>303</v>
      </c>
      <c r="F338" s="680"/>
      <c r="G338" s="682" t="e">
        <v>#N/A</v>
      </c>
      <c r="H338" s="3"/>
    </row>
    <row r="339" spans="1:8" ht="15" customHeight="1">
      <c r="A339" s="690" t="s">
        <v>2154</v>
      </c>
      <c r="B339" s="685" t="s">
        <v>1129</v>
      </c>
      <c r="C339" s="679" t="s">
        <v>161</v>
      </c>
      <c r="D339" s="679" t="s">
        <v>167</v>
      </c>
      <c r="E339" s="680" t="s">
        <v>303</v>
      </c>
      <c r="F339" s="680"/>
      <c r="G339" s="682" t="s">
        <v>1110</v>
      </c>
      <c r="H339" s="3"/>
    </row>
    <row r="340" spans="1:8" ht="15" customHeight="1">
      <c r="A340" s="690" t="s">
        <v>2157</v>
      </c>
      <c r="B340" s="685" t="s">
        <v>794</v>
      </c>
      <c r="C340" s="679"/>
      <c r="D340" s="679"/>
      <c r="E340" s="680" t="s">
        <v>303</v>
      </c>
      <c r="F340" s="680"/>
      <c r="G340" s="682" t="e">
        <v>#N/A</v>
      </c>
      <c r="H340" s="3"/>
    </row>
    <row r="341" spans="1:8" ht="15" customHeight="1">
      <c r="A341" s="690" t="s">
        <v>2160</v>
      </c>
      <c r="B341" s="685" t="s">
        <v>1130</v>
      </c>
      <c r="C341" s="679" t="s">
        <v>161</v>
      </c>
      <c r="D341" s="679" t="s">
        <v>169</v>
      </c>
      <c r="E341" s="680" t="s">
        <v>303</v>
      </c>
      <c r="F341" s="680"/>
      <c r="G341" s="682" t="s">
        <v>1110</v>
      </c>
      <c r="H341" s="3"/>
    </row>
    <row r="342" spans="1:8" ht="15" customHeight="1">
      <c r="A342" s="690" t="s">
        <v>2163</v>
      </c>
      <c r="B342" s="678" t="s">
        <v>795</v>
      </c>
      <c r="C342" s="679"/>
      <c r="D342" s="679"/>
      <c r="E342" s="680" t="s">
        <v>303</v>
      </c>
      <c r="F342" s="680"/>
      <c r="G342" s="682" t="s">
        <v>816</v>
      </c>
      <c r="H342" s="3"/>
    </row>
    <row r="343" spans="1:8" ht="15" customHeight="1">
      <c r="A343" s="690" t="s">
        <v>2166</v>
      </c>
      <c r="B343" s="695" t="s">
        <v>1033</v>
      </c>
      <c r="C343" s="693" t="s">
        <v>180</v>
      </c>
      <c r="D343" s="679" t="s">
        <v>192</v>
      </c>
      <c r="E343" s="680" t="s">
        <v>303</v>
      </c>
      <c r="F343" s="680"/>
      <c r="G343" s="682" t="e">
        <v>#N/A</v>
      </c>
      <c r="H343" s="3"/>
    </row>
    <row r="344" spans="1:8" ht="15" customHeight="1">
      <c r="A344" s="690" t="s">
        <v>2169</v>
      </c>
      <c r="B344" s="695" t="s">
        <v>1036</v>
      </c>
      <c r="C344" s="693" t="s">
        <v>161</v>
      </c>
      <c r="D344" s="679" t="s">
        <v>172</v>
      </c>
      <c r="E344" s="680" t="s">
        <v>303</v>
      </c>
      <c r="F344" s="680"/>
      <c r="G344" s="682" t="s">
        <v>1110</v>
      </c>
      <c r="H344" s="3"/>
    </row>
    <row r="345" spans="1:8" ht="15" customHeight="1">
      <c r="A345" s="690" t="s">
        <v>2172</v>
      </c>
      <c r="B345" s="692" t="s">
        <v>1132</v>
      </c>
      <c r="C345" s="693" t="s">
        <v>161</v>
      </c>
      <c r="D345" s="679" t="s">
        <v>172</v>
      </c>
      <c r="E345" s="680" t="s">
        <v>303</v>
      </c>
      <c r="F345" s="686"/>
      <c r="G345" s="682" t="s">
        <v>1110</v>
      </c>
      <c r="H345" s="3"/>
    </row>
    <row r="346" spans="1:8" ht="15" customHeight="1">
      <c r="A346" s="690" t="s">
        <v>2175</v>
      </c>
      <c r="B346" s="695" t="s">
        <v>1133</v>
      </c>
      <c r="C346" s="693" t="s">
        <v>161</v>
      </c>
      <c r="D346" s="679" t="s">
        <v>172</v>
      </c>
      <c r="E346" s="680" t="s">
        <v>303</v>
      </c>
      <c r="F346" s="680"/>
      <c r="G346" s="682" t="s">
        <v>2</v>
      </c>
      <c r="H346" s="3"/>
    </row>
    <row r="347" spans="1:8" ht="15" customHeight="1">
      <c r="A347" s="690" t="s">
        <v>3552</v>
      </c>
      <c r="B347" s="692" t="s">
        <v>3551</v>
      </c>
      <c r="C347" s="679" t="s">
        <v>176</v>
      </c>
      <c r="D347" s="679" t="s">
        <v>177</v>
      </c>
      <c r="E347" s="680" t="s">
        <v>303</v>
      </c>
      <c r="F347" s="680"/>
      <c r="G347" s="682" t="e">
        <v>#N/A</v>
      </c>
      <c r="H347" s="3"/>
    </row>
    <row r="348" spans="1:8" ht="15" customHeight="1">
      <c r="A348" s="690" t="s">
        <v>3429</v>
      </c>
      <c r="B348" s="692" t="s">
        <v>3428</v>
      </c>
      <c r="C348" s="693" t="s">
        <v>161</v>
      </c>
      <c r="D348" s="679" t="s">
        <v>173</v>
      </c>
      <c r="E348" s="680" t="s">
        <v>303</v>
      </c>
      <c r="F348" s="686"/>
      <c r="G348" s="682" t="s">
        <v>1285</v>
      </c>
      <c r="H348" s="3"/>
    </row>
    <row r="349" spans="1:8" ht="15" customHeight="1">
      <c r="A349" s="690" t="s">
        <v>2178</v>
      </c>
      <c r="B349" s="685" t="s">
        <v>796</v>
      </c>
      <c r="C349" s="679"/>
      <c r="D349" s="679"/>
      <c r="E349" s="680" t="s">
        <v>303</v>
      </c>
      <c r="F349" s="680"/>
      <c r="G349" s="682" t="e">
        <v>#N/A</v>
      </c>
      <c r="H349" s="3"/>
    </row>
    <row r="350" spans="1:8" ht="15" customHeight="1">
      <c r="A350" s="690" t="s">
        <v>2181</v>
      </c>
      <c r="B350" s="678" t="s">
        <v>797</v>
      </c>
      <c r="C350" s="679"/>
      <c r="D350" s="679"/>
      <c r="E350" s="680" t="s">
        <v>303</v>
      </c>
      <c r="F350" s="680"/>
      <c r="G350" s="682" t="e">
        <v>#N/A</v>
      </c>
      <c r="H350" s="3"/>
    </row>
    <row r="351" spans="1:8" ht="15" customHeight="1">
      <c r="A351" s="690" t="s">
        <v>2184</v>
      </c>
      <c r="B351" s="685" t="s">
        <v>1134</v>
      </c>
      <c r="C351" s="679" t="s">
        <v>176</v>
      </c>
      <c r="D351" s="679" t="s">
        <v>177</v>
      </c>
      <c r="E351" s="680" t="s">
        <v>303</v>
      </c>
      <c r="F351" s="680"/>
      <c r="G351" s="682" t="s">
        <v>1110</v>
      </c>
      <c r="H351" s="3"/>
    </row>
    <row r="352" spans="1:8" ht="15" customHeight="1">
      <c r="A352" s="690" t="s">
        <v>2187</v>
      </c>
      <c r="B352" s="685" t="s">
        <v>1135</v>
      </c>
      <c r="C352" s="679" t="s">
        <v>176</v>
      </c>
      <c r="D352" s="679" t="s">
        <v>177</v>
      </c>
      <c r="E352" s="680" t="s">
        <v>303</v>
      </c>
      <c r="F352" s="680"/>
      <c r="G352" s="682" t="e">
        <v>#N/A</v>
      </c>
      <c r="H352" s="3"/>
    </row>
    <row r="353" spans="1:8" ht="15" customHeight="1">
      <c r="A353" s="690" t="s">
        <v>2190</v>
      </c>
      <c r="B353" s="685" t="s">
        <v>1136</v>
      </c>
      <c r="C353" s="679" t="s">
        <v>176</v>
      </c>
      <c r="D353" s="679" t="s">
        <v>177</v>
      </c>
      <c r="E353" s="680" t="s">
        <v>303</v>
      </c>
      <c r="F353" s="680"/>
      <c r="G353" s="682" t="s">
        <v>2</v>
      </c>
      <c r="H353" s="3"/>
    </row>
    <row r="354" spans="1:8" ht="15" customHeight="1">
      <c r="A354" s="687" t="s">
        <v>3355</v>
      </c>
      <c r="B354" s="687" t="s">
        <v>798</v>
      </c>
      <c r="C354" s="679"/>
      <c r="D354" s="679"/>
      <c r="E354" s="680" t="s">
        <v>303</v>
      </c>
      <c r="F354" s="681"/>
      <c r="G354" s="682" t="e">
        <v>#N/A</v>
      </c>
      <c r="H354" s="3"/>
    </row>
    <row r="355" spans="1:8" ht="15" customHeight="1">
      <c r="A355" s="690" t="s">
        <v>2193</v>
      </c>
      <c r="B355" s="685" t="s">
        <v>1137</v>
      </c>
      <c r="C355" s="679" t="s">
        <v>180</v>
      </c>
      <c r="D355" s="679" t="s">
        <v>182</v>
      </c>
      <c r="E355" s="680" t="s">
        <v>303</v>
      </c>
      <c r="F355" s="680"/>
      <c r="G355" s="682" t="s">
        <v>1110</v>
      </c>
      <c r="H355" s="3"/>
    </row>
    <row r="356" spans="1:8" ht="15" customHeight="1">
      <c r="A356" s="690" t="s">
        <v>2196</v>
      </c>
      <c r="B356" s="685" t="s">
        <v>1138</v>
      </c>
      <c r="C356" s="679" t="s">
        <v>161</v>
      </c>
      <c r="D356" s="679" t="s">
        <v>164</v>
      </c>
      <c r="E356" s="680" t="s">
        <v>303</v>
      </c>
      <c r="F356" s="680"/>
      <c r="G356" s="682" t="s">
        <v>1110</v>
      </c>
      <c r="H356" s="3"/>
    </row>
    <row r="357" spans="1:8" ht="15" customHeight="1">
      <c r="A357" s="690" t="s">
        <v>2199</v>
      </c>
      <c r="B357" s="678" t="s">
        <v>1139</v>
      </c>
      <c r="C357" s="679" t="s">
        <v>180</v>
      </c>
      <c r="D357" s="679" t="s">
        <v>184</v>
      </c>
      <c r="E357" s="680" t="s">
        <v>303</v>
      </c>
      <c r="F357" s="680"/>
      <c r="G357" s="682" t="s">
        <v>2</v>
      </c>
      <c r="H357" s="3"/>
    </row>
    <row r="358" spans="1:8" ht="15" customHeight="1">
      <c r="A358" s="690" t="s">
        <v>3418</v>
      </c>
      <c r="B358" s="678" t="s">
        <v>1138</v>
      </c>
      <c r="C358" s="679" t="s">
        <v>161</v>
      </c>
      <c r="D358" s="679" t="s">
        <v>167</v>
      </c>
      <c r="E358" s="680" t="s">
        <v>303</v>
      </c>
      <c r="F358" s="680"/>
      <c r="G358" s="682" t="s">
        <v>2</v>
      </c>
      <c r="H358" s="3"/>
    </row>
    <row r="359" spans="1:8" ht="15" customHeight="1">
      <c r="A359" s="690" t="s">
        <v>2202</v>
      </c>
      <c r="B359" s="685" t="s">
        <v>1140</v>
      </c>
      <c r="C359" s="679" t="s">
        <v>180</v>
      </c>
      <c r="D359" s="679" t="s">
        <v>185</v>
      </c>
      <c r="E359" s="680" t="s">
        <v>303</v>
      </c>
      <c r="F359" s="680"/>
      <c r="G359" s="682" t="s">
        <v>1110</v>
      </c>
      <c r="H359" s="3"/>
    </row>
    <row r="360" spans="1:8" ht="15" customHeight="1">
      <c r="A360" s="690" t="s">
        <v>2205</v>
      </c>
      <c r="B360" s="678" t="s">
        <v>1138</v>
      </c>
      <c r="C360" s="679" t="s">
        <v>161</v>
      </c>
      <c r="D360" s="679" t="s">
        <v>167</v>
      </c>
      <c r="E360" s="680" t="s">
        <v>303</v>
      </c>
      <c r="F360" s="680"/>
      <c r="G360" s="682" t="e">
        <v>#N/A</v>
      </c>
      <c r="H360" s="3"/>
    </row>
    <row r="361" spans="1:8" ht="15" customHeight="1">
      <c r="A361" s="690" t="s">
        <v>2208</v>
      </c>
      <c r="B361" s="685" t="s">
        <v>1141</v>
      </c>
      <c r="C361" s="679" t="s">
        <v>180</v>
      </c>
      <c r="D361" s="679" t="s">
        <v>182</v>
      </c>
      <c r="E361" s="680" t="s">
        <v>303</v>
      </c>
      <c r="F361" s="680"/>
      <c r="G361" s="682" t="s">
        <v>2</v>
      </c>
      <c r="H361" s="3"/>
    </row>
    <row r="362" spans="1:8" ht="15" customHeight="1">
      <c r="A362" s="690" t="s">
        <v>3387</v>
      </c>
      <c r="B362" s="685" t="s">
        <v>1143</v>
      </c>
      <c r="C362" s="679" t="s">
        <v>180</v>
      </c>
      <c r="D362" s="679" t="s">
        <v>185</v>
      </c>
      <c r="E362" s="680" t="s">
        <v>303</v>
      </c>
      <c r="F362" s="680"/>
      <c r="G362" s="682" t="s">
        <v>2</v>
      </c>
      <c r="H362" s="3"/>
    </row>
    <row r="363" spans="1:8" ht="15" customHeight="1">
      <c r="A363" s="690" t="s">
        <v>2211</v>
      </c>
      <c r="B363" s="678" t="s">
        <v>1141</v>
      </c>
      <c r="C363" s="679" t="s">
        <v>180</v>
      </c>
      <c r="D363" s="679" t="s">
        <v>182</v>
      </c>
      <c r="E363" s="680" t="s">
        <v>303</v>
      </c>
      <c r="F363" s="680"/>
      <c r="G363" s="680" t="s">
        <v>2</v>
      </c>
      <c r="H363" s="3"/>
    </row>
    <row r="364" spans="1:8" ht="15" customHeight="1">
      <c r="A364" s="690" t="s">
        <v>2214</v>
      </c>
      <c r="B364" s="685" t="s">
        <v>1144</v>
      </c>
      <c r="C364" s="679" t="s">
        <v>180</v>
      </c>
      <c r="D364" s="679" t="s">
        <v>183</v>
      </c>
      <c r="E364" s="680" t="s">
        <v>303</v>
      </c>
      <c r="F364" s="680"/>
      <c r="G364" s="682" t="s">
        <v>1110</v>
      </c>
      <c r="H364" s="3"/>
    </row>
    <row r="365" spans="1:8" ht="15" customHeight="1">
      <c r="A365" s="690" t="s">
        <v>2217</v>
      </c>
      <c r="B365" s="678" t="s">
        <v>1145</v>
      </c>
      <c r="C365" s="679" t="s">
        <v>180</v>
      </c>
      <c r="D365" s="679" t="s">
        <v>183</v>
      </c>
      <c r="E365" s="680" t="s">
        <v>303</v>
      </c>
      <c r="F365" s="680"/>
      <c r="G365" s="682" t="e">
        <v>#N/A</v>
      </c>
      <c r="H365" s="3"/>
    </row>
    <row r="366" spans="1:8" ht="15" customHeight="1">
      <c r="A366" s="690" t="s">
        <v>2220</v>
      </c>
      <c r="B366" s="685" t="s">
        <v>1146</v>
      </c>
      <c r="C366" s="679" t="s">
        <v>180</v>
      </c>
      <c r="D366" s="679" t="s">
        <v>183</v>
      </c>
      <c r="E366" s="680" t="s">
        <v>303</v>
      </c>
      <c r="F366" s="680"/>
      <c r="G366" s="682" t="s">
        <v>1110</v>
      </c>
      <c r="H366" s="3"/>
    </row>
    <row r="367" spans="1:8" ht="15" customHeight="1">
      <c r="A367" s="690" t="s">
        <v>2223</v>
      </c>
      <c r="B367" s="685" t="s">
        <v>1147</v>
      </c>
      <c r="C367" s="679" t="s">
        <v>180</v>
      </c>
      <c r="D367" s="679" t="s">
        <v>186</v>
      </c>
      <c r="E367" s="680" t="s">
        <v>303</v>
      </c>
      <c r="F367" s="680"/>
      <c r="G367" s="682" t="s">
        <v>1110</v>
      </c>
      <c r="H367" s="3"/>
    </row>
    <row r="368" spans="1:8" ht="15" customHeight="1">
      <c r="A368" s="690" t="s">
        <v>2226</v>
      </c>
      <c r="B368" s="685" t="s">
        <v>1148</v>
      </c>
      <c r="C368" s="679" t="s">
        <v>180</v>
      </c>
      <c r="D368" s="679" t="s">
        <v>187</v>
      </c>
      <c r="E368" s="680" t="s">
        <v>303</v>
      </c>
      <c r="F368" s="680"/>
      <c r="G368" s="682" t="s">
        <v>1110</v>
      </c>
      <c r="H368" s="3"/>
    </row>
    <row r="369" spans="1:8" ht="15" customHeight="1">
      <c r="A369" s="690" t="s">
        <v>3684</v>
      </c>
      <c r="B369" s="685" t="s">
        <v>3683</v>
      </c>
      <c r="C369" s="679" t="s">
        <v>180</v>
      </c>
      <c r="D369" s="679" t="s">
        <v>187</v>
      </c>
      <c r="E369" s="680" t="s">
        <v>303</v>
      </c>
      <c r="F369" s="680"/>
      <c r="G369" s="682" t="s">
        <v>1110</v>
      </c>
      <c r="H369" s="3"/>
    </row>
    <row r="370" spans="1:8" ht="15" customHeight="1">
      <c r="A370" s="690" t="s">
        <v>2229</v>
      </c>
      <c r="B370" s="685" t="s">
        <v>1149</v>
      </c>
      <c r="C370" s="679" t="s">
        <v>180</v>
      </c>
      <c r="D370" s="679" t="s">
        <v>191</v>
      </c>
      <c r="E370" s="680" t="s">
        <v>303</v>
      </c>
      <c r="F370" s="680"/>
      <c r="G370" s="682" t="s">
        <v>1110</v>
      </c>
      <c r="H370" s="3"/>
    </row>
    <row r="371" spans="1:8" ht="15" customHeight="1">
      <c r="A371" s="690" t="s">
        <v>2232</v>
      </c>
      <c r="B371" s="685" t="s">
        <v>1150</v>
      </c>
      <c r="C371" s="679" t="s">
        <v>180</v>
      </c>
      <c r="D371" s="679" t="s">
        <v>191</v>
      </c>
      <c r="E371" s="680" t="s">
        <v>303</v>
      </c>
      <c r="F371" s="680"/>
      <c r="G371" s="682" t="s">
        <v>1110</v>
      </c>
      <c r="H371" s="3"/>
    </row>
    <row r="372" spans="1:8" ht="15" customHeight="1">
      <c r="A372" s="690" t="s">
        <v>3920</v>
      </c>
      <c r="B372" s="685" t="s">
        <v>3919</v>
      </c>
      <c r="C372" s="679" t="s">
        <v>180</v>
      </c>
      <c r="D372" s="679" t="s">
        <v>191</v>
      </c>
      <c r="E372" s="680" t="s">
        <v>303</v>
      </c>
      <c r="F372" s="680"/>
      <c r="G372" s="682" t="s">
        <v>1110</v>
      </c>
      <c r="H372" s="3"/>
    </row>
    <row r="373" spans="1:8" ht="15" customHeight="1">
      <c r="A373" s="690" t="s">
        <v>1152</v>
      </c>
      <c r="B373" s="678" t="s">
        <v>1387</v>
      </c>
      <c r="C373" s="679" t="s">
        <v>180</v>
      </c>
      <c r="D373" s="679" t="s">
        <v>189</v>
      </c>
      <c r="E373" s="680" t="s">
        <v>303</v>
      </c>
      <c r="F373" s="680"/>
      <c r="G373" s="680" t="s">
        <v>2</v>
      </c>
      <c r="H373" s="3"/>
    </row>
    <row r="374" spans="1:8" ht="15" customHeight="1">
      <c r="A374" s="690" t="s">
        <v>2237</v>
      </c>
      <c r="B374" s="685" t="s">
        <v>1151</v>
      </c>
      <c r="C374" s="679" t="s">
        <v>180</v>
      </c>
      <c r="D374" s="679" t="s">
        <v>188</v>
      </c>
      <c r="E374" s="680" t="s">
        <v>303</v>
      </c>
      <c r="F374" s="680"/>
      <c r="G374" s="682" t="s">
        <v>1110</v>
      </c>
      <c r="H374" s="3"/>
    </row>
    <row r="375" spans="1:8" ht="15" customHeight="1">
      <c r="A375" s="678" t="s">
        <v>2240</v>
      </c>
      <c r="B375" s="678" t="s">
        <v>725</v>
      </c>
      <c r="C375" s="679"/>
      <c r="D375" s="679"/>
      <c r="E375" s="686"/>
      <c r="F375" s="680"/>
      <c r="G375" s="682" t="s">
        <v>816</v>
      </c>
      <c r="H375" s="3"/>
    </row>
    <row r="376" spans="1:8" ht="15" customHeight="1">
      <c r="A376" s="690" t="s">
        <v>1155</v>
      </c>
      <c r="B376" s="685" t="s">
        <v>1153</v>
      </c>
      <c r="C376" s="679" t="s">
        <v>92</v>
      </c>
      <c r="D376" s="679" t="s">
        <v>111</v>
      </c>
      <c r="E376" s="680" t="s">
        <v>303</v>
      </c>
      <c r="F376" s="680"/>
      <c r="G376" s="682" t="s">
        <v>2</v>
      </c>
      <c r="H376" s="3"/>
    </row>
    <row r="377" spans="1:8" ht="15" customHeight="1">
      <c r="A377" s="690" t="s">
        <v>1157</v>
      </c>
      <c r="B377" s="685" t="s">
        <v>1156</v>
      </c>
      <c r="C377" s="679" t="s">
        <v>92</v>
      </c>
      <c r="D377" s="679" t="s">
        <v>112</v>
      </c>
      <c r="E377" s="680" t="s">
        <v>303</v>
      </c>
      <c r="F377" s="680"/>
      <c r="G377" s="682" t="s">
        <v>1110</v>
      </c>
      <c r="H377" s="3"/>
    </row>
    <row r="378" spans="1:8" ht="15" customHeight="1">
      <c r="A378" s="690" t="s">
        <v>1159</v>
      </c>
      <c r="B378" s="685" t="s">
        <v>1158</v>
      </c>
      <c r="C378" s="679" t="s">
        <v>92</v>
      </c>
      <c r="D378" s="679" t="s">
        <v>114</v>
      </c>
      <c r="E378" s="680" t="s">
        <v>303</v>
      </c>
      <c r="F378" s="680"/>
      <c r="G378" s="682" t="s">
        <v>1110</v>
      </c>
      <c r="H378" s="3"/>
    </row>
    <row r="379" spans="1:8" ht="15" customHeight="1">
      <c r="A379" s="690" t="s">
        <v>1161</v>
      </c>
      <c r="B379" s="685" t="s">
        <v>1160</v>
      </c>
      <c r="C379" s="679" t="s">
        <v>92</v>
      </c>
      <c r="D379" s="679" t="s">
        <v>115</v>
      </c>
      <c r="E379" s="680" t="s">
        <v>303</v>
      </c>
      <c r="F379" s="680"/>
      <c r="G379" s="682" t="s">
        <v>1110</v>
      </c>
      <c r="H379" s="3"/>
    </row>
    <row r="380" spans="1:8" ht="15" customHeight="1">
      <c r="A380" s="678" t="s">
        <v>1163</v>
      </c>
      <c r="B380" s="678" t="s">
        <v>1162</v>
      </c>
      <c r="C380" s="679" t="s">
        <v>92</v>
      </c>
      <c r="D380" s="679" t="s">
        <v>117</v>
      </c>
      <c r="E380" s="680" t="s">
        <v>303</v>
      </c>
      <c r="F380" s="680"/>
      <c r="G380" s="682" t="s">
        <v>1110</v>
      </c>
      <c r="H380" s="3"/>
    </row>
    <row r="381" spans="1:8" ht="15" customHeight="1">
      <c r="A381" s="690" t="s">
        <v>1165</v>
      </c>
      <c r="B381" s="685" t="s">
        <v>1164</v>
      </c>
      <c r="C381" s="679" t="s">
        <v>92</v>
      </c>
      <c r="D381" s="679" t="s">
        <v>113</v>
      </c>
      <c r="E381" s="680" t="s">
        <v>303</v>
      </c>
      <c r="F381" s="680"/>
      <c r="G381" s="682" t="s">
        <v>1110</v>
      </c>
      <c r="H381" s="3"/>
    </row>
    <row r="382" spans="1:8" ht="15" customHeight="1">
      <c r="A382" s="678" t="s">
        <v>1167</v>
      </c>
      <c r="B382" s="678" t="s">
        <v>1166</v>
      </c>
      <c r="C382" s="679" t="s">
        <v>92</v>
      </c>
      <c r="D382" s="679" t="s">
        <v>116</v>
      </c>
      <c r="E382" s="680" t="s">
        <v>303</v>
      </c>
      <c r="F382" s="680"/>
      <c r="G382" s="682" t="s">
        <v>2</v>
      </c>
      <c r="H382" s="3"/>
    </row>
    <row r="383" spans="1:8" ht="15" customHeight="1">
      <c r="A383" s="690" t="s">
        <v>2257</v>
      </c>
      <c r="B383" s="685" t="s">
        <v>1168</v>
      </c>
      <c r="C383" s="679" t="s">
        <v>92</v>
      </c>
      <c r="D383" s="679" t="s">
        <v>116</v>
      </c>
      <c r="E383" s="680" t="s">
        <v>303</v>
      </c>
      <c r="F383" s="680"/>
      <c r="G383" s="682" t="s">
        <v>2</v>
      </c>
      <c r="H383" s="3"/>
    </row>
    <row r="384" spans="1:8" ht="15" customHeight="1">
      <c r="A384" s="690" t="s">
        <v>1170</v>
      </c>
      <c r="B384" s="685" t="s">
        <v>1169</v>
      </c>
      <c r="C384" s="679" t="s">
        <v>92</v>
      </c>
      <c r="D384" s="679" t="s">
        <v>204</v>
      </c>
      <c r="E384" s="680" t="s">
        <v>303</v>
      </c>
      <c r="F384" s="680"/>
      <c r="G384" s="682" t="s">
        <v>1110</v>
      </c>
      <c r="H384" s="3"/>
    </row>
    <row r="385" spans="1:8" ht="15" customHeight="1">
      <c r="A385" s="678" t="s">
        <v>1172</v>
      </c>
      <c r="B385" s="678" t="s">
        <v>1171</v>
      </c>
      <c r="C385" s="679" t="s">
        <v>92</v>
      </c>
      <c r="D385" s="679" t="s">
        <v>120</v>
      </c>
      <c r="E385" s="680" t="s">
        <v>303</v>
      </c>
      <c r="F385" s="680"/>
      <c r="G385" s="682" t="s">
        <v>1110</v>
      </c>
      <c r="H385" s="3"/>
    </row>
    <row r="386" spans="1:8" ht="15" customHeight="1">
      <c r="A386" s="690" t="s">
        <v>1174</v>
      </c>
      <c r="B386" s="685" t="s">
        <v>1173</v>
      </c>
      <c r="C386" s="679" t="s">
        <v>92</v>
      </c>
      <c r="D386" s="679" t="s">
        <v>121</v>
      </c>
      <c r="E386" s="680" t="s">
        <v>303</v>
      </c>
      <c r="F386" s="680"/>
      <c r="G386" s="682" t="s">
        <v>1110</v>
      </c>
      <c r="H386" s="3"/>
    </row>
    <row r="387" spans="1:8" ht="15" customHeight="1">
      <c r="A387" s="678" t="s">
        <v>1176</v>
      </c>
      <c r="B387" s="678" t="s">
        <v>1175</v>
      </c>
      <c r="C387" s="679" t="s">
        <v>92</v>
      </c>
      <c r="D387" s="679" t="s">
        <v>122</v>
      </c>
      <c r="E387" s="680" t="s">
        <v>303</v>
      </c>
      <c r="F387" s="680"/>
      <c r="G387" s="682" t="s">
        <v>2</v>
      </c>
      <c r="H387" s="3"/>
    </row>
    <row r="388" spans="1:8" ht="15" customHeight="1">
      <c r="A388" s="690" t="s">
        <v>1178</v>
      </c>
      <c r="B388" s="685" t="s">
        <v>1177</v>
      </c>
      <c r="C388" s="679" t="s">
        <v>92</v>
      </c>
      <c r="D388" s="679" t="s">
        <v>124</v>
      </c>
      <c r="E388" s="680" t="s">
        <v>303</v>
      </c>
      <c r="F388" s="680"/>
      <c r="G388" s="682" t="s">
        <v>1110</v>
      </c>
      <c r="H388" s="3"/>
    </row>
    <row r="389" spans="1:8" ht="15" customHeight="1">
      <c r="A389" s="690" t="s">
        <v>1180</v>
      </c>
      <c r="B389" s="685" t="s">
        <v>1179</v>
      </c>
      <c r="C389" s="679" t="s">
        <v>92</v>
      </c>
      <c r="D389" s="679" t="s">
        <v>127</v>
      </c>
      <c r="E389" s="680" t="s">
        <v>303</v>
      </c>
      <c r="F389" s="680"/>
      <c r="G389" s="682" t="s">
        <v>1110</v>
      </c>
      <c r="H389" s="3"/>
    </row>
    <row r="390" spans="1:8" ht="15" customHeight="1">
      <c r="A390" s="690" t="s">
        <v>1182</v>
      </c>
      <c r="B390" s="685" t="s">
        <v>1181</v>
      </c>
      <c r="C390" s="679" t="s">
        <v>92</v>
      </c>
      <c r="D390" s="679" t="s">
        <v>125</v>
      </c>
      <c r="E390" s="680" t="s">
        <v>303</v>
      </c>
      <c r="F390" s="680"/>
      <c r="G390" s="682" t="s">
        <v>1110</v>
      </c>
      <c r="H390" s="4"/>
    </row>
    <row r="391" spans="1:8" ht="15" customHeight="1">
      <c r="A391" s="690" t="s">
        <v>1184</v>
      </c>
      <c r="B391" s="685" t="s">
        <v>1388</v>
      </c>
      <c r="C391" s="679" t="s">
        <v>92</v>
      </c>
      <c r="D391" s="679" t="s">
        <v>126</v>
      </c>
      <c r="E391" s="680" t="s">
        <v>303</v>
      </c>
      <c r="F391" s="680"/>
      <c r="G391" s="682" t="s">
        <v>1110</v>
      </c>
      <c r="H391" s="4"/>
    </row>
    <row r="392" spans="1:8" ht="15" customHeight="1">
      <c r="A392" s="678" t="s">
        <v>1186</v>
      </c>
      <c r="B392" s="678" t="s">
        <v>1185</v>
      </c>
      <c r="C392" s="679" t="s">
        <v>92</v>
      </c>
      <c r="D392" s="679" t="s">
        <v>126</v>
      </c>
      <c r="E392" s="680" t="s">
        <v>303</v>
      </c>
      <c r="F392" s="680"/>
      <c r="G392" s="682" t="s">
        <v>1110</v>
      </c>
      <c r="H392" s="3"/>
    </row>
    <row r="393" spans="1:8" ht="15" customHeight="1">
      <c r="A393" s="690" t="s">
        <v>2276</v>
      </c>
      <c r="B393" s="688" t="s">
        <v>799</v>
      </c>
      <c r="C393" s="679"/>
      <c r="D393" s="679"/>
      <c r="E393" s="680" t="s">
        <v>303</v>
      </c>
      <c r="F393" s="680"/>
      <c r="G393" s="682" t="s">
        <v>816</v>
      </c>
      <c r="H393" s="3"/>
    </row>
    <row r="394" spans="1:8" ht="15" customHeight="1">
      <c r="A394" s="678" t="s">
        <v>1188</v>
      </c>
      <c r="B394" s="678" t="s">
        <v>1187</v>
      </c>
      <c r="C394" s="679" t="s">
        <v>92</v>
      </c>
      <c r="D394" s="679" t="s">
        <v>135</v>
      </c>
      <c r="E394" s="680" t="s">
        <v>303</v>
      </c>
      <c r="F394" s="680"/>
      <c r="G394" s="682" t="s">
        <v>1110</v>
      </c>
      <c r="H394" s="3"/>
    </row>
    <row r="395" spans="1:8" ht="15" customHeight="1">
      <c r="A395" s="678" t="s">
        <v>1190</v>
      </c>
      <c r="B395" s="685" t="s">
        <v>1189</v>
      </c>
      <c r="C395" s="679" t="s">
        <v>92</v>
      </c>
      <c r="D395" s="679" t="s">
        <v>136</v>
      </c>
      <c r="E395" s="680" t="s">
        <v>303</v>
      </c>
      <c r="F395" s="680"/>
      <c r="G395" s="682" t="e">
        <v>#N/A</v>
      </c>
      <c r="H395" s="3"/>
    </row>
    <row r="396" spans="1:8" ht="15" customHeight="1">
      <c r="A396" s="678" t="s">
        <v>1192</v>
      </c>
      <c r="B396" s="685" t="s">
        <v>1191</v>
      </c>
      <c r="C396" s="679" t="s">
        <v>92</v>
      </c>
      <c r="D396" s="679" t="s">
        <v>141</v>
      </c>
      <c r="E396" s="680" t="s">
        <v>303</v>
      </c>
      <c r="F396" s="680"/>
      <c r="G396" s="682" t="e">
        <v>#N/A</v>
      </c>
      <c r="H396" s="3"/>
    </row>
    <row r="397" spans="1:8" ht="15" customHeight="1">
      <c r="A397" s="690" t="s">
        <v>1194</v>
      </c>
      <c r="B397" s="685" t="s">
        <v>1193</v>
      </c>
      <c r="C397" s="679" t="s">
        <v>92</v>
      </c>
      <c r="D397" s="679" t="s">
        <v>131</v>
      </c>
      <c r="E397" s="680" t="s">
        <v>303</v>
      </c>
      <c r="F397" s="680"/>
      <c r="G397" s="682" t="s">
        <v>1110</v>
      </c>
      <c r="H397" s="3"/>
    </row>
    <row r="398" spans="1:8" ht="15" customHeight="1">
      <c r="A398" s="678" t="s">
        <v>1196</v>
      </c>
      <c r="B398" s="678" t="s">
        <v>1195</v>
      </c>
      <c r="C398" s="679" t="s">
        <v>92</v>
      </c>
      <c r="D398" s="679" t="s">
        <v>139</v>
      </c>
      <c r="E398" s="680" t="s">
        <v>303</v>
      </c>
      <c r="F398" s="680"/>
      <c r="G398" s="682" t="s">
        <v>1110</v>
      </c>
      <c r="H398" s="3"/>
    </row>
    <row r="399" spans="1:8" ht="15" customHeight="1">
      <c r="A399" s="690" t="s">
        <v>1208</v>
      </c>
      <c r="B399" s="688" t="s">
        <v>800</v>
      </c>
      <c r="C399" s="679"/>
      <c r="D399" s="679"/>
      <c r="E399" s="680" t="s">
        <v>303</v>
      </c>
      <c r="F399" s="680"/>
      <c r="G399" s="682" t="s">
        <v>816</v>
      </c>
      <c r="H399" s="3"/>
    </row>
    <row r="400" spans="1:8" ht="15" customHeight="1">
      <c r="A400" s="678" t="s">
        <v>1198</v>
      </c>
      <c r="B400" s="678" t="s">
        <v>1197</v>
      </c>
      <c r="C400" s="679" t="s">
        <v>92</v>
      </c>
      <c r="D400" s="679" t="s">
        <v>132</v>
      </c>
      <c r="E400" s="680" t="s">
        <v>303</v>
      </c>
      <c r="F400" s="680"/>
      <c r="G400" s="682" t="s">
        <v>1110</v>
      </c>
      <c r="H400" s="3"/>
    </row>
    <row r="401" spans="1:8" ht="15" customHeight="1">
      <c r="A401" s="690" t="s">
        <v>1200</v>
      </c>
      <c r="B401" s="678" t="s">
        <v>1199</v>
      </c>
      <c r="C401" s="679" t="s">
        <v>92</v>
      </c>
      <c r="D401" s="679" t="s">
        <v>137</v>
      </c>
      <c r="E401" s="680" t="s">
        <v>303</v>
      </c>
      <c r="F401" s="680"/>
      <c r="G401" s="682" t="s">
        <v>1110</v>
      </c>
      <c r="H401" s="3"/>
    </row>
    <row r="402" spans="1:8" ht="15" customHeight="1">
      <c r="A402" s="678" t="s">
        <v>1202</v>
      </c>
      <c r="B402" s="678" t="s">
        <v>1201</v>
      </c>
      <c r="C402" s="679" t="s">
        <v>92</v>
      </c>
      <c r="D402" s="679" t="s">
        <v>138</v>
      </c>
      <c r="E402" s="680" t="s">
        <v>303</v>
      </c>
      <c r="F402" s="680"/>
      <c r="G402" s="682" t="s">
        <v>1110</v>
      </c>
      <c r="H402" s="3"/>
    </row>
    <row r="403" spans="1:8" ht="15" customHeight="1">
      <c r="A403" s="690" t="s">
        <v>1204</v>
      </c>
      <c r="B403" s="678" t="s">
        <v>1203</v>
      </c>
      <c r="C403" s="679" t="s">
        <v>92</v>
      </c>
      <c r="D403" s="679" t="s">
        <v>140</v>
      </c>
      <c r="E403" s="680" t="s">
        <v>303</v>
      </c>
      <c r="F403" s="680"/>
      <c r="G403" s="682" t="s">
        <v>1110</v>
      </c>
      <c r="H403" s="3"/>
    </row>
    <row r="404" spans="1:8" ht="15" customHeight="1">
      <c r="A404" s="678" t="s">
        <v>1206</v>
      </c>
      <c r="B404" s="678" t="s">
        <v>1205</v>
      </c>
      <c r="C404" s="679" t="s">
        <v>92</v>
      </c>
      <c r="D404" s="679" t="s">
        <v>133</v>
      </c>
      <c r="E404" s="680" t="s">
        <v>303</v>
      </c>
      <c r="F404" s="680"/>
      <c r="G404" s="682" t="s">
        <v>1110</v>
      </c>
      <c r="H404" s="3"/>
    </row>
    <row r="405" spans="1:8" ht="15" customHeight="1">
      <c r="A405" s="678" t="s">
        <v>3388</v>
      </c>
      <c r="B405" s="678" t="s">
        <v>1207</v>
      </c>
      <c r="C405" s="679" t="s">
        <v>92</v>
      </c>
      <c r="D405" s="679" t="s">
        <v>142</v>
      </c>
      <c r="E405" s="680" t="s">
        <v>303</v>
      </c>
      <c r="F405" s="680"/>
      <c r="G405" s="682" t="e">
        <v>#N/A</v>
      </c>
      <c r="H405" s="3"/>
    </row>
    <row r="406" spans="1:8" ht="15" customHeight="1">
      <c r="A406" s="690" t="s">
        <v>1210</v>
      </c>
      <c r="B406" s="685" t="s">
        <v>1209</v>
      </c>
      <c r="C406" s="679" t="s">
        <v>92</v>
      </c>
      <c r="D406" s="679" t="s">
        <v>134</v>
      </c>
      <c r="E406" s="680" t="s">
        <v>303</v>
      </c>
      <c r="F406" s="680"/>
      <c r="G406" s="682" t="s">
        <v>1110</v>
      </c>
      <c r="H406" s="3"/>
    </row>
    <row r="407" spans="1:8" ht="15" customHeight="1">
      <c r="A407" s="690" t="s">
        <v>1212</v>
      </c>
      <c r="B407" s="685" t="s">
        <v>1211</v>
      </c>
      <c r="C407" s="679" t="s">
        <v>92</v>
      </c>
      <c r="D407" s="679" t="s">
        <v>221</v>
      </c>
      <c r="E407" s="680" t="s">
        <v>303</v>
      </c>
      <c r="F407" s="680"/>
      <c r="G407" s="682" t="e">
        <v>#N/A</v>
      </c>
      <c r="H407" s="3"/>
    </row>
    <row r="408" spans="1:8" ht="15" customHeight="1">
      <c r="A408" s="690" t="s">
        <v>2304</v>
      </c>
      <c r="B408" s="685" t="s">
        <v>1389</v>
      </c>
      <c r="C408" s="679" t="s">
        <v>92</v>
      </c>
      <c r="D408" s="679" t="s">
        <v>213</v>
      </c>
      <c r="E408" s="680" t="s">
        <v>303</v>
      </c>
      <c r="F408" s="680"/>
      <c r="G408" s="680" t="s">
        <v>1154</v>
      </c>
      <c r="H408" s="3"/>
    </row>
    <row r="409" spans="1:8" ht="15" customHeight="1">
      <c r="A409" s="690" t="s">
        <v>1214</v>
      </c>
      <c r="B409" s="685" t="s">
        <v>1213</v>
      </c>
      <c r="C409" s="679" t="s">
        <v>92</v>
      </c>
      <c r="D409" s="679" t="s">
        <v>210</v>
      </c>
      <c r="E409" s="680" t="s">
        <v>303</v>
      </c>
      <c r="F409" s="680"/>
      <c r="G409" s="682" t="s">
        <v>1154</v>
      </c>
      <c r="H409" s="3"/>
    </row>
    <row r="410" spans="1:8" ht="15" customHeight="1">
      <c r="A410" s="678" t="s">
        <v>1216</v>
      </c>
      <c r="B410" s="678" t="s">
        <v>1215</v>
      </c>
      <c r="C410" s="679" t="s">
        <v>92</v>
      </c>
      <c r="D410" s="679" t="s">
        <v>205</v>
      </c>
      <c r="E410" s="680" t="s">
        <v>303</v>
      </c>
      <c r="F410" s="680"/>
      <c r="G410" s="682" t="s">
        <v>1154</v>
      </c>
      <c r="H410" s="3"/>
    </row>
    <row r="411" spans="1:8" ht="15" customHeight="1">
      <c r="A411" s="690" t="s">
        <v>1218</v>
      </c>
      <c r="B411" s="685" t="s">
        <v>1217</v>
      </c>
      <c r="C411" s="679" t="s">
        <v>92</v>
      </c>
      <c r="D411" s="679" t="s">
        <v>209</v>
      </c>
      <c r="E411" s="680" t="s">
        <v>303</v>
      </c>
      <c r="F411" s="680"/>
      <c r="G411" s="682" t="s">
        <v>1154</v>
      </c>
      <c r="H411" s="3"/>
    </row>
    <row r="412" spans="1:8" ht="15" customHeight="1">
      <c r="A412" s="678" t="s">
        <v>1220</v>
      </c>
      <c r="B412" s="678" t="s">
        <v>1219</v>
      </c>
      <c r="C412" s="679" t="s">
        <v>92</v>
      </c>
      <c r="D412" s="679" t="s">
        <v>206</v>
      </c>
      <c r="E412" s="680" t="s">
        <v>303</v>
      </c>
      <c r="F412" s="680"/>
      <c r="G412" s="682" t="s">
        <v>1154</v>
      </c>
      <c r="H412" s="3"/>
    </row>
    <row r="413" spans="1:8" ht="15" customHeight="1">
      <c r="A413" s="690" t="s">
        <v>1222</v>
      </c>
      <c r="B413" s="678" t="s">
        <v>1221</v>
      </c>
      <c r="C413" s="679" t="s">
        <v>92</v>
      </c>
      <c r="D413" s="679" t="s">
        <v>207</v>
      </c>
      <c r="E413" s="680" t="s">
        <v>303</v>
      </c>
      <c r="F413" s="680"/>
      <c r="G413" s="682" t="s">
        <v>1154</v>
      </c>
      <c r="H413" s="3"/>
    </row>
    <row r="414" spans="1:8" ht="15" customHeight="1">
      <c r="A414" s="678" t="s">
        <v>1224</v>
      </c>
      <c r="B414" s="678" t="s">
        <v>1223</v>
      </c>
      <c r="C414" s="679" t="s">
        <v>92</v>
      </c>
      <c r="D414" s="679" t="s">
        <v>211</v>
      </c>
      <c r="E414" s="680" t="s">
        <v>303</v>
      </c>
      <c r="F414" s="680"/>
      <c r="G414" s="682" t="s">
        <v>1154</v>
      </c>
      <c r="H414" s="3"/>
    </row>
    <row r="415" spans="1:8" ht="15" customHeight="1">
      <c r="A415" s="678" t="s">
        <v>3389</v>
      </c>
      <c r="B415" s="678" t="s">
        <v>1390</v>
      </c>
      <c r="C415" s="679" t="s">
        <v>92</v>
      </c>
      <c r="D415" s="679" t="s">
        <v>214</v>
      </c>
      <c r="E415" s="680" t="s">
        <v>303</v>
      </c>
      <c r="F415" s="680"/>
      <c r="G415" s="680" t="s">
        <v>1154</v>
      </c>
      <c r="H415" s="3"/>
    </row>
    <row r="416" spans="1:8" ht="15" customHeight="1">
      <c r="A416" s="690" t="s">
        <v>2319</v>
      </c>
      <c r="B416" s="688" t="s">
        <v>1225</v>
      </c>
      <c r="C416" s="679" t="s">
        <v>152</v>
      </c>
      <c r="D416" s="679" t="s">
        <v>111</v>
      </c>
      <c r="E416" s="680" t="s">
        <v>303</v>
      </c>
      <c r="F416" s="680"/>
      <c r="G416" s="682" t="s">
        <v>1154</v>
      </c>
      <c r="H416" s="3"/>
    </row>
    <row r="417" spans="1:12" ht="15" customHeight="1">
      <c r="A417" s="690" t="s">
        <v>2322</v>
      </c>
      <c r="B417" s="688" t="s">
        <v>1156</v>
      </c>
      <c r="C417" s="679" t="s">
        <v>152</v>
      </c>
      <c r="D417" s="679" t="s">
        <v>112</v>
      </c>
      <c r="E417" s="680" t="s">
        <v>303</v>
      </c>
      <c r="F417" s="680"/>
      <c r="G417" s="682" t="s">
        <v>1154</v>
      </c>
      <c r="H417" s="3"/>
    </row>
    <row r="418" spans="1:12" ht="15" customHeight="1">
      <c r="A418" s="678" t="s">
        <v>2325</v>
      </c>
      <c r="B418" s="678" t="s">
        <v>1226</v>
      </c>
      <c r="C418" s="679" t="s">
        <v>152</v>
      </c>
      <c r="D418" s="679" t="s">
        <v>114</v>
      </c>
      <c r="E418" s="680" t="s">
        <v>303</v>
      </c>
      <c r="F418" s="680"/>
      <c r="G418" s="682" t="s">
        <v>1154</v>
      </c>
      <c r="H418" s="3"/>
    </row>
    <row r="419" spans="1:12" ht="15" customHeight="1">
      <c r="A419" s="690" t="s">
        <v>2328</v>
      </c>
      <c r="B419" s="688" t="s">
        <v>1160</v>
      </c>
      <c r="C419" s="679" t="s">
        <v>152</v>
      </c>
      <c r="D419" s="679" t="s">
        <v>115</v>
      </c>
      <c r="E419" s="680" t="s">
        <v>303</v>
      </c>
      <c r="F419" s="680"/>
      <c r="G419" s="682" t="s">
        <v>1154</v>
      </c>
      <c r="H419" s="3"/>
    </row>
    <row r="420" spans="1:12" ht="15" customHeight="1">
      <c r="A420" s="678" t="s">
        <v>2331</v>
      </c>
      <c r="B420" s="678" t="s">
        <v>1162</v>
      </c>
      <c r="C420" s="679" t="s">
        <v>152</v>
      </c>
      <c r="D420" s="679" t="s">
        <v>117</v>
      </c>
      <c r="E420" s="680" t="s">
        <v>303</v>
      </c>
      <c r="F420" s="680"/>
      <c r="G420" s="682" t="s">
        <v>1154</v>
      </c>
      <c r="H420" s="3"/>
    </row>
    <row r="421" spans="1:12" ht="15" customHeight="1">
      <c r="A421" s="690" t="s">
        <v>2334</v>
      </c>
      <c r="B421" s="688" t="s">
        <v>1164</v>
      </c>
      <c r="C421" s="679" t="s">
        <v>152</v>
      </c>
      <c r="D421" s="679" t="s">
        <v>113</v>
      </c>
      <c r="E421" s="680" t="s">
        <v>303</v>
      </c>
      <c r="F421" s="680"/>
      <c r="G421" s="682" t="s">
        <v>1154</v>
      </c>
      <c r="H421" s="3"/>
      <c r="L421" s="3"/>
    </row>
    <row r="422" spans="1:12" ht="15" customHeight="1">
      <c r="A422" s="678" t="s">
        <v>2337</v>
      </c>
      <c r="B422" s="678" t="s">
        <v>801</v>
      </c>
      <c r="C422" s="679"/>
      <c r="D422" s="679"/>
      <c r="E422" s="680" t="s">
        <v>303</v>
      </c>
      <c r="F422" s="680"/>
      <c r="G422" s="682" t="s">
        <v>816</v>
      </c>
      <c r="H422" s="3"/>
      <c r="L422" s="3"/>
    </row>
    <row r="423" spans="1:12" ht="15" customHeight="1">
      <c r="A423" s="690" t="s">
        <v>2340</v>
      </c>
      <c r="B423" s="688" t="s">
        <v>1166</v>
      </c>
      <c r="C423" s="679" t="s">
        <v>152</v>
      </c>
      <c r="D423" s="679" t="s">
        <v>116</v>
      </c>
      <c r="E423" s="680" t="s">
        <v>303</v>
      </c>
      <c r="F423" s="680"/>
      <c r="G423" s="682" t="s">
        <v>1154</v>
      </c>
      <c r="H423" s="3"/>
    </row>
    <row r="424" spans="1:12" ht="15" customHeight="1">
      <c r="A424" s="678" t="s">
        <v>2343</v>
      </c>
      <c r="B424" s="678" t="s">
        <v>1227</v>
      </c>
      <c r="C424" s="679" t="s">
        <v>152</v>
      </c>
      <c r="D424" s="679" t="s">
        <v>116</v>
      </c>
      <c r="E424" s="680" t="s">
        <v>303</v>
      </c>
      <c r="F424" s="680"/>
      <c r="G424" s="682" t="s">
        <v>1154</v>
      </c>
      <c r="H424" s="3"/>
    </row>
    <row r="425" spans="1:12" ht="15" customHeight="1">
      <c r="A425" s="690" t="s">
        <v>2346</v>
      </c>
      <c r="B425" s="688" t="s">
        <v>802</v>
      </c>
      <c r="C425" s="679"/>
      <c r="D425" s="679"/>
      <c r="E425" s="680" t="s">
        <v>303</v>
      </c>
      <c r="F425" s="680"/>
      <c r="G425" s="682" t="s">
        <v>816</v>
      </c>
      <c r="H425" s="3"/>
    </row>
    <row r="426" spans="1:12" ht="15" customHeight="1">
      <c r="A426" s="678" t="s">
        <v>2349</v>
      </c>
      <c r="B426" s="688" t="s">
        <v>1169</v>
      </c>
      <c r="C426" s="679" t="s">
        <v>152</v>
      </c>
      <c r="D426" s="679" t="s">
        <v>204</v>
      </c>
      <c r="E426" s="680" t="s">
        <v>303</v>
      </c>
      <c r="F426" s="680"/>
      <c r="G426" s="682" t="s">
        <v>1154</v>
      </c>
      <c r="H426" s="3"/>
    </row>
    <row r="427" spans="1:12" ht="15" customHeight="1">
      <c r="A427" s="690" t="s">
        <v>2352</v>
      </c>
      <c r="B427" s="688" t="s">
        <v>1171</v>
      </c>
      <c r="C427" s="679" t="s">
        <v>152</v>
      </c>
      <c r="D427" s="679" t="s">
        <v>120</v>
      </c>
      <c r="E427" s="680" t="s">
        <v>303</v>
      </c>
      <c r="F427" s="680"/>
      <c r="G427" s="682" t="s">
        <v>2</v>
      </c>
      <c r="H427" s="3"/>
    </row>
    <row r="428" spans="1:12" ht="15" customHeight="1">
      <c r="A428" s="690" t="s">
        <v>2355</v>
      </c>
      <c r="B428" s="688" t="s">
        <v>1173</v>
      </c>
      <c r="C428" s="679" t="s">
        <v>152</v>
      </c>
      <c r="D428" s="679" t="s">
        <v>121</v>
      </c>
      <c r="E428" s="680" t="s">
        <v>303</v>
      </c>
      <c r="F428" s="680"/>
      <c r="G428" s="682" t="s">
        <v>1154</v>
      </c>
      <c r="H428" s="3"/>
    </row>
    <row r="429" spans="1:12" ht="15" customHeight="1">
      <c r="A429" s="690" t="s">
        <v>2358</v>
      </c>
      <c r="B429" s="688" t="s">
        <v>1228</v>
      </c>
      <c r="C429" s="679" t="s">
        <v>152</v>
      </c>
      <c r="D429" s="679" t="s">
        <v>122</v>
      </c>
      <c r="E429" s="680" t="s">
        <v>303</v>
      </c>
      <c r="F429" s="680"/>
      <c r="G429" s="682" t="e">
        <v>#N/A</v>
      </c>
      <c r="H429" s="3"/>
    </row>
    <row r="430" spans="1:12" ht="15" customHeight="1">
      <c r="A430" s="690" t="s">
        <v>2359</v>
      </c>
      <c r="B430" s="688" t="s">
        <v>1229</v>
      </c>
      <c r="C430" s="679" t="s">
        <v>152</v>
      </c>
      <c r="D430" s="679" t="s">
        <v>124</v>
      </c>
      <c r="E430" s="680" t="s">
        <v>303</v>
      </c>
      <c r="F430" s="680"/>
      <c r="G430" s="682" t="s">
        <v>1154</v>
      </c>
      <c r="H430" s="3"/>
    </row>
    <row r="431" spans="1:12" ht="15" customHeight="1">
      <c r="A431" s="690" t="s">
        <v>2362</v>
      </c>
      <c r="B431" s="688" t="s">
        <v>1179</v>
      </c>
      <c r="C431" s="679" t="s">
        <v>152</v>
      </c>
      <c r="D431" s="679" t="s">
        <v>127</v>
      </c>
      <c r="E431" s="680" t="s">
        <v>303</v>
      </c>
      <c r="F431" s="680"/>
      <c r="G431" s="682" t="s">
        <v>1154</v>
      </c>
      <c r="H431" s="3"/>
    </row>
    <row r="432" spans="1:12" ht="15" customHeight="1">
      <c r="A432" s="690" t="s">
        <v>2365</v>
      </c>
      <c r="B432" s="688" t="s">
        <v>1181</v>
      </c>
      <c r="C432" s="679" t="s">
        <v>152</v>
      </c>
      <c r="D432" s="679" t="s">
        <v>125</v>
      </c>
      <c r="E432" s="680" t="s">
        <v>303</v>
      </c>
      <c r="F432" s="680"/>
      <c r="G432" s="682" t="s">
        <v>1154</v>
      </c>
      <c r="H432" s="3"/>
    </row>
    <row r="433" spans="1:8" ht="15" customHeight="1">
      <c r="A433" s="690" t="s">
        <v>3390</v>
      </c>
      <c r="B433" s="688" t="s">
        <v>1391</v>
      </c>
      <c r="C433" s="679" t="s">
        <v>152</v>
      </c>
      <c r="D433" s="679" t="s">
        <v>126</v>
      </c>
      <c r="E433" s="680" t="s">
        <v>303</v>
      </c>
      <c r="F433" s="680"/>
      <c r="G433" s="682" t="s">
        <v>2</v>
      </c>
      <c r="H433" s="3"/>
    </row>
    <row r="434" spans="1:8" ht="15" customHeight="1">
      <c r="A434" s="690" t="s">
        <v>2368</v>
      </c>
      <c r="B434" s="688" t="s">
        <v>1231</v>
      </c>
      <c r="C434" s="679" t="s">
        <v>152</v>
      </c>
      <c r="D434" s="679" t="s">
        <v>126</v>
      </c>
      <c r="E434" s="680" t="s">
        <v>303</v>
      </c>
      <c r="F434" s="680"/>
      <c r="G434" s="682" t="s">
        <v>1154</v>
      </c>
      <c r="H434" s="3"/>
    </row>
    <row r="435" spans="1:8" ht="15" customHeight="1">
      <c r="A435" s="690" t="s">
        <v>2371</v>
      </c>
      <c r="B435" s="688" t="s">
        <v>803</v>
      </c>
      <c r="C435" s="679"/>
      <c r="D435" s="679"/>
      <c r="E435" s="680" t="s">
        <v>303</v>
      </c>
      <c r="F435" s="680"/>
      <c r="G435" s="682" t="s">
        <v>816</v>
      </c>
      <c r="H435" s="3"/>
    </row>
    <row r="436" spans="1:8" ht="15" customHeight="1">
      <c r="A436" s="690" t="s">
        <v>2374</v>
      </c>
      <c r="B436" s="688" t="s">
        <v>1187</v>
      </c>
      <c r="C436" s="679" t="s">
        <v>152</v>
      </c>
      <c r="D436" s="679" t="s">
        <v>135</v>
      </c>
      <c r="E436" s="680" t="s">
        <v>303</v>
      </c>
      <c r="F436" s="680"/>
      <c r="G436" s="682" t="s">
        <v>1154</v>
      </c>
      <c r="H436" s="3"/>
    </row>
    <row r="437" spans="1:8" ht="15" customHeight="1">
      <c r="A437" s="690" t="s">
        <v>2376</v>
      </c>
      <c r="B437" s="688" t="s">
        <v>1189</v>
      </c>
      <c r="C437" s="679" t="s">
        <v>152</v>
      </c>
      <c r="D437" s="679" t="s">
        <v>136</v>
      </c>
      <c r="E437" s="680" t="s">
        <v>303</v>
      </c>
      <c r="F437" s="680"/>
      <c r="G437" s="680" t="s">
        <v>1154</v>
      </c>
      <c r="H437" s="3"/>
    </row>
    <row r="438" spans="1:8" ht="15" customHeight="1">
      <c r="A438" s="678" t="s">
        <v>2379</v>
      </c>
      <c r="B438" s="678" t="s">
        <v>1191</v>
      </c>
      <c r="C438" s="679" t="s">
        <v>152</v>
      </c>
      <c r="D438" s="679" t="s">
        <v>141</v>
      </c>
      <c r="E438" s="680" t="s">
        <v>303</v>
      </c>
      <c r="F438" s="680"/>
      <c r="G438" s="682" t="s">
        <v>1154</v>
      </c>
      <c r="H438" s="3"/>
    </row>
    <row r="439" spans="1:8" ht="15" customHeight="1">
      <c r="A439" s="690" t="s">
        <v>2382</v>
      </c>
      <c r="B439" s="688" t="s">
        <v>1193</v>
      </c>
      <c r="C439" s="679" t="s">
        <v>152</v>
      </c>
      <c r="D439" s="679" t="s">
        <v>131</v>
      </c>
      <c r="E439" s="680" t="s">
        <v>303</v>
      </c>
      <c r="F439" s="680"/>
      <c r="G439" s="682" t="s">
        <v>1154</v>
      </c>
      <c r="H439" s="3"/>
    </row>
    <row r="440" spans="1:8" ht="15" customHeight="1">
      <c r="A440" s="678" t="s">
        <v>2385</v>
      </c>
      <c r="B440" s="678" t="s">
        <v>1195</v>
      </c>
      <c r="C440" s="679" t="s">
        <v>152</v>
      </c>
      <c r="D440" s="679" t="s">
        <v>139</v>
      </c>
      <c r="E440" s="680" t="s">
        <v>303</v>
      </c>
      <c r="F440" s="686"/>
      <c r="G440" s="682" t="s">
        <v>1154</v>
      </c>
      <c r="H440" s="3"/>
    </row>
    <row r="441" spans="1:8" ht="15" customHeight="1">
      <c r="A441" s="690" t="s">
        <v>2388</v>
      </c>
      <c r="B441" s="688" t="s">
        <v>1197</v>
      </c>
      <c r="C441" s="679" t="s">
        <v>152</v>
      </c>
      <c r="D441" s="679" t="s">
        <v>132</v>
      </c>
      <c r="E441" s="680" t="s">
        <v>303</v>
      </c>
      <c r="F441" s="680"/>
      <c r="G441" s="682" t="s">
        <v>1154</v>
      </c>
      <c r="H441" s="3"/>
    </row>
    <row r="442" spans="1:8" ht="15" customHeight="1">
      <c r="A442" s="678" t="s">
        <v>2391</v>
      </c>
      <c r="B442" s="678" t="s">
        <v>1199</v>
      </c>
      <c r="C442" s="679" t="s">
        <v>152</v>
      </c>
      <c r="D442" s="679" t="s">
        <v>137</v>
      </c>
      <c r="E442" s="680" t="s">
        <v>303</v>
      </c>
      <c r="F442" s="680"/>
      <c r="G442" s="682" t="s">
        <v>1154</v>
      </c>
      <c r="H442" s="3"/>
    </row>
    <row r="443" spans="1:8" ht="15" customHeight="1">
      <c r="A443" s="690" t="s">
        <v>2394</v>
      </c>
      <c r="B443" s="688" t="s">
        <v>1201</v>
      </c>
      <c r="C443" s="679" t="s">
        <v>152</v>
      </c>
      <c r="D443" s="679" t="s">
        <v>138</v>
      </c>
      <c r="E443" s="680" t="s">
        <v>303</v>
      </c>
      <c r="F443" s="680"/>
      <c r="G443" s="682" t="e">
        <v>#N/A</v>
      </c>
      <c r="H443" s="3"/>
    </row>
    <row r="444" spans="1:8" ht="15" customHeight="1">
      <c r="A444" s="690" t="s">
        <v>2397</v>
      </c>
      <c r="B444" s="678" t="s">
        <v>1203</v>
      </c>
      <c r="C444" s="679" t="s">
        <v>152</v>
      </c>
      <c r="D444" s="679" t="s">
        <v>140</v>
      </c>
      <c r="E444" s="680" t="s">
        <v>303</v>
      </c>
      <c r="F444" s="680"/>
      <c r="G444" s="682" t="s">
        <v>1154</v>
      </c>
      <c r="H444" s="3"/>
    </row>
    <row r="445" spans="1:8" ht="15" customHeight="1">
      <c r="A445" s="690" t="s">
        <v>2400</v>
      </c>
      <c r="B445" s="688" t="s">
        <v>1232</v>
      </c>
      <c r="C445" s="679" t="s">
        <v>152</v>
      </c>
      <c r="D445" s="679" t="s">
        <v>133</v>
      </c>
      <c r="E445" s="680" t="s">
        <v>303</v>
      </c>
      <c r="F445" s="680"/>
      <c r="G445" s="682" t="s">
        <v>1154</v>
      </c>
      <c r="H445" s="3"/>
    </row>
    <row r="446" spans="1:8" ht="15" customHeight="1">
      <c r="A446" s="690" t="s">
        <v>3391</v>
      </c>
      <c r="B446" s="688" t="s">
        <v>1233</v>
      </c>
      <c r="C446" s="679" t="s">
        <v>152</v>
      </c>
      <c r="D446" s="679" t="s">
        <v>142</v>
      </c>
      <c r="E446" s="680" t="s">
        <v>303</v>
      </c>
      <c r="F446" s="680"/>
      <c r="G446" s="682" t="s">
        <v>1154</v>
      </c>
      <c r="H446" s="3"/>
    </row>
    <row r="447" spans="1:8" ht="15" customHeight="1">
      <c r="A447" s="690" t="s">
        <v>2403</v>
      </c>
      <c r="B447" s="678" t="s">
        <v>1209</v>
      </c>
      <c r="C447" s="679" t="s">
        <v>152</v>
      </c>
      <c r="D447" s="679" t="s">
        <v>134</v>
      </c>
      <c r="E447" s="680" t="s">
        <v>303</v>
      </c>
      <c r="F447" s="686"/>
      <c r="G447" s="682" t="s">
        <v>1154</v>
      </c>
      <c r="H447" s="3"/>
    </row>
    <row r="448" spans="1:8" ht="15" customHeight="1">
      <c r="A448" s="690" t="s">
        <v>2406</v>
      </c>
      <c r="B448" s="688" t="s">
        <v>1211</v>
      </c>
      <c r="C448" s="679" t="s">
        <v>152</v>
      </c>
      <c r="D448" s="679" t="s">
        <v>221</v>
      </c>
      <c r="E448" s="680" t="s">
        <v>303</v>
      </c>
      <c r="F448" s="680"/>
      <c r="G448" s="682" t="s">
        <v>1154</v>
      </c>
      <c r="H448" s="3"/>
    </row>
    <row r="449" spans="1:8" ht="15" customHeight="1">
      <c r="A449" s="690" t="s">
        <v>2409</v>
      </c>
      <c r="B449" s="688" t="s">
        <v>1389</v>
      </c>
      <c r="C449" s="679" t="s">
        <v>152</v>
      </c>
      <c r="D449" s="679" t="s">
        <v>213</v>
      </c>
      <c r="E449" s="680" t="s">
        <v>303</v>
      </c>
      <c r="F449" s="680"/>
      <c r="G449" s="680" t="s">
        <v>1154</v>
      </c>
      <c r="H449" s="3"/>
    </row>
    <row r="450" spans="1:8" ht="15" customHeight="1">
      <c r="A450" s="690" t="s">
        <v>2412</v>
      </c>
      <c r="B450" s="678" t="s">
        <v>1235</v>
      </c>
      <c r="C450" s="679" t="s">
        <v>152</v>
      </c>
      <c r="D450" s="679" t="s">
        <v>210</v>
      </c>
      <c r="E450" s="680" t="s">
        <v>303</v>
      </c>
      <c r="F450" s="680"/>
      <c r="G450" s="682" t="e">
        <v>#N/A</v>
      </c>
      <c r="H450" s="3"/>
    </row>
    <row r="451" spans="1:8" ht="15" customHeight="1">
      <c r="A451" s="690" t="s">
        <v>2415</v>
      </c>
      <c r="B451" s="688" t="s">
        <v>1236</v>
      </c>
      <c r="C451" s="679" t="s">
        <v>152</v>
      </c>
      <c r="D451" s="679" t="s">
        <v>205</v>
      </c>
      <c r="E451" s="680" t="s">
        <v>303</v>
      </c>
      <c r="F451" s="680"/>
      <c r="G451" s="682" t="s">
        <v>1154</v>
      </c>
      <c r="H451" s="3"/>
    </row>
    <row r="452" spans="1:8" ht="15" customHeight="1">
      <c r="A452" s="690" t="s">
        <v>2418</v>
      </c>
      <c r="B452" s="688" t="s">
        <v>1237</v>
      </c>
      <c r="C452" s="679" t="s">
        <v>152</v>
      </c>
      <c r="D452" s="679" t="s">
        <v>209</v>
      </c>
      <c r="E452" s="680" t="s">
        <v>303</v>
      </c>
      <c r="F452" s="680"/>
      <c r="G452" s="682" t="s">
        <v>1154</v>
      </c>
      <c r="H452" s="3"/>
    </row>
    <row r="453" spans="1:8" ht="15" customHeight="1">
      <c r="A453" s="690" t="s">
        <v>2421</v>
      </c>
      <c r="B453" s="678" t="s">
        <v>1238</v>
      </c>
      <c r="C453" s="679" t="s">
        <v>152</v>
      </c>
      <c r="D453" s="679" t="s">
        <v>206</v>
      </c>
      <c r="E453" s="680" t="s">
        <v>303</v>
      </c>
      <c r="F453" s="680"/>
      <c r="G453" s="682" t="s">
        <v>1154</v>
      </c>
      <c r="H453" s="3"/>
    </row>
    <row r="454" spans="1:8" ht="15" customHeight="1">
      <c r="A454" s="690" t="s">
        <v>2424</v>
      </c>
      <c r="B454" s="688" t="s">
        <v>1239</v>
      </c>
      <c r="C454" s="679" t="s">
        <v>152</v>
      </c>
      <c r="D454" s="679" t="s">
        <v>207</v>
      </c>
      <c r="E454" s="680" t="s">
        <v>303</v>
      </c>
      <c r="F454" s="680"/>
      <c r="G454" s="682" t="s">
        <v>1154</v>
      </c>
      <c r="H454" s="3"/>
    </row>
    <row r="455" spans="1:8" ht="15" customHeight="1">
      <c r="A455" s="690" t="s">
        <v>2427</v>
      </c>
      <c r="B455" s="678" t="s">
        <v>1240</v>
      </c>
      <c r="C455" s="679" t="s">
        <v>152</v>
      </c>
      <c r="D455" s="679" t="s">
        <v>211</v>
      </c>
      <c r="E455" s="680" t="s">
        <v>303</v>
      </c>
      <c r="F455" s="680"/>
      <c r="G455" s="682" t="s">
        <v>1154</v>
      </c>
      <c r="H455" s="3"/>
    </row>
    <row r="456" spans="1:8" ht="15" customHeight="1">
      <c r="A456" s="678" t="s">
        <v>3392</v>
      </c>
      <c r="B456" s="678" t="s">
        <v>1392</v>
      </c>
      <c r="C456" s="679" t="s">
        <v>152</v>
      </c>
      <c r="D456" s="679" t="s">
        <v>214</v>
      </c>
      <c r="E456" s="680" t="s">
        <v>303</v>
      </c>
      <c r="F456" s="680"/>
      <c r="G456" s="680" t="s">
        <v>1154</v>
      </c>
      <c r="H456" s="3"/>
    </row>
    <row r="457" spans="1:8" ht="15" customHeight="1">
      <c r="A457" s="678" t="s">
        <v>3393</v>
      </c>
      <c r="B457" s="678" t="s">
        <v>3315</v>
      </c>
      <c r="C457" s="679" t="s">
        <v>152</v>
      </c>
      <c r="D457" s="679" t="s">
        <v>140</v>
      </c>
      <c r="E457" s="680" t="s">
        <v>303</v>
      </c>
      <c r="F457" s="680"/>
      <c r="G457" s="682" t="s">
        <v>2</v>
      </c>
      <c r="H457" s="3"/>
    </row>
    <row r="458" spans="1:8" ht="15" customHeight="1">
      <c r="A458" s="690" t="s">
        <v>2430</v>
      </c>
      <c r="B458" s="688" t="s">
        <v>1241</v>
      </c>
      <c r="C458" s="679" t="s">
        <v>161</v>
      </c>
      <c r="D458" s="679" t="s">
        <v>130</v>
      </c>
      <c r="E458" s="680" t="s">
        <v>303</v>
      </c>
      <c r="F458" s="680"/>
      <c r="G458" s="682" t="s">
        <v>1154</v>
      </c>
      <c r="H458" s="3"/>
    </row>
    <row r="459" spans="1:8" ht="15" customHeight="1">
      <c r="A459" s="678" t="s">
        <v>2433</v>
      </c>
      <c r="B459" s="678" t="s">
        <v>1243</v>
      </c>
      <c r="C459" s="679" t="s">
        <v>161</v>
      </c>
      <c r="D459" s="679" t="s">
        <v>130</v>
      </c>
      <c r="E459" s="680" t="s">
        <v>303</v>
      </c>
      <c r="F459" s="680"/>
      <c r="G459" s="682" t="s">
        <v>1154</v>
      </c>
      <c r="H459" s="3"/>
    </row>
    <row r="460" spans="1:8" ht="15" customHeight="1">
      <c r="A460" s="690" t="s">
        <v>2436</v>
      </c>
      <c r="B460" s="688" t="s">
        <v>1166</v>
      </c>
      <c r="C460" s="679" t="s">
        <v>161</v>
      </c>
      <c r="D460" s="679" t="s">
        <v>129</v>
      </c>
      <c r="E460" s="680" t="s">
        <v>303</v>
      </c>
      <c r="F460" s="680"/>
      <c r="G460" s="682" t="s">
        <v>2</v>
      </c>
      <c r="H460" s="3"/>
    </row>
    <row r="461" spans="1:8" ht="15" customHeight="1">
      <c r="A461" s="678" t="s">
        <v>2439</v>
      </c>
      <c r="B461" s="678" t="s">
        <v>1169</v>
      </c>
      <c r="C461" s="679" t="s">
        <v>161</v>
      </c>
      <c r="D461" s="679" t="s">
        <v>204</v>
      </c>
      <c r="E461" s="680" t="s">
        <v>303</v>
      </c>
      <c r="F461" s="680"/>
      <c r="G461" s="682" t="s">
        <v>1154</v>
      </c>
      <c r="H461" s="3"/>
    </row>
    <row r="462" spans="1:8" ht="15" customHeight="1">
      <c r="A462" s="690" t="s">
        <v>2442</v>
      </c>
      <c r="B462" s="688" t="s">
        <v>1171</v>
      </c>
      <c r="C462" s="679" t="s">
        <v>161</v>
      </c>
      <c r="D462" s="679" t="s">
        <v>120</v>
      </c>
      <c r="E462" s="680" t="s">
        <v>303</v>
      </c>
      <c r="F462" s="680"/>
      <c r="G462" s="682" t="s">
        <v>1154</v>
      </c>
      <c r="H462" s="3"/>
    </row>
    <row r="463" spans="1:8" ht="15" customHeight="1">
      <c r="A463" s="678" t="s">
        <v>2445</v>
      </c>
      <c r="B463" s="678" t="s">
        <v>1244</v>
      </c>
      <c r="C463" s="679" t="s">
        <v>161</v>
      </c>
      <c r="D463" s="679" t="s">
        <v>121</v>
      </c>
      <c r="E463" s="680" t="s">
        <v>303</v>
      </c>
      <c r="F463" s="680"/>
      <c r="G463" s="682" t="s">
        <v>1154</v>
      </c>
      <c r="H463" s="3"/>
    </row>
    <row r="464" spans="1:8" ht="15" customHeight="1">
      <c r="A464" s="690" t="s">
        <v>2448</v>
      </c>
      <c r="B464" s="688" t="s">
        <v>1175</v>
      </c>
      <c r="C464" s="679" t="s">
        <v>161</v>
      </c>
      <c r="D464" s="679" t="s">
        <v>122</v>
      </c>
      <c r="E464" s="680" t="s">
        <v>303</v>
      </c>
      <c r="F464" s="680"/>
      <c r="G464" s="682" t="s">
        <v>1154</v>
      </c>
      <c r="H464" s="3"/>
    </row>
    <row r="465" spans="1:8" ht="15" customHeight="1">
      <c r="A465" s="678" t="s">
        <v>2451</v>
      </c>
      <c r="B465" s="678" t="s">
        <v>1245</v>
      </c>
      <c r="C465" s="679" t="s">
        <v>161</v>
      </c>
      <c r="D465" s="679" t="s">
        <v>123</v>
      </c>
      <c r="E465" s="680" t="s">
        <v>303</v>
      </c>
      <c r="F465" s="680"/>
      <c r="G465" s="682" t="s">
        <v>1154</v>
      </c>
      <c r="H465" s="3"/>
    </row>
    <row r="466" spans="1:8" ht="15" customHeight="1">
      <c r="A466" s="690" t="s">
        <v>2454</v>
      </c>
      <c r="B466" s="688" t="s">
        <v>1247</v>
      </c>
      <c r="C466" s="679" t="s">
        <v>161</v>
      </c>
      <c r="D466" s="679" t="s">
        <v>124</v>
      </c>
      <c r="E466" s="680" t="s">
        <v>303</v>
      </c>
      <c r="F466" s="680"/>
      <c r="G466" s="682" t="s">
        <v>1154</v>
      </c>
      <c r="H466" s="3"/>
    </row>
    <row r="467" spans="1:8" ht="15" customHeight="1">
      <c r="A467" s="678" t="s">
        <v>2457</v>
      </c>
      <c r="B467" s="678" t="s">
        <v>1179</v>
      </c>
      <c r="C467" s="679" t="s">
        <v>161</v>
      </c>
      <c r="D467" s="679" t="s">
        <v>127</v>
      </c>
      <c r="E467" s="680" t="s">
        <v>303</v>
      </c>
      <c r="F467" s="680"/>
      <c r="G467" s="682" t="s">
        <v>1154</v>
      </c>
      <c r="H467" s="3"/>
    </row>
    <row r="468" spans="1:8" ht="15" customHeight="1">
      <c r="A468" s="690" t="s">
        <v>2460</v>
      </c>
      <c r="B468" s="688" t="s">
        <v>1181</v>
      </c>
      <c r="C468" s="679" t="s">
        <v>161</v>
      </c>
      <c r="D468" s="679" t="s">
        <v>125</v>
      </c>
      <c r="E468" s="680" t="s">
        <v>303</v>
      </c>
      <c r="F468" s="680"/>
      <c r="G468" s="682" t="s">
        <v>1154</v>
      </c>
      <c r="H468" s="3"/>
    </row>
    <row r="469" spans="1:8" ht="15" customHeight="1">
      <c r="A469" s="678" t="s">
        <v>2463</v>
      </c>
      <c r="B469" s="678" t="s">
        <v>1248</v>
      </c>
      <c r="C469" s="679" t="s">
        <v>161</v>
      </c>
      <c r="D469" s="679" t="s">
        <v>126</v>
      </c>
      <c r="E469" s="680" t="s">
        <v>303</v>
      </c>
      <c r="F469" s="680"/>
      <c r="G469" s="682" t="s">
        <v>1154</v>
      </c>
      <c r="H469" s="3"/>
    </row>
    <row r="470" spans="1:8" ht="15" customHeight="1">
      <c r="A470" s="690" t="s">
        <v>2466</v>
      </c>
      <c r="B470" s="688" t="s">
        <v>1231</v>
      </c>
      <c r="C470" s="679" t="s">
        <v>161</v>
      </c>
      <c r="D470" s="679" t="s">
        <v>126</v>
      </c>
      <c r="E470" s="680" t="s">
        <v>303</v>
      </c>
      <c r="F470" s="680"/>
      <c r="G470" s="682" t="s">
        <v>2</v>
      </c>
      <c r="H470" s="3"/>
    </row>
    <row r="471" spans="1:8" ht="15" customHeight="1">
      <c r="A471" s="678" t="s">
        <v>2469</v>
      </c>
      <c r="B471" s="678" t="s">
        <v>804</v>
      </c>
      <c r="C471" s="679"/>
      <c r="D471" s="679"/>
      <c r="E471" s="680" t="s">
        <v>303</v>
      </c>
      <c r="F471" s="680"/>
      <c r="G471" s="682" t="s">
        <v>816</v>
      </c>
      <c r="H471" s="3"/>
    </row>
    <row r="472" spans="1:8" ht="15" customHeight="1">
      <c r="A472" s="690" t="s">
        <v>2472</v>
      </c>
      <c r="B472" s="688" t="s">
        <v>1249</v>
      </c>
      <c r="C472" s="679" t="s">
        <v>161</v>
      </c>
      <c r="D472" s="679" t="s">
        <v>130</v>
      </c>
      <c r="E472" s="680" t="s">
        <v>303</v>
      </c>
      <c r="F472" s="680"/>
      <c r="G472" s="682" t="s">
        <v>1154</v>
      </c>
      <c r="H472" s="3"/>
    </row>
    <row r="473" spans="1:8" ht="15" customHeight="1">
      <c r="A473" s="690" t="s">
        <v>2475</v>
      </c>
      <c r="B473" s="688" t="s">
        <v>1187</v>
      </c>
      <c r="C473" s="679" t="s">
        <v>161</v>
      </c>
      <c r="D473" s="679" t="s">
        <v>135</v>
      </c>
      <c r="E473" s="680" t="s">
        <v>303</v>
      </c>
      <c r="F473" s="680"/>
      <c r="G473" s="682" t="e">
        <v>#N/A</v>
      </c>
      <c r="H473" s="3"/>
    </row>
    <row r="474" spans="1:8" ht="15" customHeight="1">
      <c r="A474" s="678" t="s">
        <v>2478</v>
      </c>
      <c r="B474" s="678" t="s">
        <v>1189</v>
      </c>
      <c r="C474" s="679" t="s">
        <v>161</v>
      </c>
      <c r="D474" s="679" t="s">
        <v>136</v>
      </c>
      <c r="E474" s="680" t="s">
        <v>303</v>
      </c>
      <c r="F474" s="680"/>
      <c r="G474" s="682" t="s">
        <v>1154</v>
      </c>
      <c r="H474" s="3"/>
    </row>
    <row r="475" spans="1:8" ht="15" customHeight="1">
      <c r="A475" s="690" t="s">
        <v>2481</v>
      </c>
      <c r="B475" s="688" t="s">
        <v>1191</v>
      </c>
      <c r="C475" s="679" t="s">
        <v>161</v>
      </c>
      <c r="D475" s="679" t="s">
        <v>141</v>
      </c>
      <c r="E475" s="680" t="s">
        <v>303</v>
      </c>
      <c r="F475" s="680"/>
      <c r="G475" s="682" t="s">
        <v>1154</v>
      </c>
      <c r="H475" s="3"/>
    </row>
    <row r="476" spans="1:8" ht="15" customHeight="1">
      <c r="A476" s="678" t="s">
        <v>2484</v>
      </c>
      <c r="B476" s="678" t="s">
        <v>1250</v>
      </c>
      <c r="C476" s="679" t="s">
        <v>161</v>
      </c>
      <c r="D476" s="679" t="s">
        <v>131</v>
      </c>
      <c r="E476" s="680" t="s">
        <v>303</v>
      </c>
      <c r="F476" s="680"/>
      <c r="G476" s="682" t="s">
        <v>1154</v>
      </c>
      <c r="H476" s="3"/>
    </row>
    <row r="477" spans="1:8" ht="15" customHeight="1">
      <c r="A477" s="690" t="s">
        <v>2487</v>
      </c>
      <c r="B477" s="688" t="s">
        <v>1195</v>
      </c>
      <c r="C477" s="679" t="s">
        <v>161</v>
      </c>
      <c r="D477" s="679" t="s">
        <v>139</v>
      </c>
      <c r="E477" s="680" t="s">
        <v>303</v>
      </c>
      <c r="F477" s="680"/>
      <c r="G477" s="682" t="s">
        <v>1154</v>
      </c>
      <c r="H477" s="3"/>
    </row>
    <row r="478" spans="1:8" ht="15" customHeight="1">
      <c r="A478" s="678" t="s">
        <v>2490</v>
      </c>
      <c r="B478" s="678" t="s">
        <v>1197</v>
      </c>
      <c r="C478" s="679" t="s">
        <v>161</v>
      </c>
      <c r="D478" s="679" t="s">
        <v>132</v>
      </c>
      <c r="E478" s="680" t="s">
        <v>303</v>
      </c>
      <c r="F478" s="680"/>
      <c r="G478" s="682" t="s">
        <v>1154</v>
      </c>
      <c r="H478" s="3"/>
    </row>
    <row r="479" spans="1:8" ht="15" customHeight="1">
      <c r="A479" s="690" t="s">
        <v>2493</v>
      </c>
      <c r="B479" s="688" t="s">
        <v>1199</v>
      </c>
      <c r="C479" s="679" t="s">
        <v>161</v>
      </c>
      <c r="D479" s="679" t="s">
        <v>137</v>
      </c>
      <c r="E479" s="680" t="s">
        <v>303</v>
      </c>
      <c r="F479" s="680"/>
      <c r="G479" s="682" t="s">
        <v>1154</v>
      </c>
      <c r="H479" s="3"/>
    </row>
    <row r="480" spans="1:8" ht="15" customHeight="1">
      <c r="A480" s="678" t="s">
        <v>2496</v>
      </c>
      <c r="B480" s="678" t="s">
        <v>1201</v>
      </c>
      <c r="C480" s="679" t="s">
        <v>161</v>
      </c>
      <c r="D480" s="679" t="s">
        <v>138</v>
      </c>
      <c r="E480" s="680" t="s">
        <v>303</v>
      </c>
      <c r="F480" s="680"/>
      <c r="G480" s="682" t="s">
        <v>1154</v>
      </c>
      <c r="H480" s="3"/>
    </row>
    <row r="481" spans="1:8" ht="15" customHeight="1">
      <c r="A481" s="690" t="s">
        <v>2499</v>
      </c>
      <c r="B481" s="688" t="s">
        <v>1203</v>
      </c>
      <c r="C481" s="679" t="s">
        <v>161</v>
      </c>
      <c r="D481" s="679" t="s">
        <v>140</v>
      </c>
      <c r="E481" s="680" t="s">
        <v>303</v>
      </c>
      <c r="F481" s="680"/>
      <c r="G481" s="682" t="s">
        <v>1154</v>
      </c>
      <c r="H481" s="3"/>
    </row>
    <row r="482" spans="1:8" ht="15" customHeight="1">
      <c r="A482" s="690" t="s">
        <v>2502</v>
      </c>
      <c r="B482" s="688" t="s">
        <v>1251</v>
      </c>
      <c r="C482" s="679" t="s">
        <v>161</v>
      </c>
      <c r="D482" s="679" t="s">
        <v>133</v>
      </c>
      <c r="E482" s="680" t="s">
        <v>303</v>
      </c>
      <c r="F482" s="680"/>
      <c r="G482" s="682" t="s">
        <v>1154</v>
      </c>
      <c r="H482" s="3"/>
    </row>
    <row r="483" spans="1:8" ht="15" customHeight="1">
      <c r="A483" s="690" t="s">
        <v>3394</v>
      </c>
      <c r="B483" s="688" t="s">
        <v>1252</v>
      </c>
      <c r="C483" s="679" t="s">
        <v>161</v>
      </c>
      <c r="D483" s="679" t="s">
        <v>142</v>
      </c>
      <c r="E483" s="680" t="s">
        <v>303</v>
      </c>
      <c r="F483" s="680"/>
      <c r="G483" s="682" t="s">
        <v>1154</v>
      </c>
      <c r="H483" s="3"/>
    </row>
    <row r="484" spans="1:8" ht="15" customHeight="1">
      <c r="A484" s="678" t="s">
        <v>2505</v>
      </c>
      <c r="B484" s="678" t="s">
        <v>1209</v>
      </c>
      <c r="C484" s="679" t="s">
        <v>161</v>
      </c>
      <c r="D484" s="679" t="s">
        <v>134</v>
      </c>
      <c r="E484" s="680" t="s">
        <v>303</v>
      </c>
      <c r="F484" s="680"/>
      <c r="G484" s="682" t="s">
        <v>1154</v>
      </c>
      <c r="H484" s="3"/>
    </row>
    <row r="485" spans="1:8" ht="15" customHeight="1">
      <c r="A485" s="690" t="s">
        <v>2508</v>
      </c>
      <c r="B485" s="688" t="s">
        <v>1211</v>
      </c>
      <c r="C485" s="679" t="s">
        <v>161</v>
      </c>
      <c r="D485" s="679" t="s">
        <v>221</v>
      </c>
      <c r="E485" s="680" t="s">
        <v>303</v>
      </c>
      <c r="F485" s="680"/>
      <c r="G485" s="682" t="e">
        <v>#N/A</v>
      </c>
      <c r="H485" s="3"/>
    </row>
    <row r="486" spans="1:8" ht="15" customHeight="1">
      <c r="A486" s="678" t="s">
        <v>2511</v>
      </c>
      <c r="B486" s="678" t="s">
        <v>1389</v>
      </c>
      <c r="C486" s="679" t="s">
        <v>161</v>
      </c>
      <c r="D486" s="679" t="s">
        <v>213</v>
      </c>
      <c r="E486" s="680" t="s">
        <v>303</v>
      </c>
      <c r="F486" s="680"/>
      <c r="G486" s="680" t="s">
        <v>1154</v>
      </c>
      <c r="H486" s="3"/>
    </row>
    <row r="487" spans="1:8" ht="15" customHeight="1">
      <c r="A487" s="690" t="s">
        <v>2514</v>
      </c>
      <c r="B487" s="688" t="s">
        <v>1254</v>
      </c>
      <c r="C487" s="679" t="s">
        <v>161</v>
      </c>
      <c r="D487" s="679" t="s">
        <v>212</v>
      </c>
      <c r="E487" s="680" t="s">
        <v>303</v>
      </c>
      <c r="F487" s="680"/>
      <c r="G487" s="682" t="s">
        <v>1154</v>
      </c>
      <c r="H487" s="3"/>
    </row>
    <row r="488" spans="1:8" ht="15" customHeight="1">
      <c r="A488" s="690" t="s">
        <v>2517</v>
      </c>
      <c r="B488" s="688" t="s">
        <v>1256</v>
      </c>
      <c r="C488" s="679" t="s">
        <v>161</v>
      </c>
      <c r="D488" s="679" t="s">
        <v>210</v>
      </c>
      <c r="E488" s="680" t="s">
        <v>303</v>
      </c>
      <c r="F488" s="680"/>
      <c r="G488" s="682" t="s">
        <v>1154</v>
      </c>
      <c r="H488" s="3"/>
    </row>
    <row r="489" spans="1:8" ht="15" customHeight="1">
      <c r="A489" s="690" t="s">
        <v>2520</v>
      </c>
      <c r="B489" s="688" t="s">
        <v>1257</v>
      </c>
      <c r="C489" s="679" t="s">
        <v>161</v>
      </c>
      <c r="D489" s="679" t="s">
        <v>205</v>
      </c>
      <c r="E489" s="680" t="s">
        <v>303</v>
      </c>
      <c r="F489" s="680"/>
      <c r="G489" s="682" t="s">
        <v>1154</v>
      </c>
      <c r="H489" s="3"/>
    </row>
    <row r="490" spans="1:8" ht="15" customHeight="1">
      <c r="A490" s="678" t="s">
        <v>2523</v>
      </c>
      <c r="B490" s="678" t="s">
        <v>1258</v>
      </c>
      <c r="C490" s="679" t="s">
        <v>161</v>
      </c>
      <c r="D490" s="679" t="s">
        <v>209</v>
      </c>
      <c r="E490" s="680" t="s">
        <v>303</v>
      </c>
      <c r="F490" s="680"/>
      <c r="G490" s="682" t="s">
        <v>1154</v>
      </c>
      <c r="H490" s="3"/>
    </row>
    <row r="491" spans="1:8" ht="15" customHeight="1">
      <c r="A491" s="690" t="s">
        <v>2526</v>
      </c>
      <c r="B491" s="688" t="s">
        <v>1259</v>
      </c>
      <c r="C491" s="679" t="s">
        <v>161</v>
      </c>
      <c r="D491" s="679" t="s">
        <v>206</v>
      </c>
      <c r="E491" s="680" t="s">
        <v>303</v>
      </c>
      <c r="F491" s="680"/>
      <c r="G491" s="682" t="s">
        <v>1154</v>
      </c>
      <c r="H491" s="3"/>
    </row>
    <row r="492" spans="1:8" ht="15" customHeight="1">
      <c r="A492" s="690" t="s">
        <v>2529</v>
      </c>
      <c r="B492" s="688" t="s">
        <v>1260</v>
      </c>
      <c r="C492" s="679" t="s">
        <v>161</v>
      </c>
      <c r="D492" s="679" t="s">
        <v>207</v>
      </c>
      <c r="E492" s="680" t="s">
        <v>303</v>
      </c>
      <c r="F492" s="680"/>
      <c r="G492" s="682" t="e">
        <v>#N/A</v>
      </c>
      <c r="H492" s="3"/>
    </row>
    <row r="493" spans="1:8" ht="15" customHeight="1">
      <c r="A493" s="690" t="s">
        <v>2532</v>
      </c>
      <c r="B493" s="688" t="s">
        <v>1261</v>
      </c>
      <c r="C493" s="679" t="s">
        <v>161</v>
      </c>
      <c r="D493" s="679" t="s">
        <v>211</v>
      </c>
      <c r="E493" s="680" t="s">
        <v>303</v>
      </c>
      <c r="F493" s="680"/>
      <c r="G493" s="682" t="e">
        <v>#N/A</v>
      </c>
      <c r="H493" s="3"/>
    </row>
    <row r="494" spans="1:8" ht="15" customHeight="1">
      <c r="A494" s="678" t="s">
        <v>3395</v>
      </c>
      <c r="B494" s="678" t="s">
        <v>1393</v>
      </c>
      <c r="C494" s="679" t="s">
        <v>161</v>
      </c>
      <c r="D494" s="679" t="s">
        <v>214</v>
      </c>
      <c r="E494" s="680" t="s">
        <v>303</v>
      </c>
      <c r="F494" s="680"/>
      <c r="G494" s="680" t="s">
        <v>1154</v>
      </c>
      <c r="H494" s="3"/>
    </row>
    <row r="495" spans="1:8" ht="15" customHeight="1">
      <c r="A495" s="696" t="s">
        <v>3396</v>
      </c>
      <c r="B495" s="696" t="s">
        <v>1262</v>
      </c>
      <c r="C495" s="679" t="s">
        <v>161</v>
      </c>
      <c r="D495" s="679" t="s">
        <v>140</v>
      </c>
      <c r="E495" s="680" t="s">
        <v>303</v>
      </c>
      <c r="F495" s="680"/>
      <c r="G495" s="682" t="s">
        <v>1154</v>
      </c>
      <c r="H495" s="3"/>
    </row>
    <row r="496" spans="1:8" ht="15" customHeight="1">
      <c r="A496" s="678" t="s">
        <v>2535</v>
      </c>
      <c r="B496" s="678" t="s">
        <v>1158</v>
      </c>
      <c r="C496" s="679" t="s">
        <v>176</v>
      </c>
      <c r="D496" s="679" t="s">
        <v>130</v>
      </c>
      <c r="E496" s="680" t="s">
        <v>303</v>
      </c>
      <c r="F496" s="680"/>
      <c r="G496" s="682" t="s">
        <v>1154</v>
      </c>
      <c r="H496" s="3"/>
    </row>
    <row r="497" spans="1:8" ht="15" customHeight="1">
      <c r="A497" s="690" t="s">
        <v>2538</v>
      </c>
      <c r="B497" s="688" t="s">
        <v>805</v>
      </c>
      <c r="C497" s="679"/>
      <c r="D497" s="679"/>
      <c r="E497" s="680" t="s">
        <v>303</v>
      </c>
      <c r="F497" s="680"/>
      <c r="G497" s="682" t="s">
        <v>816</v>
      </c>
      <c r="H497" s="3"/>
    </row>
    <row r="498" spans="1:8" ht="15" customHeight="1">
      <c r="A498" s="690" t="s">
        <v>2541</v>
      </c>
      <c r="B498" s="688" t="s">
        <v>1166</v>
      </c>
      <c r="C498" s="679" t="s">
        <v>176</v>
      </c>
      <c r="D498" s="679" t="s">
        <v>129</v>
      </c>
      <c r="E498" s="680" t="s">
        <v>303</v>
      </c>
      <c r="F498" s="680"/>
      <c r="G498" s="682" t="s">
        <v>1154</v>
      </c>
      <c r="H498" s="3"/>
    </row>
    <row r="499" spans="1:8" ht="15" customHeight="1">
      <c r="A499" s="690" t="s">
        <v>2544</v>
      </c>
      <c r="B499" s="678" t="s">
        <v>806</v>
      </c>
      <c r="C499" s="679"/>
      <c r="D499" s="679"/>
      <c r="E499" s="680" t="s">
        <v>303</v>
      </c>
      <c r="F499" s="680"/>
      <c r="G499" s="682" t="s">
        <v>816</v>
      </c>
      <c r="H499" s="3"/>
    </row>
    <row r="500" spans="1:8" ht="15" customHeight="1">
      <c r="A500" s="690" t="s">
        <v>2547</v>
      </c>
      <c r="B500" s="688" t="s">
        <v>1169</v>
      </c>
      <c r="C500" s="679" t="s">
        <v>176</v>
      </c>
      <c r="D500" s="679" t="s">
        <v>204</v>
      </c>
      <c r="E500" s="680" t="s">
        <v>303</v>
      </c>
      <c r="F500" s="680"/>
      <c r="G500" s="682" t="s">
        <v>1154</v>
      </c>
      <c r="H500" s="3"/>
    </row>
    <row r="501" spans="1:8" ht="15" customHeight="1">
      <c r="A501" s="690" t="s">
        <v>2550</v>
      </c>
      <c r="B501" s="688" t="s">
        <v>1171</v>
      </c>
      <c r="C501" s="679" t="s">
        <v>176</v>
      </c>
      <c r="D501" s="679" t="s">
        <v>120</v>
      </c>
      <c r="E501" s="680" t="s">
        <v>303</v>
      </c>
      <c r="F501" s="680"/>
      <c r="G501" s="682" t="s">
        <v>1154</v>
      </c>
      <c r="H501" s="3"/>
    </row>
    <row r="502" spans="1:8" ht="15" customHeight="1">
      <c r="A502" s="690" t="s">
        <v>2553</v>
      </c>
      <c r="B502" s="688" t="s">
        <v>1244</v>
      </c>
      <c r="C502" s="679" t="s">
        <v>176</v>
      </c>
      <c r="D502" s="679" t="s">
        <v>121</v>
      </c>
      <c r="E502" s="680" t="s">
        <v>303</v>
      </c>
      <c r="F502" s="680"/>
      <c r="G502" s="682" t="s">
        <v>1154</v>
      </c>
      <c r="H502" s="3"/>
    </row>
    <row r="503" spans="1:8" ht="15" customHeight="1">
      <c r="A503" s="690" t="s">
        <v>2556</v>
      </c>
      <c r="B503" s="688" t="s">
        <v>1175</v>
      </c>
      <c r="C503" s="679" t="s">
        <v>176</v>
      </c>
      <c r="D503" s="679" t="s">
        <v>122</v>
      </c>
      <c r="E503" s="680" t="s">
        <v>303</v>
      </c>
      <c r="F503" s="680"/>
      <c r="G503" s="682" t="s">
        <v>1154</v>
      </c>
      <c r="H503" s="3"/>
    </row>
    <row r="504" spans="1:8" ht="15" customHeight="1">
      <c r="A504" s="690" t="s">
        <v>2559</v>
      </c>
      <c r="B504" s="688" t="s">
        <v>1245</v>
      </c>
      <c r="C504" s="679" t="s">
        <v>176</v>
      </c>
      <c r="D504" s="679" t="s">
        <v>123</v>
      </c>
      <c r="E504" s="680" t="s">
        <v>303</v>
      </c>
      <c r="F504" s="680"/>
      <c r="G504" s="682" t="s">
        <v>1154</v>
      </c>
      <c r="H504" s="3"/>
    </row>
    <row r="505" spans="1:8" ht="15" customHeight="1">
      <c r="A505" s="690" t="s">
        <v>2562</v>
      </c>
      <c r="B505" s="678" t="s">
        <v>1229</v>
      </c>
      <c r="C505" s="679" t="s">
        <v>176</v>
      </c>
      <c r="D505" s="679" t="s">
        <v>124</v>
      </c>
      <c r="E505" s="680" t="s">
        <v>303</v>
      </c>
      <c r="F505" s="680"/>
      <c r="G505" s="682" t="s">
        <v>1154</v>
      </c>
      <c r="H505" s="3"/>
    </row>
    <row r="506" spans="1:8" ht="15" customHeight="1">
      <c r="A506" s="690" t="s">
        <v>2565</v>
      </c>
      <c r="B506" s="688" t="s">
        <v>1179</v>
      </c>
      <c r="C506" s="679" t="s">
        <v>176</v>
      </c>
      <c r="D506" s="679" t="s">
        <v>127</v>
      </c>
      <c r="E506" s="680" t="s">
        <v>303</v>
      </c>
      <c r="F506" s="680"/>
      <c r="G506" s="682" t="s">
        <v>1154</v>
      </c>
      <c r="H506" s="3"/>
    </row>
    <row r="507" spans="1:8" ht="15" customHeight="1">
      <c r="A507" s="690" t="s">
        <v>2568</v>
      </c>
      <c r="B507" s="688" t="s">
        <v>1181</v>
      </c>
      <c r="C507" s="679" t="s">
        <v>176</v>
      </c>
      <c r="D507" s="679" t="s">
        <v>125</v>
      </c>
      <c r="E507" s="680" t="s">
        <v>303</v>
      </c>
      <c r="F507" s="680"/>
      <c r="G507" s="682" t="s">
        <v>1154</v>
      </c>
      <c r="H507" s="3"/>
    </row>
    <row r="508" spans="1:8" ht="15" customHeight="1">
      <c r="A508" s="690" t="s">
        <v>3397</v>
      </c>
      <c r="B508" s="688" t="s">
        <v>1394</v>
      </c>
      <c r="C508" s="679" t="s">
        <v>176</v>
      </c>
      <c r="D508" s="679" t="s">
        <v>126</v>
      </c>
      <c r="E508" s="680" t="s">
        <v>303</v>
      </c>
      <c r="F508" s="680"/>
      <c r="G508" s="682" t="s">
        <v>1154</v>
      </c>
      <c r="H508" s="3"/>
    </row>
    <row r="509" spans="1:8" ht="15" customHeight="1">
      <c r="A509" s="690" t="s">
        <v>2571</v>
      </c>
      <c r="B509" s="688" t="s">
        <v>1231</v>
      </c>
      <c r="C509" s="679" t="s">
        <v>176</v>
      </c>
      <c r="D509" s="679" t="s">
        <v>126</v>
      </c>
      <c r="E509" s="680" t="s">
        <v>303</v>
      </c>
      <c r="F509" s="680"/>
      <c r="G509" s="682" t="s">
        <v>2</v>
      </c>
      <c r="H509" s="3"/>
    </row>
    <row r="510" spans="1:8" ht="15" customHeight="1">
      <c r="A510" s="690" t="s">
        <v>2574</v>
      </c>
      <c r="B510" s="688" t="s">
        <v>807</v>
      </c>
      <c r="C510" s="679"/>
      <c r="D510" s="679"/>
      <c r="E510" s="680" t="s">
        <v>303</v>
      </c>
      <c r="F510" s="680"/>
      <c r="G510" s="682" t="e">
        <v>#N/A</v>
      </c>
      <c r="H510" s="3"/>
    </row>
    <row r="511" spans="1:8" ht="15" customHeight="1">
      <c r="A511" s="690" t="s">
        <v>3686</v>
      </c>
      <c r="B511" s="688" t="s">
        <v>1249</v>
      </c>
      <c r="C511" s="679" t="s">
        <v>161</v>
      </c>
      <c r="D511" s="679" t="s">
        <v>130</v>
      </c>
      <c r="E511" s="680" t="s">
        <v>303</v>
      </c>
      <c r="F511" s="680"/>
      <c r="G511" s="682" t="s">
        <v>1154</v>
      </c>
      <c r="H511" s="3"/>
    </row>
    <row r="512" spans="1:8" ht="15" customHeight="1">
      <c r="A512" s="690" t="s">
        <v>2577</v>
      </c>
      <c r="B512" s="688" t="s">
        <v>1187</v>
      </c>
      <c r="C512" s="679" t="s">
        <v>176</v>
      </c>
      <c r="D512" s="679" t="s">
        <v>135</v>
      </c>
      <c r="E512" s="680" t="s">
        <v>303</v>
      </c>
      <c r="F512" s="680"/>
      <c r="G512" s="682" t="s">
        <v>1154</v>
      </c>
      <c r="H512" s="3"/>
    </row>
    <row r="513" spans="1:29" ht="15" customHeight="1">
      <c r="A513" s="690" t="s">
        <v>2580</v>
      </c>
      <c r="B513" s="678" t="s">
        <v>1395</v>
      </c>
      <c r="C513" s="679" t="s">
        <v>176</v>
      </c>
      <c r="D513" s="679" t="s">
        <v>136</v>
      </c>
      <c r="E513" s="680" t="s">
        <v>303</v>
      </c>
      <c r="F513" s="680"/>
      <c r="G513" s="680" t="s">
        <v>1154</v>
      </c>
      <c r="H513" s="3"/>
    </row>
    <row r="514" spans="1:29" ht="15" customHeight="1">
      <c r="A514" s="690" t="s">
        <v>2583</v>
      </c>
      <c r="B514" s="688" t="s">
        <v>1191</v>
      </c>
      <c r="C514" s="679" t="s">
        <v>176</v>
      </c>
      <c r="D514" s="679" t="s">
        <v>141</v>
      </c>
      <c r="E514" s="680" t="s">
        <v>303</v>
      </c>
      <c r="F514" s="680"/>
      <c r="G514" s="682" t="s">
        <v>1154</v>
      </c>
      <c r="H514" s="3"/>
    </row>
    <row r="515" spans="1:29" ht="15" customHeight="1">
      <c r="A515" s="690" t="s">
        <v>2586</v>
      </c>
      <c r="B515" s="688" t="s">
        <v>1193</v>
      </c>
      <c r="C515" s="679" t="s">
        <v>176</v>
      </c>
      <c r="D515" s="679" t="s">
        <v>131</v>
      </c>
      <c r="E515" s="680" t="s">
        <v>303</v>
      </c>
      <c r="F515" s="680"/>
      <c r="G515" s="682" t="s">
        <v>1154</v>
      </c>
      <c r="H515" s="3"/>
    </row>
    <row r="516" spans="1:29" ht="15" customHeight="1">
      <c r="A516" s="690" t="s">
        <v>2589</v>
      </c>
      <c r="B516" s="678" t="s">
        <v>1195</v>
      </c>
      <c r="C516" s="679" t="s">
        <v>176</v>
      </c>
      <c r="D516" s="679" t="s">
        <v>139</v>
      </c>
      <c r="E516" s="680" t="s">
        <v>303</v>
      </c>
      <c r="F516" s="680"/>
      <c r="G516" s="682" t="s">
        <v>1154</v>
      </c>
      <c r="H516" s="3"/>
    </row>
    <row r="517" spans="1:29" ht="15" customHeight="1">
      <c r="A517" s="690" t="s">
        <v>1267</v>
      </c>
      <c r="B517" s="678" t="s">
        <v>808</v>
      </c>
      <c r="C517" s="679"/>
      <c r="D517" s="679"/>
      <c r="E517" s="680" t="s">
        <v>303</v>
      </c>
      <c r="F517" s="686"/>
      <c r="G517" s="682" t="e">
        <v>#N/A</v>
      </c>
      <c r="H517" s="3"/>
      <c r="I517" s="3"/>
      <c r="J517" s="3"/>
      <c r="L517" s="3"/>
      <c r="M517" s="3"/>
      <c r="N517" s="3"/>
      <c r="O517" s="3"/>
      <c r="P517" s="3"/>
      <c r="Q517" s="3"/>
      <c r="R517" s="3"/>
      <c r="S517" s="3"/>
      <c r="T517" s="3"/>
      <c r="U517" s="3"/>
      <c r="V517" s="3"/>
      <c r="W517" s="3"/>
      <c r="X517" s="3"/>
      <c r="Y517" s="3"/>
      <c r="Z517" s="3"/>
      <c r="AA517" s="3"/>
      <c r="AB517" s="3"/>
      <c r="AC517" s="3"/>
    </row>
    <row r="518" spans="1:29" ht="15" customHeight="1">
      <c r="A518" s="690" t="s">
        <v>2594</v>
      </c>
      <c r="B518" s="688" t="s">
        <v>1197</v>
      </c>
      <c r="C518" s="679" t="s">
        <v>176</v>
      </c>
      <c r="D518" s="679" t="s">
        <v>132</v>
      </c>
      <c r="E518" s="680" t="s">
        <v>303</v>
      </c>
      <c r="F518" s="680"/>
      <c r="G518" s="682" t="s">
        <v>1154</v>
      </c>
      <c r="H518" s="3"/>
      <c r="I518" s="3"/>
      <c r="J518" s="3"/>
      <c r="L518" s="3"/>
      <c r="M518" s="3"/>
      <c r="N518" s="3"/>
      <c r="O518" s="3"/>
      <c r="P518" s="3"/>
      <c r="Q518" s="3"/>
      <c r="R518" s="3"/>
      <c r="S518" s="3"/>
      <c r="T518" s="3"/>
      <c r="U518" s="3"/>
      <c r="V518" s="3"/>
      <c r="W518" s="3"/>
      <c r="X518" s="3"/>
      <c r="Y518" s="3"/>
      <c r="Z518" s="3"/>
      <c r="AA518" s="3"/>
      <c r="AB518" s="3"/>
      <c r="AC518" s="3"/>
    </row>
    <row r="519" spans="1:29" ht="13.5" customHeight="1">
      <c r="A519" s="690" t="s">
        <v>2597</v>
      </c>
      <c r="B519" s="678" t="s">
        <v>1199</v>
      </c>
      <c r="C519" s="679" t="s">
        <v>176</v>
      </c>
      <c r="D519" s="679" t="s">
        <v>137</v>
      </c>
      <c r="E519" s="680" t="s">
        <v>303</v>
      </c>
      <c r="F519" s="686"/>
      <c r="G519" s="682" t="s">
        <v>1154</v>
      </c>
      <c r="H519" s="3"/>
    </row>
    <row r="520" spans="1:29" ht="15" customHeight="1">
      <c r="A520" s="690" t="s">
        <v>2600</v>
      </c>
      <c r="B520" s="688" t="s">
        <v>1201</v>
      </c>
      <c r="C520" s="679" t="s">
        <v>176</v>
      </c>
      <c r="D520" s="679" t="s">
        <v>138</v>
      </c>
      <c r="E520" s="680" t="s">
        <v>303</v>
      </c>
      <c r="F520" s="680"/>
      <c r="G520" s="682" t="s">
        <v>1154</v>
      </c>
      <c r="H520" s="3"/>
    </row>
    <row r="521" spans="1:29" ht="15" customHeight="1">
      <c r="A521" s="690" t="s">
        <v>2603</v>
      </c>
      <c r="B521" s="678" t="s">
        <v>1203</v>
      </c>
      <c r="C521" s="679" t="s">
        <v>176</v>
      </c>
      <c r="D521" s="679" t="s">
        <v>140</v>
      </c>
      <c r="E521" s="680" t="s">
        <v>303</v>
      </c>
      <c r="F521" s="686"/>
      <c r="G521" s="682" t="s">
        <v>1154</v>
      </c>
      <c r="H521" s="3"/>
    </row>
    <row r="522" spans="1:29" ht="15" customHeight="1">
      <c r="A522" s="690" t="s">
        <v>2606</v>
      </c>
      <c r="B522" s="678" t="s">
        <v>1265</v>
      </c>
      <c r="C522" s="679" t="s">
        <v>176</v>
      </c>
      <c r="D522" s="679" t="s">
        <v>133</v>
      </c>
      <c r="E522" s="680" t="s">
        <v>303</v>
      </c>
      <c r="F522" s="680"/>
      <c r="G522" s="682" t="s">
        <v>1154</v>
      </c>
      <c r="H522" s="3"/>
    </row>
    <row r="523" spans="1:29" ht="15" customHeight="1">
      <c r="A523" s="690" t="s">
        <v>3398</v>
      </c>
      <c r="B523" s="678" t="s">
        <v>1266</v>
      </c>
      <c r="C523" s="679" t="s">
        <v>176</v>
      </c>
      <c r="D523" s="679" t="s">
        <v>142</v>
      </c>
      <c r="E523" s="680" t="s">
        <v>303</v>
      </c>
      <c r="F523" s="680"/>
      <c r="G523" s="682" t="s">
        <v>1154</v>
      </c>
      <c r="H523" s="3"/>
    </row>
    <row r="524" spans="1:29" ht="15" customHeight="1">
      <c r="A524" s="690" t="s">
        <v>2609</v>
      </c>
      <c r="B524" s="678" t="s">
        <v>1209</v>
      </c>
      <c r="C524" s="679" t="s">
        <v>176</v>
      </c>
      <c r="D524" s="679" t="s">
        <v>134</v>
      </c>
      <c r="E524" s="680" t="s">
        <v>303</v>
      </c>
      <c r="F524" s="686"/>
      <c r="G524" s="682" t="s">
        <v>1154</v>
      </c>
      <c r="H524" s="3"/>
      <c r="K524" s="3"/>
    </row>
    <row r="525" spans="1:29" ht="15" customHeight="1">
      <c r="A525" s="690" t="s">
        <v>2611</v>
      </c>
      <c r="B525" s="688" t="s">
        <v>1211</v>
      </c>
      <c r="C525" s="679" t="s">
        <v>176</v>
      </c>
      <c r="D525" s="679" t="s">
        <v>221</v>
      </c>
      <c r="E525" s="680" t="s">
        <v>303</v>
      </c>
      <c r="F525" s="680"/>
      <c r="G525" s="682" t="s">
        <v>1154</v>
      </c>
      <c r="H525" s="3"/>
      <c r="I525" s="3"/>
      <c r="J525" s="3"/>
      <c r="K525" s="3"/>
      <c r="L525" s="3"/>
      <c r="M525" s="3"/>
      <c r="N525" s="3"/>
      <c r="O525" s="3"/>
      <c r="P525" s="3"/>
      <c r="Q525" s="3"/>
      <c r="R525" s="3"/>
      <c r="S525" s="3"/>
      <c r="T525" s="3"/>
      <c r="U525" s="3"/>
      <c r="V525" s="3"/>
      <c r="W525" s="3"/>
      <c r="X525" s="3"/>
      <c r="Y525" s="3"/>
      <c r="Z525" s="3"/>
      <c r="AA525" s="3"/>
      <c r="AB525" s="3"/>
      <c r="AC525" s="3"/>
    </row>
    <row r="526" spans="1:29" ht="15" customHeight="1">
      <c r="A526" s="690" t="s">
        <v>2614</v>
      </c>
      <c r="B526" s="678" t="s">
        <v>1389</v>
      </c>
      <c r="C526" s="679" t="s">
        <v>176</v>
      </c>
      <c r="D526" s="679" t="s">
        <v>213</v>
      </c>
      <c r="E526" s="680" t="s">
        <v>303</v>
      </c>
      <c r="F526" s="680"/>
      <c r="G526" s="680" t="s">
        <v>1154</v>
      </c>
      <c r="H526" s="3"/>
    </row>
    <row r="527" spans="1:29" ht="15" customHeight="1">
      <c r="A527" s="678" t="s">
        <v>2617</v>
      </c>
      <c r="B527" s="678" t="s">
        <v>809</v>
      </c>
      <c r="C527" s="679"/>
      <c r="D527" s="679"/>
      <c r="E527" s="680" t="s">
        <v>303</v>
      </c>
      <c r="F527" s="680"/>
      <c r="G527" s="682" t="s">
        <v>816</v>
      </c>
      <c r="H527" s="3"/>
    </row>
    <row r="528" spans="1:29" ht="15" customHeight="1">
      <c r="A528" s="690" t="s">
        <v>2620</v>
      </c>
      <c r="B528" s="688" t="s">
        <v>1268</v>
      </c>
      <c r="C528" s="679" t="s">
        <v>176</v>
      </c>
      <c r="D528" s="679" t="s">
        <v>210</v>
      </c>
      <c r="E528" s="680" t="s">
        <v>303</v>
      </c>
      <c r="F528" s="680"/>
      <c r="G528" s="682" t="s">
        <v>1154</v>
      </c>
      <c r="H528" s="3"/>
    </row>
    <row r="529" spans="1:29" ht="15" customHeight="1">
      <c r="A529" s="690" t="s">
        <v>2623</v>
      </c>
      <c r="B529" s="678" t="s">
        <v>1269</v>
      </c>
      <c r="C529" s="679" t="s">
        <v>176</v>
      </c>
      <c r="D529" s="679" t="s">
        <v>205</v>
      </c>
      <c r="E529" s="680" t="s">
        <v>303</v>
      </c>
      <c r="F529" s="680"/>
      <c r="G529" s="682" t="s">
        <v>1154</v>
      </c>
      <c r="H529" s="3"/>
    </row>
    <row r="530" spans="1:29" ht="15" customHeight="1">
      <c r="A530" s="678" t="s">
        <v>2625</v>
      </c>
      <c r="B530" s="688" t="s">
        <v>1270</v>
      </c>
      <c r="C530" s="679" t="s">
        <v>176</v>
      </c>
      <c r="D530" s="679" t="s">
        <v>209</v>
      </c>
      <c r="E530" s="680" t="s">
        <v>303</v>
      </c>
      <c r="F530" s="680"/>
      <c r="G530" s="682" t="s">
        <v>1154</v>
      </c>
      <c r="H530" s="3"/>
    </row>
    <row r="531" spans="1:29" ht="15" customHeight="1">
      <c r="A531" s="678" t="s">
        <v>2627</v>
      </c>
      <c r="B531" s="688" t="s">
        <v>1271</v>
      </c>
      <c r="C531" s="679" t="s">
        <v>176</v>
      </c>
      <c r="D531" s="679" t="s">
        <v>206</v>
      </c>
      <c r="E531" s="680" t="s">
        <v>303</v>
      </c>
      <c r="F531" s="680"/>
      <c r="G531" s="682" t="s">
        <v>1154</v>
      </c>
      <c r="H531" s="3"/>
    </row>
    <row r="532" spans="1:29" ht="15" customHeight="1">
      <c r="A532" s="690" t="s">
        <v>2630</v>
      </c>
      <c r="B532" s="678" t="s">
        <v>1272</v>
      </c>
      <c r="C532" s="679" t="s">
        <v>176</v>
      </c>
      <c r="D532" s="679" t="s">
        <v>207</v>
      </c>
      <c r="E532" s="680" t="s">
        <v>303</v>
      </c>
      <c r="F532" s="680"/>
      <c r="G532" s="682" t="s">
        <v>1154</v>
      </c>
      <c r="H532" s="3"/>
      <c r="I532" s="3"/>
      <c r="J532" s="3"/>
      <c r="L532" s="3"/>
      <c r="M532" s="3"/>
      <c r="N532" s="3"/>
      <c r="O532" s="3"/>
      <c r="P532" s="3"/>
      <c r="Q532" s="3"/>
      <c r="R532" s="3"/>
      <c r="S532" s="3"/>
      <c r="T532" s="3"/>
      <c r="U532" s="3"/>
      <c r="V532" s="3"/>
      <c r="W532" s="3"/>
      <c r="X532" s="3"/>
      <c r="Y532" s="3"/>
      <c r="Z532" s="3"/>
      <c r="AA532" s="3"/>
      <c r="AB532" s="3"/>
      <c r="AC532" s="3"/>
    </row>
    <row r="533" spans="1:29" ht="15" customHeight="1">
      <c r="A533" s="690" t="s">
        <v>2632</v>
      </c>
      <c r="B533" s="678" t="s">
        <v>1273</v>
      </c>
      <c r="C533" s="679" t="s">
        <v>176</v>
      </c>
      <c r="D533" s="679" t="s">
        <v>211</v>
      </c>
      <c r="E533" s="680" t="s">
        <v>303</v>
      </c>
      <c r="F533" s="680"/>
      <c r="G533" s="682" t="s">
        <v>1154</v>
      </c>
      <c r="H533" s="3"/>
      <c r="K533" s="3"/>
    </row>
    <row r="534" spans="1:29" ht="15" customHeight="1">
      <c r="A534" s="678" t="s">
        <v>3399</v>
      </c>
      <c r="B534" s="678" t="s">
        <v>1396</v>
      </c>
      <c r="C534" s="679" t="s">
        <v>176</v>
      </c>
      <c r="D534" s="679" t="s">
        <v>214</v>
      </c>
      <c r="E534" s="680" t="s">
        <v>303</v>
      </c>
      <c r="F534" s="680"/>
      <c r="G534" s="680" t="s">
        <v>1154</v>
      </c>
      <c r="H534" s="3"/>
      <c r="K534" s="3"/>
    </row>
    <row r="535" spans="1:29" ht="15" customHeight="1">
      <c r="A535" s="678" t="s">
        <v>3400</v>
      </c>
      <c r="B535" s="678" t="s">
        <v>3316</v>
      </c>
      <c r="C535" s="679" t="s">
        <v>176</v>
      </c>
      <c r="D535" s="679" t="s">
        <v>140</v>
      </c>
      <c r="E535" s="680" t="s">
        <v>303</v>
      </c>
      <c r="F535" s="680"/>
      <c r="G535" s="682" t="s">
        <v>1154</v>
      </c>
      <c r="H535" s="3"/>
    </row>
    <row r="536" spans="1:29" ht="15" customHeight="1">
      <c r="A536" s="678" t="s">
        <v>2635</v>
      </c>
      <c r="B536" s="688" t="s">
        <v>810</v>
      </c>
      <c r="C536" s="679"/>
      <c r="D536" s="679"/>
      <c r="E536" s="680" t="s">
        <v>303</v>
      </c>
      <c r="F536" s="680"/>
      <c r="G536" s="682" t="s">
        <v>816</v>
      </c>
      <c r="H536" s="3"/>
    </row>
    <row r="537" spans="1:29" ht="15" customHeight="1">
      <c r="A537" s="690" t="s">
        <v>2638</v>
      </c>
      <c r="B537" s="678" t="s">
        <v>811</v>
      </c>
      <c r="C537" s="679"/>
      <c r="D537" s="679"/>
      <c r="E537" s="680" t="s">
        <v>303</v>
      </c>
      <c r="F537" s="686"/>
      <c r="G537" s="682" t="s">
        <v>816</v>
      </c>
      <c r="H537" s="3"/>
    </row>
    <row r="538" spans="1:29" ht="15" customHeight="1">
      <c r="A538" s="690" t="s">
        <v>2641</v>
      </c>
      <c r="B538" s="688" t="s">
        <v>812</v>
      </c>
      <c r="C538" s="679"/>
      <c r="D538" s="679"/>
      <c r="E538" s="680" t="s">
        <v>303</v>
      </c>
      <c r="F538" s="680"/>
      <c r="G538" s="682" t="s">
        <v>816</v>
      </c>
      <c r="H538" s="3"/>
    </row>
    <row r="539" spans="1:29" ht="15" customHeight="1">
      <c r="A539" s="690" t="s">
        <v>2644</v>
      </c>
      <c r="B539" s="688" t="s">
        <v>813</v>
      </c>
      <c r="C539" s="679"/>
      <c r="D539" s="679"/>
      <c r="E539" s="680" t="s">
        <v>303</v>
      </c>
      <c r="F539" s="680"/>
      <c r="G539" s="682" t="s">
        <v>816</v>
      </c>
      <c r="H539" s="3"/>
    </row>
    <row r="540" spans="1:29" ht="15" customHeight="1">
      <c r="A540" s="690" t="s">
        <v>2647</v>
      </c>
      <c r="B540" s="678" t="s">
        <v>1158</v>
      </c>
      <c r="C540" s="679" t="s">
        <v>180</v>
      </c>
      <c r="D540" s="679" t="s">
        <v>130</v>
      </c>
      <c r="E540" s="680" t="s">
        <v>303</v>
      </c>
      <c r="F540" s="680"/>
      <c r="G540" s="682" t="e">
        <v>#N/A</v>
      </c>
      <c r="H540" s="3"/>
    </row>
    <row r="541" spans="1:29" ht="15" customHeight="1">
      <c r="A541" s="690" t="s">
        <v>2650</v>
      </c>
      <c r="B541" s="688" t="s">
        <v>1397</v>
      </c>
      <c r="C541" s="679" t="s">
        <v>180</v>
      </c>
      <c r="D541" s="679" t="s">
        <v>130</v>
      </c>
      <c r="E541" s="680" t="s">
        <v>303</v>
      </c>
      <c r="F541" s="680"/>
      <c r="G541" s="680" t="e">
        <v>#N/A</v>
      </c>
      <c r="H541" s="3"/>
    </row>
    <row r="542" spans="1:29" ht="15" customHeight="1">
      <c r="A542" s="678" t="s">
        <v>2653</v>
      </c>
      <c r="B542" s="688" t="s">
        <v>1166</v>
      </c>
      <c r="C542" s="679" t="s">
        <v>180</v>
      </c>
      <c r="D542" s="679" t="s">
        <v>129</v>
      </c>
      <c r="E542" s="680" t="s">
        <v>303</v>
      </c>
      <c r="F542" s="680"/>
      <c r="G542" s="682" t="s">
        <v>1154</v>
      </c>
      <c r="H542" s="3"/>
    </row>
    <row r="543" spans="1:29" ht="15" customHeight="1">
      <c r="A543" s="690" t="s">
        <v>2656</v>
      </c>
      <c r="B543" s="678" t="s">
        <v>1274</v>
      </c>
      <c r="C543" s="679" t="s">
        <v>180</v>
      </c>
      <c r="D543" s="679" t="s">
        <v>204</v>
      </c>
      <c r="E543" s="680" t="s">
        <v>303</v>
      </c>
      <c r="F543" s="680"/>
      <c r="G543" s="682" t="s">
        <v>2</v>
      </c>
      <c r="H543" s="3"/>
    </row>
    <row r="544" spans="1:29" ht="15" customHeight="1">
      <c r="A544" s="678" t="s">
        <v>2659</v>
      </c>
      <c r="B544" s="688" t="s">
        <v>1171</v>
      </c>
      <c r="C544" s="679" t="s">
        <v>180</v>
      </c>
      <c r="D544" s="679" t="s">
        <v>120</v>
      </c>
      <c r="E544" s="680" t="s">
        <v>303</v>
      </c>
      <c r="F544" s="680"/>
      <c r="G544" s="682" t="s">
        <v>1154</v>
      </c>
      <c r="H544" s="3"/>
    </row>
    <row r="545" spans="1:29" ht="15" customHeight="1">
      <c r="A545" s="690" t="s">
        <v>2662</v>
      </c>
      <c r="B545" s="678" t="s">
        <v>1173</v>
      </c>
      <c r="C545" s="679" t="s">
        <v>180</v>
      </c>
      <c r="D545" s="679" t="s">
        <v>121</v>
      </c>
      <c r="E545" s="680" t="s">
        <v>303</v>
      </c>
      <c r="F545" s="680"/>
      <c r="G545" s="682" t="s">
        <v>2</v>
      </c>
      <c r="H545" s="3"/>
    </row>
    <row r="546" spans="1:29" ht="15" customHeight="1">
      <c r="A546" s="690" t="s">
        <v>2665</v>
      </c>
      <c r="B546" s="688" t="s">
        <v>1175</v>
      </c>
      <c r="C546" s="679" t="s">
        <v>180</v>
      </c>
      <c r="D546" s="679" t="s">
        <v>122</v>
      </c>
      <c r="E546" s="680" t="s">
        <v>303</v>
      </c>
      <c r="F546" s="680"/>
      <c r="G546" s="682" t="s">
        <v>1154</v>
      </c>
      <c r="H546" s="3"/>
    </row>
    <row r="547" spans="1:29" ht="15" customHeight="1">
      <c r="A547" s="690" t="s">
        <v>2668</v>
      </c>
      <c r="B547" s="678" t="s">
        <v>1275</v>
      </c>
      <c r="C547" s="679" t="s">
        <v>180</v>
      </c>
      <c r="D547" s="679" t="s">
        <v>124</v>
      </c>
      <c r="E547" s="680" t="s">
        <v>303</v>
      </c>
      <c r="F547" s="680"/>
      <c r="G547" s="682" t="s">
        <v>1154</v>
      </c>
      <c r="H547" s="3"/>
    </row>
    <row r="548" spans="1:29" ht="15" customHeight="1">
      <c r="A548" s="690" t="s">
        <v>2671</v>
      </c>
      <c r="B548" s="688" t="s">
        <v>1179</v>
      </c>
      <c r="C548" s="679" t="s">
        <v>180</v>
      </c>
      <c r="D548" s="679" t="s">
        <v>127</v>
      </c>
      <c r="E548" s="680" t="s">
        <v>303</v>
      </c>
      <c r="F548" s="680"/>
      <c r="G548" s="682" t="s">
        <v>1154</v>
      </c>
      <c r="H548" s="3"/>
    </row>
    <row r="549" spans="1:29" ht="15" customHeight="1">
      <c r="A549" s="690" t="s">
        <v>2674</v>
      </c>
      <c r="B549" s="678" t="s">
        <v>1181</v>
      </c>
      <c r="C549" s="679" t="s">
        <v>180</v>
      </c>
      <c r="D549" s="679" t="s">
        <v>125</v>
      </c>
      <c r="E549" s="680" t="s">
        <v>303</v>
      </c>
      <c r="F549" s="680"/>
      <c r="G549" s="682" t="s">
        <v>1154</v>
      </c>
      <c r="H549" s="3"/>
    </row>
    <row r="550" spans="1:29" ht="15" customHeight="1">
      <c r="A550" s="690" t="s">
        <v>2677</v>
      </c>
      <c r="B550" s="688" t="s">
        <v>1276</v>
      </c>
      <c r="C550" s="679" t="s">
        <v>180</v>
      </c>
      <c r="D550" s="679" t="s">
        <v>125</v>
      </c>
      <c r="E550" s="680" t="s">
        <v>303</v>
      </c>
      <c r="F550" s="680"/>
      <c r="G550" s="682" t="e">
        <v>#N/A</v>
      </c>
      <c r="H550" s="3"/>
    </row>
    <row r="551" spans="1:29" ht="15" customHeight="1">
      <c r="A551" s="690" t="s">
        <v>2680</v>
      </c>
      <c r="B551" s="678" t="s">
        <v>1231</v>
      </c>
      <c r="C551" s="679" t="s">
        <v>180</v>
      </c>
      <c r="D551" s="679" t="s">
        <v>126</v>
      </c>
      <c r="E551" s="680" t="s">
        <v>303</v>
      </c>
      <c r="F551" s="680"/>
      <c r="G551" s="682" t="s">
        <v>1154</v>
      </c>
      <c r="H551" s="3"/>
      <c r="I551" s="3"/>
      <c r="J551" s="3"/>
      <c r="L551" s="3"/>
      <c r="M551" s="3"/>
      <c r="N551" s="3"/>
      <c r="O551" s="3"/>
      <c r="P551" s="3"/>
      <c r="Q551" s="3"/>
      <c r="R551" s="3"/>
      <c r="S551" s="3"/>
      <c r="T551" s="3"/>
      <c r="U551" s="3"/>
      <c r="V551" s="3"/>
      <c r="W551" s="3"/>
      <c r="X551" s="3"/>
      <c r="Y551" s="3"/>
      <c r="Z551" s="3"/>
      <c r="AA551" s="3"/>
      <c r="AB551" s="3"/>
      <c r="AC551" s="3"/>
    </row>
    <row r="552" spans="1:29" ht="15" customHeight="1">
      <c r="A552" s="690" t="s">
        <v>2684</v>
      </c>
      <c r="B552" s="688" t="s">
        <v>1187</v>
      </c>
      <c r="C552" s="679" t="s">
        <v>180</v>
      </c>
      <c r="D552" s="679" t="s">
        <v>135</v>
      </c>
      <c r="E552" s="680" t="s">
        <v>303</v>
      </c>
      <c r="F552" s="680"/>
      <c r="G552" s="682" t="s">
        <v>1154</v>
      </c>
      <c r="H552" s="3"/>
    </row>
    <row r="553" spans="1:29" ht="15" customHeight="1">
      <c r="A553" s="1019" t="s">
        <v>2687</v>
      </c>
      <c r="B553" s="692" t="s">
        <v>1189</v>
      </c>
      <c r="C553" s="693" t="s">
        <v>180</v>
      </c>
      <c r="D553" s="679" t="s">
        <v>136</v>
      </c>
      <c r="E553" s="680" t="s">
        <v>303</v>
      </c>
      <c r="F553" s="680"/>
      <c r="G553" s="680" t="s">
        <v>1154</v>
      </c>
      <c r="H553" s="3"/>
    </row>
    <row r="554" spans="1:29" ht="15" customHeight="1">
      <c r="A554" s="690" t="s">
        <v>2690</v>
      </c>
      <c r="B554" s="688" t="s">
        <v>1191</v>
      </c>
      <c r="C554" s="679" t="s">
        <v>180</v>
      </c>
      <c r="D554" s="679" t="s">
        <v>141</v>
      </c>
      <c r="E554" s="680" t="s">
        <v>303</v>
      </c>
      <c r="F554" s="680"/>
      <c r="G554" s="682" t="s">
        <v>1154</v>
      </c>
      <c r="H554" s="3"/>
    </row>
    <row r="555" spans="1:29" ht="15" customHeight="1">
      <c r="A555" s="690" t="s">
        <v>2693</v>
      </c>
      <c r="B555" s="678" t="s">
        <v>1193</v>
      </c>
      <c r="C555" s="679" t="s">
        <v>180</v>
      </c>
      <c r="D555" s="679" t="s">
        <v>131</v>
      </c>
      <c r="E555" s="680" t="s">
        <v>303</v>
      </c>
      <c r="F555" s="680"/>
      <c r="G555" s="682" t="s">
        <v>1154</v>
      </c>
      <c r="H555" s="3"/>
    </row>
    <row r="556" spans="1:29" ht="15" customHeight="1">
      <c r="A556" s="678" t="s">
        <v>2696</v>
      </c>
      <c r="B556" s="685" t="s">
        <v>1195</v>
      </c>
      <c r="C556" s="679" t="s">
        <v>180</v>
      </c>
      <c r="D556" s="679" t="s">
        <v>139</v>
      </c>
      <c r="E556" s="680" t="s">
        <v>303</v>
      </c>
      <c r="F556" s="681"/>
      <c r="G556" s="682" t="s">
        <v>2</v>
      </c>
      <c r="H556" s="3"/>
    </row>
    <row r="557" spans="1:29" ht="15" customHeight="1">
      <c r="A557" s="690" t="s">
        <v>2698</v>
      </c>
      <c r="B557" s="685" t="s">
        <v>1197</v>
      </c>
      <c r="C557" s="679" t="s">
        <v>180</v>
      </c>
      <c r="D557" s="679" t="s">
        <v>132</v>
      </c>
      <c r="E557" s="680" t="s">
        <v>303</v>
      </c>
      <c r="F557" s="681"/>
      <c r="G557" s="682" t="e">
        <v>#N/A</v>
      </c>
      <c r="H557" s="3"/>
    </row>
    <row r="558" spans="1:29" ht="15" customHeight="1">
      <c r="A558" s="690" t="s">
        <v>2701</v>
      </c>
      <c r="B558" s="685" t="s">
        <v>1199</v>
      </c>
      <c r="C558" s="679" t="s">
        <v>180</v>
      </c>
      <c r="D558" s="679" t="s">
        <v>137</v>
      </c>
      <c r="E558" s="680" t="s">
        <v>303</v>
      </c>
      <c r="F558" s="681"/>
      <c r="G558" s="682" t="e">
        <v>#N/A</v>
      </c>
      <c r="H558" s="3"/>
    </row>
    <row r="559" spans="1:29" ht="15" customHeight="1">
      <c r="A559" s="690" t="s">
        <v>2704</v>
      </c>
      <c r="B559" s="685" t="s">
        <v>1201</v>
      </c>
      <c r="C559" s="679" t="s">
        <v>180</v>
      </c>
      <c r="D559" s="679" t="s">
        <v>138</v>
      </c>
      <c r="E559" s="680" t="s">
        <v>303</v>
      </c>
      <c r="F559" s="681"/>
      <c r="G559" s="682" t="s">
        <v>1154</v>
      </c>
      <c r="H559" s="3"/>
    </row>
    <row r="560" spans="1:29" ht="15" customHeight="1">
      <c r="A560" s="690" t="s">
        <v>2707</v>
      </c>
      <c r="B560" s="685" t="s">
        <v>1203</v>
      </c>
      <c r="C560" s="679" t="s">
        <v>180</v>
      </c>
      <c r="D560" s="679" t="s">
        <v>140</v>
      </c>
      <c r="E560" s="680" t="s">
        <v>303</v>
      </c>
      <c r="F560" s="681"/>
      <c r="G560" s="682" t="s">
        <v>1154</v>
      </c>
      <c r="H560" s="3"/>
    </row>
    <row r="561" spans="1:8" ht="15" customHeight="1">
      <c r="A561" s="690" t="s">
        <v>2710</v>
      </c>
      <c r="B561" s="685" t="s">
        <v>1277</v>
      </c>
      <c r="C561" s="679" t="s">
        <v>180</v>
      </c>
      <c r="D561" s="679" t="s">
        <v>133</v>
      </c>
      <c r="E561" s="680" t="s">
        <v>303</v>
      </c>
      <c r="F561" s="681"/>
      <c r="G561" s="682" t="s">
        <v>1154</v>
      </c>
      <c r="H561" s="3"/>
    </row>
    <row r="562" spans="1:8" ht="15" customHeight="1">
      <c r="A562" s="690" t="s">
        <v>3401</v>
      </c>
      <c r="B562" s="685" t="s">
        <v>1278</v>
      </c>
      <c r="C562" s="679" t="s">
        <v>180</v>
      </c>
      <c r="D562" s="679" t="s">
        <v>142</v>
      </c>
      <c r="E562" s="680" t="s">
        <v>303</v>
      </c>
      <c r="F562" s="681"/>
      <c r="G562" s="682" t="s">
        <v>2</v>
      </c>
      <c r="H562" s="3"/>
    </row>
    <row r="563" spans="1:8" ht="15" customHeight="1">
      <c r="A563" s="690" t="s">
        <v>3890</v>
      </c>
      <c r="B563" s="685" t="s">
        <v>3889</v>
      </c>
      <c r="C563" s="679" t="s">
        <v>180</v>
      </c>
      <c r="D563" s="679" t="s">
        <v>134</v>
      </c>
      <c r="E563" s="680" t="s">
        <v>303</v>
      </c>
      <c r="F563" s="681"/>
      <c r="G563" s="682" t="s">
        <v>1154</v>
      </c>
      <c r="H563" s="3"/>
    </row>
    <row r="564" spans="1:8" ht="15" customHeight="1">
      <c r="A564" s="690" t="s">
        <v>2713</v>
      </c>
      <c r="B564" s="685" t="s">
        <v>1209</v>
      </c>
      <c r="C564" s="679" t="s">
        <v>180</v>
      </c>
      <c r="D564" s="679" t="s">
        <v>134</v>
      </c>
      <c r="E564" s="680" t="s">
        <v>303</v>
      </c>
      <c r="F564" s="681"/>
      <c r="G564" s="682" t="s">
        <v>1154</v>
      </c>
      <c r="H564" s="3"/>
    </row>
    <row r="565" spans="1:8" ht="15" customHeight="1">
      <c r="A565" s="690" t="s">
        <v>2716</v>
      </c>
      <c r="B565" s="688" t="s">
        <v>1211</v>
      </c>
      <c r="C565" s="679" t="s">
        <v>180</v>
      </c>
      <c r="D565" s="679" t="s">
        <v>221</v>
      </c>
      <c r="E565" s="680" t="s">
        <v>303</v>
      </c>
      <c r="F565" s="681"/>
      <c r="G565" s="682" t="s">
        <v>1154</v>
      </c>
      <c r="H565" s="3"/>
    </row>
    <row r="566" spans="1:8" ht="15" customHeight="1">
      <c r="A566" s="690" t="s">
        <v>2719</v>
      </c>
      <c r="B566" s="685" t="s">
        <v>1389</v>
      </c>
      <c r="C566" s="679" t="s">
        <v>180</v>
      </c>
      <c r="D566" s="679" t="s">
        <v>213</v>
      </c>
      <c r="E566" s="680" t="s">
        <v>303</v>
      </c>
      <c r="F566" s="681"/>
      <c r="G566" s="680" t="s">
        <v>1154</v>
      </c>
      <c r="H566" s="3"/>
    </row>
    <row r="567" spans="1:8" ht="15" customHeight="1">
      <c r="A567" s="690" t="s">
        <v>2722</v>
      </c>
      <c r="B567" s="685" t="s">
        <v>814</v>
      </c>
      <c r="C567" s="679"/>
      <c r="D567" s="679"/>
      <c r="E567" s="680" t="s">
        <v>303</v>
      </c>
      <c r="F567" s="681"/>
      <c r="G567" s="682" t="s">
        <v>816</v>
      </c>
      <c r="H567" s="3"/>
    </row>
    <row r="568" spans="1:8" ht="15" customHeight="1">
      <c r="A568" s="690" t="s">
        <v>2725</v>
      </c>
      <c r="B568" s="685" t="s">
        <v>1279</v>
      </c>
      <c r="C568" s="679" t="s">
        <v>180</v>
      </c>
      <c r="D568" s="679" t="s">
        <v>210</v>
      </c>
      <c r="E568" s="680" t="s">
        <v>303</v>
      </c>
      <c r="F568" s="681"/>
      <c r="G568" s="682" t="s">
        <v>1154</v>
      </c>
      <c r="H568" s="3"/>
    </row>
    <row r="569" spans="1:8" ht="15" customHeight="1">
      <c r="A569" s="690" t="s">
        <v>2728</v>
      </c>
      <c r="B569" s="685" t="s">
        <v>1280</v>
      </c>
      <c r="C569" s="679" t="s">
        <v>180</v>
      </c>
      <c r="D569" s="679" t="s">
        <v>205</v>
      </c>
      <c r="E569" s="680" t="s">
        <v>303</v>
      </c>
      <c r="F569" s="681"/>
      <c r="G569" s="682" t="s">
        <v>1154</v>
      </c>
      <c r="H569" s="3"/>
    </row>
    <row r="570" spans="1:8" ht="15" customHeight="1">
      <c r="A570" s="690" t="s">
        <v>2731</v>
      </c>
      <c r="B570" s="685" t="s">
        <v>1281</v>
      </c>
      <c r="C570" s="679" t="s">
        <v>180</v>
      </c>
      <c r="D570" s="679" t="s">
        <v>209</v>
      </c>
      <c r="E570" s="680" t="s">
        <v>303</v>
      </c>
      <c r="F570" s="681"/>
      <c r="G570" s="682" t="s">
        <v>1154</v>
      </c>
      <c r="H570" s="3"/>
    </row>
    <row r="571" spans="1:8" ht="15" customHeight="1">
      <c r="A571" s="690" t="s">
        <v>2734</v>
      </c>
      <c r="B571" s="685" t="s">
        <v>1282</v>
      </c>
      <c r="C571" s="679" t="s">
        <v>180</v>
      </c>
      <c r="D571" s="679" t="s">
        <v>206</v>
      </c>
      <c r="E571" s="680" t="s">
        <v>303</v>
      </c>
      <c r="F571" s="681"/>
      <c r="G571" s="682" t="s">
        <v>1154</v>
      </c>
      <c r="H571" s="3"/>
    </row>
    <row r="572" spans="1:8" ht="15" customHeight="1">
      <c r="A572" s="690" t="s">
        <v>2737</v>
      </c>
      <c r="B572" s="685" t="s">
        <v>1283</v>
      </c>
      <c r="C572" s="679" t="s">
        <v>180</v>
      </c>
      <c r="D572" s="679" t="s">
        <v>207</v>
      </c>
      <c r="E572" s="680" t="s">
        <v>303</v>
      </c>
      <c r="F572" s="681"/>
      <c r="G572" s="682" t="s">
        <v>1154</v>
      </c>
      <c r="H572" s="3"/>
    </row>
    <row r="573" spans="1:8" ht="15" customHeight="1">
      <c r="A573" s="690" t="s">
        <v>2740</v>
      </c>
      <c r="B573" s="685" t="s">
        <v>1284</v>
      </c>
      <c r="C573" s="679" t="s">
        <v>180</v>
      </c>
      <c r="D573" s="679" t="s">
        <v>211</v>
      </c>
      <c r="E573" s="680" t="s">
        <v>303</v>
      </c>
      <c r="F573" s="681"/>
      <c r="G573" s="682" t="e">
        <v>#N/A</v>
      </c>
      <c r="H573" s="3"/>
    </row>
    <row r="574" spans="1:8" ht="15" customHeight="1">
      <c r="A574" s="697" t="s">
        <v>3402</v>
      </c>
      <c r="B574" s="697" t="s">
        <v>1398</v>
      </c>
      <c r="C574" s="679" t="s">
        <v>180</v>
      </c>
      <c r="D574" s="679" t="s">
        <v>214</v>
      </c>
      <c r="E574" s="680" t="s">
        <v>303</v>
      </c>
      <c r="F574" s="680"/>
      <c r="G574" s="680" t="s">
        <v>2</v>
      </c>
      <c r="H574" s="3"/>
    </row>
    <row r="575" spans="1:8" ht="15" customHeight="1">
      <c r="A575" s="678" t="s">
        <v>2742</v>
      </c>
      <c r="B575" s="685" t="s">
        <v>726</v>
      </c>
      <c r="C575" s="679"/>
      <c r="D575" s="679"/>
      <c r="E575" s="680"/>
      <c r="F575" s="681"/>
      <c r="G575" s="682" t="e">
        <v>#N/A</v>
      </c>
      <c r="H575" s="3"/>
    </row>
    <row r="576" spans="1:8" ht="15" customHeight="1">
      <c r="A576" s="690" t="s">
        <v>2745</v>
      </c>
      <c r="B576" s="685" t="s">
        <v>727</v>
      </c>
      <c r="C576" s="679"/>
      <c r="D576" s="679"/>
      <c r="E576" s="680"/>
      <c r="F576" s="681"/>
      <c r="G576" s="682" t="e">
        <v>#N/A</v>
      </c>
      <c r="H576" s="3"/>
    </row>
    <row r="577" spans="1:11" ht="15" customHeight="1">
      <c r="A577" s="690" t="s">
        <v>2748</v>
      </c>
      <c r="B577" s="685" t="s">
        <v>728</v>
      </c>
      <c r="C577" s="679"/>
      <c r="D577" s="679"/>
      <c r="E577" s="680"/>
      <c r="F577" s="681"/>
      <c r="G577" s="682" t="s">
        <v>816</v>
      </c>
      <c r="H577" s="3"/>
    </row>
    <row r="578" spans="1:11" ht="15" customHeight="1">
      <c r="A578" s="678" t="s">
        <v>3403</v>
      </c>
      <c r="B578" s="678" t="s">
        <v>1399</v>
      </c>
      <c r="C578" s="679" t="s">
        <v>198</v>
      </c>
      <c r="D578" s="679" t="s">
        <v>216</v>
      </c>
      <c r="E578" s="680" t="s">
        <v>303</v>
      </c>
      <c r="F578" s="681"/>
      <c r="G578" s="682" t="s">
        <v>1154</v>
      </c>
      <c r="H578" s="3"/>
    </row>
    <row r="579" spans="1:11" ht="15" customHeight="1">
      <c r="A579" s="698" t="s">
        <v>2751</v>
      </c>
      <c r="B579" s="695" t="s">
        <v>1287</v>
      </c>
      <c r="C579" s="693" t="s">
        <v>92</v>
      </c>
      <c r="D579" s="679" t="s">
        <v>148</v>
      </c>
      <c r="E579" s="680" t="s">
        <v>303</v>
      </c>
      <c r="F579" s="681"/>
      <c r="G579" s="682" t="s">
        <v>1154</v>
      </c>
      <c r="H579" s="3"/>
    </row>
    <row r="580" spans="1:11" ht="15" customHeight="1">
      <c r="A580" s="698" t="s">
        <v>1289</v>
      </c>
      <c r="B580" s="695" t="s">
        <v>1288</v>
      </c>
      <c r="C580" s="693" t="s">
        <v>180</v>
      </c>
      <c r="D580" s="679" t="s">
        <v>188</v>
      </c>
      <c r="E580" s="680" t="s">
        <v>303</v>
      </c>
      <c r="F580" s="681"/>
      <c r="G580" s="682" t="s">
        <v>1154</v>
      </c>
      <c r="H580" s="3"/>
      <c r="K580" s="3"/>
    </row>
    <row r="581" spans="1:11" ht="15" customHeight="1">
      <c r="A581" s="690" t="s">
        <v>2756</v>
      </c>
      <c r="B581" s="685" t="s">
        <v>1400</v>
      </c>
      <c r="C581" s="679" t="s">
        <v>92</v>
      </c>
      <c r="D581" s="679" t="s">
        <v>145</v>
      </c>
      <c r="E581" s="680" t="s">
        <v>303</v>
      </c>
      <c r="F581" s="681"/>
      <c r="G581" s="682" t="s">
        <v>1154</v>
      </c>
      <c r="H581" s="3"/>
    </row>
    <row r="582" spans="1:11" ht="15" customHeight="1">
      <c r="A582" s="698" t="s">
        <v>1291</v>
      </c>
      <c r="B582" s="705" t="s">
        <v>1290</v>
      </c>
      <c r="C582" s="679" t="s">
        <v>92</v>
      </c>
      <c r="D582" s="679" t="s">
        <v>105</v>
      </c>
      <c r="E582" s="680" t="s">
        <v>303</v>
      </c>
      <c r="F582" s="681" t="s">
        <v>1368</v>
      </c>
      <c r="G582" s="682" t="s">
        <v>1154</v>
      </c>
      <c r="H582" s="3"/>
    </row>
    <row r="583" spans="1:11" ht="15" customHeight="1">
      <c r="A583" s="699" t="s">
        <v>1293</v>
      </c>
      <c r="B583" s="1039" t="s">
        <v>1292</v>
      </c>
      <c r="C583" s="693" t="s">
        <v>92</v>
      </c>
      <c r="D583" s="679"/>
      <c r="E583" s="686" t="s">
        <v>341</v>
      </c>
      <c r="F583" s="681"/>
      <c r="G583" s="682" t="s">
        <v>1285</v>
      </c>
      <c r="H583" s="3"/>
    </row>
    <row r="584" spans="1:11" ht="15" customHeight="1">
      <c r="A584" s="690" t="s">
        <v>1295</v>
      </c>
      <c r="B584" s="695" t="s">
        <v>1294</v>
      </c>
      <c r="C584" s="693" t="s">
        <v>152</v>
      </c>
      <c r="D584" s="679" t="s">
        <v>105</v>
      </c>
      <c r="E584" s="680" t="s">
        <v>303</v>
      </c>
      <c r="F584" s="681" t="s">
        <v>1368</v>
      </c>
      <c r="G584" s="682" t="s">
        <v>1154</v>
      </c>
      <c r="H584" s="3"/>
    </row>
    <row r="585" spans="1:11" ht="15" customHeight="1">
      <c r="A585" s="1035" t="s">
        <v>1296</v>
      </c>
      <c r="B585" s="1035" t="s">
        <v>1294</v>
      </c>
      <c r="C585" s="679" t="s">
        <v>152</v>
      </c>
      <c r="D585" s="679"/>
      <c r="E585" s="686" t="s">
        <v>341</v>
      </c>
      <c r="F585" s="681"/>
      <c r="G585" s="682" t="s">
        <v>1285</v>
      </c>
      <c r="H585" s="3"/>
    </row>
    <row r="586" spans="1:11" ht="15" customHeight="1">
      <c r="A586" s="690" t="s">
        <v>2763</v>
      </c>
      <c r="B586" s="685" t="s">
        <v>1297</v>
      </c>
      <c r="C586" s="679" t="s">
        <v>92</v>
      </c>
      <c r="D586" s="679" t="s">
        <v>107</v>
      </c>
      <c r="E586" s="680" t="s">
        <v>303</v>
      </c>
      <c r="F586" s="681" t="s">
        <v>1368</v>
      </c>
      <c r="G586" s="682" t="e">
        <v>#N/A</v>
      </c>
      <c r="H586" s="3"/>
    </row>
    <row r="587" spans="1:11" ht="15" customHeight="1">
      <c r="A587" s="690" t="s">
        <v>2766</v>
      </c>
      <c r="B587" s="685" t="s">
        <v>1298</v>
      </c>
      <c r="C587" s="679" t="s">
        <v>152</v>
      </c>
      <c r="D587" s="679" t="s">
        <v>107</v>
      </c>
      <c r="E587" s="680" t="s">
        <v>303</v>
      </c>
      <c r="F587" s="681" t="s">
        <v>1368</v>
      </c>
      <c r="G587" s="682" t="e">
        <v>#N/A</v>
      </c>
      <c r="H587" s="3"/>
    </row>
    <row r="588" spans="1:11" ht="15" customHeight="1">
      <c r="A588" s="1035" t="s">
        <v>1300</v>
      </c>
      <c r="B588" s="1035" t="s">
        <v>1299</v>
      </c>
      <c r="C588" s="679" t="s">
        <v>152</v>
      </c>
      <c r="D588" s="679"/>
      <c r="E588" s="686" t="s">
        <v>341</v>
      </c>
      <c r="F588" s="681"/>
      <c r="G588" s="682" t="e">
        <v>#N/A</v>
      </c>
      <c r="H588" s="3"/>
    </row>
    <row r="589" spans="1:11" ht="15" customHeight="1">
      <c r="A589" s="690" t="s">
        <v>2769</v>
      </c>
      <c r="B589" s="685" t="s">
        <v>1301</v>
      </c>
      <c r="C589" s="679" t="s">
        <v>92</v>
      </c>
      <c r="D589" s="679" t="s">
        <v>106</v>
      </c>
      <c r="E589" s="680" t="s">
        <v>303</v>
      </c>
      <c r="F589" s="681" t="s">
        <v>1368</v>
      </c>
      <c r="G589" s="682" t="s">
        <v>2</v>
      </c>
      <c r="H589" s="3"/>
    </row>
    <row r="590" spans="1:11" ht="15" customHeight="1">
      <c r="A590" s="699" t="s">
        <v>3346</v>
      </c>
      <c r="B590" s="1037" t="s">
        <v>3345</v>
      </c>
      <c r="C590" s="679"/>
      <c r="D590" s="679"/>
      <c r="E590" s="686" t="s">
        <v>341</v>
      </c>
      <c r="F590" s="681"/>
      <c r="G590" s="682" t="e">
        <v>#N/A</v>
      </c>
      <c r="H590" s="3"/>
    </row>
    <row r="591" spans="1:11" ht="15" customHeight="1">
      <c r="A591" s="698" t="s">
        <v>2772</v>
      </c>
      <c r="B591" s="679" t="s">
        <v>1302</v>
      </c>
      <c r="C591" s="679" t="s">
        <v>92</v>
      </c>
      <c r="D591" s="679" t="s">
        <v>106</v>
      </c>
      <c r="E591" s="680" t="s">
        <v>303</v>
      </c>
      <c r="F591" s="681" t="s">
        <v>1368</v>
      </c>
      <c r="G591" s="682" t="s">
        <v>2</v>
      </c>
      <c r="H591" s="3"/>
    </row>
    <row r="592" spans="1:11" ht="15" customHeight="1">
      <c r="A592" s="699" t="s">
        <v>3348</v>
      </c>
      <c r="B592" s="1037" t="s">
        <v>3347</v>
      </c>
      <c r="C592" s="679" t="s">
        <v>92</v>
      </c>
      <c r="D592" s="679"/>
      <c r="E592" s="686" t="s">
        <v>341</v>
      </c>
      <c r="F592" s="681"/>
      <c r="G592" s="682" t="e">
        <v>#N/A</v>
      </c>
      <c r="H592" s="3"/>
    </row>
    <row r="593" spans="1:11" ht="15" customHeight="1">
      <c r="A593" s="698" t="s">
        <v>2775</v>
      </c>
      <c r="B593" s="679" t="s">
        <v>1303</v>
      </c>
      <c r="C593" s="679" t="s">
        <v>152</v>
      </c>
      <c r="D593" s="679" t="s">
        <v>106</v>
      </c>
      <c r="E593" s="680" t="s">
        <v>303</v>
      </c>
      <c r="F593" s="681" t="s">
        <v>1368</v>
      </c>
      <c r="G593" s="682" t="s">
        <v>2</v>
      </c>
      <c r="H593" s="3"/>
      <c r="K593" s="3"/>
    </row>
    <row r="594" spans="1:11" ht="15" customHeight="1">
      <c r="A594" s="699" t="s">
        <v>1305</v>
      </c>
      <c r="B594" s="699" t="s">
        <v>1304</v>
      </c>
      <c r="C594" s="679" t="s">
        <v>152</v>
      </c>
      <c r="D594" s="679"/>
      <c r="E594" s="686" t="s">
        <v>341</v>
      </c>
      <c r="F594" s="681"/>
      <c r="G594" s="682" t="e">
        <v>#N/A</v>
      </c>
      <c r="H594" s="3"/>
    </row>
    <row r="595" spans="1:11" ht="15" customHeight="1">
      <c r="A595" s="698" t="s">
        <v>2778</v>
      </c>
      <c r="B595" s="679" t="s">
        <v>1306</v>
      </c>
      <c r="C595" s="679" t="s">
        <v>152</v>
      </c>
      <c r="D595" s="679" t="s">
        <v>106</v>
      </c>
      <c r="E595" s="680" t="s">
        <v>303</v>
      </c>
      <c r="F595" s="681" t="s">
        <v>1368</v>
      </c>
      <c r="G595" s="682" t="s">
        <v>2</v>
      </c>
      <c r="H595" s="3"/>
    </row>
    <row r="596" spans="1:11" ht="15" customHeight="1">
      <c r="A596" s="699" t="s">
        <v>1308</v>
      </c>
      <c r="B596" s="699" t="s">
        <v>1307</v>
      </c>
      <c r="C596" s="679" t="s">
        <v>152</v>
      </c>
      <c r="D596" s="679"/>
      <c r="E596" s="686" t="s">
        <v>341</v>
      </c>
      <c r="F596" s="681"/>
      <c r="G596" s="682" t="e">
        <v>#N/A</v>
      </c>
      <c r="H596" s="3"/>
    </row>
    <row r="597" spans="1:11" ht="15" customHeight="1">
      <c r="A597" s="698" t="s">
        <v>2781</v>
      </c>
      <c r="B597" s="679" t="s">
        <v>1401</v>
      </c>
      <c r="C597" s="679" t="s">
        <v>92</v>
      </c>
      <c r="D597" s="679" t="s">
        <v>149</v>
      </c>
      <c r="E597" s="680" t="s">
        <v>303</v>
      </c>
      <c r="F597" s="681"/>
      <c r="G597" s="682" t="s">
        <v>1154</v>
      </c>
      <c r="H597" s="3"/>
    </row>
    <row r="598" spans="1:11" ht="15" customHeight="1">
      <c r="A598" s="698" t="s">
        <v>3404</v>
      </c>
      <c r="B598" s="679" t="s">
        <v>1402</v>
      </c>
      <c r="C598" s="679" t="s">
        <v>152</v>
      </c>
      <c r="D598" s="679" t="s">
        <v>149</v>
      </c>
      <c r="E598" s="680" t="s">
        <v>303</v>
      </c>
      <c r="F598" s="681"/>
      <c r="G598" s="682" t="s">
        <v>1154</v>
      </c>
      <c r="H598" s="3"/>
    </row>
    <row r="599" spans="1:11" ht="15" customHeight="1">
      <c r="A599" s="698" t="s">
        <v>1310</v>
      </c>
      <c r="B599" s="679" t="s">
        <v>1312</v>
      </c>
      <c r="C599" s="679" t="s">
        <v>198</v>
      </c>
      <c r="D599" s="679" t="s">
        <v>216</v>
      </c>
      <c r="E599" s="680" t="s">
        <v>303</v>
      </c>
      <c r="F599" s="681"/>
      <c r="G599" s="682" t="s">
        <v>1154</v>
      </c>
      <c r="H599" s="3"/>
    </row>
    <row r="600" spans="1:11" ht="15" customHeight="1">
      <c r="A600" s="698" t="s">
        <v>3405</v>
      </c>
      <c r="B600" s="679" t="s">
        <v>1403</v>
      </c>
      <c r="C600" s="679" t="s">
        <v>198</v>
      </c>
      <c r="D600" s="679" t="s">
        <v>216</v>
      </c>
      <c r="E600" s="680" t="s">
        <v>303</v>
      </c>
      <c r="F600" s="681"/>
      <c r="G600" s="680" t="s">
        <v>1154</v>
      </c>
      <c r="H600" s="3"/>
    </row>
    <row r="601" spans="1:11" ht="15" customHeight="1">
      <c r="A601" s="698" t="s">
        <v>1315</v>
      </c>
      <c r="B601" s="1038" t="s">
        <v>1313</v>
      </c>
      <c r="C601" s="679" t="s">
        <v>198</v>
      </c>
      <c r="D601" s="679" t="s">
        <v>223</v>
      </c>
      <c r="E601" s="680" t="s">
        <v>303</v>
      </c>
      <c r="F601" s="681"/>
      <c r="G601" s="682" t="s">
        <v>1154</v>
      </c>
      <c r="H601" s="3"/>
    </row>
    <row r="602" spans="1:11" ht="15" customHeight="1">
      <c r="A602" s="698" t="s">
        <v>2788</v>
      </c>
      <c r="B602" s="1038" t="s">
        <v>1404</v>
      </c>
      <c r="C602" s="679" t="s">
        <v>198</v>
      </c>
      <c r="D602" s="679" t="s">
        <v>222</v>
      </c>
      <c r="E602" s="680" t="s">
        <v>303</v>
      </c>
      <c r="F602" s="681"/>
      <c r="G602" s="680" t="s">
        <v>1154</v>
      </c>
      <c r="H602" s="3"/>
    </row>
    <row r="603" spans="1:11" ht="15" customHeight="1">
      <c r="A603" s="698" t="s">
        <v>2791</v>
      </c>
      <c r="B603" s="679" t="s">
        <v>1316</v>
      </c>
      <c r="C603" s="679" t="s">
        <v>198</v>
      </c>
      <c r="D603" s="679" t="s">
        <v>223</v>
      </c>
      <c r="E603" s="680" t="s">
        <v>303</v>
      </c>
      <c r="F603" s="681"/>
      <c r="G603" s="682" t="s">
        <v>1154</v>
      </c>
      <c r="H603" s="3"/>
    </row>
    <row r="604" spans="1:11" ht="15" customHeight="1">
      <c r="A604" s="698" t="s">
        <v>3892</v>
      </c>
      <c r="B604" s="679" t="s">
        <v>3891</v>
      </c>
      <c r="C604" s="679" t="s">
        <v>1325</v>
      </c>
      <c r="D604" s="679" t="s">
        <v>3861</v>
      </c>
      <c r="E604" s="680" t="s">
        <v>303</v>
      </c>
      <c r="F604" s="681"/>
      <c r="G604" s="682" t="s">
        <v>1154</v>
      </c>
      <c r="H604" s="3"/>
    </row>
    <row r="605" spans="1:11" ht="15" customHeight="1">
      <c r="A605" s="698" t="s">
        <v>2794</v>
      </c>
      <c r="B605" s="679" t="s">
        <v>1405</v>
      </c>
      <c r="C605" s="679" t="s">
        <v>198</v>
      </c>
      <c r="D605" s="679" t="s">
        <v>142</v>
      </c>
      <c r="E605" s="680" t="s">
        <v>303</v>
      </c>
      <c r="F605" s="681"/>
      <c r="G605" s="680" t="s">
        <v>1154</v>
      </c>
      <c r="H605" s="3"/>
    </row>
    <row r="606" spans="1:11" ht="15" customHeight="1">
      <c r="A606" s="690" t="s">
        <v>3554</v>
      </c>
      <c r="B606" s="685" t="s">
        <v>3553</v>
      </c>
      <c r="C606" s="679" t="s">
        <v>161</v>
      </c>
      <c r="D606" s="679" t="s">
        <v>140</v>
      </c>
      <c r="E606" s="680" t="s">
        <v>303</v>
      </c>
      <c r="F606" s="680"/>
      <c r="G606" s="682" t="s">
        <v>1154</v>
      </c>
      <c r="H606" s="3"/>
    </row>
    <row r="607" spans="1:11" ht="15" customHeight="1">
      <c r="A607" s="1172" t="s">
        <v>3906</v>
      </c>
      <c r="B607" s="1173" t="s">
        <v>3905</v>
      </c>
      <c r="C607" s="679" t="s">
        <v>152</v>
      </c>
      <c r="D607" s="679" t="s">
        <v>153</v>
      </c>
      <c r="E607" s="680" t="s">
        <v>303</v>
      </c>
      <c r="F607" s="681"/>
      <c r="G607" s="680" t="s">
        <v>1110</v>
      </c>
      <c r="H607" s="3"/>
    </row>
    <row r="608" spans="1:11" ht="15" customHeight="1">
      <c r="A608" s="1174" t="s">
        <v>3907</v>
      </c>
      <c r="B608" s="1173" t="s">
        <v>1397</v>
      </c>
      <c r="C608" s="679" t="s">
        <v>176</v>
      </c>
      <c r="D608" s="679" t="s">
        <v>130</v>
      </c>
      <c r="E608" s="680" t="s">
        <v>303</v>
      </c>
      <c r="F608" s="681"/>
      <c r="G608" s="680" t="s">
        <v>1154</v>
      </c>
      <c r="H608" s="3"/>
    </row>
    <row r="609" spans="1:8" ht="15" customHeight="1">
      <c r="A609" s="685"/>
      <c r="B609" s="685"/>
      <c r="C609" s="679"/>
      <c r="D609" s="679"/>
      <c r="E609" s="680"/>
      <c r="F609" s="681"/>
      <c r="G609" s="680" t="e">
        <v>#N/A</v>
      </c>
      <c r="H609" s="3"/>
    </row>
    <row r="610" spans="1:8" ht="15" customHeight="1">
      <c r="A610" s="677"/>
      <c r="B610" s="688"/>
      <c r="C610" s="679"/>
      <c r="D610" s="679"/>
      <c r="E610" s="680"/>
      <c r="F610" s="681"/>
      <c r="G610" s="680" t="e">
        <v>#N/A</v>
      </c>
      <c r="H610" s="3"/>
    </row>
    <row r="611" spans="1:8" ht="15" customHeight="1">
      <c r="A611" s="685"/>
      <c r="B611" s="685"/>
      <c r="C611" s="679"/>
      <c r="D611" s="679"/>
      <c r="E611" s="680"/>
      <c r="F611" s="681"/>
      <c r="G611" s="680" t="e">
        <v>#N/A</v>
      </c>
      <c r="H611" s="3"/>
    </row>
    <row r="612" spans="1:8" ht="15" customHeight="1">
      <c r="A612" s="685"/>
      <c r="B612" s="685"/>
      <c r="C612" s="679"/>
      <c r="D612" s="679"/>
      <c r="E612" s="680"/>
      <c r="F612" s="681"/>
      <c r="G612" s="680" t="e">
        <v>#N/A</v>
      </c>
      <c r="H612" s="3"/>
    </row>
    <row r="613" spans="1:8" ht="15" customHeight="1">
      <c r="A613" s="690"/>
      <c r="B613" s="685"/>
      <c r="C613" s="679"/>
      <c r="D613" s="679"/>
      <c r="E613" s="680"/>
      <c r="F613" s="681"/>
      <c r="G613" s="680" t="e">
        <v>#N/A</v>
      </c>
      <c r="H613" s="3"/>
    </row>
    <row r="614" spans="1:8" ht="15" customHeight="1">
      <c r="A614" s="677"/>
      <c r="B614" s="688"/>
      <c r="C614" s="679"/>
      <c r="D614" s="679"/>
      <c r="E614" s="680"/>
      <c r="F614" s="681"/>
      <c r="G614" s="680" t="e">
        <v>#N/A</v>
      </c>
      <c r="H614" s="3"/>
    </row>
    <row r="615" spans="1:8" ht="15" customHeight="1">
      <c r="A615" s="689"/>
      <c r="B615" s="678"/>
      <c r="C615" s="679"/>
      <c r="D615" s="679"/>
      <c r="E615" s="680"/>
      <c r="F615" s="681"/>
      <c r="G615" s="680" t="e">
        <v>#N/A</v>
      </c>
      <c r="H615" s="3"/>
    </row>
    <row r="616" spans="1:8" ht="15" customHeight="1">
      <c r="A616" s="689"/>
      <c r="B616" s="678"/>
      <c r="C616" s="679"/>
      <c r="D616" s="679"/>
      <c r="E616" s="680"/>
      <c r="F616" s="681"/>
      <c r="G616" s="680" t="e">
        <v>#N/A</v>
      </c>
      <c r="H616" s="3"/>
    </row>
    <row r="617" spans="1:8" ht="15" customHeight="1">
      <c r="A617" s="677"/>
      <c r="B617" s="685"/>
      <c r="C617" s="679"/>
      <c r="D617" s="679"/>
      <c r="E617" s="680"/>
      <c r="F617" s="681"/>
      <c r="G617" s="680" t="e">
        <v>#N/A</v>
      </c>
      <c r="H617" s="3"/>
    </row>
    <row r="618" spans="1:8" ht="15" customHeight="1">
      <c r="A618" s="690"/>
      <c r="B618" s="685"/>
      <c r="C618" s="679"/>
      <c r="D618" s="679"/>
      <c r="E618" s="680"/>
      <c r="F618" s="681"/>
      <c r="G618" s="680" t="e">
        <v>#N/A</v>
      </c>
      <c r="H618" s="3"/>
    </row>
    <row r="619" spans="1:8" ht="15" customHeight="1">
      <c r="A619" s="690"/>
      <c r="B619" s="685"/>
      <c r="C619" s="679"/>
      <c r="D619" s="679"/>
      <c r="E619" s="680"/>
      <c r="F619" s="681"/>
      <c r="G619" s="680" t="e">
        <v>#N/A</v>
      </c>
      <c r="H619" s="3"/>
    </row>
    <row r="620" spans="1:8" ht="15" customHeight="1">
      <c r="A620" s="690"/>
      <c r="B620" s="685"/>
      <c r="C620" s="679"/>
      <c r="D620" s="679"/>
      <c r="E620" s="680"/>
      <c r="F620" s="681"/>
      <c r="G620" s="680" t="e">
        <v>#N/A</v>
      </c>
      <c r="H620" s="3"/>
    </row>
    <row r="621" spans="1:8" ht="15" customHeight="1">
      <c r="A621" s="690"/>
      <c r="B621" s="685"/>
      <c r="C621" s="679"/>
      <c r="D621" s="679"/>
      <c r="E621" s="680"/>
      <c r="F621" s="681"/>
      <c r="G621" s="680" t="e">
        <v>#N/A</v>
      </c>
      <c r="H621" s="3"/>
    </row>
    <row r="622" spans="1:8" ht="15" customHeight="1">
      <c r="A622" s="677"/>
      <c r="B622" s="688"/>
      <c r="C622" s="679"/>
      <c r="D622" s="679"/>
      <c r="E622" s="680"/>
      <c r="F622" s="681"/>
      <c r="G622" s="680" t="e">
        <v>#N/A</v>
      </c>
      <c r="H622" s="3"/>
    </row>
    <row r="623" spans="1:8" ht="15" customHeight="1">
      <c r="A623" s="677"/>
      <c r="B623" s="688"/>
      <c r="C623" s="679"/>
      <c r="D623" s="679"/>
      <c r="E623" s="680"/>
      <c r="F623" s="681"/>
      <c r="G623" s="680" t="e">
        <v>#N/A</v>
      </c>
      <c r="H623" s="3"/>
    </row>
    <row r="624" spans="1:8" ht="15" customHeight="1">
      <c r="A624" s="677"/>
      <c r="B624" s="688"/>
      <c r="C624" s="679"/>
      <c r="D624" s="679"/>
      <c r="E624" s="680"/>
      <c r="F624" s="681"/>
      <c r="G624" s="680" t="e">
        <v>#N/A</v>
      </c>
      <c r="H624" s="3"/>
    </row>
    <row r="625" spans="1:29" ht="15" customHeight="1">
      <c r="A625" s="691"/>
      <c r="B625" s="700"/>
      <c r="C625" s="679"/>
      <c r="D625" s="679"/>
      <c r="E625" s="680"/>
      <c r="F625" s="681"/>
      <c r="G625" s="680" t="e">
        <v>#N/A</v>
      </c>
      <c r="H625" s="3"/>
    </row>
    <row r="626" spans="1:29" ht="15" customHeight="1">
      <c r="A626" s="677"/>
      <c r="B626" s="688"/>
      <c r="C626" s="679"/>
      <c r="D626" s="679"/>
      <c r="E626" s="680"/>
      <c r="F626" s="681"/>
      <c r="G626" s="680" t="e">
        <v>#N/A</v>
      </c>
      <c r="H626" s="3"/>
    </row>
    <row r="627" spans="1:29" ht="15" customHeight="1">
      <c r="A627" s="677"/>
      <c r="B627" s="688"/>
      <c r="C627" s="679"/>
      <c r="D627" s="679"/>
      <c r="E627" s="680"/>
      <c r="F627" s="681"/>
      <c r="G627" s="680" t="e">
        <v>#N/A</v>
      </c>
      <c r="H627" s="3"/>
    </row>
    <row r="628" spans="1:29" ht="15" customHeight="1">
      <c r="A628" s="677"/>
      <c r="B628" s="688"/>
      <c r="C628" s="679"/>
      <c r="D628" s="679"/>
      <c r="E628" s="680"/>
      <c r="F628" s="681"/>
      <c r="G628" s="680" t="e">
        <v>#N/A</v>
      </c>
      <c r="H628" s="3"/>
    </row>
    <row r="629" spans="1:29" ht="15" customHeight="1">
      <c r="A629" s="677"/>
      <c r="B629" s="688"/>
      <c r="C629" s="679"/>
      <c r="D629" s="679"/>
      <c r="E629" s="680"/>
      <c r="F629" s="681"/>
      <c r="G629" s="680" t="e">
        <v>#N/A</v>
      </c>
      <c r="H629" s="3"/>
      <c r="I629" s="3"/>
      <c r="J629" s="3"/>
      <c r="L629" s="3"/>
      <c r="M629" s="3"/>
      <c r="N629" s="3"/>
      <c r="O629" s="3"/>
      <c r="P629" s="3"/>
      <c r="Q629" s="3"/>
      <c r="R629" s="3"/>
      <c r="S629" s="3"/>
      <c r="T629" s="3"/>
      <c r="U629" s="3"/>
      <c r="V629" s="3"/>
      <c r="W629" s="3"/>
      <c r="X629" s="3"/>
      <c r="Y629" s="3"/>
      <c r="Z629" s="3"/>
      <c r="AA629" s="3"/>
      <c r="AB629" s="3"/>
      <c r="AC629" s="3"/>
    </row>
    <row r="630" spans="1:29" ht="15" customHeight="1">
      <c r="A630" s="688"/>
      <c r="B630" s="688"/>
      <c r="C630" s="679"/>
      <c r="D630" s="679"/>
      <c r="E630" s="680"/>
      <c r="F630" s="681"/>
      <c r="G630" s="680" t="e">
        <v>#N/A</v>
      </c>
      <c r="H630" s="3"/>
    </row>
    <row r="631" spans="1:29" ht="15" customHeight="1">
      <c r="A631" s="688"/>
      <c r="B631" s="688"/>
      <c r="C631" s="679"/>
      <c r="D631" s="679"/>
      <c r="E631" s="680"/>
      <c r="F631" s="681"/>
      <c r="G631" s="680" t="e">
        <v>#N/A</v>
      </c>
      <c r="H631" s="3"/>
    </row>
    <row r="632" spans="1:29" ht="15" customHeight="1">
      <c r="A632" s="677"/>
      <c r="B632" s="688"/>
      <c r="C632" s="679"/>
      <c r="D632" s="679"/>
      <c r="E632" s="680"/>
      <c r="F632" s="681"/>
      <c r="G632" s="680" t="e">
        <v>#N/A</v>
      </c>
      <c r="H632" s="3"/>
    </row>
    <row r="633" spans="1:29" ht="15" customHeight="1">
      <c r="A633" s="677"/>
      <c r="B633" s="688"/>
      <c r="C633" s="679"/>
      <c r="D633" s="679"/>
      <c r="E633" s="680"/>
      <c r="F633" s="681"/>
      <c r="G633" s="680" t="e">
        <v>#N/A</v>
      </c>
      <c r="H633" s="3"/>
    </row>
    <row r="634" spans="1:29" ht="15" customHeight="1">
      <c r="A634" s="677"/>
      <c r="B634" s="688"/>
      <c r="C634" s="679"/>
      <c r="D634" s="679"/>
      <c r="E634" s="680"/>
      <c r="F634" s="681"/>
      <c r="G634" s="680" t="e">
        <v>#N/A</v>
      </c>
      <c r="H634" s="3"/>
    </row>
    <row r="635" spans="1:29" ht="15" customHeight="1">
      <c r="A635" s="677"/>
      <c r="B635" s="688"/>
      <c r="C635" s="679"/>
      <c r="D635" s="679"/>
      <c r="E635" s="680"/>
      <c r="F635" s="681"/>
      <c r="G635" s="680" t="e">
        <v>#N/A</v>
      </c>
      <c r="H635" s="3"/>
    </row>
    <row r="636" spans="1:29" ht="15" customHeight="1">
      <c r="A636" s="677"/>
      <c r="B636" s="688"/>
      <c r="C636" s="679"/>
      <c r="D636" s="679"/>
      <c r="E636" s="680"/>
      <c r="F636" s="681"/>
      <c r="G636" s="680" t="e">
        <v>#N/A</v>
      </c>
      <c r="H636" s="3"/>
      <c r="K636" s="3"/>
    </row>
    <row r="637" spans="1:29" ht="15" customHeight="1">
      <c r="A637" s="677"/>
      <c r="B637" s="688"/>
      <c r="C637" s="679"/>
      <c r="D637" s="679"/>
      <c r="E637" s="680"/>
      <c r="F637" s="681"/>
      <c r="G637" s="680" t="e">
        <v>#N/A</v>
      </c>
      <c r="H637" s="3"/>
    </row>
    <row r="638" spans="1:29" ht="15" customHeight="1">
      <c r="A638" s="677"/>
      <c r="B638" s="688"/>
      <c r="C638" s="679"/>
      <c r="D638" s="679"/>
      <c r="E638" s="680"/>
      <c r="F638" s="681"/>
      <c r="G638" s="680" t="e">
        <v>#N/A</v>
      </c>
      <c r="H638" s="3"/>
    </row>
    <row r="639" spans="1:29" ht="15" customHeight="1">
      <c r="A639" s="677"/>
      <c r="B639" s="688"/>
      <c r="C639" s="679"/>
      <c r="D639" s="679"/>
      <c r="E639" s="680"/>
      <c r="F639" s="681"/>
      <c r="G639" s="680" t="e">
        <v>#N/A</v>
      </c>
      <c r="H639" s="3"/>
    </row>
    <row r="640" spans="1:29" ht="15" customHeight="1">
      <c r="A640" s="677"/>
      <c r="B640" s="688"/>
      <c r="C640" s="679"/>
      <c r="D640" s="679"/>
      <c r="E640" s="680"/>
      <c r="F640" s="681"/>
      <c r="G640" s="680" t="e">
        <v>#N/A</v>
      </c>
      <c r="H640" s="3"/>
    </row>
    <row r="641" spans="1:8" ht="15" customHeight="1">
      <c r="A641" s="677"/>
      <c r="B641" s="688"/>
      <c r="C641" s="679"/>
      <c r="D641" s="679"/>
      <c r="E641" s="680"/>
      <c r="F641" s="681"/>
      <c r="G641" s="680" t="e">
        <v>#N/A</v>
      </c>
      <c r="H641" s="3"/>
    </row>
    <row r="642" spans="1:8" ht="15" customHeight="1">
      <c r="A642" s="677"/>
      <c r="B642" s="688"/>
      <c r="C642" s="679"/>
      <c r="D642" s="679"/>
      <c r="E642" s="680"/>
      <c r="F642" s="681"/>
      <c r="G642" s="680" t="e">
        <v>#N/A</v>
      </c>
      <c r="H642" s="3"/>
    </row>
    <row r="643" spans="1:8" ht="15" customHeight="1">
      <c r="A643" s="677"/>
      <c r="B643" s="688"/>
      <c r="C643" s="679"/>
      <c r="D643" s="679"/>
      <c r="E643" s="680"/>
      <c r="F643" s="681"/>
      <c r="G643" s="680" t="e">
        <v>#N/A</v>
      </c>
      <c r="H643" s="3"/>
    </row>
    <row r="644" spans="1:8" ht="15" customHeight="1">
      <c r="A644" s="677"/>
      <c r="B644" s="688"/>
      <c r="C644" s="679"/>
      <c r="D644" s="679"/>
      <c r="E644" s="680"/>
      <c r="F644" s="681"/>
      <c r="G644" s="680" t="e">
        <v>#N/A</v>
      </c>
      <c r="H644" s="3"/>
    </row>
    <row r="645" spans="1:8" ht="15" customHeight="1">
      <c r="A645" s="677"/>
      <c r="B645" s="688"/>
      <c r="C645" s="679"/>
      <c r="D645" s="679"/>
      <c r="E645" s="680"/>
      <c r="F645" s="681"/>
      <c r="G645" s="680" t="e">
        <v>#N/A</v>
      </c>
      <c r="H645" s="3"/>
    </row>
    <row r="646" spans="1:8" ht="15" customHeight="1">
      <c r="A646" s="677"/>
      <c r="B646" s="688"/>
      <c r="C646" s="679"/>
      <c r="D646" s="679"/>
      <c r="E646" s="680"/>
      <c r="F646" s="681"/>
      <c r="G646" s="680" t="e">
        <v>#N/A</v>
      </c>
      <c r="H646" s="3"/>
    </row>
    <row r="647" spans="1:8" ht="15" customHeight="1">
      <c r="A647" s="677"/>
      <c r="B647" s="688"/>
      <c r="C647" s="679"/>
      <c r="D647" s="679"/>
      <c r="E647" s="680"/>
      <c r="F647" s="681"/>
      <c r="G647" s="680" t="e">
        <v>#N/A</v>
      </c>
      <c r="H647" s="3"/>
    </row>
    <row r="648" spans="1:8" ht="15" customHeight="1">
      <c r="A648" s="677"/>
      <c r="B648" s="688"/>
      <c r="C648" s="679"/>
      <c r="D648" s="679"/>
      <c r="E648" s="680"/>
      <c r="F648" s="681"/>
      <c r="G648" s="680" t="e">
        <v>#N/A</v>
      </c>
      <c r="H648" s="3"/>
    </row>
    <row r="649" spans="1:8" ht="15" customHeight="1">
      <c r="A649" s="677"/>
      <c r="B649" s="688"/>
      <c r="C649" s="679"/>
      <c r="D649" s="679"/>
      <c r="E649" s="680"/>
      <c r="F649" s="681"/>
      <c r="G649" s="680" t="e">
        <v>#N/A</v>
      </c>
      <c r="H649" s="3"/>
    </row>
    <row r="650" spans="1:8" ht="15" customHeight="1">
      <c r="A650" s="688"/>
      <c r="B650" s="688"/>
      <c r="C650" s="679"/>
      <c r="D650" s="679"/>
      <c r="E650" s="680"/>
      <c r="F650" s="681"/>
      <c r="G650" s="680" t="e">
        <v>#N/A</v>
      </c>
      <c r="H650" s="3"/>
    </row>
    <row r="651" spans="1:8" ht="15" customHeight="1">
      <c r="A651" s="688"/>
      <c r="B651" s="688"/>
      <c r="C651" s="679"/>
      <c r="D651" s="679"/>
      <c r="E651" s="680"/>
      <c r="F651" s="681"/>
      <c r="G651" s="680" t="e">
        <v>#N/A</v>
      </c>
      <c r="H651" s="3"/>
    </row>
    <row r="652" spans="1:8" ht="15" customHeight="1">
      <c r="A652" s="677"/>
      <c r="B652" s="688"/>
      <c r="C652" s="679"/>
      <c r="D652" s="679"/>
      <c r="E652" s="680"/>
      <c r="F652" s="681"/>
      <c r="G652" s="680" t="e">
        <v>#N/A</v>
      </c>
      <c r="H652" s="3"/>
    </row>
    <row r="653" spans="1:8" ht="15" customHeight="1">
      <c r="A653" s="677"/>
      <c r="B653" s="688"/>
      <c r="C653" s="679"/>
      <c r="D653" s="679"/>
      <c r="E653" s="680"/>
      <c r="F653" s="681"/>
      <c r="G653" s="680" t="e">
        <v>#N/A</v>
      </c>
      <c r="H653" s="3"/>
    </row>
    <row r="654" spans="1:8" ht="15" customHeight="1">
      <c r="A654" s="677"/>
      <c r="B654" s="688"/>
      <c r="C654" s="679"/>
      <c r="D654" s="679"/>
      <c r="E654" s="680"/>
      <c r="F654" s="681"/>
      <c r="G654" s="680" t="e">
        <v>#N/A</v>
      </c>
      <c r="H654" s="3"/>
    </row>
    <row r="655" spans="1:8" ht="15" customHeight="1">
      <c r="A655" s="677"/>
      <c r="B655" s="701"/>
      <c r="C655" s="693"/>
      <c r="D655" s="679"/>
      <c r="E655" s="680"/>
      <c r="F655" s="681"/>
      <c r="G655" s="680" t="e">
        <v>#N/A</v>
      </c>
      <c r="H655" s="3"/>
    </row>
    <row r="656" spans="1:8" ht="15" customHeight="1">
      <c r="A656" s="677"/>
      <c r="B656" s="688"/>
      <c r="C656" s="679"/>
      <c r="D656" s="679"/>
      <c r="E656" s="680"/>
      <c r="F656" s="681"/>
      <c r="G656" s="680" t="e">
        <v>#N/A</v>
      </c>
      <c r="H656" s="3"/>
    </row>
    <row r="657" spans="1:29" ht="15" customHeight="1">
      <c r="A657" s="677"/>
      <c r="B657" s="688"/>
      <c r="C657" s="679"/>
      <c r="D657" s="679"/>
      <c r="E657" s="680"/>
      <c r="F657" s="681"/>
      <c r="G657" s="680" t="e">
        <v>#N/A</v>
      </c>
      <c r="H657" s="3"/>
    </row>
    <row r="658" spans="1:29" ht="15" customHeight="1">
      <c r="A658" s="677"/>
      <c r="B658" s="688"/>
      <c r="C658" s="679"/>
      <c r="D658" s="679"/>
      <c r="E658" s="680"/>
      <c r="F658" s="681"/>
      <c r="G658" s="680" t="e">
        <v>#N/A</v>
      </c>
      <c r="H658" s="3"/>
    </row>
    <row r="659" spans="1:29" ht="15" customHeight="1">
      <c r="A659" s="677"/>
      <c r="B659" s="688"/>
      <c r="C659" s="679"/>
      <c r="D659" s="679"/>
      <c r="E659" s="680"/>
      <c r="F659" s="681"/>
      <c r="G659" s="680" t="e">
        <v>#N/A</v>
      </c>
      <c r="H659" s="3"/>
    </row>
    <row r="660" spans="1:29" ht="15" customHeight="1">
      <c r="A660" s="677"/>
      <c r="B660" s="688"/>
      <c r="C660" s="679"/>
      <c r="D660" s="679"/>
      <c r="E660" s="680"/>
      <c r="F660" s="681"/>
      <c r="G660" s="680" t="e">
        <v>#N/A</v>
      </c>
      <c r="H660" s="3"/>
      <c r="I660" s="3"/>
      <c r="J660" s="3"/>
      <c r="L660" s="3"/>
      <c r="M660" s="3"/>
      <c r="N660" s="3"/>
      <c r="O660" s="3"/>
      <c r="P660" s="3"/>
      <c r="Q660" s="3"/>
      <c r="R660" s="3"/>
      <c r="S660" s="3"/>
      <c r="T660" s="3"/>
      <c r="U660" s="3"/>
      <c r="V660" s="3"/>
      <c r="W660" s="3"/>
      <c r="X660" s="3"/>
      <c r="Y660" s="3"/>
      <c r="Z660" s="3"/>
      <c r="AA660" s="3"/>
      <c r="AB660" s="3"/>
      <c r="AC660" s="3"/>
    </row>
    <row r="661" spans="1:29" ht="15" customHeight="1">
      <c r="A661" s="677"/>
      <c r="B661" s="688"/>
      <c r="C661" s="679"/>
      <c r="D661" s="679"/>
      <c r="E661" s="680"/>
      <c r="F661" s="681"/>
      <c r="G661" s="680" t="e">
        <v>#N/A</v>
      </c>
      <c r="H661" s="3"/>
    </row>
    <row r="662" spans="1:29" ht="15" customHeight="1">
      <c r="A662" s="677"/>
      <c r="B662" s="688"/>
      <c r="C662" s="679"/>
      <c r="D662" s="679"/>
      <c r="E662" s="680"/>
      <c r="F662" s="681"/>
      <c r="G662" s="680" t="e">
        <v>#N/A</v>
      </c>
      <c r="H662" s="3"/>
    </row>
    <row r="663" spans="1:29" ht="15" customHeight="1">
      <c r="A663" s="677"/>
      <c r="B663" s="688"/>
      <c r="C663" s="679"/>
      <c r="D663" s="679"/>
      <c r="E663" s="680"/>
      <c r="F663" s="681"/>
      <c r="G663" s="680" t="e">
        <v>#N/A</v>
      </c>
      <c r="H663" s="3"/>
    </row>
    <row r="664" spans="1:29" ht="15" customHeight="1">
      <c r="A664" s="677"/>
      <c r="B664" s="688"/>
      <c r="C664" s="679"/>
      <c r="D664" s="679"/>
      <c r="E664" s="680"/>
      <c r="F664" s="681"/>
      <c r="G664" s="680" t="e">
        <v>#N/A</v>
      </c>
      <c r="H664" s="3"/>
    </row>
    <row r="665" spans="1:29" ht="15" customHeight="1">
      <c r="A665" s="677"/>
      <c r="B665" s="688"/>
      <c r="C665" s="679"/>
      <c r="D665" s="679"/>
      <c r="E665" s="680"/>
      <c r="F665" s="681"/>
      <c r="G665" s="680" t="e">
        <v>#N/A</v>
      </c>
      <c r="H665" s="3"/>
    </row>
    <row r="666" spans="1:29" ht="15" customHeight="1">
      <c r="A666" s="677"/>
      <c r="B666" s="688"/>
      <c r="C666" s="679"/>
      <c r="D666" s="679"/>
      <c r="E666" s="680"/>
      <c r="F666" s="681"/>
      <c r="G666" s="680" t="e">
        <v>#N/A</v>
      </c>
      <c r="H666" s="3"/>
    </row>
    <row r="667" spans="1:29" ht="15" customHeight="1">
      <c r="A667" s="677"/>
      <c r="B667" s="688"/>
      <c r="C667" s="679"/>
      <c r="D667" s="679"/>
      <c r="E667" s="680"/>
      <c r="F667" s="681"/>
      <c r="G667" s="680" t="e">
        <v>#N/A</v>
      </c>
      <c r="H667" s="3"/>
    </row>
    <row r="668" spans="1:29" ht="15" customHeight="1">
      <c r="A668" s="677"/>
      <c r="B668" s="688"/>
      <c r="C668" s="679"/>
      <c r="D668" s="679"/>
      <c r="E668" s="680"/>
      <c r="F668" s="681"/>
      <c r="G668" s="680" t="e">
        <v>#N/A</v>
      </c>
      <c r="H668" s="3"/>
    </row>
    <row r="669" spans="1:29" ht="15" customHeight="1">
      <c r="A669" s="677"/>
      <c r="B669" s="688"/>
      <c r="C669" s="679"/>
      <c r="D669" s="679"/>
      <c r="E669" s="680"/>
      <c r="F669" s="681"/>
      <c r="G669" s="680" t="e">
        <v>#N/A</v>
      </c>
      <c r="H669" s="3"/>
    </row>
    <row r="670" spans="1:29" ht="15" customHeight="1">
      <c r="A670" s="677"/>
      <c r="B670" s="688"/>
      <c r="C670" s="679"/>
      <c r="D670" s="679"/>
      <c r="E670" s="680"/>
      <c r="F670" s="681"/>
      <c r="G670" s="680" t="e">
        <v>#N/A</v>
      </c>
      <c r="H670" s="3"/>
    </row>
    <row r="671" spans="1:29" ht="15" customHeight="1">
      <c r="A671" s="677"/>
      <c r="B671" s="688"/>
      <c r="C671" s="679"/>
      <c r="D671" s="679"/>
      <c r="E671" s="680"/>
      <c r="F671" s="681"/>
      <c r="G671" s="680" t="e">
        <v>#N/A</v>
      </c>
      <c r="H671" s="3"/>
    </row>
    <row r="672" spans="1:29" ht="15" customHeight="1">
      <c r="A672" s="677"/>
      <c r="B672" s="688"/>
      <c r="C672" s="679"/>
      <c r="D672" s="679"/>
      <c r="E672" s="680"/>
      <c r="F672" s="681"/>
      <c r="G672" s="680" t="e">
        <v>#N/A</v>
      </c>
      <c r="H672" s="3"/>
    </row>
    <row r="673" spans="1:8" ht="15" customHeight="1">
      <c r="A673" s="677"/>
      <c r="B673" s="688"/>
      <c r="C673" s="679"/>
      <c r="D673" s="679"/>
      <c r="E673" s="680"/>
      <c r="F673" s="681"/>
      <c r="G673" s="680" t="e">
        <v>#N/A</v>
      </c>
      <c r="H673" s="3"/>
    </row>
    <row r="674" spans="1:8" ht="15" customHeight="1">
      <c r="A674" s="677"/>
      <c r="B674" s="688"/>
      <c r="C674" s="679"/>
      <c r="D674" s="679"/>
      <c r="E674" s="680"/>
      <c r="F674" s="681"/>
      <c r="G674" s="680" t="e">
        <v>#N/A</v>
      </c>
      <c r="H674" s="3"/>
    </row>
    <row r="675" spans="1:8" ht="15" customHeight="1">
      <c r="A675" s="677"/>
      <c r="B675" s="688"/>
      <c r="C675" s="679"/>
      <c r="D675" s="679"/>
      <c r="E675" s="680"/>
      <c r="F675" s="681"/>
      <c r="G675" s="680" t="e">
        <v>#N/A</v>
      </c>
      <c r="H675" s="3"/>
    </row>
    <row r="676" spans="1:8" ht="15" customHeight="1">
      <c r="A676" s="677"/>
      <c r="B676" s="688"/>
      <c r="C676" s="679"/>
      <c r="D676" s="679"/>
      <c r="E676" s="680"/>
      <c r="F676" s="681"/>
      <c r="G676" s="680" t="e">
        <v>#N/A</v>
      </c>
      <c r="H676" s="3"/>
    </row>
    <row r="677" spans="1:8" ht="15" customHeight="1">
      <c r="A677" s="677"/>
      <c r="B677" s="688"/>
      <c r="C677" s="679"/>
      <c r="D677" s="679"/>
      <c r="E677" s="680"/>
      <c r="F677" s="681"/>
      <c r="G677" s="680" t="e">
        <v>#N/A</v>
      </c>
      <c r="H677" s="3"/>
    </row>
    <row r="678" spans="1:8" ht="15" customHeight="1">
      <c r="A678" s="677"/>
      <c r="B678" s="688"/>
      <c r="C678" s="679"/>
      <c r="D678" s="679"/>
      <c r="E678" s="680"/>
      <c r="F678" s="681"/>
      <c r="G678" s="680" t="e">
        <v>#N/A</v>
      </c>
      <c r="H678" s="3"/>
    </row>
    <row r="679" spans="1:8" ht="15" customHeight="1">
      <c r="A679" s="677"/>
      <c r="B679" s="688"/>
      <c r="C679" s="679"/>
      <c r="D679" s="679"/>
      <c r="E679" s="680"/>
      <c r="F679" s="681"/>
      <c r="G679" s="680" t="e">
        <v>#N/A</v>
      </c>
      <c r="H679" s="3"/>
    </row>
    <row r="680" spans="1:8" ht="15" customHeight="1">
      <c r="A680" s="677"/>
      <c r="B680" s="688"/>
      <c r="C680" s="679"/>
      <c r="D680" s="679"/>
      <c r="E680" s="680"/>
      <c r="F680" s="681"/>
      <c r="G680" s="680" t="e">
        <v>#N/A</v>
      </c>
      <c r="H680" s="3"/>
    </row>
    <row r="681" spans="1:8" ht="15" customHeight="1">
      <c r="A681" s="677"/>
      <c r="B681" s="688"/>
      <c r="C681" s="679"/>
      <c r="D681" s="679"/>
      <c r="E681" s="680"/>
      <c r="F681" s="681"/>
      <c r="G681" s="680" t="e">
        <v>#N/A</v>
      </c>
      <c r="H681" s="3"/>
    </row>
    <row r="682" spans="1:8" ht="15" customHeight="1">
      <c r="A682" s="677"/>
      <c r="B682" s="688"/>
      <c r="C682" s="679"/>
      <c r="D682" s="679"/>
      <c r="E682" s="680"/>
      <c r="F682" s="681"/>
      <c r="G682" s="680" t="e">
        <v>#N/A</v>
      </c>
      <c r="H682" s="3"/>
    </row>
    <row r="683" spans="1:8" ht="15" customHeight="1">
      <c r="A683" s="677"/>
      <c r="B683" s="700"/>
      <c r="C683" s="679"/>
      <c r="D683" s="679"/>
      <c r="E683" s="680"/>
      <c r="F683" s="681"/>
      <c r="G683" s="680" t="e">
        <v>#N/A</v>
      </c>
      <c r="H683" s="3"/>
    </row>
    <row r="684" spans="1:8" ht="15" customHeight="1">
      <c r="A684" s="677"/>
      <c r="B684" s="700"/>
      <c r="C684" s="679"/>
      <c r="D684" s="679"/>
      <c r="E684" s="680"/>
      <c r="F684" s="681"/>
      <c r="G684" s="680" t="e">
        <v>#N/A</v>
      </c>
      <c r="H684" s="3"/>
    </row>
    <row r="685" spans="1:8" ht="15" customHeight="1">
      <c r="A685" s="677"/>
      <c r="B685" s="688"/>
      <c r="C685" s="679"/>
      <c r="D685" s="679"/>
      <c r="E685" s="680"/>
      <c r="F685" s="681"/>
      <c r="G685" s="680" t="e">
        <v>#N/A</v>
      </c>
      <c r="H685" s="3"/>
    </row>
    <row r="686" spans="1:8" ht="15" customHeight="1">
      <c r="A686" s="677"/>
      <c r="B686" s="688"/>
      <c r="C686" s="679"/>
      <c r="D686" s="679"/>
      <c r="E686" s="680"/>
      <c r="F686" s="681"/>
      <c r="G686" s="680" t="e">
        <v>#N/A</v>
      </c>
      <c r="H686" s="3"/>
    </row>
    <row r="687" spans="1:8" ht="15" customHeight="1">
      <c r="A687" s="677"/>
      <c r="B687" s="688"/>
      <c r="C687" s="679"/>
      <c r="D687" s="679"/>
      <c r="E687" s="680"/>
      <c r="F687" s="681"/>
      <c r="G687" s="680" t="e">
        <v>#N/A</v>
      </c>
      <c r="H687" s="3"/>
    </row>
    <row r="688" spans="1:8" ht="15" customHeight="1">
      <c r="A688" s="677"/>
      <c r="B688" s="688"/>
      <c r="C688" s="679"/>
      <c r="D688" s="679"/>
      <c r="E688" s="680"/>
      <c r="F688" s="681"/>
      <c r="G688" s="680" t="e">
        <v>#N/A</v>
      </c>
      <c r="H688" s="3"/>
    </row>
    <row r="689" spans="1:29" ht="15" customHeight="1">
      <c r="A689" s="677"/>
      <c r="B689" s="688"/>
      <c r="C689" s="679"/>
      <c r="D689" s="679"/>
      <c r="E689" s="680"/>
      <c r="F689" s="681"/>
      <c r="G689" s="680" t="e">
        <v>#N/A</v>
      </c>
      <c r="H689" s="3"/>
    </row>
    <row r="690" spans="1:29" ht="15" customHeight="1">
      <c r="A690" s="677"/>
      <c r="B690" s="688"/>
      <c r="C690" s="679"/>
      <c r="D690" s="679"/>
      <c r="E690" s="680"/>
      <c r="F690" s="681"/>
      <c r="G690" s="680" t="e">
        <v>#N/A</v>
      </c>
      <c r="H690" s="3"/>
    </row>
    <row r="691" spans="1:29" ht="15" customHeight="1">
      <c r="A691" s="677"/>
      <c r="B691" s="688"/>
      <c r="C691" s="679"/>
      <c r="D691" s="679"/>
      <c r="E691" s="680"/>
      <c r="F691" s="681"/>
      <c r="G691" s="680" t="e">
        <v>#N/A</v>
      </c>
      <c r="H691" s="3"/>
    </row>
    <row r="692" spans="1:29" ht="15" customHeight="1">
      <c r="A692" s="677"/>
      <c r="B692" s="688"/>
      <c r="C692" s="679"/>
      <c r="D692" s="679"/>
      <c r="E692" s="680"/>
      <c r="F692" s="681"/>
      <c r="G692" s="680" t="e">
        <v>#N/A</v>
      </c>
      <c r="H692" s="3"/>
    </row>
    <row r="693" spans="1:29" ht="15" customHeight="1">
      <c r="A693" s="677"/>
      <c r="B693" s="688"/>
      <c r="C693" s="679"/>
      <c r="D693" s="679"/>
      <c r="E693" s="680"/>
      <c r="F693" s="681"/>
      <c r="G693" s="680" t="e">
        <v>#N/A</v>
      </c>
      <c r="H693" s="3"/>
    </row>
    <row r="694" spans="1:29" ht="15" customHeight="1">
      <c r="A694" s="677"/>
      <c r="B694" s="688"/>
      <c r="C694" s="679"/>
      <c r="D694" s="679"/>
      <c r="E694" s="680"/>
      <c r="F694" s="681"/>
      <c r="G694" s="680" t="e">
        <v>#N/A</v>
      </c>
      <c r="H694" s="3"/>
    </row>
    <row r="695" spans="1:29" ht="15" customHeight="1">
      <c r="A695" s="677"/>
      <c r="B695" s="688"/>
      <c r="C695" s="679"/>
      <c r="D695" s="679"/>
      <c r="E695" s="680"/>
      <c r="F695" s="681"/>
      <c r="G695" s="680" t="e">
        <v>#N/A</v>
      </c>
      <c r="H695" s="3"/>
      <c r="I695" s="3"/>
      <c r="J695" s="3"/>
      <c r="L695" s="3"/>
      <c r="M695" s="3"/>
      <c r="N695" s="3"/>
      <c r="O695" s="3"/>
      <c r="P695" s="3"/>
      <c r="Q695" s="3"/>
      <c r="R695" s="3"/>
      <c r="S695" s="3"/>
      <c r="T695" s="3"/>
      <c r="U695" s="3"/>
      <c r="V695" s="3"/>
      <c r="W695" s="3"/>
      <c r="X695" s="3"/>
      <c r="Y695" s="3"/>
      <c r="Z695" s="3"/>
      <c r="AA695" s="3"/>
      <c r="AB695" s="3"/>
      <c r="AC695" s="3"/>
    </row>
    <row r="696" spans="1:29" ht="15" customHeight="1">
      <c r="A696" s="677"/>
      <c r="B696" s="688"/>
      <c r="C696" s="679"/>
      <c r="D696" s="679"/>
      <c r="E696" s="680"/>
      <c r="F696" s="681"/>
      <c r="G696" s="680" t="e">
        <v>#N/A</v>
      </c>
      <c r="H696" s="3"/>
    </row>
    <row r="697" spans="1:29" ht="15" customHeight="1">
      <c r="A697" s="677"/>
      <c r="B697" s="688"/>
      <c r="C697" s="679"/>
      <c r="D697" s="679"/>
      <c r="E697" s="680"/>
      <c r="F697" s="681"/>
      <c r="G697" s="680" t="e">
        <v>#N/A</v>
      </c>
      <c r="H697" s="3"/>
    </row>
    <row r="698" spans="1:29" ht="15" customHeight="1">
      <c r="A698" s="689"/>
      <c r="B698" s="678"/>
      <c r="C698" s="679"/>
      <c r="D698" s="679"/>
      <c r="E698" s="680"/>
      <c r="F698" s="681"/>
      <c r="G698" s="680" t="e">
        <v>#N/A</v>
      </c>
      <c r="H698" s="3"/>
    </row>
    <row r="699" spans="1:29" ht="15" customHeight="1">
      <c r="A699" s="677"/>
      <c r="B699" s="688"/>
      <c r="C699" s="679"/>
      <c r="D699" s="679"/>
      <c r="E699" s="680"/>
      <c r="F699" s="681"/>
      <c r="G699" s="680" t="e">
        <v>#N/A</v>
      </c>
      <c r="H699" s="3"/>
    </row>
    <row r="700" spans="1:29" ht="15" customHeight="1">
      <c r="A700" s="678"/>
      <c r="B700" s="678"/>
      <c r="C700" s="679"/>
      <c r="D700" s="679"/>
      <c r="E700" s="680"/>
      <c r="F700" s="681"/>
      <c r="G700" s="680" t="e">
        <v>#N/A</v>
      </c>
      <c r="H700" s="3"/>
    </row>
    <row r="701" spans="1:29" ht="15" customHeight="1">
      <c r="A701" s="688"/>
      <c r="B701" s="688"/>
      <c r="C701" s="679"/>
      <c r="D701" s="679"/>
      <c r="E701" s="680"/>
      <c r="F701" s="681"/>
      <c r="G701" s="680" t="e">
        <v>#N/A</v>
      </c>
      <c r="H701" s="3"/>
    </row>
    <row r="702" spans="1:29" ht="15" customHeight="1">
      <c r="A702" s="689"/>
      <c r="B702" s="678"/>
      <c r="C702" s="679"/>
      <c r="D702" s="679"/>
      <c r="E702" s="680"/>
      <c r="F702" s="681"/>
      <c r="G702" s="680" t="e">
        <v>#N/A</v>
      </c>
      <c r="H702" s="3"/>
    </row>
    <row r="703" spans="1:29" ht="15" customHeight="1">
      <c r="A703" s="688"/>
      <c r="B703" s="688"/>
      <c r="C703" s="679"/>
      <c r="D703" s="679"/>
      <c r="E703" s="680"/>
      <c r="F703" s="681"/>
      <c r="G703" s="680" t="e">
        <v>#N/A</v>
      </c>
      <c r="H703" s="3"/>
    </row>
    <row r="704" spans="1:29" ht="15" customHeight="1">
      <c r="A704" s="689"/>
      <c r="B704" s="678"/>
      <c r="C704" s="679"/>
      <c r="D704" s="679"/>
      <c r="E704" s="680"/>
      <c r="F704" s="681"/>
      <c r="G704" s="680" t="e">
        <v>#N/A</v>
      </c>
      <c r="H704" s="3"/>
    </row>
    <row r="705" spans="1:29" ht="15" customHeight="1">
      <c r="A705" s="688"/>
      <c r="B705" s="688"/>
      <c r="C705" s="679"/>
      <c r="D705" s="679"/>
      <c r="E705" s="680"/>
      <c r="F705" s="681"/>
      <c r="G705" s="680" t="e">
        <v>#N/A</v>
      </c>
      <c r="H705" s="3"/>
    </row>
    <row r="706" spans="1:29" ht="15" customHeight="1">
      <c r="A706" s="677"/>
      <c r="B706" s="688"/>
      <c r="C706" s="679"/>
      <c r="D706" s="679"/>
      <c r="E706" s="680"/>
      <c r="F706" s="681"/>
      <c r="G706" s="680" t="e">
        <v>#N/A</v>
      </c>
      <c r="H706" s="3"/>
    </row>
    <row r="707" spans="1:29" ht="15" customHeight="1">
      <c r="A707" s="677"/>
      <c r="B707" s="688"/>
      <c r="C707" s="679"/>
      <c r="D707" s="679"/>
      <c r="E707" s="680"/>
      <c r="F707" s="681"/>
      <c r="G707" s="680" t="e">
        <v>#N/A</v>
      </c>
      <c r="H707" s="3"/>
    </row>
    <row r="708" spans="1:29" ht="15" customHeight="1">
      <c r="A708" s="677"/>
      <c r="B708" s="688"/>
      <c r="C708" s="679"/>
      <c r="D708" s="679"/>
      <c r="E708" s="680"/>
      <c r="F708" s="681"/>
      <c r="G708" s="680" t="e">
        <v>#N/A</v>
      </c>
      <c r="H708" s="3"/>
      <c r="I708" s="3"/>
      <c r="J708" s="3"/>
      <c r="L708" s="3"/>
      <c r="M708" s="3"/>
      <c r="N708" s="3"/>
      <c r="O708" s="3"/>
      <c r="P708" s="3"/>
      <c r="Q708" s="3"/>
      <c r="R708" s="3"/>
      <c r="S708" s="3"/>
      <c r="T708" s="3"/>
      <c r="U708" s="3"/>
      <c r="V708" s="3"/>
      <c r="W708" s="3"/>
      <c r="X708" s="3"/>
      <c r="Y708" s="3"/>
      <c r="Z708" s="3"/>
      <c r="AA708" s="3"/>
      <c r="AB708" s="3"/>
      <c r="AC708" s="3"/>
    </row>
    <row r="709" spans="1:29" ht="15" customHeight="1">
      <c r="A709" s="688"/>
      <c r="B709" s="688"/>
      <c r="C709" s="679"/>
      <c r="D709" s="679"/>
      <c r="E709" s="680"/>
      <c r="F709" s="681"/>
      <c r="G709" s="680" t="e">
        <v>#N/A</v>
      </c>
      <c r="H709" s="3"/>
    </row>
    <row r="710" spans="1:29" ht="15" customHeight="1">
      <c r="A710" s="688"/>
      <c r="B710" s="688"/>
      <c r="C710" s="679"/>
      <c r="D710" s="679"/>
      <c r="E710" s="680"/>
      <c r="F710" s="681"/>
      <c r="G710" s="680" t="e">
        <v>#N/A</v>
      </c>
      <c r="H710" s="3"/>
      <c r="I710" s="3"/>
      <c r="J710" s="3"/>
      <c r="L710" s="3"/>
      <c r="M710" s="3"/>
      <c r="N710" s="3"/>
      <c r="O710" s="3"/>
      <c r="P710" s="3"/>
      <c r="Q710" s="3"/>
      <c r="R710" s="3"/>
      <c r="S710" s="3"/>
      <c r="T710" s="3"/>
      <c r="U710" s="3"/>
      <c r="V710" s="3"/>
      <c r="W710" s="3"/>
      <c r="X710" s="3"/>
      <c r="Y710" s="3"/>
      <c r="Z710" s="3"/>
      <c r="AA710" s="3"/>
      <c r="AB710" s="3"/>
      <c r="AC710" s="3"/>
    </row>
    <row r="711" spans="1:29" ht="15" customHeight="1">
      <c r="A711" s="677"/>
      <c r="B711" s="688"/>
      <c r="C711" s="679"/>
      <c r="D711" s="679"/>
      <c r="E711" s="680"/>
      <c r="F711" s="681"/>
      <c r="G711" s="680" t="e">
        <v>#N/A</v>
      </c>
      <c r="H711" s="3"/>
      <c r="K711" s="3"/>
    </row>
    <row r="712" spans="1:29" ht="15" customHeight="1">
      <c r="A712" s="677"/>
      <c r="B712" s="688"/>
      <c r="C712" s="679"/>
      <c r="D712" s="679"/>
      <c r="E712" s="680"/>
      <c r="F712" s="681"/>
      <c r="G712" s="680" t="e">
        <v>#N/A</v>
      </c>
      <c r="H712" s="3"/>
    </row>
    <row r="713" spans="1:29" ht="15" customHeight="1">
      <c r="A713" s="677"/>
      <c r="B713" s="688"/>
      <c r="C713" s="679"/>
      <c r="D713" s="679"/>
      <c r="E713" s="680"/>
      <c r="F713" s="681"/>
      <c r="G713" s="680" t="e">
        <v>#N/A</v>
      </c>
      <c r="H713" s="3"/>
    </row>
    <row r="714" spans="1:29" ht="15" customHeight="1">
      <c r="A714" s="677"/>
      <c r="B714" s="688"/>
      <c r="C714" s="679"/>
      <c r="D714" s="679"/>
      <c r="E714" s="680"/>
      <c r="F714" s="681"/>
      <c r="G714" s="680" t="e">
        <v>#N/A</v>
      </c>
      <c r="H714" s="3"/>
    </row>
    <row r="715" spans="1:29" ht="15" customHeight="1">
      <c r="A715" s="677"/>
      <c r="B715" s="688"/>
      <c r="C715" s="679"/>
      <c r="D715" s="679"/>
      <c r="E715" s="680"/>
      <c r="F715" s="681"/>
      <c r="G715" s="680" t="e">
        <v>#N/A</v>
      </c>
      <c r="H715" s="3"/>
    </row>
    <row r="716" spans="1:29" ht="15" customHeight="1">
      <c r="A716" s="677"/>
      <c r="B716" s="688"/>
      <c r="C716" s="679"/>
      <c r="D716" s="679"/>
      <c r="E716" s="680"/>
      <c r="F716" s="681"/>
      <c r="G716" s="680" t="e">
        <v>#N/A</v>
      </c>
      <c r="H716" s="3"/>
    </row>
    <row r="717" spans="1:29" ht="15" customHeight="1">
      <c r="A717" s="677"/>
      <c r="B717" s="688"/>
      <c r="C717" s="679"/>
      <c r="D717" s="679"/>
      <c r="E717" s="680"/>
      <c r="F717" s="681"/>
      <c r="G717" s="680" t="e">
        <v>#N/A</v>
      </c>
      <c r="H717" s="3"/>
    </row>
    <row r="718" spans="1:29" ht="15" customHeight="1">
      <c r="A718" s="677"/>
      <c r="B718" s="688"/>
      <c r="C718" s="679"/>
      <c r="D718" s="679"/>
      <c r="E718" s="680"/>
      <c r="F718" s="681"/>
      <c r="G718" s="680" t="e">
        <v>#N/A</v>
      </c>
      <c r="H718" s="3"/>
    </row>
    <row r="719" spans="1:29" ht="15" customHeight="1">
      <c r="A719" s="677"/>
      <c r="B719" s="688"/>
      <c r="C719" s="679"/>
      <c r="D719" s="679"/>
      <c r="E719" s="680"/>
      <c r="F719" s="681"/>
      <c r="G719" s="680" t="e">
        <v>#N/A</v>
      </c>
      <c r="H719" s="3"/>
    </row>
    <row r="720" spans="1:29" ht="15" customHeight="1">
      <c r="A720" s="677"/>
      <c r="B720" s="688"/>
      <c r="C720" s="679"/>
      <c r="D720" s="679"/>
      <c r="E720" s="680"/>
      <c r="F720" s="681"/>
      <c r="G720" s="680" t="e">
        <v>#N/A</v>
      </c>
      <c r="H720" s="3"/>
    </row>
    <row r="721" spans="1:8" ht="15" customHeight="1">
      <c r="A721" s="677"/>
      <c r="B721" s="688"/>
      <c r="C721" s="679"/>
      <c r="D721" s="679"/>
      <c r="E721" s="680"/>
      <c r="F721" s="681"/>
      <c r="G721" s="680" t="e">
        <v>#N/A</v>
      </c>
      <c r="H721" s="3"/>
    </row>
    <row r="722" spans="1:8" ht="15" customHeight="1">
      <c r="A722" s="702"/>
      <c r="B722" s="701"/>
      <c r="C722" s="693"/>
      <c r="D722" s="679"/>
      <c r="E722" s="680"/>
      <c r="F722" s="681"/>
      <c r="G722" s="680" t="e">
        <v>#N/A</v>
      </c>
      <c r="H722" s="3"/>
    </row>
    <row r="723" spans="1:8" ht="15" customHeight="1">
      <c r="A723" s="677"/>
      <c r="B723" s="688"/>
      <c r="C723" s="679"/>
      <c r="D723" s="679"/>
      <c r="E723" s="680"/>
      <c r="F723" s="681"/>
      <c r="G723" s="680" t="e">
        <v>#N/A</v>
      </c>
      <c r="H723" s="3"/>
    </row>
    <row r="724" spans="1:8" ht="15" customHeight="1">
      <c r="A724" s="677"/>
      <c r="B724" s="688"/>
      <c r="C724" s="679"/>
      <c r="D724" s="679"/>
      <c r="E724" s="680"/>
      <c r="F724" s="681"/>
      <c r="G724" s="680" t="e">
        <v>#N/A</v>
      </c>
      <c r="H724" s="3"/>
    </row>
    <row r="725" spans="1:8" ht="15" customHeight="1">
      <c r="A725" s="677"/>
      <c r="B725" s="688"/>
      <c r="C725" s="679"/>
      <c r="D725" s="679"/>
      <c r="E725" s="680"/>
      <c r="F725" s="681"/>
      <c r="G725" s="680" t="e">
        <v>#N/A</v>
      </c>
      <c r="H725" s="3"/>
    </row>
    <row r="726" spans="1:8" ht="15" customHeight="1">
      <c r="A726" s="677"/>
      <c r="B726" s="688"/>
      <c r="C726" s="679"/>
      <c r="D726" s="679"/>
      <c r="E726" s="680"/>
      <c r="F726" s="681"/>
      <c r="G726" s="680" t="e">
        <v>#N/A</v>
      </c>
      <c r="H726" s="3"/>
    </row>
    <row r="727" spans="1:8" ht="15" customHeight="1">
      <c r="A727" s="677"/>
      <c r="B727" s="688"/>
      <c r="C727" s="679"/>
      <c r="D727" s="679"/>
      <c r="E727" s="680"/>
      <c r="F727" s="681"/>
      <c r="G727" s="680" t="e">
        <v>#N/A</v>
      </c>
      <c r="H727" s="3"/>
    </row>
    <row r="728" spans="1:8" ht="15" customHeight="1">
      <c r="A728" s="677"/>
      <c r="B728" s="688"/>
      <c r="C728" s="679"/>
      <c r="D728" s="679"/>
      <c r="E728" s="680"/>
      <c r="F728" s="681"/>
      <c r="G728" s="680" t="e">
        <v>#N/A</v>
      </c>
      <c r="H728" s="3"/>
    </row>
    <row r="729" spans="1:8" ht="15" customHeight="1">
      <c r="A729" s="677"/>
      <c r="B729" s="688"/>
      <c r="C729" s="679"/>
      <c r="D729" s="679"/>
      <c r="E729" s="680"/>
      <c r="F729" s="681"/>
      <c r="G729" s="680" t="e">
        <v>#N/A</v>
      </c>
      <c r="H729" s="3"/>
    </row>
    <row r="730" spans="1:8" ht="15" customHeight="1">
      <c r="A730" s="677"/>
      <c r="B730" s="688"/>
      <c r="C730" s="679"/>
      <c r="D730" s="679"/>
      <c r="E730" s="680"/>
      <c r="F730" s="681"/>
      <c r="G730" s="680" t="e">
        <v>#N/A</v>
      </c>
      <c r="H730" s="3"/>
    </row>
    <row r="731" spans="1:8" ht="15" customHeight="1">
      <c r="A731" s="677"/>
      <c r="B731" s="688"/>
      <c r="C731" s="679"/>
      <c r="D731" s="679"/>
      <c r="E731" s="680"/>
      <c r="F731" s="681"/>
      <c r="G731" s="680" t="e">
        <v>#N/A</v>
      </c>
      <c r="H731" s="3"/>
    </row>
    <row r="732" spans="1:8" ht="15" customHeight="1">
      <c r="A732" s="702"/>
      <c r="B732" s="703"/>
      <c r="C732" s="679"/>
      <c r="D732" s="679"/>
      <c r="E732" s="680"/>
      <c r="F732" s="681"/>
      <c r="G732" s="680" t="e">
        <v>#N/A</v>
      </c>
      <c r="H732" s="3"/>
    </row>
    <row r="733" spans="1:8" ht="15" customHeight="1">
      <c r="A733" s="677"/>
      <c r="B733" s="685"/>
      <c r="C733" s="679"/>
      <c r="D733" s="679"/>
      <c r="E733" s="680"/>
      <c r="F733" s="681"/>
      <c r="G733" s="680" t="e">
        <v>#N/A</v>
      </c>
      <c r="H733" s="3"/>
    </row>
    <row r="734" spans="1:8" ht="15" customHeight="1">
      <c r="A734" s="677"/>
      <c r="B734" s="688"/>
      <c r="C734" s="679"/>
      <c r="D734" s="679"/>
      <c r="E734" s="680"/>
      <c r="F734" s="681"/>
      <c r="G734" s="680" t="e">
        <v>#N/A</v>
      </c>
      <c r="H734" s="3"/>
    </row>
    <row r="735" spans="1:8" ht="15" customHeight="1">
      <c r="A735" s="677"/>
      <c r="B735" s="688"/>
      <c r="C735" s="679"/>
      <c r="D735" s="679"/>
      <c r="E735" s="680"/>
      <c r="F735" s="681"/>
      <c r="G735" s="680" t="e">
        <v>#N/A</v>
      </c>
      <c r="H735" s="3"/>
    </row>
    <row r="736" spans="1:8" ht="15" customHeight="1">
      <c r="A736" s="677"/>
      <c r="B736" s="688"/>
      <c r="C736" s="679"/>
      <c r="D736" s="679"/>
      <c r="E736" s="680"/>
      <c r="F736" s="681"/>
      <c r="G736" s="680" t="e">
        <v>#N/A</v>
      </c>
      <c r="H736" s="3"/>
    </row>
    <row r="737" spans="1:11" ht="15" customHeight="1">
      <c r="A737" s="677"/>
      <c r="B737" s="688"/>
      <c r="C737" s="679"/>
      <c r="D737" s="679"/>
      <c r="E737" s="680"/>
      <c r="F737" s="681"/>
      <c r="G737" s="680" t="e">
        <v>#N/A</v>
      </c>
      <c r="H737" s="3"/>
    </row>
    <row r="738" spans="1:11" ht="15" customHeight="1">
      <c r="A738" s="677"/>
      <c r="B738" s="688"/>
      <c r="C738" s="679"/>
      <c r="D738" s="679"/>
      <c r="E738" s="680"/>
      <c r="F738" s="681"/>
      <c r="G738" s="680" t="e">
        <v>#N/A</v>
      </c>
      <c r="H738" s="3"/>
    </row>
    <row r="739" spans="1:11" ht="15" customHeight="1">
      <c r="A739" s="689"/>
      <c r="B739" s="678"/>
      <c r="C739" s="679"/>
      <c r="D739" s="679"/>
      <c r="E739" s="680"/>
      <c r="F739" s="681"/>
      <c r="G739" s="680" t="e">
        <v>#N/A</v>
      </c>
      <c r="H739" s="3"/>
    </row>
    <row r="740" spans="1:11" ht="15" customHeight="1">
      <c r="A740" s="677"/>
      <c r="B740" s="688"/>
      <c r="C740" s="679"/>
      <c r="D740" s="679"/>
      <c r="E740" s="680"/>
      <c r="F740" s="681"/>
      <c r="G740" s="680" t="e">
        <v>#N/A</v>
      </c>
      <c r="H740" s="3"/>
    </row>
    <row r="741" spans="1:11" ht="15" customHeight="1">
      <c r="A741" s="677"/>
      <c r="B741" s="688"/>
      <c r="C741" s="679"/>
      <c r="D741" s="679"/>
      <c r="E741" s="680"/>
      <c r="F741" s="681"/>
      <c r="G741" s="680" t="e">
        <v>#N/A</v>
      </c>
      <c r="H741" s="3"/>
    </row>
    <row r="742" spans="1:11" ht="15" customHeight="1">
      <c r="A742" s="677"/>
      <c r="B742" s="688"/>
      <c r="C742" s="679"/>
      <c r="D742" s="679"/>
      <c r="E742" s="680"/>
      <c r="F742" s="681"/>
      <c r="G742" s="680" t="e">
        <v>#N/A</v>
      </c>
      <c r="H742" s="3"/>
    </row>
    <row r="743" spans="1:11" ht="15" customHeight="1">
      <c r="A743" s="677"/>
      <c r="B743" s="688"/>
      <c r="C743" s="679"/>
      <c r="D743" s="679"/>
      <c r="E743" s="680"/>
      <c r="F743" s="681"/>
      <c r="G743" s="680" t="e">
        <v>#N/A</v>
      </c>
      <c r="H743" s="3"/>
    </row>
    <row r="744" spans="1:11" ht="15" customHeight="1">
      <c r="A744" s="677"/>
      <c r="B744" s="688"/>
      <c r="C744" s="679"/>
      <c r="D744" s="679"/>
      <c r="E744" s="680"/>
      <c r="F744" s="681"/>
      <c r="G744" s="680" t="e">
        <v>#N/A</v>
      </c>
      <c r="H744" s="3"/>
    </row>
    <row r="745" spans="1:11" ht="15" customHeight="1">
      <c r="A745" s="677"/>
      <c r="B745" s="688"/>
      <c r="C745" s="679"/>
      <c r="D745" s="679"/>
      <c r="E745" s="680"/>
      <c r="F745" s="681"/>
      <c r="G745" s="680" t="e">
        <v>#N/A</v>
      </c>
      <c r="H745" s="3"/>
    </row>
    <row r="746" spans="1:11" ht="15" customHeight="1">
      <c r="A746" s="677"/>
      <c r="B746" s="688"/>
      <c r="C746" s="679"/>
      <c r="D746" s="679"/>
      <c r="E746" s="680"/>
      <c r="F746" s="681"/>
      <c r="G746" s="680" t="e">
        <v>#N/A</v>
      </c>
      <c r="H746" s="3"/>
      <c r="K746" s="3"/>
    </row>
    <row r="747" spans="1:11" ht="15" customHeight="1">
      <c r="A747" s="677"/>
      <c r="B747" s="688"/>
      <c r="C747" s="679"/>
      <c r="D747" s="679"/>
      <c r="E747" s="680"/>
      <c r="F747" s="681"/>
      <c r="G747" s="680" t="e">
        <v>#N/A</v>
      </c>
      <c r="H747" s="3"/>
    </row>
    <row r="748" spans="1:11" ht="15" customHeight="1">
      <c r="A748" s="677"/>
      <c r="B748" s="701"/>
      <c r="C748" s="693"/>
      <c r="D748" s="679"/>
      <c r="E748" s="680"/>
      <c r="F748" s="681"/>
      <c r="G748" s="680" t="e">
        <v>#N/A</v>
      </c>
      <c r="H748" s="3"/>
    </row>
    <row r="749" spans="1:11" ht="15" customHeight="1">
      <c r="A749" s="677"/>
      <c r="B749" s="688"/>
      <c r="C749" s="679"/>
      <c r="D749" s="679"/>
      <c r="E749" s="680"/>
      <c r="F749" s="681"/>
      <c r="G749" s="680" t="e">
        <v>#N/A</v>
      </c>
      <c r="H749" s="3"/>
    </row>
    <row r="750" spans="1:11" ht="15" customHeight="1">
      <c r="A750" s="677"/>
      <c r="B750" s="688"/>
      <c r="C750" s="679"/>
      <c r="D750" s="679"/>
      <c r="E750" s="680"/>
      <c r="F750" s="681"/>
      <c r="G750" s="680" t="e">
        <v>#N/A</v>
      </c>
      <c r="H750" s="3"/>
    </row>
    <row r="751" spans="1:11" ht="15" customHeight="1">
      <c r="A751" s="677"/>
      <c r="B751" s="688"/>
      <c r="C751" s="679"/>
      <c r="D751" s="679"/>
      <c r="E751" s="680"/>
      <c r="F751" s="681"/>
      <c r="G751" s="680" t="e">
        <v>#N/A</v>
      </c>
      <c r="H751" s="3"/>
    </row>
    <row r="752" spans="1:11" ht="15" customHeight="1">
      <c r="A752" s="677"/>
      <c r="B752" s="688"/>
      <c r="C752" s="679"/>
      <c r="D752" s="679"/>
      <c r="E752" s="680"/>
      <c r="F752" s="681"/>
      <c r="G752" s="680" t="e">
        <v>#N/A</v>
      </c>
      <c r="H752" s="3"/>
    </row>
    <row r="753" spans="1:29" ht="15" customHeight="1">
      <c r="A753" s="677"/>
      <c r="B753" s="688"/>
      <c r="C753" s="679"/>
      <c r="D753" s="679"/>
      <c r="E753" s="680"/>
      <c r="F753" s="681"/>
      <c r="G753" s="680" t="e">
        <v>#N/A</v>
      </c>
      <c r="H753" s="3"/>
    </row>
    <row r="754" spans="1:29" ht="15" customHeight="1">
      <c r="A754" s="677"/>
      <c r="B754" s="688"/>
      <c r="C754" s="679"/>
      <c r="D754" s="679"/>
      <c r="E754" s="680"/>
      <c r="F754" s="681"/>
      <c r="G754" s="680" t="e">
        <v>#N/A</v>
      </c>
      <c r="H754" s="3"/>
    </row>
    <row r="755" spans="1:29" ht="15" customHeight="1">
      <c r="A755" s="677"/>
      <c r="B755" s="688"/>
      <c r="C755" s="679"/>
      <c r="D755" s="679"/>
      <c r="E755" s="680"/>
      <c r="F755" s="681"/>
      <c r="G755" s="680" t="e">
        <v>#N/A</v>
      </c>
      <c r="H755" s="3"/>
    </row>
    <row r="756" spans="1:29" ht="15" customHeight="1">
      <c r="A756" s="688"/>
      <c r="B756" s="688"/>
      <c r="C756" s="679"/>
      <c r="D756" s="679"/>
      <c r="E756" s="680"/>
      <c r="F756" s="681"/>
      <c r="G756" s="680" t="e">
        <v>#N/A</v>
      </c>
      <c r="H756" s="3"/>
    </row>
    <row r="757" spans="1:29" ht="15" customHeight="1">
      <c r="A757" s="677"/>
      <c r="B757" s="688"/>
      <c r="C757" s="679"/>
      <c r="D757" s="679"/>
      <c r="E757" s="680"/>
      <c r="F757" s="681"/>
      <c r="G757" s="680" t="e">
        <v>#N/A</v>
      </c>
      <c r="H757" s="3"/>
    </row>
    <row r="758" spans="1:29" ht="15" customHeight="1">
      <c r="A758" s="677"/>
      <c r="B758" s="688"/>
      <c r="C758" s="679"/>
      <c r="D758" s="679"/>
      <c r="E758" s="680"/>
      <c r="F758" s="681"/>
      <c r="G758" s="680" t="e">
        <v>#N/A</v>
      </c>
      <c r="H758" s="3"/>
    </row>
    <row r="759" spans="1:29" ht="15" customHeight="1">
      <c r="A759" s="677"/>
      <c r="B759" s="688"/>
      <c r="C759" s="679"/>
      <c r="D759" s="679"/>
      <c r="E759" s="680"/>
      <c r="F759" s="681"/>
      <c r="G759" s="680" t="e">
        <v>#N/A</v>
      </c>
      <c r="H759" s="3"/>
      <c r="K759" s="3"/>
    </row>
    <row r="760" spans="1:29" ht="15" customHeight="1">
      <c r="A760" s="677"/>
      <c r="B760" s="688"/>
      <c r="C760" s="679"/>
      <c r="D760" s="679"/>
      <c r="E760" s="680"/>
      <c r="F760" s="681"/>
      <c r="G760" s="680" t="e">
        <v>#N/A</v>
      </c>
      <c r="H760" s="3"/>
    </row>
    <row r="761" spans="1:29" ht="15" customHeight="1">
      <c r="A761" s="677"/>
      <c r="B761" s="688"/>
      <c r="C761" s="679"/>
      <c r="D761" s="679"/>
      <c r="E761" s="680"/>
      <c r="F761" s="681"/>
      <c r="G761" s="680" t="e">
        <v>#N/A</v>
      </c>
      <c r="H761" s="3"/>
      <c r="K761" s="3"/>
    </row>
    <row r="762" spans="1:29" ht="15" customHeight="1">
      <c r="A762" s="677"/>
      <c r="B762" s="688"/>
      <c r="C762" s="679"/>
      <c r="D762" s="679"/>
      <c r="E762" s="680"/>
      <c r="F762" s="681"/>
      <c r="G762" s="680" t="e">
        <v>#N/A</v>
      </c>
      <c r="H762" s="3"/>
    </row>
    <row r="763" spans="1:29" ht="15" customHeight="1">
      <c r="A763" s="677"/>
      <c r="B763" s="688"/>
      <c r="C763" s="679"/>
      <c r="D763" s="679"/>
      <c r="E763" s="680"/>
      <c r="F763" s="681"/>
      <c r="G763" s="680" t="e">
        <v>#N/A</v>
      </c>
      <c r="H763" s="3"/>
    </row>
    <row r="764" spans="1:29" ht="15" customHeight="1">
      <c r="A764" s="677"/>
      <c r="B764" s="688"/>
      <c r="C764" s="679"/>
      <c r="D764" s="679"/>
      <c r="E764" s="680"/>
      <c r="F764" s="681"/>
      <c r="G764" s="680" t="e">
        <v>#N/A</v>
      </c>
      <c r="H764" s="3"/>
    </row>
    <row r="765" spans="1:29" ht="15" customHeight="1">
      <c r="A765" s="677"/>
      <c r="B765" s="688"/>
      <c r="C765" s="679"/>
      <c r="D765" s="679"/>
      <c r="E765" s="680"/>
      <c r="F765" s="681"/>
      <c r="G765" s="680" t="e">
        <v>#N/A</v>
      </c>
      <c r="H765" s="3"/>
    </row>
    <row r="766" spans="1:29" ht="15" customHeight="1">
      <c r="A766" s="677"/>
      <c r="B766" s="688"/>
      <c r="C766" s="679"/>
      <c r="D766" s="679"/>
      <c r="E766" s="680"/>
      <c r="F766" s="681"/>
      <c r="G766" s="680" t="e">
        <v>#N/A</v>
      </c>
      <c r="H766" s="3"/>
    </row>
    <row r="767" spans="1:29" ht="15" customHeight="1">
      <c r="A767" s="677"/>
      <c r="B767" s="688"/>
      <c r="C767" s="679"/>
      <c r="D767" s="679"/>
      <c r="E767" s="680"/>
      <c r="F767" s="681"/>
      <c r="G767" s="680" t="e">
        <v>#N/A</v>
      </c>
      <c r="H767" s="3"/>
    </row>
    <row r="768" spans="1:29" ht="15" customHeight="1">
      <c r="A768" s="677"/>
      <c r="B768" s="688"/>
      <c r="C768" s="679"/>
      <c r="D768" s="679"/>
      <c r="E768" s="680"/>
      <c r="F768" s="681"/>
      <c r="G768" s="680" t="e">
        <v>#N/A</v>
      </c>
      <c r="H768" s="3"/>
      <c r="I768" s="3"/>
      <c r="J768" s="3"/>
      <c r="L768" s="3"/>
      <c r="M768" s="3"/>
      <c r="N768" s="3"/>
      <c r="O768" s="3"/>
      <c r="P768" s="3"/>
      <c r="Q768" s="3"/>
      <c r="R768" s="3"/>
      <c r="S768" s="3"/>
      <c r="T768" s="3"/>
      <c r="U768" s="3"/>
      <c r="V768" s="3"/>
      <c r="W768" s="3"/>
      <c r="X768" s="3"/>
      <c r="Y768" s="3"/>
      <c r="Z768" s="3"/>
      <c r="AA768" s="3"/>
      <c r="AB768" s="3"/>
      <c r="AC768" s="3"/>
    </row>
    <row r="769" spans="1:8" ht="15" customHeight="1">
      <c r="A769" s="677"/>
      <c r="B769" s="688"/>
      <c r="C769" s="679"/>
      <c r="D769" s="679"/>
      <c r="E769" s="680"/>
      <c r="F769" s="681"/>
      <c r="G769" s="680" t="e">
        <v>#N/A</v>
      </c>
      <c r="H769" s="3"/>
    </row>
    <row r="770" spans="1:8" ht="15" customHeight="1">
      <c r="A770" s="677"/>
      <c r="B770" s="688"/>
      <c r="C770" s="679"/>
      <c r="D770" s="679"/>
      <c r="E770" s="680"/>
      <c r="F770" s="681"/>
      <c r="G770" s="680" t="e">
        <v>#N/A</v>
      </c>
      <c r="H770" s="3"/>
    </row>
    <row r="771" spans="1:8" ht="15" customHeight="1">
      <c r="A771" s="677"/>
      <c r="B771" s="688"/>
      <c r="C771" s="679"/>
      <c r="D771" s="679"/>
      <c r="E771" s="680"/>
      <c r="F771" s="681"/>
      <c r="G771" s="680" t="e">
        <v>#N/A</v>
      </c>
      <c r="H771" s="3"/>
    </row>
    <row r="772" spans="1:8" ht="15" customHeight="1">
      <c r="A772" s="677"/>
      <c r="B772" s="688"/>
      <c r="C772" s="679"/>
      <c r="D772" s="679"/>
      <c r="E772" s="680"/>
      <c r="F772" s="681"/>
      <c r="G772" s="680" t="e">
        <v>#N/A</v>
      </c>
      <c r="H772" s="3"/>
    </row>
    <row r="773" spans="1:8" ht="15" customHeight="1">
      <c r="A773" s="677"/>
      <c r="B773" s="688"/>
      <c r="C773" s="679"/>
      <c r="D773" s="679"/>
      <c r="E773" s="680"/>
      <c r="F773" s="681"/>
      <c r="G773" s="680" t="e">
        <v>#N/A</v>
      </c>
      <c r="H773" s="3"/>
    </row>
    <row r="774" spans="1:8" ht="15" customHeight="1">
      <c r="A774" s="677"/>
      <c r="B774" s="688"/>
      <c r="C774" s="679"/>
      <c r="D774" s="679"/>
      <c r="E774" s="680"/>
      <c r="F774" s="681"/>
      <c r="G774" s="680" t="e">
        <v>#N/A</v>
      </c>
      <c r="H774" s="3"/>
    </row>
    <row r="775" spans="1:8" ht="15" customHeight="1">
      <c r="A775" s="677"/>
      <c r="B775" s="688"/>
      <c r="C775" s="679"/>
      <c r="D775" s="679"/>
      <c r="E775" s="680"/>
      <c r="F775" s="681"/>
      <c r="G775" s="680" t="e">
        <v>#N/A</v>
      </c>
      <c r="H775" s="3"/>
    </row>
    <row r="776" spans="1:8" ht="15" customHeight="1">
      <c r="A776" s="677"/>
      <c r="B776" s="688"/>
      <c r="C776" s="679"/>
      <c r="D776" s="679"/>
      <c r="E776" s="680"/>
      <c r="F776" s="681"/>
      <c r="G776" s="680" t="e">
        <v>#N/A</v>
      </c>
      <c r="H776" s="3"/>
    </row>
    <row r="777" spans="1:8" ht="15" customHeight="1">
      <c r="A777" s="677"/>
      <c r="B777" s="688"/>
      <c r="C777" s="679"/>
      <c r="D777" s="679"/>
      <c r="E777" s="680"/>
      <c r="F777" s="681"/>
      <c r="G777" s="680" t="e">
        <v>#N/A</v>
      </c>
      <c r="H777" s="3"/>
    </row>
    <row r="778" spans="1:8" ht="15" customHeight="1">
      <c r="A778" s="677"/>
      <c r="B778" s="688"/>
      <c r="C778" s="679"/>
      <c r="D778" s="679"/>
      <c r="E778" s="680"/>
      <c r="F778" s="681"/>
      <c r="G778" s="680" t="e">
        <v>#N/A</v>
      </c>
      <c r="H778" s="3"/>
    </row>
    <row r="779" spans="1:8" ht="15" customHeight="1">
      <c r="A779" s="677"/>
      <c r="B779" s="688"/>
      <c r="C779" s="679"/>
      <c r="D779" s="679"/>
      <c r="E779" s="680"/>
      <c r="F779" s="681"/>
      <c r="G779" s="680" t="e">
        <v>#N/A</v>
      </c>
      <c r="H779" s="3"/>
    </row>
    <row r="780" spans="1:8" ht="15" customHeight="1">
      <c r="A780" s="677"/>
      <c r="B780" s="688"/>
      <c r="C780" s="679"/>
      <c r="D780" s="679"/>
      <c r="E780" s="680"/>
      <c r="F780" s="681"/>
      <c r="G780" s="680" t="e">
        <v>#N/A</v>
      </c>
      <c r="H780" s="3"/>
    </row>
    <row r="781" spans="1:8" ht="15" customHeight="1">
      <c r="A781" s="677"/>
      <c r="B781" s="688"/>
      <c r="C781" s="679"/>
      <c r="D781" s="679"/>
      <c r="E781" s="680"/>
      <c r="F781" s="681"/>
      <c r="G781" s="680" t="e">
        <v>#N/A</v>
      </c>
      <c r="H781" s="3"/>
    </row>
    <row r="782" spans="1:8" ht="15" customHeight="1">
      <c r="A782" s="677"/>
      <c r="B782" s="688"/>
      <c r="C782" s="679"/>
      <c r="D782" s="679"/>
      <c r="E782" s="680"/>
      <c r="F782" s="681"/>
      <c r="G782" s="680" t="e">
        <v>#N/A</v>
      </c>
      <c r="H782" s="3"/>
    </row>
    <row r="783" spans="1:8" ht="15" customHeight="1">
      <c r="A783" s="677"/>
      <c r="B783" s="688"/>
      <c r="C783" s="679"/>
      <c r="D783" s="679"/>
      <c r="E783" s="680"/>
      <c r="F783" s="681"/>
      <c r="G783" s="680" t="e">
        <v>#N/A</v>
      </c>
      <c r="H783" s="3"/>
    </row>
    <row r="784" spans="1:8" ht="15" customHeight="1">
      <c r="A784" s="677"/>
      <c r="B784" s="688"/>
      <c r="C784" s="679"/>
      <c r="D784" s="679"/>
      <c r="E784" s="680"/>
      <c r="F784" s="681"/>
      <c r="G784" s="680" t="e">
        <v>#N/A</v>
      </c>
      <c r="H784" s="3"/>
    </row>
    <row r="785" spans="1:8" ht="15" customHeight="1">
      <c r="A785" s="677"/>
      <c r="B785" s="688"/>
      <c r="C785" s="679"/>
      <c r="D785" s="679"/>
      <c r="E785" s="680"/>
      <c r="F785" s="681"/>
      <c r="G785" s="680" t="e">
        <v>#N/A</v>
      </c>
      <c r="H785" s="3"/>
    </row>
    <row r="786" spans="1:8" ht="15" customHeight="1">
      <c r="A786" s="677"/>
      <c r="B786" s="688"/>
      <c r="C786" s="679"/>
      <c r="D786" s="679"/>
      <c r="E786" s="680"/>
      <c r="F786" s="681"/>
      <c r="G786" s="680" t="e">
        <v>#N/A</v>
      </c>
      <c r="H786" s="3"/>
    </row>
    <row r="787" spans="1:8" ht="15" customHeight="1">
      <c r="A787" s="677"/>
      <c r="B787" s="688"/>
      <c r="C787" s="679"/>
      <c r="D787" s="679"/>
      <c r="E787" s="680"/>
      <c r="F787" s="681"/>
      <c r="G787" s="680" t="e">
        <v>#N/A</v>
      </c>
      <c r="H787" s="3"/>
    </row>
    <row r="788" spans="1:8" ht="15" customHeight="1">
      <c r="A788" s="677"/>
      <c r="B788" s="688"/>
      <c r="C788" s="679"/>
      <c r="D788" s="679"/>
      <c r="E788" s="680"/>
      <c r="F788" s="681"/>
      <c r="G788" s="680" t="e">
        <v>#N/A</v>
      </c>
      <c r="H788" s="3"/>
    </row>
    <row r="789" spans="1:8" ht="15" customHeight="1">
      <c r="A789" s="677"/>
      <c r="B789" s="688"/>
      <c r="C789" s="679"/>
      <c r="D789" s="679"/>
      <c r="E789" s="680"/>
      <c r="F789" s="681"/>
      <c r="G789" s="680" t="e">
        <v>#N/A</v>
      </c>
      <c r="H789" s="3"/>
    </row>
    <row r="790" spans="1:8" ht="15" customHeight="1">
      <c r="A790" s="677"/>
      <c r="B790" s="688"/>
      <c r="C790" s="679"/>
      <c r="D790" s="679"/>
      <c r="E790" s="680"/>
      <c r="F790" s="681"/>
      <c r="G790" s="680" t="e">
        <v>#N/A</v>
      </c>
      <c r="H790" s="3"/>
    </row>
    <row r="791" spans="1:8" ht="15" customHeight="1">
      <c r="A791" s="677"/>
      <c r="B791" s="688"/>
      <c r="C791" s="679"/>
      <c r="D791" s="679"/>
      <c r="E791" s="680"/>
      <c r="F791" s="681"/>
      <c r="G791" s="680" t="e">
        <v>#N/A</v>
      </c>
      <c r="H791" s="3"/>
    </row>
    <row r="792" spans="1:8" ht="15" customHeight="1">
      <c r="A792" s="677"/>
      <c r="B792" s="688"/>
      <c r="C792" s="679"/>
      <c r="D792" s="679"/>
      <c r="E792" s="680"/>
      <c r="F792" s="681"/>
      <c r="G792" s="680" t="e">
        <v>#N/A</v>
      </c>
      <c r="H792" s="3"/>
    </row>
    <row r="793" spans="1:8" ht="15" customHeight="1">
      <c r="A793" s="688"/>
      <c r="B793" s="688"/>
      <c r="C793" s="679"/>
      <c r="D793" s="679"/>
      <c r="E793" s="680"/>
      <c r="F793" s="681"/>
      <c r="G793" s="680" t="e">
        <v>#N/A</v>
      </c>
      <c r="H793" s="3"/>
    </row>
    <row r="794" spans="1:8" ht="15" customHeight="1">
      <c r="A794" s="677"/>
      <c r="B794" s="688"/>
      <c r="C794" s="679"/>
      <c r="D794" s="679"/>
      <c r="E794" s="680"/>
      <c r="F794" s="681"/>
      <c r="G794" s="680" t="e">
        <v>#N/A</v>
      </c>
      <c r="H794" s="3"/>
    </row>
    <row r="795" spans="1:8" ht="15" customHeight="1">
      <c r="A795" s="677"/>
      <c r="B795" s="688"/>
      <c r="C795" s="679"/>
      <c r="D795" s="679"/>
      <c r="E795" s="680"/>
      <c r="F795" s="681"/>
      <c r="G795" s="680" t="e">
        <v>#N/A</v>
      </c>
      <c r="H795" s="3"/>
    </row>
    <row r="796" spans="1:8" ht="15" customHeight="1">
      <c r="A796" s="677"/>
      <c r="B796" s="688"/>
      <c r="C796" s="679"/>
      <c r="D796" s="679"/>
      <c r="E796" s="680"/>
      <c r="F796" s="681"/>
      <c r="G796" s="680" t="e">
        <v>#N/A</v>
      </c>
      <c r="H796" s="3"/>
    </row>
    <row r="797" spans="1:8" ht="15" customHeight="1">
      <c r="A797" s="677"/>
      <c r="B797" s="688"/>
      <c r="C797" s="679"/>
      <c r="D797" s="679"/>
      <c r="E797" s="680"/>
      <c r="F797" s="681"/>
      <c r="G797" s="680" t="e">
        <v>#N/A</v>
      </c>
      <c r="H797" s="3"/>
    </row>
    <row r="798" spans="1:8" ht="15" customHeight="1">
      <c r="A798" s="677"/>
      <c r="B798" s="688"/>
      <c r="C798" s="679"/>
      <c r="D798" s="679"/>
      <c r="E798" s="680"/>
      <c r="F798" s="681"/>
      <c r="G798" s="680" t="e">
        <v>#N/A</v>
      </c>
      <c r="H798" s="3"/>
    </row>
    <row r="799" spans="1:8" ht="15" customHeight="1">
      <c r="A799" s="677"/>
      <c r="B799" s="688"/>
      <c r="C799" s="679"/>
      <c r="D799" s="679"/>
      <c r="E799" s="680"/>
      <c r="F799" s="681"/>
      <c r="G799" s="680" t="e">
        <v>#N/A</v>
      </c>
      <c r="H799" s="3"/>
    </row>
    <row r="800" spans="1:8" ht="15" customHeight="1">
      <c r="A800" s="677"/>
      <c r="B800" s="688"/>
      <c r="C800" s="679"/>
      <c r="D800" s="679"/>
      <c r="E800" s="680"/>
      <c r="F800" s="681"/>
      <c r="G800" s="680" t="e">
        <v>#N/A</v>
      </c>
      <c r="H800" s="3"/>
    </row>
    <row r="801" spans="1:29" ht="15" customHeight="1">
      <c r="A801" s="677"/>
      <c r="B801" s="688"/>
      <c r="C801" s="679"/>
      <c r="D801" s="679"/>
      <c r="E801" s="680"/>
      <c r="F801" s="681"/>
      <c r="G801" s="680" t="e">
        <v>#N/A</v>
      </c>
      <c r="H801" s="3"/>
    </row>
    <row r="802" spans="1:29" ht="15" customHeight="1">
      <c r="A802" s="677"/>
      <c r="B802" s="688"/>
      <c r="C802" s="679"/>
      <c r="D802" s="679"/>
      <c r="E802" s="680"/>
      <c r="F802" s="681"/>
      <c r="G802" s="680" t="e">
        <v>#N/A</v>
      </c>
      <c r="H802" s="3"/>
    </row>
    <row r="803" spans="1:29" ht="15" customHeight="1">
      <c r="A803" s="677"/>
      <c r="B803" s="688"/>
      <c r="C803" s="679"/>
      <c r="D803" s="679"/>
      <c r="E803" s="680"/>
      <c r="F803" s="681"/>
      <c r="G803" s="680" t="e">
        <v>#N/A</v>
      </c>
      <c r="H803" s="3"/>
    </row>
    <row r="804" spans="1:29" ht="15" customHeight="1">
      <c r="A804" s="677"/>
      <c r="B804" s="688"/>
      <c r="C804" s="679"/>
      <c r="D804" s="679"/>
      <c r="E804" s="680"/>
      <c r="F804" s="681"/>
      <c r="G804" s="680" t="e">
        <v>#N/A</v>
      </c>
      <c r="H804" s="3"/>
      <c r="I804" s="3"/>
      <c r="J804" s="3"/>
      <c r="L804" s="3"/>
      <c r="M804" s="3"/>
      <c r="N804" s="3"/>
      <c r="O804" s="3"/>
      <c r="P804" s="3"/>
      <c r="Q804" s="3"/>
      <c r="R804" s="3"/>
      <c r="S804" s="3"/>
      <c r="T804" s="3"/>
      <c r="U804" s="3"/>
      <c r="V804" s="3"/>
      <c r="W804" s="3"/>
      <c r="X804" s="3"/>
      <c r="Y804" s="3"/>
      <c r="Z804" s="3"/>
      <c r="AA804" s="3"/>
      <c r="AB804" s="3"/>
      <c r="AC804" s="3"/>
    </row>
    <row r="805" spans="1:29" ht="15" customHeight="1">
      <c r="A805" s="677"/>
      <c r="B805" s="688"/>
      <c r="C805" s="679"/>
      <c r="D805" s="679"/>
      <c r="E805" s="680"/>
      <c r="F805" s="681"/>
      <c r="G805" s="680" t="e">
        <v>#N/A</v>
      </c>
      <c r="H805" s="3"/>
    </row>
    <row r="806" spans="1:29" ht="15" customHeight="1">
      <c r="A806" s="677"/>
      <c r="B806" s="688"/>
      <c r="C806" s="679"/>
      <c r="D806" s="679"/>
      <c r="E806" s="680"/>
      <c r="F806" s="681"/>
      <c r="G806" s="680" t="e">
        <v>#N/A</v>
      </c>
      <c r="H806" s="3"/>
    </row>
    <row r="807" spans="1:29" ht="15" customHeight="1">
      <c r="A807" s="677"/>
      <c r="B807" s="688"/>
      <c r="C807" s="679"/>
      <c r="D807" s="679"/>
      <c r="E807" s="680"/>
      <c r="F807" s="681"/>
      <c r="G807" s="680" t="e">
        <v>#N/A</v>
      </c>
      <c r="H807" s="3"/>
    </row>
    <row r="808" spans="1:29" ht="15" customHeight="1">
      <c r="A808" s="677"/>
      <c r="B808" s="688"/>
      <c r="C808" s="679"/>
      <c r="D808" s="679"/>
      <c r="E808" s="680"/>
      <c r="F808" s="681"/>
      <c r="G808" s="680" t="e">
        <v>#N/A</v>
      </c>
      <c r="H808" s="3"/>
    </row>
    <row r="809" spans="1:29" ht="15" customHeight="1">
      <c r="A809" s="677"/>
      <c r="B809" s="688"/>
      <c r="C809" s="679"/>
      <c r="D809" s="679"/>
      <c r="E809" s="680"/>
      <c r="F809" s="681"/>
      <c r="G809" s="680" t="e">
        <v>#N/A</v>
      </c>
      <c r="H809" s="3"/>
    </row>
    <row r="810" spans="1:29" ht="15" customHeight="1">
      <c r="A810" s="677"/>
      <c r="B810" s="688"/>
      <c r="C810" s="679"/>
      <c r="D810" s="679"/>
      <c r="E810" s="680"/>
      <c r="F810" s="681"/>
      <c r="G810" s="680" t="e">
        <v>#N/A</v>
      </c>
      <c r="H810" s="3"/>
    </row>
    <row r="811" spans="1:29" ht="15" customHeight="1">
      <c r="A811" s="677"/>
      <c r="B811" s="688"/>
      <c r="C811" s="679"/>
      <c r="D811" s="679"/>
      <c r="E811" s="680"/>
      <c r="F811" s="681"/>
      <c r="G811" s="680" t="e">
        <v>#N/A</v>
      </c>
      <c r="H811" s="3"/>
      <c r="K811" s="3"/>
    </row>
    <row r="812" spans="1:29" ht="15" customHeight="1">
      <c r="A812" s="677"/>
      <c r="B812" s="688"/>
      <c r="C812" s="679"/>
      <c r="D812" s="679"/>
      <c r="E812" s="680"/>
      <c r="F812" s="681"/>
      <c r="G812" s="680" t="e">
        <v>#N/A</v>
      </c>
      <c r="H812" s="3"/>
    </row>
    <row r="813" spans="1:29" ht="15" customHeight="1">
      <c r="A813" s="677"/>
      <c r="B813" s="688"/>
      <c r="C813" s="679"/>
      <c r="D813" s="679"/>
      <c r="E813" s="680"/>
      <c r="F813" s="681"/>
      <c r="G813" s="680" t="e">
        <v>#N/A</v>
      </c>
      <c r="H813" s="3"/>
    </row>
    <row r="814" spans="1:29" ht="15" customHeight="1">
      <c r="A814" s="677"/>
      <c r="B814" s="688"/>
      <c r="C814" s="679"/>
      <c r="D814" s="679"/>
      <c r="E814" s="680"/>
      <c r="F814" s="681"/>
      <c r="G814" s="680" t="e">
        <v>#N/A</v>
      </c>
      <c r="H814" s="3"/>
    </row>
    <row r="815" spans="1:29" ht="15" customHeight="1">
      <c r="A815" s="677"/>
      <c r="B815" s="703"/>
      <c r="C815" s="679"/>
      <c r="D815" s="679"/>
      <c r="E815" s="680"/>
      <c r="F815" s="681"/>
      <c r="G815" s="680" t="e">
        <v>#N/A</v>
      </c>
      <c r="H815" s="3"/>
    </row>
    <row r="816" spans="1:29" ht="15" customHeight="1">
      <c r="A816" s="677"/>
      <c r="B816" s="688"/>
      <c r="C816" s="679"/>
      <c r="D816" s="679"/>
      <c r="E816" s="680"/>
      <c r="F816" s="681"/>
      <c r="G816" s="680" t="e">
        <v>#N/A</v>
      </c>
      <c r="H816" s="4"/>
    </row>
    <row r="817" spans="1:29" ht="15" customHeight="1">
      <c r="A817" s="677"/>
      <c r="B817" s="688"/>
      <c r="C817" s="679"/>
      <c r="D817" s="679"/>
      <c r="E817" s="680"/>
      <c r="F817" s="681"/>
      <c r="G817" s="680" t="e">
        <v>#N/A</v>
      </c>
      <c r="H817" s="4"/>
    </row>
    <row r="818" spans="1:29" ht="15" customHeight="1">
      <c r="A818" s="677"/>
      <c r="B818" s="688"/>
      <c r="C818" s="679"/>
      <c r="D818" s="679"/>
      <c r="E818" s="680"/>
      <c r="F818" s="681"/>
      <c r="G818" s="680" t="e">
        <v>#N/A</v>
      </c>
      <c r="H818" s="3"/>
    </row>
    <row r="819" spans="1:29" ht="15" customHeight="1">
      <c r="A819" s="677"/>
      <c r="B819" s="688"/>
      <c r="C819" s="679"/>
      <c r="D819" s="679"/>
      <c r="E819" s="680"/>
      <c r="F819" s="681"/>
      <c r="G819" s="680" t="e">
        <v>#N/A</v>
      </c>
      <c r="H819" s="3"/>
    </row>
    <row r="820" spans="1:29" ht="15" customHeight="1">
      <c r="A820" s="677"/>
      <c r="B820" s="688"/>
      <c r="C820" s="679"/>
      <c r="D820" s="679"/>
      <c r="E820" s="680"/>
      <c r="F820" s="681"/>
      <c r="G820" s="680" t="e">
        <v>#N/A</v>
      </c>
      <c r="H820" s="3"/>
      <c r="I820" s="3"/>
      <c r="J820" s="3"/>
      <c r="K820" s="3"/>
      <c r="L820" s="3"/>
      <c r="M820" s="3"/>
      <c r="N820" s="3"/>
      <c r="O820" s="3"/>
      <c r="P820" s="3"/>
      <c r="Q820" s="3"/>
      <c r="R820" s="3"/>
      <c r="S820" s="3"/>
      <c r="T820" s="3"/>
      <c r="U820" s="3"/>
      <c r="V820" s="3"/>
      <c r="W820" s="3"/>
      <c r="X820" s="3"/>
      <c r="Y820" s="3"/>
      <c r="Z820" s="3"/>
      <c r="AA820" s="3"/>
      <c r="AB820" s="3"/>
      <c r="AC820" s="3"/>
    </row>
    <row r="821" spans="1:29" ht="15" customHeight="1">
      <c r="A821" s="677"/>
      <c r="B821" s="688"/>
      <c r="C821" s="679"/>
      <c r="D821" s="679"/>
      <c r="E821" s="680"/>
      <c r="F821" s="681"/>
      <c r="G821" s="680" t="e">
        <v>#N/A</v>
      </c>
      <c r="H821" s="3"/>
      <c r="I821" s="3"/>
      <c r="J821" s="3"/>
      <c r="L821" s="3"/>
      <c r="M821" s="3"/>
      <c r="N821" s="3"/>
      <c r="O821" s="3"/>
      <c r="P821" s="3"/>
      <c r="Q821" s="3"/>
      <c r="R821" s="3"/>
      <c r="S821" s="3"/>
      <c r="T821" s="3"/>
      <c r="U821" s="3"/>
      <c r="V821" s="3"/>
      <c r="W821" s="3"/>
      <c r="X821" s="3"/>
      <c r="Y821" s="3"/>
      <c r="Z821" s="3"/>
      <c r="AA821" s="3"/>
      <c r="AB821" s="3"/>
      <c r="AC821" s="3"/>
    </row>
    <row r="822" spans="1:29" ht="15" customHeight="1">
      <c r="A822" s="677"/>
      <c r="B822" s="688"/>
      <c r="C822" s="679"/>
      <c r="D822" s="679"/>
      <c r="E822" s="680"/>
      <c r="F822" s="681"/>
      <c r="G822" s="680" t="e">
        <v>#N/A</v>
      </c>
      <c r="H822" s="3"/>
    </row>
    <row r="823" spans="1:29" ht="15" customHeight="1">
      <c r="A823" s="677"/>
      <c r="B823" s="688"/>
      <c r="C823" s="679"/>
      <c r="D823" s="679"/>
      <c r="E823" s="680"/>
      <c r="F823" s="681"/>
      <c r="G823" s="680" t="e">
        <v>#N/A</v>
      </c>
      <c r="H823" s="3"/>
    </row>
    <row r="824" spans="1:29" ht="15" customHeight="1">
      <c r="A824" s="677"/>
      <c r="B824" s="688"/>
      <c r="C824" s="679"/>
      <c r="D824" s="679"/>
      <c r="E824" s="680"/>
      <c r="F824" s="681"/>
      <c r="G824" s="680" t="e">
        <v>#N/A</v>
      </c>
      <c r="H824" s="3"/>
    </row>
    <row r="825" spans="1:29" ht="15" customHeight="1">
      <c r="A825" s="677"/>
      <c r="B825" s="688"/>
      <c r="C825" s="679"/>
      <c r="D825" s="679"/>
      <c r="E825" s="680"/>
      <c r="F825" s="681"/>
      <c r="G825" s="680" t="e">
        <v>#N/A</v>
      </c>
      <c r="H825" s="3"/>
    </row>
    <row r="826" spans="1:29" ht="15" customHeight="1">
      <c r="A826" s="688"/>
      <c r="B826" s="688"/>
      <c r="C826" s="679"/>
      <c r="D826" s="679"/>
      <c r="E826" s="680"/>
      <c r="F826" s="681"/>
      <c r="G826" s="680" t="e">
        <v>#N/A</v>
      </c>
      <c r="H826" s="33"/>
    </row>
    <row r="827" spans="1:29" ht="15" customHeight="1">
      <c r="A827" s="688"/>
      <c r="B827" s="688"/>
      <c r="C827" s="679"/>
      <c r="D827" s="679"/>
      <c r="E827" s="680"/>
      <c r="F827" s="681"/>
      <c r="G827" s="680" t="e">
        <v>#N/A</v>
      </c>
      <c r="H827" s="33"/>
      <c r="I827" s="3"/>
      <c r="J827" s="3"/>
      <c r="L827" s="3"/>
      <c r="M827" s="3"/>
      <c r="N827" s="3"/>
      <c r="O827" s="3"/>
      <c r="P827" s="3"/>
      <c r="Q827" s="3"/>
      <c r="R827" s="3"/>
      <c r="S827" s="3"/>
      <c r="T827" s="3"/>
      <c r="U827" s="3"/>
      <c r="V827" s="3"/>
      <c r="W827" s="3"/>
      <c r="X827" s="3"/>
      <c r="Y827" s="3"/>
      <c r="Z827" s="3"/>
      <c r="AA827" s="3"/>
      <c r="AB827" s="3"/>
      <c r="AC827" s="3"/>
    </row>
    <row r="828" spans="1:29" ht="15" customHeight="1">
      <c r="A828" s="677"/>
      <c r="B828" s="688"/>
      <c r="C828" s="679"/>
      <c r="D828" s="679"/>
      <c r="E828" s="680"/>
      <c r="F828" s="681"/>
      <c r="G828" s="680" t="e">
        <v>#N/A</v>
      </c>
      <c r="H828" s="33"/>
    </row>
    <row r="829" spans="1:29" ht="15" customHeight="1">
      <c r="A829" s="677"/>
      <c r="B829" s="688"/>
      <c r="C829" s="679"/>
      <c r="D829" s="679"/>
      <c r="E829" s="680"/>
      <c r="F829" s="681"/>
      <c r="G829" s="680" t="e">
        <v>#N/A</v>
      </c>
      <c r="H829" s="33"/>
    </row>
    <row r="830" spans="1:29" ht="15" customHeight="1">
      <c r="A830" s="677"/>
      <c r="B830" s="688"/>
      <c r="C830" s="679"/>
      <c r="D830" s="679"/>
      <c r="E830" s="680"/>
      <c r="F830" s="681"/>
      <c r="G830" s="680" t="e">
        <v>#N/A</v>
      </c>
      <c r="H830" s="33"/>
    </row>
    <row r="831" spans="1:29" ht="15" customHeight="1">
      <c r="A831" s="677"/>
      <c r="B831" s="688"/>
      <c r="C831" s="679"/>
      <c r="D831" s="679"/>
      <c r="E831" s="680"/>
      <c r="F831" s="681"/>
      <c r="G831" s="680" t="e">
        <v>#N/A</v>
      </c>
      <c r="H831" s="33"/>
    </row>
    <row r="832" spans="1:29" ht="15" customHeight="1">
      <c r="A832" s="677"/>
      <c r="B832" s="688"/>
      <c r="C832" s="679"/>
      <c r="D832" s="679"/>
      <c r="E832" s="680"/>
      <c r="F832" s="681"/>
      <c r="G832" s="680" t="e">
        <v>#N/A</v>
      </c>
      <c r="H832" s="33"/>
    </row>
    <row r="833" spans="1:8" ht="15" customHeight="1">
      <c r="A833" s="677"/>
      <c r="B833" s="688"/>
      <c r="C833" s="679"/>
      <c r="D833" s="679"/>
      <c r="E833" s="680"/>
      <c r="F833" s="681"/>
      <c r="G833" s="680" t="e">
        <v>#N/A</v>
      </c>
      <c r="H833" s="33"/>
    </row>
    <row r="834" spans="1:8" ht="15" customHeight="1">
      <c r="A834" s="677"/>
      <c r="B834" s="701"/>
      <c r="C834" s="693"/>
      <c r="D834" s="679"/>
      <c r="E834" s="680"/>
      <c r="F834" s="681"/>
      <c r="G834" s="680" t="e">
        <v>#N/A</v>
      </c>
      <c r="H834" s="33"/>
    </row>
    <row r="835" spans="1:8" ht="15" customHeight="1">
      <c r="A835" s="677"/>
      <c r="B835" s="688"/>
      <c r="C835" s="679"/>
      <c r="D835" s="679"/>
      <c r="E835" s="680"/>
      <c r="F835" s="681"/>
      <c r="G835" s="680" t="e">
        <v>#N/A</v>
      </c>
      <c r="H835" s="33"/>
    </row>
    <row r="836" spans="1:8" ht="15" customHeight="1">
      <c r="A836" s="677"/>
      <c r="B836" s="688"/>
      <c r="C836" s="679"/>
      <c r="D836" s="679"/>
      <c r="E836" s="680"/>
      <c r="F836" s="681"/>
      <c r="G836" s="680" t="e">
        <v>#N/A</v>
      </c>
      <c r="H836" s="33"/>
    </row>
    <row r="837" spans="1:8" ht="15" customHeight="1">
      <c r="A837" s="677"/>
      <c r="B837" s="688"/>
      <c r="C837" s="679"/>
      <c r="D837" s="679"/>
      <c r="E837" s="680"/>
      <c r="F837" s="681"/>
      <c r="G837" s="680" t="e">
        <v>#N/A</v>
      </c>
      <c r="H837" s="33"/>
    </row>
    <row r="838" spans="1:8" ht="15" customHeight="1">
      <c r="A838" s="677"/>
      <c r="B838" s="688"/>
      <c r="C838" s="679"/>
      <c r="D838" s="679"/>
      <c r="E838" s="680"/>
      <c r="F838" s="681"/>
      <c r="G838" s="680" t="e">
        <v>#N/A</v>
      </c>
      <c r="H838" s="33"/>
    </row>
    <row r="839" spans="1:8" ht="15" customHeight="1">
      <c r="A839" s="677"/>
      <c r="B839" s="688"/>
      <c r="C839" s="679"/>
      <c r="D839" s="679"/>
      <c r="E839" s="680"/>
      <c r="F839" s="681"/>
      <c r="G839" s="680" t="e">
        <v>#N/A</v>
      </c>
      <c r="H839" s="3"/>
    </row>
    <row r="840" spans="1:8" ht="15" customHeight="1">
      <c r="A840" s="677"/>
      <c r="B840" s="688"/>
      <c r="C840" s="679"/>
      <c r="D840" s="679"/>
      <c r="E840" s="680"/>
      <c r="F840" s="681"/>
      <c r="G840" s="680" t="e">
        <v>#N/A</v>
      </c>
      <c r="H840" s="3"/>
    </row>
    <row r="841" spans="1:8" ht="15" customHeight="1">
      <c r="A841" s="677"/>
      <c r="B841" s="688"/>
      <c r="C841" s="679"/>
      <c r="D841" s="679"/>
      <c r="E841" s="680"/>
      <c r="F841" s="681"/>
      <c r="G841" s="680" t="e">
        <v>#N/A</v>
      </c>
      <c r="H841" s="3"/>
    </row>
    <row r="842" spans="1:8" ht="15" customHeight="1">
      <c r="A842" s="677"/>
      <c r="B842" s="688"/>
      <c r="C842" s="679"/>
      <c r="D842" s="679"/>
      <c r="E842" s="680"/>
      <c r="F842" s="681"/>
      <c r="G842" s="680" t="e">
        <v>#N/A</v>
      </c>
      <c r="H842" s="3"/>
    </row>
    <row r="843" spans="1:8" ht="15" customHeight="1">
      <c r="A843" s="677"/>
      <c r="B843" s="688"/>
      <c r="C843" s="679"/>
      <c r="D843" s="679"/>
      <c r="E843" s="680"/>
      <c r="F843" s="681"/>
      <c r="G843" s="680" t="e">
        <v>#N/A</v>
      </c>
      <c r="H843" s="3"/>
    </row>
    <row r="844" spans="1:8" ht="15" customHeight="1">
      <c r="A844" s="677"/>
      <c r="B844" s="688"/>
      <c r="C844" s="679"/>
      <c r="D844" s="679"/>
      <c r="E844" s="680"/>
      <c r="F844" s="681"/>
      <c r="G844" s="680" t="e">
        <v>#N/A</v>
      </c>
      <c r="H844" s="3"/>
    </row>
    <row r="845" spans="1:8" ht="15" customHeight="1">
      <c r="A845" s="677"/>
      <c r="B845" s="688"/>
      <c r="C845" s="679"/>
      <c r="D845" s="679"/>
      <c r="E845" s="680"/>
      <c r="F845" s="681"/>
      <c r="G845" s="680" t="e">
        <v>#N/A</v>
      </c>
      <c r="H845" s="3"/>
    </row>
    <row r="846" spans="1:8" ht="15" customHeight="1">
      <c r="A846" s="677"/>
      <c r="B846" s="688"/>
      <c r="C846" s="679"/>
      <c r="D846" s="679"/>
      <c r="E846" s="680"/>
      <c r="F846" s="681"/>
      <c r="G846" s="680" t="e">
        <v>#N/A</v>
      </c>
      <c r="H846" s="3"/>
    </row>
    <row r="847" spans="1:8" ht="15" customHeight="1">
      <c r="A847" s="677"/>
      <c r="B847" s="688"/>
      <c r="C847" s="679"/>
      <c r="D847" s="679"/>
      <c r="E847" s="680"/>
      <c r="F847" s="681"/>
      <c r="G847" s="680" t="e">
        <v>#N/A</v>
      </c>
      <c r="H847" s="3"/>
    </row>
    <row r="848" spans="1:8" ht="15" customHeight="1">
      <c r="A848" s="677"/>
      <c r="B848" s="688"/>
      <c r="C848" s="679"/>
      <c r="D848" s="679"/>
      <c r="E848" s="680"/>
      <c r="F848" s="681"/>
      <c r="G848" s="680" t="e">
        <v>#N/A</v>
      </c>
      <c r="H848" s="3"/>
    </row>
    <row r="849" spans="1:8" ht="15" customHeight="1">
      <c r="A849" s="677"/>
      <c r="B849" s="688"/>
      <c r="C849" s="679"/>
      <c r="D849" s="679"/>
      <c r="E849" s="680"/>
      <c r="F849" s="681"/>
      <c r="G849" s="680" t="e">
        <v>#N/A</v>
      </c>
      <c r="H849" s="33"/>
    </row>
    <row r="850" spans="1:8" ht="15" customHeight="1">
      <c r="A850" s="677"/>
      <c r="B850" s="688"/>
      <c r="C850" s="679"/>
      <c r="D850" s="679"/>
      <c r="E850" s="680"/>
      <c r="F850" s="681"/>
      <c r="G850" s="680" t="e">
        <v>#N/A</v>
      </c>
      <c r="H850" s="33"/>
    </row>
    <row r="851" spans="1:8" ht="15" customHeight="1">
      <c r="A851" s="677"/>
      <c r="B851" s="688"/>
      <c r="C851" s="679"/>
      <c r="D851" s="679"/>
      <c r="E851" s="680"/>
      <c r="F851" s="681"/>
      <c r="G851" s="680" t="e">
        <v>#N/A</v>
      </c>
      <c r="H851" s="33"/>
    </row>
    <row r="852" spans="1:8" ht="15" customHeight="1">
      <c r="A852" s="677"/>
      <c r="B852" s="688"/>
      <c r="C852" s="679"/>
      <c r="D852" s="679"/>
      <c r="E852" s="680"/>
      <c r="F852" s="681"/>
      <c r="G852" s="680" t="e">
        <v>#N/A</v>
      </c>
      <c r="H852" s="33"/>
    </row>
    <row r="853" spans="1:8" ht="15" customHeight="1">
      <c r="A853" s="677"/>
      <c r="B853" s="688"/>
      <c r="C853" s="679"/>
      <c r="D853" s="679"/>
      <c r="E853" s="680"/>
      <c r="F853" s="681"/>
      <c r="G853" s="680" t="e">
        <v>#N/A</v>
      </c>
      <c r="H853" s="33"/>
    </row>
    <row r="854" spans="1:8" ht="15" customHeight="1">
      <c r="A854" s="677"/>
      <c r="B854" s="688"/>
      <c r="C854" s="679"/>
      <c r="D854" s="679"/>
      <c r="E854" s="680"/>
      <c r="F854" s="681"/>
      <c r="G854" s="680" t="e">
        <v>#N/A</v>
      </c>
      <c r="H854" s="33"/>
    </row>
    <row r="855" spans="1:8" ht="15" customHeight="1">
      <c r="A855" s="677"/>
      <c r="B855" s="688"/>
      <c r="C855" s="679"/>
      <c r="D855" s="679"/>
      <c r="E855" s="680"/>
      <c r="F855" s="681"/>
      <c r="G855" s="680" t="e">
        <v>#N/A</v>
      </c>
      <c r="H855" s="33"/>
    </row>
    <row r="856" spans="1:8" ht="15" customHeight="1">
      <c r="A856" s="702"/>
      <c r="B856" s="700"/>
      <c r="C856" s="679"/>
      <c r="D856" s="679"/>
      <c r="E856" s="680"/>
      <c r="F856" s="681"/>
      <c r="G856" s="680" t="e">
        <v>#N/A</v>
      </c>
      <c r="H856" s="33"/>
    </row>
    <row r="857" spans="1:8" ht="15" customHeight="1">
      <c r="A857" s="677"/>
      <c r="B857" s="688"/>
      <c r="C857" s="679"/>
      <c r="D857" s="679"/>
      <c r="E857" s="680"/>
      <c r="F857" s="681"/>
      <c r="G857" s="680" t="e">
        <v>#N/A</v>
      </c>
      <c r="H857" s="33"/>
    </row>
    <row r="858" spans="1:8" ht="15" customHeight="1">
      <c r="A858" s="677"/>
      <c r="B858" s="688"/>
      <c r="C858" s="679"/>
      <c r="D858" s="679"/>
      <c r="E858" s="680"/>
      <c r="F858" s="681"/>
      <c r="G858" s="680" t="e">
        <v>#N/A</v>
      </c>
      <c r="H858" s="33"/>
    </row>
    <row r="859" spans="1:8" ht="15" customHeight="1">
      <c r="A859" s="677"/>
      <c r="B859" s="688"/>
      <c r="C859" s="679"/>
      <c r="D859" s="679"/>
      <c r="E859" s="680"/>
      <c r="F859" s="681"/>
      <c r="G859" s="680" t="e">
        <v>#N/A</v>
      </c>
      <c r="H859" s="33"/>
    </row>
    <row r="860" spans="1:8" ht="15" customHeight="1">
      <c r="A860" s="677"/>
      <c r="B860" s="688"/>
      <c r="C860" s="679"/>
      <c r="D860" s="679"/>
      <c r="E860" s="680"/>
      <c r="F860" s="681"/>
      <c r="G860" s="680" t="e">
        <v>#N/A</v>
      </c>
      <c r="H860" s="33"/>
    </row>
    <row r="861" spans="1:8" ht="15" customHeight="1">
      <c r="A861" s="688"/>
      <c r="B861" s="688"/>
      <c r="C861" s="679"/>
      <c r="D861" s="679"/>
      <c r="E861" s="680"/>
      <c r="F861" s="681"/>
      <c r="G861" s="680" t="e">
        <v>#N/A</v>
      </c>
      <c r="H861" s="33"/>
    </row>
    <row r="862" spans="1:8" ht="15" customHeight="1">
      <c r="A862" s="677"/>
      <c r="B862" s="688"/>
      <c r="C862" s="679"/>
      <c r="D862" s="679"/>
      <c r="E862" s="680"/>
      <c r="F862" s="681"/>
      <c r="G862" s="680" t="e">
        <v>#N/A</v>
      </c>
      <c r="H862" s="33"/>
    </row>
    <row r="863" spans="1:8" ht="15" customHeight="1">
      <c r="A863" s="677"/>
      <c r="B863" s="688"/>
      <c r="C863" s="679"/>
      <c r="D863" s="679"/>
      <c r="E863" s="680"/>
      <c r="F863" s="681"/>
      <c r="G863" s="680" t="e">
        <v>#N/A</v>
      </c>
      <c r="H863" s="33"/>
    </row>
    <row r="864" spans="1:8" ht="15" customHeight="1">
      <c r="A864" s="677"/>
      <c r="B864" s="688"/>
      <c r="C864" s="679"/>
      <c r="D864" s="679"/>
      <c r="E864" s="680"/>
      <c r="F864" s="681"/>
      <c r="G864" s="680" t="e">
        <v>#N/A</v>
      </c>
      <c r="H864" s="33"/>
    </row>
    <row r="865" spans="1:29" ht="15" customHeight="1">
      <c r="A865" s="677"/>
      <c r="B865" s="688"/>
      <c r="C865" s="679"/>
      <c r="D865" s="679"/>
      <c r="E865" s="680"/>
      <c r="F865" s="681"/>
      <c r="G865" s="680" t="e">
        <v>#N/A</v>
      </c>
      <c r="H865" s="33"/>
    </row>
    <row r="866" spans="1:29" ht="15" customHeight="1">
      <c r="A866" s="677"/>
      <c r="B866" s="688"/>
      <c r="C866" s="679"/>
      <c r="D866" s="679"/>
      <c r="E866" s="680"/>
      <c r="F866" s="681"/>
      <c r="G866" s="680" t="e">
        <v>#N/A</v>
      </c>
      <c r="H866" s="33"/>
    </row>
    <row r="867" spans="1:29" ht="15" customHeight="1">
      <c r="A867" s="677"/>
      <c r="B867" s="688"/>
      <c r="C867" s="679"/>
      <c r="D867" s="679"/>
      <c r="E867" s="680"/>
      <c r="F867" s="681"/>
      <c r="G867" s="680" t="e">
        <v>#N/A</v>
      </c>
      <c r="H867" s="33"/>
    </row>
    <row r="868" spans="1:29" ht="15" customHeight="1">
      <c r="A868" s="677"/>
      <c r="B868" s="688"/>
      <c r="C868" s="679"/>
      <c r="D868" s="679"/>
      <c r="E868" s="680"/>
      <c r="F868" s="681"/>
      <c r="G868" s="680" t="e">
        <v>#N/A</v>
      </c>
      <c r="H868" s="33"/>
    </row>
    <row r="869" spans="1:29" ht="15" customHeight="1">
      <c r="A869" s="677"/>
      <c r="B869" s="688"/>
      <c r="C869" s="679"/>
      <c r="D869" s="679"/>
      <c r="E869" s="680"/>
      <c r="F869" s="681"/>
      <c r="G869" s="680" t="e">
        <v>#N/A</v>
      </c>
      <c r="H869" s="33"/>
    </row>
    <row r="870" spans="1:29" ht="15" customHeight="1">
      <c r="A870" s="677"/>
      <c r="B870" s="688"/>
      <c r="C870" s="679"/>
      <c r="D870" s="679"/>
      <c r="E870" s="680"/>
      <c r="F870" s="681"/>
      <c r="G870" s="680" t="e">
        <v>#N/A</v>
      </c>
      <c r="H870" s="33"/>
    </row>
    <row r="871" spans="1:29" ht="15" customHeight="1">
      <c r="A871" s="677"/>
      <c r="B871" s="688"/>
      <c r="C871" s="679"/>
      <c r="D871" s="679"/>
      <c r="E871" s="680"/>
      <c r="F871" s="681"/>
      <c r="G871" s="680" t="e">
        <v>#N/A</v>
      </c>
      <c r="H871" s="33"/>
      <c r="K871" s="3"/>
    </row>
    <row r="872" spans="1:29" ht="15" customHeight="1">
      <c r="A872" s="677"/>
      <c r="B872" s="688"/>
      <c r="C872" s="679"/>
      <c r="D872" s="679"/>
      <c r="E872" s="680"/>
      <c r="F872" s="681"/>
      <c r="G872" s="680" t="e">
        <v>#N/A</v>
      </c>
      <c r="H872" s="33"/>
      <c r="K872" s="3"/>
    </row>
    <row r="873" spans="1:29" ht="15" customHeight="1">
      <c r="A873" s="677"/>
      <c r="B873" s="688"/>
      <c r="C873" s="679"/>
      <c r="D873" s="679"/>
      <c r="E873" s="680"/>
      <c r="F873" s="681"/>
      <c r="G873" s="680" t="e">
        <v>#N/A</v>
      </c>
      <c r="H873" s="33"/>
    </row>
    <row r="874" spans="1:29" ht="15" customHeight="1">
      <c r="A874" s="677"/>
      <c r="B874" s="688"/>
      <c r="C874" s="679"/>
      <c r="D874" s="679"/>
      <c r="E874" s="680"/>
      <c r="F874" s="681"/>
      <c r="G874" s="680" t="e">
        <v>#N/A</v>
      </c>
      <c r="H874" s="33"/>
    </row>
    <row r="875" spans="1:29" ht="15" customHeight="1">
      <c r="A875" s="677"/>
      <c r="B875" s="688"/>
      <c r="C875" s="679"/>
      <c r="D875" s="679"/>
      <c r="E875" s="680"/>
      <c r="F875" s="681"/>
      <c r="G875" s="680" t="e">
        <v>#N/A</v>
      </c>
      <c r="H875" s="33"/>
    </row>
    <row r="876" spans="1:29" ht="15" customHeight="1">
      <c r="A876" s="677"/>
      <c r="B876" s="688"/>
      <c r="C876" s="679"/>
      <c r="D876" s="679"/>
      <c r="E876" s="680"/>
      <c r="F876" s="681"/>
      <c r="G876" s="680" t="e">
        <v>#N/A</v>
      </c>
      <c r="H876" s="33"/>
      <c r="I876" s="3"/>
      <c r="J876" s="3"/>
      <c r="L876" s="3"/>
      <c r="M876" s="3"/>
      <c r="N876" s="3"/>
      <c r="O876" s="3"/>
      <c r="P876" s="3"/>
      <c r="Q876" s="3"/>
      <c r="R876" s="3"/>
      <c r="S876" s="3"/>
      <c r="T876" s="3"/>
      <c r="U876" s="3"/>
      <c r="V876" s="3"/>
      <c r="W876" s="3"/>
      <c r="X876" s="3"/>
      <c r="Y876" s="3"/>
      <c r="Z876" s="3"/>
      <c r="AA876" s="3"/>
      <c r="AB876" s="3"/>
      <c r="AC876" s="3"/>
    </row>
    <row r="877" spans="1:29" ht="15" customHeight="1">
      <c r="A877" s="677"/>
      <c r="B877" s="688"/>
      <c r="C877" s="679"/>
      <c r="D877" s="679"/>
      <c r="E877" s="680"/>
      <c r="F877" s="681"/>
      <c r="G877" s="680" t="e">
        <v>#N/A</v>
      </c>
      <c r="H877" s="33"/>
    </row>
    <row r="878" spans="1:29" ht="15" customHeight="1">
      <c r="A878" s="677"/>
      <c r="B878" s="688"/>
      <c r="C878" s="679"/>
      <c r="D878" s="679"/>
      <c r="E878" s="680"/>
      <c r="F878" s="681"/>
      <c r="G878" s="680" t="e">
        <v>#N/A</v>
      </c>
      <c r="H878" s="33"/>
      <c r="K878" s="3"/>
    </row>
    <row r="879" spans="1:29" ht="15" customHeight="1">
      <c r="A879" s="677"/>
      <c r="B879" s="688"/>
      <c r="C879" s="679"/>
      <c r="D879" s="679"/>
      <c r="E879" s="680"/>
      <c r="F879" s="681"/>
      <c r="G879" s="680" t="e">
        <v>#N/A</v>
      </c>
      <c r="H879" s="33"/>
    </row>
    <row r="880" spans="1:29" ht="15" customHeight="1">
      <c r="A880" s="677"/>
      <c r="B880" s="688"/>
      <c r="C880" s="679"/>
      <c r="D880" s="679"/>
      <c r="E880" s="680"/>
      <c r="F880" s="681"/>
      <c r="G880" s="680" t="e">
        <v>#N/A</v>
      </c>
      <c r="H880" s="33"/>
    </row>
    <row r="881" spans="1:11" ht="15" customHeight="1">
      <c r="A881" s="677"/>
      <c r="B881" s="688"/>
      <c r="C881" s="679"/>
      <c r="D881" s="679"/>
      <c r="E881" s="680"/>
      <c r="F881" s="681"/>
      <c r="G881" s="680" t="e">
        <v>#N/A</v>
      </c>
      <c r="H881" s="33"/>
    </row>
    <row r="882" spans="1:11" ht="15" customHeight="1">
      <c r="A882" s="688"/>
      <c r="B882" s="688"/>
      <c r="C882" s="679"/>
      <c r="D882" s="679"/>
      <c r="E882" s="680"/>
      <c r="F882" s="681"/>
      <c r="G882" s="680" t="e">
        <v>#N/A</v>
      </c>
      <c r="H882" s="33"/>
    </row>
    <row r="883" spans="1:11" ht="15" customHeight="1">
      <c r="A883" s="677"/>
      <c r="B883" s="688"/>
      <c r="C883" s="679"/>
      <c r="D883" s="679"/>
      <c r="E883" s="680"/>
      <c r="F883" s="681"/>
      <c r="G883" s="680" t="e">
        <v>#N/A</v>
      </c>
      <c r="H883" s="33"/>
      <c r="K883" s="3"/>
    </row>
    <row r="884" spans="1:11" ht="15" customHeight="1">
      <c r="A884" s="677"/>
      <c r="B884" s="688"/>
      <c r="C884" s="679"/>
      <c r="D884" s="679"/>
      <c r="E884" s="680"/>
      <c r="F884" s="681"/>
      <c r="G884" s="680" t="e">
        <v>#N/A</v>
      </c>
      <c r="H884" s="33"/>
    </row>
    <row r="885" spans="1:11" ht="15" customHeight="1">
      <c r="A885" s="677"/>
      <c r="B885" s="688"/>
      <c r="C885" s="679"/>
      <c r="D885" s="679"/>
      <c r="E885" s="680"/>
      <c r="F885" s="681"/>
      <c r="G885" s="680" t="e">
        <v>#N/A</v>
      </c>
      <c r="H885" s="33"/>
    </row>
    <row r="886" spans="1:11" ht="15" customHeight="1">
      <c r="A886" s="677"/>
      <c r="B886" s="688"/>
      <c r="C886" s="679"/>
      <c r="D886" s="679"/>
      <c r="E886" s="680"/>
      <c r="F886" s="681"/>
      <c r="G886" s="680" t="e">
        <v>#N/A</v>
      </c>
      <c r="H886" s="33"/>
    </row>
    <row r="887" spans="1:11" ht="15" customHeight="1">
      <c r="A887" s="677"/>
      <c r="B887" s="688"/>
      <c r="C887" s="679"/>
      <c r="D887" s="679"/>
      <c r="E887" s="680"/>
      <c r="F887" s="681"/>
      <c r="G887" s="680" t="e">
        <v>#N/A</v>
      </c>
      <c r="H887" s="33"/>
    </row>
    <row r="888" spans="1:11" ht="15" customHeight="1">
      <c r="A888" s="677"/>
      <c r="B888" s="688"/>
      <c r="C888" s="679"/>
      <c r="D888" s="679"/>
      <c r="E888" s="680"/>
      <c r="F888" s="681"/>
      <c r="G888" s="680" t="e">
        <v>#N/A</v>
      </c>
      <c r="H888" s="33"/>
    </row>
    <row r="889" spans="1:11" ht="15" customHeight="1">
      <c r="A889" s="677"/>
      <c r="B889" s="688"/>
      <c r="C889" s="679"/>
      <c r="D889" s="679"/>
      <c r="E889" s="680"/>
      <c r="F889" s="681"/>
      <c r="G889" s="680" t="e">
        <v>#N/A</v>
      </c>
      <c r="H889" s="33"/>
    </row>
    <row r="890" spans="1:11" ht="15" customHeight="1">
      <c r="A890" s="677"/>
      <c r="B890" s="688"/>
      <c r="C890" s="679"/>
      <c r="D890" s="679"/>
      <c r="E890" s="680"/>
      <c r="F890" s="681"/>
      <c r="G890" s="680" t="e">
        <v>#N/A</v>
      </c>
      <c r="H890" s="33"/>
    </row>
    <row r="891" spans="1:11" ht="15" customHeight="1">
      <c r="A891" s="677"/>
      <c r="B891" s="688"/>
      <c r="C891" s="679"/>
      <c r="D891" s="679"/>
      <c r="E891" s="680"/>
      <c r="F891" s="681"/>
      <c r="G891" s="680" t="e">
        <v>#N/A</v>
      </c>
      <c r="H891" s="33"/>
    </row>
    <row r="892" spans="1:11" ht="15" customHeight="1">
      <c r="A892" s="677"/>
      <c r="B892" s="688"/>
      <c r="C892" s="679"/>
      <c r="D892" s="679"/>
      <c r="E892" s="680"/>
      <c r="F892" s="681"/>
      <c r="G892" s="680" t="e">
        <v>#N/A</v>
      </c>
      <c r="H892" s="33"/>
    </row>
    <row r="893" spans="1:11" ht="15" customHeight="1">
      <c r="A893" s="688"/>
      <c r="B893" s="688"/>
      <c r="C893" s="679"/>
      <c r="D893" s="679"/>
      <c r="E893" s="680"/>
      <c r="F893" s="681"/>
      <c r="G893" s="680" t="e">
        <v>#N/A</v>
      </c>
      <c r="H893" s="33"/>
    </row>
    <row r="894" spans="1:11" ht="15" customHeight="1">
      <c r="A894" s="688"/>
      <c r="B894" s="688"/>
      <c r="C894" s="679"/>
      <c r="D894" s="679"/>
      <c r="E894" s="680"/>
      <c r="F894" s="681"/>
      <c r="G894" s="680" t="e">
        <v>#N/A</v>
      </c>
      <c r="H894" s="33"/>
    </row>
    <row r="895" spans="1:11" ht="15" customHeight="1">
      <c r="A895" s="677"/>
      <c r="B895" s="688"/>
      <c r="C895" s="679"/>
      <c r="D895" s="679"/>
      <c r="E895" s="680"/>
      <c r="F895" s="681"/>
      <c r="G895" s="680" t="e">
        <v>#N/A</v>
      </c>
      <c r="H895" s="33"/>
    </row>
    <row r="896" spans="1:11" ht="15" customHeight="1">
      <c r="A896" s="677"/>
      <c r="B896" s="688"/>
      <c r="C896" s="679"/>
      <c r="D896" s="679"/>
      <c r="E896" s="680"/>
      <c r="F896" s="681"/>
      <c r="G896" s="680" t="e">
        <v>#N/A</v>
      </c>
      <c r="H896" s="33"/>
    </row>
    <row r="897" spans="1:8" ht="15" customHeight="1">
      <c r="A897" s="677"/>
      <c r="B897" s="688"/>
      <c r="C897" s="679"/>
      <c r="D897" s="679"/>
      <c r="E897" s="680"/>
      <c r="F897" s="681"/>
      <c r="G897" s="680" t="e">
        <v>#N/A</v>
      </c>
      <c r="H897" s="33"/>
    </row>
    <row r="898" spans="1:8" ht="15" customHeight="1">
      <c r="A898" s="677"/>
      <c r="B898" s="688"/>
      <c r="C898" s="679"/>
      <c r="D898" s="679"/>
      <c r="E898" s="680"/>
      <c r="F898" s="681"/>
      <c r="G898" s="680" t="e">
        <v>#N/A</v>
      </c>
      <c r="H898" s="33"/>
    </row>
    <row r="899" spans="1:8" ht="15" customHeight="1">
      <c r="A899" s="677"/>
      <c r="B899" s="688"/>
      <c r="C899" s="679"/>
      <c r="D899" s="679"/>
      <c r="E899" s="680"/>
      <c r="F899" s="681"/>
      <c r="G899" s="680" t="e">
        <v>#N/A</v>
      </c>
      <c r="H899" s="33"/>
    </row>
    <row r="900" spans="1:8" ht="15" customHeight="1">
      <c r="A900" s="677"/>
      <c r="B900" s="688"/>
      <c r="C900" s="679"/>
      <c r="D900" s="679"/>
      <c r="E900" s="680"/>
      <c r="F900" s="681"/>
      <c r="G900" s="680" t="e">
        <v>#N/A</v>
      </c>
      <c r="H900" s="33"/>
    </row>
    <row r="901" spans="1:8" ht="15" customHeight="1">
      <c r="A901" s="677"/>
      <c r="B901" s="688"/>
      <c r="C901" s="679"/>
      <c r="D901" s="679"/>
      <c r="E901" s="680"/>
      <c r="F901" s="681"/>
      <c r="G901" s="680" t="e">
        <v>#N/A</v>
      </c>
      <c r="H901" s="33"/>
    </row>
    <row r="902" spans="1:8" ht="15" customHeight="1">
      <c r="A902" s="677"/>
      <c r="B902" s="688"/>
      <c r="C902" s="679"/>
      <c r="D902" s="679"/>
      <c r="E902" s="680"/>
      <c r="F902" s="681"/>
      <c r="G902" s="680" t="e">
        <v>#N/A</v>
      </c>
      <c r="H902" s="33"/>
    </row>
    <row r="903" spans="1:8" ht="15" customHeight="1">
      <c r="A903" s="677"/>
      <c r="B903" s="688"/>
      <c r="C903" s="679"/>
      <c r="D903" s="679"/>
      <c r="E903" s="680"/>
      <c r="F903" s="681"/>
      <c r="G903" s="680" t="e">
        <v>#N/A</v>
      </c>
      <c r="H903" s="33"/>
    </row>
    <row r="904" spans="1:8" ht="15" customHeight="1">
      <c r="A904" s="677"/>
      <c r="B904" s="688"/>
      <c r="C904" s="679"/>
      <c r="D904" s="679"/>
      <c r="E904" s="680"/>
      <c r="F904" s="681"/>
      <c r="G904" s="680" t="e">
        <v>#N/A</v>
      </c>
      <c r="H904" s="33"/>
    </row>
    <row r="905" spans="1:8" ht="15" customHeight="1">
      <c r="A905" s="677"/>
      <c r="B905" s="688"/>
      <c r="C905" s="679"/>
      <c r="D905" s="679"/>
      <c r="E905" s="680"/>
      <c r="F905" s="681"/>
      <c r="G905" s="680" t="e">
        <v>#N/A</v>
      </c>
      <c r="H905" s="33"/>
    </row>
    <row r="906" spans="1:8" ht="15" customHeight="1">
      <c r="A906" s="677"/>
      <c r="B906" s="688"/>
      <c r="C906" s="679"/>
      <c r="D906" s="679"/>
      <c r="E906" s="680"/>
      <c r="F906" s="681"/>
      <c r="G906" s="680" t="e">
        <v>#N/A</v>
      </c>
      <c r="H906" s="33"/>
    </row>
    <row r="907" spans="1:8" ht="15" customHeight="1">
      <c r="A907" s="677"/>
      <c r="B907" s="688"/>
      <c r="C907" s="679"/>
      <c r="D907" s="679"/>
      <c r="E907" s="680"/>
      <c r="F907" s="681"/>
      <c r="G907" s="680" t="e">
        <v>#N/A</v>
      </c>
      <c r="H907" s="33"/>
    </row>
    <row r="908" spans="1:8" ht="15" customHeight="1">
      <c r="A908" s="677"/>
      <c r="B908" s="688"/>
      <c r="C908" s="679"/>
      <c r="D908" s="679"/>
      <c r="E908" s="680"/>
      <c r="F908" s="681"/>
      <c r="G908" s="680" t="e">
        <f>+VLOOKUP(Data_Validation!$A908,BV_Data_An_Cour!$L:$Q,6,0)</f>
        <v>#N/A</v>
      </c>
      <c r="H908" s="33"/>
    </row>
    <row r="909" spans="1:8" ht="15" customHeight="1">
      <c r="A909" s="677"/>
      <c r="B909" s="688"/>
      <c r="C909" s="679"/>
      <c r="D909" s="679"/>
      <c r="E909" s="680"/>
      <c r="F909" s="681"/>
      <c r="G909" s="680" t="e">
        <f>+VLOOKUP(Data_Validation!$A909,BV_Data_An_Cour!$L:$Q,6,0)</f>
        <v>#N/A</v>
      </c>
      <c r="H909" s="33"/>
    </row>
    <row r="910" spans="1:8" ht="15" customHeight="1">
      <c r="A910" s="677"/>
      <c r="B910" s="688"/>
      <c r="C910" s="679"/>
      <c r="D910" s="679"/>
      <c r="E910" s="680"/>
      <c r="F910" s="681"/>
      <c r="G910" s="680" t="e">
        <f>+VLOOKUP(Data_Validation!$A910,BV_Data_An_Cour!$L:$Q,6,0)</f>
        <v>#N/A</v>
      </c>
      <c r="H910" s="33"/>
    </row>
    <row r="911" spans="1:8" ht="15" customHeight="1">
      <c r="A911" s="677"/>
      <c r="B911" s="688"/>
      <c r="C911" s="679"/>
      <c r="D911" s="679"/>
      <c r="E911" s="680"/>
      <c r="F911" s="681"/>
      <c r="G911" s="680" t="e">
        <f>+VLOOKUP(Data_Validation!$A911,BV_Data_An_Cour!$L:$Q,6,0)</f>
        <v>#N/A</v>
      </c>
      <c r="H911" s="33"/>
    </row>
    <row r="912" spans="1:8" ht="15" customHeight="1">
      <c r="A912" s="677"/>
      <c r="B912" s="688"/>
      <c r="C912" s="679"/>
      <c r="D912" s="679"/>
      <c r="E912" s="680"/>
      <c r="F912" s="681"/>
      <c r="G912" s="680" t="e">
        <f>+VLOOKUP(Data_Validation!$A912,BV_Data_An_Cour!$L:$Q,6,0)</f>
        <v>#N/A</v>
      </c>
      <c r="H912" s="33"/>
    </row>
    <row r="913" spans="1:29" ht="15" customHeight="1">
      <c r="A913" s="677"/>
      <c r="B913" s="688"/>
      <c r="C913" s="679"/>
      <c r="D913" s="679"/>
      <c r="E913" s="680"/>
      <c r="F913" s="681"/>
      <c r="G913" s="680" t="e">
        <f>+VLOOKUP(Data_Validation!$A913,BV_Data_An_Cour!$L:$Q,6,0)</f>
        <v>#N/A</v>
      </c>
      <c r="H913" s="33"/>
    </row>
    <row r="914" spans="1:29" ht="15" customHeight="1">
      <c r="A914" s="677"/>
      <c r="B914" s="688"/>
      <c r="C914" s="679"/>
      <c r="D914" s="679"/>
      <c r="E914" s="680"/>
      <c r="F914" s="681"/>
      <c r="G914" s="680" t="e">
        <f>+VLOOKUP(Data_Validation!$A914,BV_Data_An_Cour!$L:$Q,6,0)</f>
        <v>#N/A</v>
      </c>
      <c r="H914" s="33"/>
    </row>
    <row r="915" spans="1:29" ht="15" customHeight="1">
      <c r="A915" s="677"/>
      <c r="B915" s="688"/>
      <c r="C915" s="679"/>
      <c r="D915" s="679"/>
      <c r="E915" s="680"/>
      <c r="F915" s="681"/>
      <c r="G915" s="680" t="e">
        <f>+VLOOKUP(Data_Validation!$A915,BV_Data_An_Cour!$L:$Q,6,0)</f>
        <v>#N/A</v>
      </c>
      <c r="H915" s="33"/>
    </row>
    <row r="916" spans="1:29" ht="15" customHeight="1">
      <c r="A916" s="677"/>
      <c r="B916" s="688"/>
      <c r="C916" s="679"/>
      <c r="D916" s="679"/>
      <c r="E916" s="680"/>
      <c r="F916" s="681"/>
      <c r="G916" s="680" t="e">
        <f>+VLOOKUP(Data_Validation!$A916,BV_Data_An_Cour!$L:$Q,6,0)</f>
        <v>#N/A</v>
      </c>
      <c r="H916" s="4"/>
    </row>
    <row r="917" spans="1:29" ht="15" customHeight="1">
      <c r="A917" s="689"/>
      <c r="B917" s="678"/>
      <c r="C917" s="679"/>
      <c r="D917" s="679"/>
      <c r="E917" s="680"/>
      <c r="F917" s="681"/>
      <c r="G917" s="680" t="e">
        <f>+VLOOKUP(Data_Validation!$A917,BV_Data_An_Cour!$L:$Q,6,0)</f>
        <v>#N/A</v>
      </c>
      <c r="H917" s="4"/>
    </row>
    <row r="918" spans="1:29" ht="15" customHeight="1">
      <c r="A918" s="688"/>
      <c r="B918" s="688"/>
      <c r="C918" s="679"/>
      <c r="D918" s="679"/>
      <c r="E918" s="680"/>
      <c r="F918" s="681"/>
      <c r="G918" s="680" t="e">
        <f>+VLOOKUP(Data_Validation!$A918,BV_Data_An_Cour!$L:$Q,6,0)</f>
        <v>#N/A</v>
      </c>
      <c r="H918" s="4"/>
    </row>
    <row r="919" spans="1:29" ht="15" customHeight="1">
      <c r="A919" s="688"/>
      <c r="B919" s="688"/>
      <c r="C919" s="679"/>
      <c r="D919" s="679"/>
      <c r="E919" s="680"/>
      <c r="F919" s="681"/>
      <c r="G919" s="680" t="e">
        <f>+VLOOKUP(Data_Validation!$A919,BV_Data_An_Cour!$L:$Q,6,0)</f>
        <v>#N/A</v>
      </c>
      <c r="H919" s="4"/>
    </row>
    <row r="920" spans="1:29" ht="15" customHeight="1">
      <c r="A920" s="677"/>
      <c r="B920" s="688"/>
      <c r="C920" s="679"/>
      <c r="D920" s="679"/>
      <c r="E920" s="680"/>
      <c r="F920" s="681"/>
      <c r="G920" s="680" t="e">
        <f>+VLOOKUP(Data_Validation!$A920,BV_Data_An_Cour!$L:$Q,6,0)</f>
        <v>#N/A</v>
      </c>
      <c r="H920" s="4"/>
    </row>
    <row r="921" spans="1:29" ht="15" customHeight="1">
      <c r="A921" s="677"/>
      <c r="B921" s="688"/>
      <c r="C921" s="679"/>
      <c r="D921" s="679"/>
      <c r="E921" s="680"/>
      <c r="F921" s="681"/>
      <c r="G921" s="680" t="e">
        <f>+VLOOKUP(Data_Validation!$A921,BV_Data_An_Cour!$L:$Q,6,0)</f>
        <v>#N/A</v>
      </c>
      <c r="H921" s="4"/>
    </row>
    <row r="922" spans="1:29" ht="15" customHeight="1">
      <c r="A922" s="677"/>
      <c r="B922" s="688"/>
      <c r="C922" s="679"/>
      <c r="D922" s="679"/>
      <c r="E922" s="680"/>
      <c r="F922" s="681"/>
      <c r="G922" s="680" t="e">
        <f>+VLOOKUP(Data_Validation!$A922,BV_Data_An_Cour!$L:$Q,6,0)</f>
        <v>#N/A</v>
      </c>
      <c r="H922" s="4"/>
    </row>
    <row r="923" spans="1:29" ht="15" customHeight="1">
      <c r="A923" s="677"/>
      <c r="B923" s="688"/>
      <c r="C923" s="679"/>
      <c r="D923" s="679"/>
      <c r="E923" s="680"/>
      <c r="F923" s="681"/>
      <c r="G923" s="680" t="e">
        <f>+VLOOKUP(Data_Validation!$A923,BV_Data_An_Cour!$L:$Q,6,0)</f>
        <v>#N/A</v>
      </c>
      <c r="H923" s="4"/>
    </row>
    <row r="924" spans="1:29" ht="15" customHeight="1">
      <c r="A924" s="677"/>
      <c r="B924" s="688"/>
      <c r="C924" s="679"/>
      <c r="D924" s="679"/>
      <c r="E924" s="680"/>
      <c r="F924" s="681"/>
      <c r="G924" s="680" t="e">
        <f>+VLOOKUP(Data_Validation!$A924,BV_Data_An_Cour!$L:$Q,6,0)</f>
        <v>#N/A</v>
      </c>
      <c r="H924" s="4"/>
      <c r="I924" s="3"/>
      <c r="J924" s="3"/>
      <c r="L924" s="3"/>
      <c r="M924" s="3"/>
      <c r="N924" s="3"/>
      <c r="O924" s="3"/>
      <c r="P924" s="3"/>
      <c r="Q924" s="3"/>
      <c r="R924" s="3"/>
      <c r="S924" s="3"/>
      <c r="T924" s="3"/>
      <c r="U924" s="3"/>
      <c r="V924" s="3"/>
      <c r="W924" s="3"/>
      <c r="X924" s="3"/>
      <c r="Y924" s="3"/>
      <c r="Z924" s="3"/>
      <c r="AA924" s="3"/>
      <c r="AB924" s="3"/>
      <c r="AC924" s="3"/>
    </row>
    <row r="925" spans="1:29" ht="15" customHeight="1">
      <c r="A925" s="689"/>
      <c r="B925" s="678"/>
      <c r="C925" s="679"/>
      <c r="D925" s="679"/>
      <c r="E925" s="686"/>
      <c r="F925" s="686"/>
      <c r="G925" s="680" t="e">
        <f>+VLOOKUP(Data_Validation!$A925,BV_Data_An_Cour!$L:$Q,6,0)</f>
        <v>#N/A</v>
      </c>
      <c r="H925" s="4"/>
    </row>
    <row r="926" spans="1:29" ht="15" customHeight="1">
      <c r="A926" s="677"/>
      <c r="B926" s="688"/>
      <c r="C926" s="679"/>
      <c r="D926" s="679"/>
      <c r="E926" s="680"/>
      <c r="F926" s="681"/>
      <c r="G926" s="680" t="e">
        <f>+VLOOKUP(Data_Validation!$A926,BV_Data_An_Cour!$L:$Q,6,0)</f>
        <v>#N/A</v>
      </c>
      <c r="H926" s="4"/>
    </row>
    <row r="927" spans="1:29" ht="15" customHeight="1">
      <c r="A927" s="689"/>
      <c r="B927" s="678"/>
      <c r="C927" s="679"/>
      <c r="D927" s="679"/>
      <c r="E927" s="686"/>
      <c r="F927" s="686"/>
      <c r="G927" s="680" t="e">
        <f>+VLOOKUP(Data_Validation!$A927,BV_Data_An_Cour!$L:$Q,6,0)</f>
        <v>#N/A</v>
      </c>
      <c r="H927" s="4"/>
    </row>
    <row r="928" spans="1:29" ht="15" customHeight="1">
      <c r="A928" s="677"/>
      <c r="B928" s="688"/>
      <c r="C928" s="679"/>
      <c r="D928" s="679"/>
      <c r="E928" s="680"/>
      <c r="F928" s="681"/>
      <c r="G928" s="680" t="e">
        <f>+VLOOKUP(Data_Validation!$A928,BV_Data_An_Cour!$L:$Q,6,0)</f>
        <v>#N/A</v>
      </c>
      <c r="H928" s="4"/>
    </row>
    <row r="929" spans="1:29" ht="15" customHeight="1">
      <c r="A929" s="677"/>
      <c r="B929" s="688"/>
      <c r="C929" s="679"/>
      <c r="D929" s="679"/>
      <c r="E929" s="680"/>
      <c r="F929" s="681"/>
      <c r="G929" s="680" t="e">
        <f>+VLOOKUP(Data_Validation!$A929,BV_Data_An_Cour!$L:$Q,6,0)</f>
        <v>#N/A</v>
      </c>
      <c r="H929" s="4"/>
    </row>
    <row r="930" spans="1:29" ht="15" customHeight="1">
      <c r="A930" s="689"/>
      <c r="B930" s="678"/>
      <c r="C930" s="679"/>
      <c r="D930" s="679"/>
      <c r="E930" s="686"/>
      <c r="F930" s="686"/>
      <c r="G930" s="680" t="e">
        <f>+VLOOKUP(Data_Validation!$A930,BV_Data_An_Cour!$L:$Q,6,0)</f>
        <v>#N/A</v>
      </c>
      <c r="H930" s="3"/>
    </row>
    <row r="931" spans="1:29" ht="15" customHeight="1">
      <c r="A931" s="688"/>
      <c r="B931" s="688"/>
      <c r="C931" s="679"/>
      <c r="D931" s="679"/>
      <c r="E931" s="680"/>
      <c r="F931" s="681"/>
      <c r="G931" s="680" t="e">
        <f>+VLOOKUP(Data_Validation!$A931,BV_Data_An_Cour!$L:$Q,6,0)</f>
        <v>#N/A</v>
      </c>
      <c r="H931" s="3"/>
    </row>
    <row r="932" spans="1:29" ht="15" customHeight="1">
      <c r="A932" s="689"/>
      <c r="B932" s="678"/>
      <c r="C932" s="679"/>
      <c r="D932" s="679"/>
      <c r="E932" s="686"/>
      <c r="F932" s="686"/>
      <c r="G932" s="680" t="e">
        <f>+VLOOKUP(Data_Validation!$A932,BV_Data_An_Cour!$L:$Q,6,0)</f>
        <v>#N/A</v>
      </c>
      <c r="H932" s="3"/>
    </row>
    <row r="933" spans="1:29" ht="15" customHeight="1">
      <c r="A933" s="677"/>
      <c r="B933" s="688"/>
      <c r="C933" s="679"/>
      <c r="D933" s="679"/>
      <c r="E933" s="680"/>
      <c r="F933" s="681"/>
      <c r="G933" s="680" t="e">
        <f>+VLOOKUP(Data_Validation!$A933,BV_Data_An_Cour!$L:$Q,6,0)</f>
        <v>#N/A</v>
      </c>
      <c r="H933" s="3"/>
    </row>
    <row r="934" spans="1:29" ht="15" customHeight="1">
      <c r="A934" s="689"/>
      <c r="B934" s="678"/>
      <c r="C934" s="679"/>
      <c r="D934" s="679"/>
      <c r="E934" s="686"/>
      <c r="F934" s="686"/>
      <c r="G934" s="680" t="e">
        <f>+VLOOKUP(Data_Validation!$A934,BV_Data_An_Cour!$L:$Q,6,0)</f>
        <v>#N/A</v>
      </c>
      <c r="H934" s="3"/>
    </row>
    <row r="935" spans="1:29" ht="15" customHeight="1">
      <c r="A935" s="677"/>
      <c r="B935" s="688"/>
      <c r="C935" s="679"/>
      <c r="D935" s="679"/>
      <c r="E935" s="680"/>
      <c r="F935" s="681"/>
      <c r="G935" s="680" t="e">
        <f>+VLOOKUP(Data_Validation!$A935,BV_Data_An_Cour!$L:$Q,6,0)</f>
        <v>#N/A</v>
      </c>
      <c r="H935" s="3"/>
      <c r="I935" s="3"/>
      <c r="J935" s="3"/>
      <c r="L935" s="3"/>
      <c r="M935" s="3"/>
      <c r="N935" s="3"/>
      <c r="O935" s="3"/>
      <c r="P935" s="3"/>
      <c r="Q935" s="3"/>
      <c r="R935" s="3"/>
      <c r="S935" s="3"/>
      <c r="T935" s="3"/>
      <c r="U935" s="3"/>
      <c r="V935" s="3"/>
      <c r="W935" s="3"/>
      <c r="X935" s="3"/>
      <c r="Y935" s="3"/>
      <c r="Z935" s="3"/>
      <c r="AA935" s="3"/>
      <c r="AB935" s="3"/>
      <c r="AC935" s="3"/>
    </row>
    <row r="936" spans="1:29" ht="15" customHeight="1">
      <c r="A936" s="689"/>
      <c r="B936" s="678"/>
      <c r="C936" s="679"/>
      <c r="D936" s="679"/>
      <c r="E936" s="686"/>
      <c r="F936" s="686"/>
      <c r="G936" s="680" t="e">
        <f>+VLOOKUP(Data_Validation!$A936,BV_Data_An_Cour!$L:$Q,6,0)</f>
        <v>#N/A</v>
      </c>
      <c r="H936" s="3"/>
    </row>
    <row r="937" spans="1:29" ht="15" customHeight="1">
      <c r="A937" s="677"/>
      <c r="B937" s="688"/>
      <c r="C937" s="679"/>
      <c r="D937" s="679"/>
      <c r="E937" s="680"/>
      <c r="F937" s="681"/>
      <c r="G937" s="680" t="e">
        <f>+VLOOKUP(Data_Validation!$A937,BV_Data_An_Cour!$L:$Q,6,0)</f>
        <v>#N/A</v>
      </c>
      <c r="H937" s="3"/>
    </row>
    <row r="938" spans="1:29" ht="15" customHeight="1">
      <c r="A938" s="689"/>
      <c r="B938" s="678"/>
      <c r="C938" s="679"/>
      <c r="D938" s="679"/>
      <c r="E938" s="686"/>
      <c r="F938" s="686"/>
      <c r="G938" s="680" t="e">
        <f>+VLOOKUP(Data_Validation!$A938,BV_Data_An_Cour!$L:$Q,6,0)</f>
        <v>#N/A</v>
      </c>
      <c r="H938" s="3"/>
    </row>
    <row r="939" spans="1:29" ht="15" customHeight="1">
      <c r="A939" s="677"/>
      <c r="B939" s="688"/>
      <c r="C939" s="679"/>
      <c r="D939" s="679"/>
      <c r="E939" s="680"/>
      <c r="F939" s="681"/>
      <c r="G939" s="680" t="e">
        <f>+VLOOKUP(Data_Validation!$A939,BV_Data_An_Cour!$L:$Q,6,0)</f>
        <v>#N/A</v>
      </c>
      <c r="H939" s="3"/>
    </row>
    <row r="940" spans="1:29" ht="15" customHeight="1">
      <c r="A940" s="689"/>
      <c r="B940" s="678"/>
      <c r="C940" s="679"/>
      <c r="D940" s="679"/>
      <c r="E940" s="686"/>
      <c r="F940" s="686"/>
      <c r="G940" s="680" t="e">
        <f>+VLOOKUP(Data_Validation!$A940,BV_Data_An_Cour!$L:$Q,6,0)</f>
        <v>#N/A</v>
      </c>
      <c r="H940" s="3"/>
    </row>
    <row r="941" spans="1:29" ht="15" customHeight="1">
      <c r="A941" s="688"/>
      <c r="B941" s="688"/>
      <c r="C941" s="679"/>
      <c r="D941" s="679"/>
      <c r="E941" s="680"/>
      <c r="F941" s="681"/>
      <c r="G941" s="680" t="e">
        <f>+VLOOKUP(Data_Validation!$A941,BV_Data_An_Cour!$L:$Q,6,0)</f>
        <v>#N/A</v>
      </c>
      <c r="H941" s="3"/>
      <c r="I941" s="3"/>
      <c r="J941" s="3"/>
      <c r="L941" s="3"/>
      <c r="M941" s="3"/>
      <c r="N941" s="3"/>
      <c r="O941" s="3"/>
      <c r="P941" s="3"/>
      <c r="Q941" s="3"/>
      <c r="R941" s="3"/>
      <c r="S941" s="3"/>
      <c r="T941" s="3"/>
      <c r="U941" s="3"/>
      <c r="V941" s="3"/>
      <c r="W941" s="3"/>
      <c r="X941" s="3"/>
      <c r="Y941" s="3"/>
      <c r="Z941" s="3"/>
      <c r="AA941" s="3"/>
      <c r="AB941" s="3"/>
      <c r="AC941" s="3"/>
    </row>
    <row r="942" spans="1:29" ht="15" customHeight="1">
      <c r="A942" s="688"/>
      <c r="B942" s="688"/>
      <c r="C942" s="679"/>
      <c r="D942" s="679"/>
      <c r="E942" s="680"/>
      <c r="F942" s="681"/>
      <c r="G942" s="680" t="e">
        <f>+VLOOKUP(Data_Validation!$A942,BV_Data_An_Cour!$L:$Q,6,0)</f>
        <v>#N/A</v>
      </c>
      <c r="H942" s="3"/>
    </row>
    <row r="943" spans="1:29" ht="15" customHeight="1">
      <c r="A943" s="688"/>
      <c r="B943" s="688"/>
      <c r="C943" s="679"/>
      <c r="D943" s="679"/>
      <c r="E943" s="680"/>
      <c r="F943" s="681"/>
      <c r="G943" s="680" t="e">
        <f>+VLOOKUP(Data_Validation!$A943,BV_Data_An_Cour!$L:$Q,6,0)</f>
        <v>#N/A</v>
      </c>
      <c r="H943" s="3"/>
    </row>
    <row r="944" spans="1:29" ht="15" customHeight="1">
      <c r="A944" s="688"/>
      <c r="B944" s="688"/>
      <c r="C944" s="679"/>
      <c r="D944" s="679"/>
      <c r="E944" s="680"/>
      <c r="F944" s="681"/>
      <c r="G944" s="680" t="e">
        <f>+VLOOKUP(Data_Validation!$A944,BV_Data_An_Cour!$L:$Q,6,0)</f>
        <v>#N/A</v>
      </c>
      <c r="H944" s="3"/>
      <c r="I944" s="3"/>
      <c r="J944" s="3"/>
      <c r="L944" s="3"/>
      <c r="M944" s="3"/>
      <c r="N944" s="3"/>
      <c r="O944" s="3"/>
      <c r="P944" s="3"/>
      <c r="Q944" s="3"/>
      <c r="R944" s="3"/>
      <c r="S944" s="3"/>
      <c r="T944" s="3"/>
      <c r="U944" s="3"/>
      <c r="V944" s="3"/>
      <c r="W944" s="3"/>
      <c r="X944" s="3"/>
      <c r="Y944" s="3"/>
      <c r="Z944" s="3"/>
      <c r="AA944" s="3"/>
      <c r="AB944" s="3"/>
      <c r="AC944" s="3"/>
    </row>
    <row r="945" spans="1:8" ht="15" customHeight="1">
      <c r="A945" s="688"/>
      <c r="B945" s="688"/>
      <c r="C945" s="679"/>
      <c r="D945" s="679"/>
      <c r="E945" s="680"/>
      <c r="F945" s="681"/>
      <c r="G945" s="680" t="e">
        <f>+VLOOKUP(Data_Validation!$A945,BV_Data_An_Cour!$L:$Q,6,0)</f>
        <v>#N/A</v>
      </c>
      <c r="H945" s="3"/>
    </row>
    <row r="946" spans="1:8" ht="15" customHeight="1">
      <c r="A946" s="688"/>
      <c r="B946" s="688"/>
      <c r="C946" s="679"/>
      <c r="D946" s="679"/>
      <c r="E946" s="680"/>
      <c r="F946" s="681"/>
      <c r="G946" s="680" t="e">
        <f>+VLOOKUP(Data_Validation!$A946,BV_Data_An_Cour!$L:$Q,6,0)</f>
        <v>#N/A</v>
      </c>
      <c r="H946" s="3"/>
    </row>
    <row r="947" spans="1:8" ht="15" customHeight="1">
      <c r="A947" s="677"/>
      <c r="B947" s="685"/>
      <c r="C947" s="679"/>
      <c r="D947" s="679"/>
      <c r="E947" s="680"/>
      <c r="F947" s="681"/>
      <c r="G947" s="680"/>
      <c r="H947" s="3"/>
    </row>
    <row r="948" spans="1:8" ht="15" customHeight="1">
      <c r="A948" s="677"/>
      <c r="B948" s="685"/>
      <c r="C948" s="679"/>
      <c r="D948" s="679"/>
      <c r="E948" s="680"/>
      <c r="F948" s="681"/>
      <c r="G948" s="680"/>
      <c r="H948" s="3"/>
    </row>
    <row r="949" spans="1:8" ht="15" customHeight="1">
      <c r="A949" s="677"/>
      <c r="B949" s="685"/>
      <c r="C949" s="679"/>
      <c r="D949" s="679"/>
      <c r="E949" s="680"/>
      <c r="F949" s="681"/>
      <c r="G949" s="680"/>
      <c r="H949" s="3"/>
    </row>
    <row r="950" spans="1:8" ht="15" customHeight="1">
      <c r="A950" s="677"/>
      <c r="B950" s="685"/>
      <c r="C950" s="679"/>
      <c r="D950" s="679"/>
      <c r="E950" s="680"/>
      <c r="F950" s="681"/>
      <c r="G950" s="680"/>
      <c r="H950" s="3"/>
    </row>
    <row r="951" spans="1:8" ht="15" customHeight="1">
      <c r="A951" s="677"/>
      <c r="B951" s="685"/>
      <c r="C951" s="679"/>
      <c r="D951" s="679"/>
      <c r="E951" s="680"/>
      <c r="F951" s="681"/>
      <c r="G951" s="680"/>
      <c r="H951" s="3"/>
    </row>
    <row r="952" spans="1:8" ht="15" customHeight="1">
      <c r="A952" s="677"/>
      <c r="B952" s="685"/>
      <c r="C952" s="679"/>
      <c r="D952" s="679"/>
      <c r="E952" s="680"/>
      <c r="F952" s="681"/>
      <c r="G952" s="680"/>
      <c r="H952" s="3"/>
    </row>
    <row r="953" spans="1:8" ht="15" customHeight="1">
      <c r="A953" s="677"/>
      <c r="B953" s="685"/>
      <c r="C953" s="679"/>
      <c r="D953" s="679"/>
      <c r="E953" s="680"/>
      <c r="F953" s="681"/>
      <c r="G953" s="680"/>
      <c r="H953" s="3"/>
    </row>
    <row r="954" spans="1:8" ht="15" customHeight="1">
      <c r="A954" s="691"/>
      <c r="B954" s="695"/>
      <c r="C954" s="693"/>
      <c r="D954" s="679"/>
      <c r="E954" s="680"/>
      <c r="F954" s="681"/>
      <c r="G954" s="680"/>
      <c r="H954" s="3"/>
    </row>
    <row r="955" spans="1:8" ht="15" customHeight="1">
      <c r="A955" s="677"/>
      <c r="B955" s="685"/>
      <c r="C955" s="679"/>
      <c r="D955" s="679"/>
      <c r="E955" s="680"/>
      <c r="F955" s="681"/>
      <c r="G955" s="680"/>
      <c r="H955" s="3"/>
    </row>
    <row r="956" spans="1:8" ht="15" customHeight="1">
      <c r="A956" s="677"/>
      <c r="B956" s="685"/>
      <c r="C956" s="679"/>
      <c r="D956" s="679"/>
      <c r="E956" s="680"/>
      <c r="F956" s="681"/>
      <c r="G956" s="680"/>
      <c r="H956" s="3"/>
    </row>
    <row r="957" spans="1:8" ht="15" customHeight="1">
      <c r="A957" s="677"/>
      <c r="B957" s="685"/>
      <c r="C957" s="679"/>
      <c r="D957" s="679"/>
      <c r="E957" s="680"/>
      <c r="F957" s="681"/>
      <c r="G957" s="680"/>
      <c r="H957" s="3"/>
    </row>
    <row r="958" spans="1:8" ht="15" customHeight="1">
      <c r="A958" s="677"/>
      <c r="B958" s="685"/>
      <c r="C958" s="679"/>
      <c r="D958" s="679"/>
      <c r="E958" s="680"/>
      <c r="F958" s="681"/>
      <c r="G958" s="680"/>
      <c r="H958" s="3"/>
    </row>
    <row r="959" spans="1:8" ht="15" customHeight="1">
      <c r="A959" s="677"/>
      <c r="B959" s="685"/>
      <c r="C959" s="679"/>
      <c r="D959" s="679"/>
      <c r="E959" s="680"/>
      <c r="F959" s="681"/>
      <c r="G959" s="680"/>
      <c r="H959" s="3"/>
    </row>
    <row r="960" spans="1:8" ht="15" customHeight="1">
      <c r="A960" s="677"/>
      <c r="B960" s="685"/>
      <c r="C960" s="679"/>
      <c r="D960" s="679"/>
      <c r="E960" s="680"/>
      <c r="F960" s="681"/>
      <c r="G960" s="680"/>
      <c r="H960" s="3"/>
    </row>
    <row r="961" spans="1:11" ht="15" customHeight="1">
      <c r="A961" s="677"/>
      <c r="B961" s="685"/>
      <c r="C961" s="679"/>
      <c r="D961" s="679"/>
      <c r="E961" s="680"/>
      <c r="F961" s="681"/>
      <c r="G961" s="680"/>
      <c r="H961" s="3"/>
    </row>
    <row r="962" spans="1:11" ht="15" customHeight="1">
      <c r="A962" s="677"/>
      <c r="B962" s="685"/>
      <c r="C962" s="679"/>
      <c r="D962" s="679"/>
      <c r="E962" s="680"/>
      <c r="F962" s="681"/>
      <c r="G962" s="680"/>
      <c r="H962" s="3"/>
    </row>
    <row r="963" spans="1:11" ht="15" customHeight="1">
      <c r="A963" s="677"/>
      <c r="B963" s="685"/>
      <c r="C963" s="679"/>
      <c r="D963" s="679"/>
      <c r="E963" s="680"/>
      <c r="F963" s="681"/>
      <c r="G963" s="680"/>
      <c r="H963" s="3"/>
    </row>
    <row r="964" spans="1:11" ht="15" customHeight="1">
      <c r="A964" s="677"/>
      <c r="B964" s="685"/>
      <c r="C964" s="679"/>
      <c r="D964" s="679"/>
      <c r="E964" s="680"/>
      <c r="F964" s="681"/>
      <c r="G964" s="680"/>
      <c r="H964" s="3"/>
    </row>
    <row r="965" spans="1:11" ht="15" customHeight="1">
      <c r="A965" s="677"/>
      <c r="B965" s="685"/>
      <c r="C965" s="679"/>
      <c r="D965" s="679"/>
      <c r="E965" s="680"/>
      <c r="F965" s="681"/>
      <c r="G965" s="680"/>
      <c r="H965" s="3"/>
    </row>
    <row r="966" spans="1:11" ht="15" customHeight="1">
      <c r="A966" s="704"/>
      <c r="B966" s="685"/>
      <c r="C966" s="679"/>
      <c r="D966" s="679"/>
      <c r="E966" s="680"/>
      <c r="F966" s="681"/>
      <c r="G966" s="680"/>
      <c r="H966" s="3"/>
    </row>
    <row r="967" spans="1:11" ht="15" customHeight="1">
      <c r="A967" s="704"/>
      <c r="B967" s="685"/>
      <c r="C967" s="679"/>
      <c r="D967" s="679"/>
      <c r="E967" s="680"/>
      <c r="F967" s="681"/>
      <c r="G967" s="680"/>
      <c r="H967" s="3"/>
    </row>
    <row r="968" spans="1:11" ht="15" customHeight="1">
      <c r="A968" s="677"/>
      <c r="B968" s="685"/>
      <c r="C968" s="679"/>
      <c r="D968" s="679"/>
      <c r="E968" s="680"/>
      <c r="F968" s="681"/>
      <c r="G968" s="680"/>
      <c r="H968" s="3"/>
    </row>
    <row r="969" spans="1:11" ht="15" customHeight="1">
      <c r="A969" s="677"/>
      <c r="B969" s="685"/>
      <c r="C969" s="679"/>
      <c r="D969" s="679"/>
      <c r="E969" s="680"/>
      <c r="F969" s="681"/>
      <c r="G969" s="680"/>
      <c r="H969" s="3"/>
    </row>
    <row r="970" spans="1:11" ht="15" customHeight="1">
      <c r="A970" s="677"/>
      <c r="B970" s="685"/>
      <c r="C970" s="679"/>
      <c r="D970" s="679"/>
      <c r="E970" s="680"/>
      <c r="F970" s="681"/>
      <c r="G970" s="680"/>
      <c r="H970" s="3"/>
    </row>
    <row r="971" spans="1:11" ht="15" customHeight="1">
      <c r="A971" s="702"/>
      <c r="B971" s="705"/>
      <c r="C971" s="679"/>
      <c r="D971" s="679"/>
      <c r="E971" s="680"/>
      <c r="F971" s="681"/>
      <c r="G971" s="680"/>
      <c r="H971" s="3"/>
    </row>
    <row r="972" spans="1:11" ht="15" customHeight="1">
      <c r="A972" s="677"/>
      <c r="B972" s="685"/>
      <c r="C972" s="679"/>
      <c r="D972" s="679"/>
      <c r="E972" s="680"/>
      <c r="F972" s="681"/>
      <c r="G972" s="680"/>
      <c r="H972" s="3"/>
    </row>
    <row r="973" spans="1:11" ht="15" customHeight="1">
      <c r="A973" s="677"/>
      <c r="B973" s="685"/>
      <c r="C973" s="679"/>
      <c r="D973" s="679"/>
      <c r="E973" s="680"/>
      <c r="F973" s="681"/>
      <c r="G973" s="680"/>
      <c r="H973" s="3"/>
    </row>
    <row r="974" spans="1:11" ht="15" customHeight="1">
      <c r="A974" s="677"/>
      <c r="B974" s="685"/>
      <c r="C974" s="679"/>
      <c r="D974" s="679"/>
      <c r="E974" s="680"/>
      <c r="F974" s="681"/>
      <c r="G974" s="680"/>
      <c r="H974" s="3"/>
    </row>
    <row r="975" spans="1:11" ht="15" customHeight="1">
      <c r="A975" s="677"/>
      <c r="B975" s="685"/>
      <c r="C975" s="679"/>
      <c r="D975" s="679"/>
      <c r="E975" s="680"/>
      <c r="F975" s="681"/>
      <c r="G975" s="680"/>
      <c r="H975" s="3"/>
      <c r="K975" s="3"/>
    </row>
    <row r="976" spans="1:11" ht="15" customHeight="1">
      <c r="A976" s="677"/>
      <c r="B976" s="685"/>
      <c r="C976" s="679"/>
      <c r="D976" s="679"/>
      <c r="E976" s="680"/>
      <c r="F976" s="681"/>
      <c r="G976" s="680"/>
      <c r="H976" s="3"/>
    </row>
    <row r="977" spans="1:11" ht="15" customHeight="1">
      <c r="A977" s="677"/>
      <c r="B977" s="685"/>
      <c r="C977" s="679"/>
      <c r="D977" s="679"/>
      <c r="E977" s="680"/>
      <c r="F977" s="681"/>
      <c r="G977" s="680"/>
      <c r="H977" s="3"/>
    </row>
    <row r="978" spans="1:11" ht="15" customHeight="1">
      <c r="A978" s="677"/>
      <c r="B978" s="685"/>
      <c r="C978" s="679"/>
      <c r="D978" s="679"/>
      <c r="E978" s="680"/>
      <c r="F978" s="681"/>
      <c r="G978" s="680"/>
      <c r="H978" s="3"/>
    </row>
    <row r="979" spans="1:11" ht="15" customHeight="1">
      <c r="A979" s="677"/>
      <c r="B979" s="685"/>
      <c r="C979" s="679"/>
      <c r="D979" s="679"/>
      <c r="E979" s="680"/>
      <c r="F979" s="681"/>
      <c r="G979" s="680"/>
      <c r="H979" s="3"/>
    </row>
    <row r="980" spans="1:11" ht="15" customHeight="1">
      <c r="A980" s="677"/>
      <c r="B980" s="685"/>
      <c r="C980" s="679"/>
      <c r="D980" s="679"/>
      <c r="E980" s="680"/>
      <c r="F980" s="681"/>
      <c r="G980" s="680"/>
      <c r="H980" s="3"/>
    </row>
    <row r="981" spans="1:11" ht="15" customHeight="1">
      <c r="A981" s="677"/>
      <c r="B981" s="679"/>
      <c r="C981" s="679"/>
      <c r="D981" s="679"/>
      <c r="E981" s="680"/>
      <c r="F981" s="681"/>
      <c r="G981" s="680"/>
      <c r="H981" s="3"/>
    </row>
    <row r="982" spans="1:11" ht="15" customHeight="1">
      <c r="A982" s="677"/>
      <c r="B982" s="685"/>
      <c r="C982" s="679"/>
      <c r="D982" s="679"/>
      <c r="E982" s="680"/>
      <c r="F982" s="681"/>
      <c r="G982" s="680"/>
      <c r="H982" s="3"/>
    </row>
    <row r="983" spans="1:11" ht="15" customHeight="1">
      <c r="A983" s="677"/>
      <c r="B983" s="685"/>
      <c r="C983" s="679"/>
      <c r="D983" s="679"/>
      <c r="E983" s="680"/>
      <c r="F983" s="681"/>
      <c r="G983" s="680"/>
      <c r="H983" s="3"/>
    </row>
    <row r="984" spans="1:11" ht="15" customHeight="1">
      <c r="A984" s="677"/>
      <c r="B984" s="685"/>
      <c r="C984" s="679"/>
      <c r="D984" s="679"/>
      <c r="E984" s="680"/>
      <c r="F984" s="681"/>
      <c r="G984" s="680"/>
      <c r="H984" s="3"/>
    </row>
    <row r="985" spans="1:11" ht="15" customHeight="1">
      <c r="A985" s="677"/>
      <c r="B985" s="685"/>
      <c r="C985" s="679"/>
      <c r="D985" s="679"/>
      <c r="E985" s="680"/>
      <c r="F985" s="681"/>
      <c r="G985" s="680"/>
      <c r="H985" s="3"/>
    </row>
    <row r="986" spans="1:11" ht="15" customHeight="1">
      <c r="A986" s="677"/>
      <c r="B986" s="685"/>
      <c r="C986" s="679"/>
      <c r="D986" s="679"/>
      <c r="E986" s="680"/>
      <c r="F986" s="681"/>
      <c r="G986" s="680"/>
      <c r="H986" s="3"/>
      <c r="K986" s="3"/>
    </row>
    <row r="987" spans="1:11" ht="15" customHeight="1">
      <c r="A987" s="677"/>
      <c r="B987" s="685"/>
      <c r="C987" s="679"/>
      <c r="D987" s="679"/>
      <c r="E987" s="680"/>
      <c r="F987" s="681"/>
      <c r="G987" s="680"/>
      <c r="H987" s="3"/>
    </row>
    <row r="988" spans="1:11" ht="15" customHeight="1">
      <c r="A988" s="677"/>
      <c r="B988" s="685"/>
      <c r="C988" s="679"/>
      <c r="D988" s="679"/>
      <c r="E988" s="680"/>
      <c r="F988" s="681"/>
      <c r="G988" s="680"/>
      <c r="H988" s="3"/>
    </row>
    <row r="989" spans="1:11" ht="15" customHeight="1">
      <c r="A989" s="677"/>
      <c r="B989" s="685"/>
      <c r="C989" s="679"/>
      <c r="D989" s="679"/>
      <c r="E989" s="680"/>
      <c r="F989" s="681"/>
      <c r="G989" s="680"/>
      <c r="H989" s="3"/>
    </row>
    <row r="990" spans="1:11" ht="15" customHeight="1">
      <c r="A990" s="677"/>
      <c r="B990" s="685"/>
      <c r="C990" s="679"/>
      <c r="D990" s="679"/>
      <c r="E990" s="680"/>
      <c r="F990" s="681"/>
      <c r="G990" s="680"/>
      <c r="H990" s="3"/>
    </row>
    <row r="991" spans="1:11" ht="15" customHeight="1">
      <c r="A991" s="677"/>
      <c r="B991" s="685"/>
      <c r="C991" s="679"/>
      <c r="D991" s="679"/>
      <c r="E991" s="680"/>
      <c r="F991" s="681"/>
      <c r="G991" s="680"/>
      <c r="H991" s="3"/>
    </row>
    <row r="992" spans="1:11" ht="15" customHeight="1">
      <c r="A992" s="677"/>
      <c r="B992" s="685"/>
      <c r="C992" s="679"/>
      <c r="D992" s="679"/>
      <c r="E992" s="680"/>
      <c r="F992" s="681"/>
      <c r="G992" s="680"/>
      <c r="H992" s="3"/>
      <c r="K992" s="3"/>
    </row>
    <row r="993" spans="1:29" ht="15" customHeight="1">
      <c r="A993" s="677"/>
      <c r="B993" s="685"/>
      <c r="C993" s="679"/>
      <c r="D993" s="679"/>
      <c r="E993" s="680"/>
      <c r="F993" s="681"/>
      <c r="G993" s="680"/>
      <c r="H993" s="3"/>
    </row>
    <row r="994" spans="1:29" ht="15" customHeight="1">
      <c r="A994" s="677"/>
      <c r="B994" s="685"/>
      <c r="C994" s="679"/>
      <c r="D994" s="679"/>
      <c r="E994" s="680"/>
      <c r="F994" s="681"/>
      <c r="G994" s="680"/>
      <c r="H994" s="3"/>
    </row>
    <row r="995" spans="1:29" ht="15" customHeight="1">
      <c r="A995" s="677"/>
      <c r="B995" s="685"/>
      <c r="C995" s="679"/>
      <c r="D995" s="679"/>
      <c r="E995" s="680"/>
      <c r="F995" s="681"/>
      <c r="G995" s="680"/>
      <c r="H995" s="3"/>
      <c r="K995" s="3"/>
    </row>
    <row r="996" spans="1:29" ht="15" customHeight="1">
      <c r="A996" s="677"/>
      <c r="B996" s="685"/>
      <c r="C996" s="679"/>
      <c r="D996" s="679"/>
      <c r="E996" s="680"/>
      <c r="F996" s="681"/>
      <c r="G996" s="680"/>
      <c r="H996" s="3"/>
    </row>
    <row r="997" spans="1:29" ht="15" customHeight="1">
      <c r="A997" s="677"/>
      <c r="B997" s="685"/>
      <c r="C997" s="679"/>
      <c r="D997" s="679"/>
      <c r="E997" s="680"/>
      <c r="F997" s="681"/>
      <c r="G997" s="680"/>
      <c r="H997" s="3"/>
    </row>
    <row r="998" spans="1:29" ht="15" customHeight="1">
      <c r="A998" s="677"/>
      <c r="B998" s="685"/>
      <c r="C998" s="679"/>
      <c r="D998" s="679"/>
      <c r="E998" s="680"/>
      <c r="F998" s="681"/>
      <c r="G998" s="680"/>
      <c r="H998" s="3"/>
    </row>
    <row r="999" spans="1:29" ht="15" customHeight="1">
      <c r="A999" s="677"/>
      <c r="B999" s="685"/>
      <c r="C999" s="679"/>
      <c r="D999" s="679"/>
      <c r="E999" s="680"/>
      <c r="F999" s="681"/>
      <c r="G999" s="680"/>
      <c r="H999" s="3"/>
    </row>
    <row r="1000" spans="1:29" ht="15" customHeight="1">
      <c r="A1000" s="677"/>
      <c r="B1000" s="685"/>
      <c r="C1000" s="679"/>
      <c r="D1000" s="679"/>
      <c r="E1000" s="680"/>
      <c r="F1000" s="681"/>
      <c r="G1000" s="680"/>
      <c r="H1000" s="3"/>
    </row>
    <row r="1001" spans="1:29" ht="15" customHeight="1">
      <c r="A1001" s="677"/>
      <c r="B1001" s="685"/>
      <c r="C1001" s="679"/>
      <c r="D1001" s="679"/>
      <c r="E1001" s="680"/>
      <c r="F1001" s="681"/>
      <c r="G1001" s="680"/>
      <c r="H1001" s="3"/>
    </row>
    <row r="1002" spans="1:29" ht="15" customHeight="1">
      <c r="A1002" s="677"/>
      <c r="B1002" s="685"/>
      <c r="C1002" s="679"/>
      <c r="D1002" s="679"/>
      <c r="E1002" s="680"/>
      <c r="F1002" s="681"/>
      <c r="G1002" s="680"/>
      <c r="H1002" s="3"/>
    </row>
    <row r="1003" spans="1:29" ht="15" customHeight="1">
      <c r="A1003" s="677"/>
      <c r="B1003" s="685"/>
      <c r="C1003" s="679"/>
      <c r="D1003" s="679"/>
      <c r="E1003" s="680"/>
      <c r="F1003" s="681"/>
      <c r="G1003" s="680"/>
      <c r="H1003" s="3"/>
    </row>
    <row r="1004" spans="1:29" ht="15" customHeight="1">
      <c r="A1004" s="677"/>
      <c r="B1004" s="685"/>
      <c r="C1004" s="679"/>
      <c r="D1004" s="679"/>
      <c r="E1004" s="680"/>
      <c r="F1004" s="681"/>
      <c r="G1004" s="680"/>
      <c r="H1004" s="3"/>
    </row>
    <row r="1005" spans="1:29" ht="15" customHeight="1">
      <c r="A1005" s="677"/>
      <c r="B1005" s="685"/>
      <c r="C1005" s="679"/>
      <c r="D1005" s="679"/>
      <c r="E1005" s="680"/>
      <c r="F1005" s="681"/>
      <c r="G1005" s="680"/>
      <c r="H1005" s="3"/>
      <c r="I1005" s="3"/>
      <c r="J1005" s="3"/>
      <c r="L1005" s="3"/>
      <c r="M1005" s="3"/>
      <c r="N1005" s="3"/>
      <c r="O1005" s="3"/>
      <c r="P1005" s="3"/>
      <c r="Q1005" s="3"/>
      <c r="R1005" s="3"/>
      <c r="S1005" s="3"/>
      <c r="T1005" s="3"/>
      <c r="U1005" s="3"/>
      <c r="V1005" s="3"/>
      <c r="W1005" s="3"/>
      <c r="X1005" s="3"/>
      <c r="Y1005" s="3"/>
      <c r="Z1005" s="3"/>
      <c r="AA1005" s="3"/>
      <c r="AB1005" s="3"/>
      <c r="AC1005" s="3"/>
    </row>
    <row r="1006" spans="1:29" ht="15" customHeight="1">
      <c r="A1006" s="677"/>
      <c r="B1006" s="685"/>
      <c r="C1006" s="679"/>
      <c r="D1006" s="679"/>
      <c r="E1006" s="680"/>
      <c r="F1006" s="681"/>
      <c r="G1006" s="680"/>
      <c r="H1006" s="3"/>
    </row>
    <row r="1007" spans="1:29" ht="15" customHeight="1">
      <c r="A1007" s="677"/>
      <c r="B1007" s="685"/>
      <c r="C1007" s="679"/>
      <c r="D1007" s="679"/>
      <c r="E1007" s="680"/>
      <c r="F1007" s="681"/>
      <c r="G1007" s="680"/>
      <c r="H1007" s="3"/>
    </row>
    <row r="1008" spans="1:29" ht="15" customHeight="1">
      <c r="A1008" s="706"/>
      <c r="B1008" s="707"/>
      <c r="C1008" s="679"/>
      <c r="D1008" s="679"/>
      <c r="E1008" s="680"/>
      <c r="F1008" s="681"/>
      <c r="G1008" s="680"/>
      <c r="H1008" s="3"/>
    </row>
    <row r="1009" spans="1:15" ht="15" customHeight="1">
      <c r="A1009" s="677"/>
      <c r="B1009" s="685"/>
      <c r="C1009" s="679"/>
      <c r="D1009" s="679"/>
      <c r="E1009" s="680"/>
      <c r="F1009" s="681"/>
      <c r="G1009" s="680"/>
      <c r="H1009" s="3"/>
    </row>
    <row r="1010" spans="1:15" ht="15" customHeight="1">
      <c r="A1010" s="677"/>
      <c r="B1010" s="685"/>
      <c r="C1010" s="679"/>
      <c r="D1010" s="679"/>
      <c r="E1010" s="680"/>
      <c r="F1010" s="681"/>
      <c r="G1010" s="680"/>
      <c r="H1010" s="3"/>
    </row>
    <row r="1011" spans="1:15" ht="15" customHeight="1">
      <c r="A1011" s="677"/>
      <c r="B1011" s="685"/>
      <c r="C1011" s="679"/>
      <c r="D1011" s="679"/>
      <c r="E1011" s="680"/>
      <c r="F1011" s="681"/>
      <c r="G1011" s="680"/>
      <c r="H1011" s="3"/>
    </row>
    <row r="1012" spans="1:15" ht="15" customHeight="1">
      <c r="A1012" s="677"/>
      <c r="B1012" s="685"/>
      <c r="C1012" s="679"/>
      <c r="D1012" s="679"/>
      <c r="E1012" s="680"/>
      <c r="F1012" s="681"/>
      <c r="G1012" s="680"/>
      <c r="H1012" s="3"/>
    </row>
    <row r="1013" spans="1:15" ht="15" customHeight="1">
      <c r="A1013" s="677"/>
      <c r="B1013" s="685"/>
      <c r="C1013" s="679"/>
      <c r="D1013" s="679"/>
      <c r="E1013" s="680"/>
      <c r="F1013" s="681"/>
      <c r="G1013" s="680"/>
      <c r="H1013" s="3"/>
    </row>
    <row r="1014" spans="1:15" ht="15" customHeight="1">
      <c r="A1014" s="677"/>
      <c r="B1014" s="685"/>
      <c r="C1014" s="679"/>
      <c r="D1014" s="679"/>
      <c r="E1014" s="680"/>
      <c r="F1014" s="681"/>
      <c r="G1014" s="680"/>
      <c r="H1014" s="3"/>
    </row>
    <row r="1015" spans="1:15" ht="15" customHeight="1">
      <c r="A1015" s="677"/>
      <c r="B1015" s="685"/>
      <c r="C1015" s="679"/>
      <c r="D1015" s="679"/>
      <c r="E1015" s="680"/>
      <c r="F1015" s="681"/>
      <c r="G1015" s="680"/>
      <c r="H1015" s="3"/>
    </row>
    <row r="1016" spans="1:15" ht="15" customHeight="1">
      <c r="A1016" s="677"/>
      <c r="B1016" s="685"/>
      <c r="C1016" s="679"/>
      <c r="D1016" s="679"/>
      <c r="E1016" s="680"/>
      <c r="F1016" s="681"/>
      <c r="G1016" s="680"/>
      <c r="H1016" s="3"/>
      <c r="M1016" s="3"/>
      <c r="N1016" s="3"/>
      <c r="O1016" s="3"/>
    </row>
    <row r="1017" spans="1:15" ht="15" customHeight="1">
      <c r="A1017" s="677"/>
      <c r="B1017" s="685"/>
      <c r="C1017" s="679"/>
      <c r="D1017" s="679"/>
      <c r="E1017" s="680"/>
      <c r="F1017" s="681"/>
      <c r="G1017" s="680"/>
      <c r="H1017" s="3"/>
    </row>
    <row r="1018" spans="1:15" ht="15" customHeight="1">
      <c r="A1018" s="677"/>
      <c r="B1018" s="685"/>
      <c r="C1018" s="679"/>
      <c r="D1018" s="679"/>
      <c r="E1018" s="680"/>
      <c r="F1018" s="681"/>
      <c r="G1018" s="680"/>
      <c r="H1018" s="3"/>
    </row>
    <row r="1019" spans="1:15" ht="15" customHeight="1">
      <c r="A1019" s="677"/>
      <c r="B1019" s="685"/>
      <c r="C1019" s="679"/>
      <c r="D1019" s="679"/>
      <c r="E1019" s="680"/>
      <c r="F1019" s="681"/>
      <c r="G1019" s="680"/>
      <c r="H1019" s="3"/>
    </row>
    <row r="1020" spans="1:15" ht="15" customHeight="1">
      <c r="A1020" s="677"/>
      <c r="B1020" s="685"/>
      <c r="C1020" s="679"/>
      <c r="D1020" s="679"/>
      <c r="E1020" s="680"/>
      <c r="F1020" s="681"/>
      <c r="G1020" s="680"/>
      <c r="H1020" s="3"/>
    </row>
    <row r="1021" spans="1:15" ht="15" customHeight="1">
      <c r="A1021" s="677"/>
      <c r="B1021" s="685"/>
      <c r="C1021" s="679"/>
      <c r="D1021" s="679"/>
      <c r="E1021" s="680"/>
      <c r="F1021" s="681"/>
      <c r="G1021" s="680"/>
      <c r="H1021" s="3"/>
    </row>
    <row r="1022" spans="1:15" ht="15" customHeight="1">
      <c r="A1022" s="677"/>
      <c r="B1022" s="685"/>
      <c r="C1022" s="679"/>
      <c r="D1022" s="679"/>
      <c r="E1022" s="680"/>
      <c r="F1022" s="681"/>
      <c r="G1022" s="680"/>
      <c r="H1022" s="3"/>
    </row>
    <row r="1023" spans="1:15" ht="15" customHeight="1">
      <c r="A1023" s="677"/>
      <c r="B1023" s="685"/>
      <c r="C1023" s="679"/>
      <c r="D1023" s="679"/>
      <c r="E1023" s="680"/>
      <c r="F1023" s="681"/>
      <c r="G1023" s="680"/>
      <c r="H1023" s="3"/>
    </row>
    <row r="1024" spans="1:15" ht="15" customHeight="1">
      <c r="A1024" s="677"/>
      <c r="B1024" s="685"/>
      <c r="C1024" s="679"/>
      <c r="D1024" s="679"/>
      <c r="E1024" s="680"/>
      <c r="F1024" s="681"/>
      <c r="G1024" s="680"/>
      <c r="H1024" s="3"/>
    </row>
    <row r="1025" spans="1:8" ht="15" customHeight="1">
      <c r="A1025" s="706"/>
      <c r="B1025" s="707"/>
      <c r="C1025" s="679"/>
      <c r="D1025" s="679"/>
      <c r="E1025" s="680"/>
      <c r="F1025" s="681"/>
      <c r="G1025" s="680"/>
      <c r="H1025" s="3"/>
    </row>
    <row r="1026" spans="1:8" ht="15" customHeight="1">
      <c r="A1026" s="677"/>
      <c r="B1026" s="685"/>
      <c r="C1026" s="679"/>
      <c r="D1026" s="679"/>
      <c r="E1026" s="680"/>
      <c r="F1026" s="681"/>
      <c r="G1026" s="680"/>
      <c r="H1026" s="3"/>
    </row>
    <row r="1027" spans="1:8" ht="15" customHeight="1">
      <c r="A1027" s="677"/>
      <c r="B1027" s="685"/>
      <c r="C1027" s="679"/>
      <c r="D1027" s="679"/>
      <c r="E1027" s="680"/>
      <c r="F1027" s="681"/>
      <c r="G1027" s="680"/>
      <c r="H1027" s="3"/>
    </row>
    <row r="1028" spans="1:8" ht="15" customHeight="1">
      <c r="A1028" s="677"/>
      <c r="B1028" s="685"/>
      <c r="C1028" s="679"/>
      <c r="D1028" s="679"/>
      <c r="E1028" s="680"/>
      <c r="F1028" s="681"/>
      <c r="G1028" s="680"/>
      <c r="H1028" s="3"/>
    </row>
    <row r="1029" spans="1:8" ht="15" customHeight="1">
      <c r="A1029" s="677"/>
      <c r="B1029" s="685"/>
      <c r="C1029" s="679"/>
      <c r="D1029" s="679"/>
      <c r="E1029" s="680"/>
      <c r="F1029" s="681"/>
      <c r="G1029" s="680"/>
      <c r="H1029" s="3"/>
    </row>
    <row r="1030" spans="1:8" ht="15" customHeight="1">
      <c r="A1030" s="677"/>
      <c r="B1030" s="685"/>
      <c r="C1030" s="679"/>
      <c r="D1030" s="679"/>
      <c r="E1030" s="680"/>
      <c r="F1030" s="681"/>
      <c r="G1030" s="680"/>
      <c r="H1030" s="3"/>
    </row>
    <row r="1031" spans="1:8" ht="15" customHeight="1">
      <c r="A1031" s="677"/>
      <c r="B1031" s="685"/>
      <c r="C1031" s="679"/>
      <c r="D1031" s="679"/>
      <c r="E1031" s="680"/>
      <c r="F1031" s="681"/>
      <c r="G1031" s="680"/>
      <c r="H1031" s="3"/>
    </row>
    <row r="1032" spans="1:8" ht="15" customHeight="1">
      <c r="A1032" s="677"/>
      <c r="B1032" s="685"/>
      <c r="C1032" s="679"/>
      <c r="D1032" s="679"/>
      <c r="E1032" s="680"/>
      <c r="F1032" s="681"/>
      <c r="G1032" s="680"/>
      <c r="H1032" s="3"/>
    </row>
    <row r="1033" spans="1:8" ht="15" customHeight="1">
      <c r="A1033" s="677"/>
      <c r="B1033" s="685"/>
      <c r="C1033" s="679"/>
      <c r="D1033" s="679"/>
      <c r="E1033" s="680"/>
      <c r="F1033" s="681"/>
      <c r="G1033" s="680"/>
      <c r="H1033" s="3"/>
    </row>
    <row r="1034" spans="1:8" ht="15" customHeight="1">
      <c r="A1034" s="677"/>
      <c r="B1034" s="685"/>
      <c r="C1034" s="679"/>
      <c r="D1034" s="679"/>
      <c r="E1034" s="680"/>
      <c r="F1034" s="681"/>
      <c r="G1034" s="680"/>
      <c r="H1034" s="3"/>
    </row>
    <row r="1035" spans="1:8" ht="15" customHeight="1">
      <c r="A1035" s="677"/>
      <c r="B1035" s="685"/>
      <c r="C1035" s="679"/>
      <c r="D1035" s="679"/>
      <c r="E1035" s="680"/>
      <c r="F1035" s="681"/>
      <c r="G1035" s="680"/>
      <c r="H1035" s="3"/>
    </row>
    <row r="1036" spans="1:8" ht="15" customHeight="1">
      <c r="A1036" s="677"/>
      <c r="B1036" s="685"/>
      <c r="C1036" s="679"/>
      <c r="D1036" s="679"/>
      <c r="E1036" s="680"/>
      <c r="F1036" s="681"/>
      <c r="G1036" s="680"/>
      <c r="H1036" s="3"/>
    </row>
    <row r="1037" spans="1:8" ht="15" customHeight="1">
      <c r="A1037" s="677"/>
      <c r="B1037" s="685"/>
      <c r="C1037" s="679"/>
      <c r="D1037" s="679"/>
      <c r="E1037" s="680"/>
      <c r="F1037" s="681"/>
      <c r="G1037" s="680"/>
      <c r="H1037" s="3"/>
    </row>
    <row r="1038" spans="1:8" ht="15" customHeight="1">
      <c r="A1038" s="677"/>
      <c r="B1038" s="685"/>
      <c r="C1038" s="679"/>
      <c r="D1038" s="679"/>
      <c r="E1038" s="680"/>
      <c r="F1038" s="681"/>
      <c r="G1038" s="680"/>
      <c r="H1038" s="3"/>
    </row>
    <row r="1039" spans="1:8" ht="15" customHeight="1">
      <c r="A1039" s="677"/>
      <c r="B1039" s="685"/>
      <c r="C1039" s="679"/>
      <c r="D1039" s="679"/>
      <c r="E1039" s="680"/>
      <c r="F1039" s="681"/>
      <c r="G1039" s="680"/>
      <c r="H1039" s="3"/>
    </row>
    <row r="1040" spans="1:8" ht="15" customHeight="1">
      <c r="A1040" s="677"/>
      <c r="B1040" s="685"/>
      <c r="C1040" s="679"/>
      <c r="D1040" s="679"/>
      <c r="E1040" s="680"/>
      <c r="F1040" s="681"/>
      <c r="G1040" s="680"/>
      <c r="H1040" s="3"/>
    </row>
    <row r="1041" spans="1:29" ht="15" customHeight="1">
      <c r="A1041" s="677"/>
      <c r="B1041" s="685"/>
      <c r="C1041" s="679"/>
      <c r="D1041" s="679"/>
      <c r="E1041" s="680"/>
      <c r="F1041" s="681"/>
      <c r="G1041" s="680"/>
      <c r="H1041" s="3"/>
      <c r="I1041" s="3"/>
      <c r="J1041" s="3"/>
      <c r="L1041" s="3"/>
      <c r="M1041" s="3"/>
      <c r="N1041" s="3"/>
      <c r="O1041" s="3"/>
      <c r="P1041" s="3"/>
      <c r="Q1041" s="3"/>
      <c r="R1041" s="3"/>
      <c r="S1041" s="3"/>
      <c r="T1041" s="3"/>
      <c r="U1041" s="3"/>
      <c r="V1041" s="3"/>
      <c r="W1041" s="3"/>
      <c r="X1041" s="3"/>
      <c r="Y1041" s="3"/>
      <c r="Z1041" s="3"/>
      <c r="AA1041" s="3"/>
      <c r="AB1041" s="3"/>
      <c r="AC1041" s="3"/>
    </row>
    <row r="1042" spans="1:29" ht="15" customHeight="1">
      <c r="A1042" s="677"/>
      <c r="B1042" s="685"/>
      <c r="C1042" s="679"/>
      <c r="D1042" s="679"/>
      <c r="E1042" s="680"/>
      <c r="F1042" s="681"/>
      <c r="G1042" s="680"/>
      <c r="H1042" s="3"/>
    </row>
    <row r="1043" spans="1:29" ht="15" customHeight="1">
      <c r="A1043" s="677"/>
      <c r="B1043" s="679"/>
      <c r="C1043" s="679"/>
      <c r="D1043" s="679"/>
      <c r="E1043" s="680"/>
      <c r="F1043" s="681"/>
      <c r="G1043" s="680"/>
      <c r="H1043" s="3"/>
    </row>
    <row r="1044" spans="1:29" ht="15" customHeight="1">
      <c r="A1044" s="677"/>
      <c r="B1044" s="685"/>
      <c r="C1044" s="679"/>
      <c r="D1044" s="679"/>
      <c r="E1044" s="680"/>
      <c r="F1044" s="681"/>
      <c r="G1044" s="680"/>
      <c r="H1044" s="3"/>
      <c r="I1044" s="3"/>
      <c r="J1044" s="3"/>
      <c r="L1044" s="3"/>
      <c r="M1044" s="3"/>
      <c r="N1044" s="3"/>
      <c r="O1044" s="3"/>
      <c r="P1044" s="3"/>
      <c r="Q1044" s="3"/>
      <c r="R1044" s="3"/>
      <c r="S1044" s="3"/>
      <c r="T1044" s="3"/>
      <c r="U1044" s="3"/>
      <c r="V1044" s="3"/>
      <c r="W1044" s="3"/>
      <c r="X1044" s="3"/>
      <c r="Y1044" s="3"/>
      <c r="Z1044" s="3"/>
      <c r="AA1044" s="3"/>
      <c r="AB1044" s="3"/>
      <c r="AC1044" s="3"/>
    </row>
    <row r="1045" spans="1:29" ht="15" customHeight="1">
      <c r="A1045" s="677"/>
      <c r="B1045" s="685"/>
      <c r="C1045" s="679"/>
      <c r="D1045" s="679"/>
      <c r="E1045" s="680"/>
      <c r="F1045" s="681"/>
      <c r="G1045" s="680"/>
      <c r="H1045" s="3"/>
      <c r="I1045" s="3"/>
      <c r="J1045" s="3"/>
      <c r="L1045" s="3"/>
      <c r="M1045" s="3"/>
      <c r="N1045" s="3"/>
      <c r="O1045" s="3"/>
      <c r="P1045" s="3"/>
      <c r="Q1045" s="3"/>
      <c r="R1045" s="3"/>
      <c r="S1045" s="3"/>
      <c r="T1045" s="3"/>
      <c r="U1045" s="3"/>
      <c r="V1045" s="3"/>
      <c r="W1045" s="3"/>
      <c r="X1045" s="3"/>
      <c r="Y1045" s="3"/>
      <c r="Z1045" s="3"/>
      <c r="AA1045" s="3"/>
      <c r="AB1045" s="3"/>
      <c r="AC1045" s="3"/>
    </row>
    <row r="1046" spans="1:29" ht="15" customHeight="1">
      <c r="A1046" s="708"/>
      <c r="B1046" s="709"/>
      <c r="C1046" s="710"/>
      <c r="D1046" s="710"/>
      <c r="E1046" s="680"/>
      <c r="F1046" s="681"/>
      <c r="G1046" s="680"/>
      <c r="H1046" s="3"/>
    </row>
    <row r="1047" spans="1:29" ht="15" customHeight="1">
      <c r="A1047" s="677"/>
      <c r="B1047" s="685"/>
      <c r="C1047" s="679"/>
      <c r="D1047" s="679"/>
      <c r="E1047" s="680"/>
      <c r="F1047" s="681"/>
      <c r="G1047" s="680"/>
      <c r="H1047" s="3"/>
    </row>
    <row r="1048" spans="1:29" ht="15" customHeight="1">
      <c r="A1048" s="677"/>
      <c r="B1048" s="685"/>
      <c r="C1048" s="679"/>
      <c r="D1048" s="679"/>
      <c r="E1048" s="680"/>
      <c r="F1048" s="681"/>
      <c r="G1048" s="680"/>
      <c r="H1048" s="3"/>
      <c r="K1048" s="3"/>
    </row>
    <row r="1049" spans="1:29" ht="15" customHeight="1">
      <c r="A1049" s="677"/>
      <c r="B1049" s="685"/>
      <c r="C1049" s="679"/>
      <c r="D1049" s="679"/>
      <c r="E1049" s="680"/>
      <c r="F1049" s="681"/>
      <c r="G1049" s="680"/>
      <c r="H1049" s="3"/>
    </row>
    <row r="1050" spans="1:29" ht="15" customHeight="1">
      <c r="A1050" s="677"/>
      <c r="B1050" s="685"/>
      <c r="C1050" s="679"/>
      <c r="D1050" s="679"/>
      <c r="E1050" s="680"/>
      <c r="F1050" s="681"/>
      <c r="G1050" s="680"/>
      <c r="H1050" s="3"/>
    </row>
    <row r="1051" spans="1:29" ht="15" customHeight="1">
      <c r="A1051" s="677"/>
      <c r="B1051" s="685"/>
      <c r="C1051" s="679"/>
      <c r="D1051" s="679"/>
      <c r="E1051" s="680"/>
      <c r="F1051" s="681"/>
      <c r="G1051" s="680"/>
      <c r="H1051" s="3"/>
      <c r="I1051" s="3"/>
      <c r="J1051" s="3"/>
      <c r="L1051" s="3"/>
      <c r="M1051" s="3"/>
      <c r="N1051" s="3"/>
      <c r="O1051" s="3"/>
      <c r="P1051" s="3"/>
      <c r="Q1051" s="3"/>
      <c r="R1051" s="3"/>
      <c r="S1051" s="3"/>
      <c r="T1051" s="3"/>
      <c r="U1051" s="3"/>
      <c r="V1051" s="3"/>
      <c r="W1051" s="3"/>
      <c r="X1051" s="3"/>
      <c r="Y1051" s="3"/>
      <c r="Z1051" s="3"/>
      <c r="AA1051" s="3"/>
      <c r="AB1051" s="3"/>
      <c r="AC1051" s="3"/>
    </row>
    <row r="1052" spans="1:29" ht="15" customHeight="1">
      <c r="A1052" s="677"/>
      <c r="B1052" s="685"/>
      <c r="C1052" s="679"/>
      <c r="D1052" s="679"/>
      <c r="E1052" s="680"/>
      <c r="F1052" s="681"/>
      <c r="G1052" s="680"/>
      <c r="H1052" s="3"/>
    </row>
    <row r="1053" spans="1:29" ht="15" customHeight="1">
      <c r="A1053" s="677"/>
      <c r="B1053" s="685"/>
      <c r="C1053" s="679"/>
      <c r="D1053" s="679"/>
      <c r="E1053" s="680"/>
      <c r="F1053" s="681"/>
      <c r="G1053" s="680"/>
      <c r="H1053" s="3"/>
    </row>
    <row r="1054" spans="1:29" ht="15" customHeight="1">
      <c r="A1054" s="677"/>
      <c r="B1054" s="685"/>
      <c r="C1054" s="679"/>
      <c r="D1054" s="679"/>
      <c r="E1054" s="680"/>
      <c r="F1054" s="681"/>
      <c r="G1054" s="680"/>
      <c r="H1054" s="3"/>
    </row>
    <row r="1055" spans="1:29" ht="15" customHeight="1">
      <c r="A1055" s="677"/>
      <c r="B1055" s="685"/>
      <c r="C1055" s="679"/>
      <c r="D1055" s="679"/>
      <c r="E1055" s="680"/>
      <c r="F1055" s="681"/>
      <c r="G1055" s="680"/>
      <c r="H1055" s="3"/>
    </row>
    <row r="1056" spans="1:29" ht="15" customHeight="1">
      <c r="A1056" s="677"/>
      <c r="B1056" s="685"/>
      <c r="C1056" s="679"/>
      <c r="D1056" s="679"/>
      <c r="E1056" s="680"/>
      <c r="F1056" s="681"/>
      <c r="G1056" s="680"/>
      <c r="H1056" s="3"/>
      <c r="K1056" s="3"/>
    </row>
    <row r="1057" spans="1:8" ht="15" customHeight="1">
      <c r="A1057" s="677"/>
      <c r="B1057" s="685"/>
      <c r="C1057" s="679"/>
      <c r="D1057" s="679"/>
      <c r="E1057" s="680"/>
      <c r="F1057" s="681"/>
      <c r="G1057" s="680"/>
      <c r="H1057" s="3"/>
    </row>
    <row r="1058" spans="1:8" ht="15" customHeight="1">
      <c r="A1058" s="677"/>
      <c r="B1058" s="685"/>
      <c r="C1058" s="679"/>
      <c r="D1058" s="679"/>
      <c r="E1058" s="680"/>
      <c r="F1058" s="681"/>
      <c r="G1058" s="680"/>
      <c r="H1058" s="3"/>
    </row>
    <row r="1059" spans="1:8" ht="15" customHeight="1">
      <c r="A1059" s="677"/>
      <c r="B1059" s="685"/>
      <c r="C1059" s="679"/>
      <c r="D1059" s="679"/>
      <c r="E1059" s="680"/>
      <c r="F1059" s="681"/>
      <c r="G1059" s="680"/>
      <c r="H1059" s="3"/>
    </row>
    <row r="1060" spans="1:8" ht="15" customHeight="1">
      <c r="A1060" s="677"/>
      <c r="B1060" s="685"/>
      <c r="C1060" s="679"/>
      <c r="D1060" s="679"/>
      <c r="E1060" s="680"/>
      <c r="F1060" s="681"/>
      <c r="G1060" s="680"/>
      <c r="H1060" s="3"/>
    </row>
    <row r="1061" spans="1:8" ht="15" customHeight="1">
      <c r="A1061" s="677"/>
      <c r="B1061" s="685"/>
      <c r="C1061" s="679"/>
      <c r="D1061" s="679"/>
      <c r="E1061" s="680"/>
      <c r="F1061" s="681"/>
      <c r="G1061" s="680"/>
      <c r="H1061" s="3"/>
    </row>
    <row r="1062" spans="1:8" ht="15" customHeight="1">
      <c r="A1062" s="677"/>
      <c r="B1062" s="685"/>
      <c r="C1062" s="679"/>
      <c r="D1062" s="679"/>
      <c r="E1062" s="680"/>
      <c r="F1062" s="681"/>
      <c r="G1062" s="680"/>
      <c r="H1062" s="3"/>
    </row>
    <row r="1063" spans="1:8" ht="15" customHeight="1">
      <c r="A1063" s="677"/>
      <c r="B1063" s="685"/>
      <c r="C1063" s="679"/>
      <c r="D1063" s="679"/>
      <c r="E1063" s="680"/>
      <c r="F1063" s="681"/>
      <c r="G1063" s="680"/>
      <c r="H1063" s="3"/>
    </row>
    <row r="1064" spans="1:8" ht="15" customHeight="1">
      <c r="A1064" s="677"/>
      <c r="B1064" s="685"/>
      <c r="C1064" s="679"/>
      <c r="D1064" s="679"/>
      <c r="E1064" s="680"/>
      <c r="F1064" s="681"/>
      <c r="G1064" s="680"/>
      <c r="H1064" s="3"/>
    </row>
    <row r="1065" spans="1:8" ht="15" customHeight="1">
      <c r="A1065" s="677"/>
      <c r="B1065" s="685"/>
      <c r="C1065" s="679"/>
      <c r="D1065" s="679"/>
      <c r="E1065" s="680"/>
      <c r="F1065" s="681"/>
      <c r="G1065" s="680"/>
      <c r="H1065" s="3"/>
    </row>
    <row r="1066" spans="1:8" ht="15" customHeight="1">
      <c r="A1066" s="677"/>
      <c r="B1066" s="685"/>
      <c r="C1066" s="679"/>
      <c r="D1066" s="679"/>
      <c r="E1066" s="680"/>
      <c r="F1066" s="681"/>
      <c r="G1066" s="680"/>
      <c r="H1066" s="3"/>
    </row>
    <row r="1067" spans="1:8" ht="15" customHeight="1">
      <c r="A1067" s="677"/>
      <c r="B1067" s="685"/>
      <c r="C1067" s="679"/>
      <c r="D1067" s="679"/>
      <c r="E1067" s="680"/>
      <c r="F1067" s="681"/>
      <c r="G1067" s="680"/>
      <c r="H1067" s="3"/>
    </row>
    <row r="1068" spans="1:8" ht="15" customHeight="1">
      <c r="A1068" s="677"/>
      <c r="B1068" s="685"/>
      <c r="C1068" s="679"/>
      <c r="D1068" s="679"/>
      <c r="E1068" s="680"/>
      <c r="F1068" s="681"/>
      <c r="G1068" s="680"/>
      <c r="H1068" s="3"/>
    </row>
    <row r="1069" spans="1:8" ht="15" customHeight="1">
      <c r="A1069" s="677"/>
      <c r="B1069" s="685"/>
      <c r="C1069" s="679"/>
      <c r="D1069" s="679"/>
      <c r="E1069" s="680"/>
      <c r="F1069" s="681"/>
      <c r="G1069" s="680"/>
      <c r="H1069" s="3"/>
    </row>
    <row r="1070" spans="1:8" ht="15" customHeight="1">
      <c r="A1070" s="677"/>
      <c r="B1070" s="685"/>
      <c r="C1070" s="679"/>
      <c r="D1070" s="679"/>
      <c r="E1070" s="680"/>
      <c r="F1070" s="681"/>
      <c r="G1070" s="680"/>
      <c r="H1070" s="3"/>
    </row>
    <row r="1071" spans="1:8" ht="15" customHeight="1">
      <c r="A1071" s="677"/>
      <c r="B1071" s="685"/>
      <c r="C1071" s="679"/>
      <c r="D1071" s="679"/>
      <c r="E1071" s="680"/>
      <c r="F1071" s="681"/>
      <c r="G1071" s="680"/>
      <c r="H1071" s="3"/>
    </row>
    <row r="1072" spans="1:8" ht="15" customHeight="1">
      <c r="A1072" s="677"/>
      <c r="B1072" s="685"/>
      <c r="C1072" s="679"/>
      <c r="D1072" s="679"/>
      <c r="E1072" s="680"/>
      <c r="F1072" s="681"/>
      <c r="G1072" s="680"/>
      <c r="H1072" s="3"/>
    </row>
    <row r="1073" spans="1:8" ht="15" customHeight="1">
      <c r="A1073" s="677"/>
      <c r="B1073" s="685"/>
      <c r="C1073" s="679"/>
      <c r="D1073" s="679"/>
      <c r="E1073" s="680"/>
      <c r="F1073" s="681"/>
      <c r="G1073" s="680"/>
      <c r="H1073" s="3"/>
    </row>
    <row r="1074" spans="1:8" ht="15" customHeight="1">
      <c r="A1074" s="677"/>
      <c r="B1074" s="685"/>
      <c r="C1074" s="679"/>
      <c r="D1074" s="679"/>
      <c r="E1074" s="680"/>
      <c r="F1074" s="681"/>
      <c r="G1074" s="680"/>
      <c r="H1074" s="3"/>
    </row>
    <row r="1075" spans="1:8" ht="15" customHeight="1">
      <c r="A1075" s="677"/>
      <c r="B1075" s="685"/>
      <c r="C1075" s="679"/>
      <c r="D1075" s="679"/>
      <c r="E1075" s="680"/>
      <c r="F1075" s="681"/>
      <c r="G1075" s="680"/>
      <c r="H1075" s="3"/>
    </row>
    <row r="1076" spans="1:8" ht="15" customHeight="1">
      <c r="A1076" s="677"/>
      <c r="B1076" s="685"/>
      <c r="C1076" s="679"/>
      <c r="D1076" s="679"/>
      <c r="E1076" s="680"/>
      <c r="F1076" s="681"/>
      <c r="G1076" s="680"/>
      <c r="H1076" s="3"/>
    </row>
    <row r="1077" spans="1:8" ht="15" customHeight="1">
      <c r="A1077" s="677"/>
      <c r="B1077" s="685"/>
      <c r="C1077" s="679"/>
      <c r="D1077" s="679"/>
      <c r="E1077" s="680"/>
      <c r="F1077" s="681"/>
      <c r="G1077" s="680"/>
      <c r="H1077" s="3"/>
    </row>
    <row r="1078" spans="1:8" ht="15" customHeight="1">
      <c r="A1078" s="677"/>
      <c r="B1078" s="685"/>
      <c r="C1078" s="679"/>
      <c r="D1078" s="679"/>
      <c r="E1078" s="680"/>
      <c r="F1078" s="681"/>
      <c r="G1078" s="680"/>
      <c r="H1078" s="3"/>
    </row>
    <row r="1079" spans="1:8" ht="15" customHeight="1">
      <c r="A1079" s="702"/>
      <c r="B1079" s="695"/>
      <c r="C1079" s="693"/>
      <c r="D1079" s="679"/>
      <c r="E1079" s="680"/>
      <c r="F1079" s="681"/>
      <c r="G1079" s="680"/>
      <c r="H1079" s="3"/>
    </row>
    <row r="1080" spans="1:8" ht="15" customHeight="1">
      <c r="A1080" s="677"/>
      <c r="B1080" s="685"/>
      <c r="C1080" s="679"/>
      <c r="D1080" s="679"/>
      <c r="E1080" s="680"/>
      <c r="F1080" s="681"/>
      <c r="G1080" s="680"/>
      <c r="H1080" s="3"/>
    </row>
    <row r="1081" spans="1:8" ht="15" customHeight="1">
      <c r="A1081" s="677"/>
      <c r="B1081" s="685"/>
      <c r="C1081" s="679"/>
      <c r="D1081" s="679"/>
      <c r="E1081" s="680"/>
      <c r="F1081" s="681"/>
      <c r="G1081" s="680"/>
      <c r="H1081" s="3"/>
    </row>
    <row r="1082" spans="1:8" ht="15" customHeight="1">
      <c r="A1082" s="677"/>
      <c r="B1082" s="685"/>
      <c r="C1082" s="679"/>
      <c r="D1082" s="679"/>
      <c r="E1082" s="680"/>
      <c r="F1082" s="681"/>
      <c r="G1082" s="680"/>
      <c r="H1082" s="3"/>
    </row>
    <row r="1083" spans="1:8" ht="15" customHeight="1">
      <c r="A1083" s="677"/>
      <c r="B1083" s="685"/>
      <c r="C1083" s="679"/>
      <c r="D1083" s="679"/>
      <c r="E1083" s="680"/>
      <c r="F1083" s="681"/>
      <c r="G1083" s="680"/>
      <c r="H1083" s="3"/>
    </row>
    <row r="1084" spans="1:8" ht="15" customHeight="1">
      <c r="A1084" s="677"/>
      <c r="B1084" s="685"/>
      <c r="C1084" s="679"/>
      <c r="D1084" s="679"/>
      <c r="E1084" s="680"/>
      <c r="F1084" s="681"/>
      <c r="G1084" s="680"/>
      <c r="H1084" s="3"/>
    </row>
    <row r="1085" spans="1:8" ht="15" customHeight="1">
      <c r="A1085" s="677"/>
      <c r="B1085" s="685"/>
      <c r="C1085" s="679"/>
      <c r="D1085" s="679"/>
      <c r="E1085" s="680"/>
      <c r="F1085" s="681"/>
      <c r="G1085" s="680"/>
      <c r="H1085" s="3"/>
    </row>
    <row r="1086" spans="1:8" ht="15" customHeight="1">
      <c r="A1086" s="677"/>
      <c r="B1086" s="685"/>
      <c r="C1086" s="679"/>
      <c r="D1086" s="679"/>
      <c r="E1086" s="680"/>
      <c r="F1086" s="681"/>
      <c r="G1086" s="680"/>
      <c r="H1086" s="3"/>
    </row>
    <row r="1087" spans="1:8" ht="15" customHeight="1">
      <c r="A1087" s="677"/>
      <c r="B1087" s="685"/>
      <c r="C1087" s="679"/>
      <c r="D1087" s="679"/>
      <c r="E1087" s="680"/>
      <c r="F1087" s="681"/>
      <c r="G1087" s="680"/>
      <c r="H1087" s="3"/>
    </row>
    <row r="1088" spans="1:8" ht="15" customHeight="1">
      <c r="A1088" s="677"/>
      <c r="B1088" s="685"/>
      <c r="C1088" s="679"/>
      <c r="D1088" s="679"/>
      <c r="E1088" s="680"/>
      <c r="F1088" s="681"/>
      <c r="G1088" s="680"/>
      <c r="H1088" s="3"/>
    </row>
    <row r="1089" spans="1:11" ht="15" customHeight="1">
      <c r="A1089" s="677"/>
      <c r="B1089" s="685"/>
      <c r="C1089" s="679"/>
      <c r="D1089" s="679"/>
      <c r="E1089" s="680"/>
      <c r="F1089" s="681"/>
      <c r="G1089" s="680"/>
      <c r="H1089" s="3"/>
    </row>
    <row r="1090" spans="1:11" ht="15" customHeight="1">
      <c r="A1090" s="677"/>
      <c r="B1090" s="685"/>
      <c r="C1090" s="679"/>
      <c r="D1090" s="679"/>
      <c r="E1090" s="680"/>
      <c r="F1090" s="681"/>
      <c r="G1090" s="680"/>
      <c r="H1090" s="3"/>
    </row>
    <row r="1091" spans="1:11" ht="15" customHeight="1">
      <c r="A1091" s="677"/>
      <c r="B1091" s="685"/>
      <c r="C1091" s="679"/>
      <c r="D1091" s="679"/>
      <c r="E1091" s="680"/>
      <c r="F1091" s="681"/>
      <c r="G1091" s="680"/>
      <c r="H1091" s="3"/>
    </row>
    <row r="1092" spans="1:11" ht="15" customHeight="1">
      <c r="A1092" s="677"/>
      <c r="B1092" s="685"/>
      <c r="C1092" s="679"/>
      <c r="D1092" s="679"/>
      <c r="E1092" s="680"/>
      <c r="F1092" s="681"/>
      <c r="G1092" s="680"/>
      <c r="H1092" s="3"/>
    </row>
    <row r="1093" spans="1:11" ht="15" customHeight="1">
      <c r="A1093" s="677"/>
      <c r="B1093" s="685"/>
      <c r="C1093" s="679"/>
      <c r="D1093" s="679"/>
      <c r="E1093" s="680"/>
      <c r="F1093" s="681"/>
      <c r="G1093" s="680"/>
      <c r="H1093" s="3"/>
    </row>
    <row r="1094" spans="1:11" ht="15" customHeight="1">
      <c r="A1094" s="677"/>
      <c r="B1094" s="685"/>
      <c r="C1094" s="679"/>
      <c r="D1094" s="679"/>
      <c r="E1094" s="680"/>
      <c r="F1094" s="681"/>
      <c r="G1094" s="680"/>
      <c r="H1094" s="3"/>
    </row>
    <row r="1095" spans="1:11" ht="15" customHeight="1">
      <c r="A1095" s="677"/>
      <c r="B1095" s="685"/>
      <c r="C1095" s="679"/>
      <c r="D1095" s="679"/>
      <c r="E1095" s="680"/>
      <c r="F1095" s="681"/>
      <c r="G1095" s="680"/>
      <c r="H1095" s="3"/>
      <c r="K1095" s="3"/>
    </row>
    <row r="1096" spans="1:11" ht="15" customHeight="1">
      <c r="A1096" s="677"/>
      <c r="B1096" s="685"/>
      <c r="C1096" s="679"/>
      <c r="D1096" s="679"/>
      <c r="E1096" s="680"/>
      <c r="F1096" s="681"/>
      <c r="G1096" s="680"/>
      <c r="H1096" s="3"/>
      <c r="K1096" s="3"/>
    </row>
    <row r="1097" spans="1:11" ht="15" customHeight="1">
      <c r="A1097" s="677"/>
      <c r="B1097" s="685"/>
      <c r="C1097" s="679"/>
      <c r="D1097" s="679"/>
      <c r="E1097" s="680"/>
      <c r="F1097" s="681"/>
      <c r="G1097" s="680"/>
      <c r="H1097" s="3"/>
    </row>
    <row r="1098" spans="1:11" ht="15" customHeight="1">
      <c r="A1098" s="677"/>
      <c r="B1098" s="685"/>
      <c r="C1098" s="679"/>
      <c r="D1098" s="679"/>
      <c r="E1098" s="680"/>
      <c r="F1098" s="681"/>
      <c r="G1098" s="680"/>
      <c r="H1098" s="3"/>
    </row>
    <row r="1099" spans="1:11" ht="15" customHeight="1">
      <c r="A1099" s="677"/>
      <c r="B1099" s="685"/>
      <c r="C1099" s="679"/>
      <c r="D1099" s="679"/>
      <c r="E1099" s="680"/>
      <c r="F1099" s="681"/>
      <c r="G1099" s="680"/>
      <c r="H1099" s="3"/>
    </row>
    <row r="1100" spans="1:11" ht="15" customHeight="1">
      <c r="A1100" s="677"/>
      <c r="B1100" s="685"/>
      <c r="C1100" s="679"/>
      <c r="D1100" s="679"/>
      <c r="E1100" s="680"/>
      <c r="F1100" s="681"/>
      <c r="G1100" s="680"/>
      <c r="H1100" s="3"/>
    </row>
    <row r="1101" spans="1:11" ht="15.75" customHeight="1">
      <c r="A1101" s="677"/>
      <c r="B1101" s="685"/>
      <c r="C1101" s="679"/>
      <c r="D1101" s="679"/>
      <c r="E1101" s="680"/>
      <c r="F1101" s="681"/>
      <c r="G1101" s="680"/>
      <c r="H1101" s="3"/>
    </row>
    <row r="1102" spans="1:11" ht="15.75" customHeight="1">
      <c r="A1102" s="677"/>
      <c r="B1102" s="707"/>
      <c r="C1102" s="679"/>
      <c r="D1102" s="679"/>
      <c r="E1102" s="680"/>
      <c r="F1102" s="681"/>
      <c r="G1102" s="680"/>
      <c r="H1102" s="3"/>
      <c r="K1102" s="3"/>
    </row>
    <row r="1103" spans="1:11" ht="15.75" customHeight="1">
      <c r="A1103" s="677"/>
      <c r="B1103" s="685"/>
      <c r="C1103" s="679"/>
      <c r="D1103" s="679"/>
      <c r="E1103" s="680"/>
      <c r="F1103" s="681"/>
      <c r="G1103" s="680"/>
      <c r="H1103" s="3"/>
    </row>
    <row r="1104" spans="1:11" ht="15.75" customHeight="1">
      <c r="A1104" s="677"/>
      <c r="B1104" s="685"/>
      <c r="C1104" s="679"/>
      <c r="D1104" s="679"/>
      <c r="E1104" s="680"/>
      <c r="F1104" s="681"/>
      <c r="G1104" s="680"/>
      <c r="H1104" s="3"/>
    </row>
    <row r="1105" spans="1:29" ht="15.75" customHeight="1">
      <c r="A1105" s="677"/>
      <c r="B1105" s="685"/>
      <c r="C1105" s="679"/>
      <c r="D1105" s="679"/>
      <c r="E1105" s="680"/>
      <c r="F1105" s="681"/>
      <c r="G1105" s="680"/>
      <c r="H1105" s="3"/>
    </row>
    <row r="1106" spans="1:29" ht="15.75" customHeight="1">
      <c r="A1106" s="677"/>
      <c r="B1106" s="685"/>
      <c r="C1106" s="679"/>
      <c r="D1106" s="679"/>
      <c r="E1106" s="680"/>
      <c r="F1106" s="681"/>
      <c r="G1106" s="680"/>
      <c r="H1106" s="3"/>
    </row>
    <row r="1107" spans="1:29" ht="15.75" customHeight="1">
      <c r="A1107" s="677"/>
      <c r="B1107" s="685"/>
      <c r="C1107" s="679"/>
      <c r="D1107" s="679"/>
      <c r="E1107" s="680"/>
      <c r="F1107" s="681"/>
      <c r="G1107" s="680"/>
      <c r="H1107" s="3"/>
    </row>
    <row r="1108" spans="1:29" ht="15.75" customHeight="1">
      <c r="A1108" s="677"/>
      <c r="B1108" s="685"/>
      <c r="C1108" s="679"/>
      <c r="D1108" s="679"/>
      <c r="E1108" s="680"/>
      <c r="F1108" s="681"/>
      <c r="G1108" s="680"/>
      <c r="H1108" s="3"/>
      <c r="I1108" s="3"/>
      <c r="J1108" s="3"/>
      <c r="L1108" s="3"/>
      <c r="M1108" s="3"/>
      <c r="N1108" s="3"/>
      <c r="O1108" s="3"/>
      <c r="P1108" s="3"/>
      <c r="Q1108" s="3"/>
      <c r="R1108" s="3"/>
      <c r="S1108" s="3"/>
      <c r="T1108" s="3"/>
      <c r="U1108" s="3"/>
      <c r="V1108" s="3"/>
      <c r="W1108" s="3"/>
      <c r="X1108" s="3"/>
      <c r="Y1108" s="3"/>
      <c r="Z1108" s="3"/>
      <c r="AA1108" s="3"/>
      <c r="AB1108" s="3"/>
      <c r="AC1108" s="3"/>
    </row>
    <row r="1109" spans="1:29" ht="15.75" customHeight="1">
      <c r="A1109" s="677"/>
      <c r="B1109" s="685"/>
      <c r="C1109" s="679"/>
      <c r="D1109" s="679"/>
      <c r="E1109" s="680"/>
      <c r="F1109" s="681"/>
      <c r="G1109" s="680"/>
      <c r="H1109" s="3"/>
    </row>
    <row r="1110" spans="1:29" ht="15.75" customHeight="1">
      <c r="A1110" s="677"/>
      <c r="B1110" s="685"/>
      <c r="C1110" s="679"/>
      <c r="D1110" s="679"/>
      <c r="E1110" s="680"/>
      <c r="F1110" s="681"/>
      <c r="G1110" s="680"/>
      <c r="H1110" s="3"/>
    </row>
    <row r="1111" spans="1:29" ht="15.75" customHeight="1">
      <c r="A1111" s="677"/>
      <c r="B1111" s="685"/>
      <c r="C1111" s="679"/>
      <c r="D1111" s="679"/>
      <c r="E1111" s="680"/>
      <c r="F1111" s="681"/>
      <c r="G1111" s="680"/>
      <c r="H1111" s="3"/>
    </row>
    <row r="1112" spans="1:29" ht="15.75" customHeight="1">
      <c r="A1112" s="677"/>
      <c r="B1112" s="685"/>
      <c r="C1112" s="679"/>
      <c r="D1112" s="679"/>
      <c r="E1112" s="680"/>
      <c r="F1112" s="681"/>
      <c r="G1112" s="680"/>
      <c r="H1112" s="3"/>
    </row>
    <row r="1113" spans="1:29" ht="15.75" customHeight="1">
      <c r="A1113" s="677"/>
      <c r="B1113" s="685"/>
      <c r="C1113" s="679"/>
      <c r="D1113" s="679"/>
      <c r="E1113" s="680"/>
      <c r="F1113" s="681"/>
      <c r="G1113" s="680"/>
      <c r="H1113" s="3"/>
    </row>
    <row r="1114" spans="1:29" ht="15.75" customHeight="1">
      <c r="A1114" s="677"/>
      <c r="B1114" s="685"/>
      <c r="C1114" s="679"/>
      <c r="D1114" s="679"/>
      <c r="E1114" s="680"/>
      <c r="F1114" s="681"/>
      <c r="G1114" s="680"/>
      <c r="H1114" s="3"/>
    </row>
    <row r="1115" spans="1:29" ht="15.75" customHeight="1">
      <c r="A1115" s="677"/>
      <c r="B1115" s="685"/>
      <c r="C1115" s="679"/>
      <c r="D1115" s="679"/>
      <c r="E1115" s="680"/>
      <c r="F1115" s="681"/>
      <c r="G1115" s="680"/>
      <c r="H1115" s="3"/>
      <c r="K1115" s="3"/>
    </row>
    <row r="1116" spans="1:29" ht="15.75" customHeight="1">
      <c r="A1116" s="677"/>
      <c r="B1116" s="685"/>
      <c r="C1116" s="679"/>
      <c r="D1116" s="679"/>
      <c r="E1116" s="680"/>
      <c r="F1116" s="681"/>
      <c r="G1116" s="680"/>
      <c r="H1116" s="3"/>
    </row>
    <row r="1117" spans="1:29" ht="15.75" customHeight="1">
      <c r="A1117" s="677"/>
      <c r="B1117" s="685"/>
      <c r="C1117" s="679"/>
      <c r="D1117" s="679"/>
      <c r="E1117" s="680"/>
      <c r="F1117" s="681"/>
      <c r="G1117" s="680"/>
      <c r="H1117" s="3"/>
    </row>
    <row r="1118" spans="1:29" ht="15.75" customHeight="1">
      <c r="A1118" s="677"/>
      <c r="B1118" s="685"/>
      <c r="C1118" s="679"/>
      <c r="D1118" s="679"/>
      <c r="E1118" s="680"/>
      <c r="F1118" s="681"/>
      <c r="G1118" s="680"/>
      <c r="H1118" s="3"/>
    </row>
    <row r="1119" spans="1:29" ht="15.75" customHeight="1">
      <c r="A1119" s="677"/>
      <c r="B1119" s="685"/>
      <c r="C1119" s="679"/>
      <c r="D1119" s="679"/>
      <c r="E1119" s="680"/>
      <c r="F1119" s="681"/>
      <c r="G1119" s="680"/>
      <c r="H1119" s="3"/>
    </row>
    <row r="1120" spans="1:29" ht="15.75" customHeight="1">
      <c r="A1120" s="677"/>
      <c r="B1120" s="685"/>
      <c r="C1120" s="679"/>
      <c r="D1120" s="679"/>
      <c r="E1120" s="680"/>
      <c r="F1120" s="681"/>
      <c r="G1120" s="680"/>
      <c r="H1120" s="3"/>
    </row>
    <row r="1121" spans="1:8" ht="15.75" customHeight="1">
      <c r="A1121" s="677"/>
      <c r="B1121" s="685"/>
      <c r="C1121" s="679"/>
      <c r="D1121" s="679"/>
      <c r="E1121" s="680"/>
      <c r="F1121" s="681"/>
      <c r="G1121" s="680"/>
      <c r="H1121" s="3"/>
    </row>
    <row r="1122" spans="1:8" ht="15.75" customHeight="1">
      <c r="A1122" s="677"/>
      <c r="B1122" s="685"/>
      <c r="C1122" s="679"/>
      <c r="D1122" s="679"/>
      <c r="E1122" s="680"/>
      <c r="F1122" s="681"/>
      <c r="G1122" s="680"/>
      <c r="H1122" s="3"/>
    </row>
    <row r="1123" spans="1:8" ht="15.75" customHeight="1">
      <c r="A1123" s="677"/>
      <c r="B1123" s="685"/>
      <c r="C1123" s="679"/>
      <c r="D1123" s="679"/>
      <c r="E1123" s="680"/>
      <c r="F1123" s="681"/>
      <c r="G1123" s="680"/>
      <c r="H1123" s="3"/>
    </row>
    <row r="1124" spans="1:8" ht="15.75" customHeight="1">
      <c r="A1124" s="677"/>
      <c r="B1124" s="685"/>
      <c r="C1124" s="679"/>
      <c r="D1124" s="679"/>
      <c r="E1124" s="680"/>
      <c r="F1124" s="681"/>
      <c r="G1124" s="680"/>
      <c r="H1124" s="3"/>
    </row>
    <row r="1125" spans="1:8" ht="15.75" customHeight="1">
      <c r="A1125" s="677"/>
      <c r="B1125" s="685"/>
      <c r="C1125" s="679"/>
      <c r="D1125" s="679"/>
      <c r="E1125" s="680"/>
      <c r="F1125" s="681"/>
      <c r="G1125" s="680"/>
      <c r="H1125" s="3"/>
    </row>
    <row r="1126" spans="1:8" ht="15.75" customHeight="1">
      <c r="A1126" s="677"/>
      <c r="B1126" s="685"/>
      <c r="C1126" s="679"/>
      <c r="D1126" s="679"/>
      <c r="E1126" s="680"/>
      <c r="F1126" s="681"/>
      <c r="G1126" s="680"/>
      <c r="H1126" s="3"/>
    </row>
    <row r="1127" spans="1:8" ht="15.75" customHeight="1">
      <c r="A1127" s="677"/>
      <c r="B1127" s="685"/>
      <c r="C1127" s="679"/>
      <c r="D1127" s="679"/>
      <c r="E1127" s="680"/>
      <c r="F1127" s="681"/>
      <c r="G1127" s="680"/>
      <c r="H1127" s="3"/>
    </row>
    <row r="1128" spans="1:8" ht="15.75" customHeight="1">
      <c r="A1128" s="677"/>
      <c r="B1128" s="685"/>
      <c r="C1128" s="679"/>
      <c r="D1128" s="679"/>
      <c r="E1128" s="680"/>
      <c r="F1128" s="681"/>
      <c r="G1128" s="680"/>
      <c r="H1128" s="3"/>
    </row>
    <row r="1129" spans="1:8" ht="15" customHeight="1">
      <c r="A1129" s="677"/>
      <c r="B1129" s="685"/>
      <c r="C1129" s="679"/>
      <c r="D1129" s="679"/>
      <c r="E1129" s="680"/>
      <c r="F1129" s="681"/>
      <c r="G1129" s="680"/>
      <c r="H1129" s="4"/>
    </row>
    <row r="1130" spans="1:8" ht="15" customHeight="1">
      <c r="A1130" s="677"/>
      <c r="B1130" s="685"/>
      <c r="C1130" s="679"/>
      <c r="D1130" s="679"/>
      <c r="E1130" s="680"/>
      <c r="F1130" s="681"/>
      <c r="G1130" s="680"/>
      <c r="H1130" s="4"/>
    </row>
    <row r="1131" spans="1:8" ht="15" customHeight="1">
      <c r="A1131" s="677"/>
      <c r="B1131" s="685"/>
      <c r="C1131" s="679"/>
      <c r="D1131" s="679"/>
      <c r="E1131" s="680"/>
      <c r="F1131" s="681"/>
      <c r="G1131" s="680"/>
      <c r="H1131" s="4"/>
    </row>
    <row r="1132" spans="1:8" ht="15" customHeight="1">
      <c r="A1132" s="677"/>
      <c r="B1132" s="685"/>
      <c r="C1132" s="679"/>
      <c r="D1132" s="679"/>
      <c r="E1132" s="680"/>
      <c r="F1132" s="681"/>
      <c r="G1132" s="680"/>
      <c r="H1132" s="4"/>
    </row>
    <row r="1133" spans="1:8" ht="15" customHeight="1">
      <c r="A1133" s="702"/>
      <c r="B1133" s="679"/>
      <c r="C1133" s="679"/>
      <c r="D1133" s="679"/>
      <c r="E1133" s="680"/>
      <c r="F1133" s="681"/>
      <c r="G1133" s="680"/>
      <c r="H1133" s="4"/>
    </row>
    <row r="1134" spans="1:8" ht="15" customHeight="1">
      <c r="A1134" s="677"/>
      <c r="B1134" s="685"/>
      <c r="C1134" s="679"/>
      <c r="D1134" s="679"/>
      <c r="E1134" s="680"/>
      <c r="F1134" s="681"/>
      <c r="G1134" s="680"/>
      <c r="H1134" s="4"/>
    </row>
    <row r="1135" spans="1:8" ht="15" customHeight="1">
      <c r="A1135" s="677"/>
      <c r="B1135" s="685"/>
      <c r="C1135" s="679"/>
      <c r="D1135" s="679"/>
      <c r="E1135" s="680"/>
      <c r="F1135" s="681"/>
      <c r="G1135" s="680"/>
      <c r="H1135" s="4"/>
    </row>
    <row r="1136" spans="1:8" ht="15" customHeight="1">
      <c r="A1136" s="677"/>
      <c r="B1136" s="685"/>
      <c r="C1136" s="679"/>
      <c r="D1136" s="679"/>
      <c r="E1136" s="680"/>
      <c r="F1136" s="681"/>
      <c r="G1136" s="680"/>
      <c r="H1136" s="4"/>
    </row>
    <row r="1137" spans="1:8" ht="15" customHeight="1">
      <c r="A1137" s="677"/>
      <c r="B1137" s="685"/>
      <c r="C1137" s="679"/>
      <c r="D1137" s="679"/>
      <c r="E1137" s="680"/>
      <c r="F1137" s="681"/>
      <c r="G1137" s="680"/>
      <c r="H1137" s="4"/>
    </row>
    <row r="1138" spans="1:8" ht="15" customHeight="1">
      <c r="A1138" s="677"/>
      <c r="B1138" s="685"/>
      <c r="C1138" s="679"/>
      <c r="D1138" s="679"/>
      <c r="E1138" s="680"/>
      <c r="F1138" s="681"/>
      <c r="G1138" s="680"/>
      <c r="H1138" s="4"/>
    </row>
    <row r="1139" spans="1:8" ht="15" customHeight="1">
      <c r="A1139" s="677"/>
      <c r="B1139" s="685"/>
      <c r="C1139" s="679"/>
      <c r="D1139" s="679"/>
      <c r="E1139" s="680"/>
      <c r="F1139" s="681"/>
      <c r="G1139" s="680"/>
      <c r="H1139" s="4"/>
    </row>
    <row r="1140" spans="1:8" ht="15" customHeight="1">
      <c r="A1140" s="677"/>
      <c r="B1140" s="685"/>
      <c r="C1140" s="679"/>
      <c r="D1140" s="679"/>
      <c r="E1140" s="680"/>
      <c r="F1140" s="681"/>
      <c r="G1140" s="680"/>
      <c r="H1140" s="4"/>
    </row>
    <row r="1141" spans="1:8" ht="15" customHeight="1">
      <c r="A1141" s="677"/>
      <c r="B1141" s="685"/>
      <c r="C1141" s="679"/>
      <c r="D1141" s="679"/>
      <c r="E1141" s="680"/>
      <c r="F1141" s="681"/>
      <c r="G1141" s="680"/>
      <c r="H1141" s="4"/>
    </row>
    <row r="1142" spans="1:8" ht="15" customHeight="1">
      <c r="A1142" s="677"/>
      <c r="B1142" s="685"/>
      <c r="C1142" s="679"/>
      <c r="D1142" s="679"/>
      <c r="E1142" s="680"/>
      <c r="F1142" s="681"/>
      <c r="G1142" s="680"/>
      <c r="H1142" s="4"/>
    </row>
    <row r="1143" spans="1:8" ht="15" customHeight="1">
      <c r="A1143" s="704"/>
      <c r="B1143" s="685"/>
      <c r="C1143" s="679"/>
      <c r="D1143" s="679"/>
      <c r="E1143" s="680"/>
      <c r="F1143" s="681"/>
      <c r="G1143" s="680"/>
    </row>
  </sheetData>
  <autoFilter ref="A1:G946" xr:uid="{00000000-0009-0000-0000-00000F000000}">
    <sortState xmlns:xlrd2="http://schemas.microsoft.com/office/spreadsheetml/2017/richdata2" ref="A2:G946">
      <sortCondition ref="A1:A946"/>
    </sortState>
  </autoFilter>
  <dataValidations count="3">
    <dataValidation type="list" allowBlank="1" showErrorMessage="1" sqref="D1" xr:uid="{2861EBD2-54EA-48B5-8435-6DF8231D6DC1}">
      <formula1>$K$1:$K$159</formula1>
    </dataValidation>
    <dataValidation type="list" allowBlank="1" showErrorMessage="1" sqref="D334:D1143 D237:D332 D2:D234" xr:uid="{00000000-0002-0000-0F00-000000000000}">
      <formula1>$K$3:$K$159</formula1>
    </dataValidation>
    <dataValidation type="list" allowBlank="1" showErrorMessage="1" sqref="C2:C1143" xr:uid="{00000000-0002-0000-0F00-000002000000}">
      <formula1>$I$1:$I$12</formula1>
    </dataValidation>
  </dataValidations>
  <hyperlinks>
    <hyperlink ref="A40" r:id="rId1" xr:uid="{2D07D2A1-B77F-42D8-8AFC-BC5E197F2306}"/>
    <hyperlink ref="A202" r:id="rId2" xr:uid="{9EB86107-39DD-4A3D-AA5C-CC656EB6D19B}"/>
    <hyperlink ref="A207" r:id="rId3" xr:uid="{7520A0BC-3CF3-4738-8429-9D6BBB68AE1A}"/>
    <hyperlink ref="A263" r:id="rId4" xr:uid="{2B003E87-7DD5-4CF8-91E3-A153C1B6AD80}"/>
    <hyperlink ref="A284" r:id="rId5" xr:uid="{A09A5D51-F7B6-4970-80FB-37310E0BBB9D}"/>
    <hyperlink ref="A265" r:id="rId6" xr:uid="{B6A3DC63-CADA-4A8D-915E-9EF10C316FBB}"/>
    <hyperlink ref="A219" r:id="rId7" xr:uid="{3D7AD0D7-3265-469D-B8DD-1CC6DD5CB140}"/>
  </hyperlinks>
  <pageMargins left="0.7" right="0.7" top="0.75" bottom="0.75" header="0" footer="0"/>
  <pageSetup orientation="landscape" r:id="rId8"/>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outlinePr summaryBelow="0"/>
  </sheetPr>
  <dimension ref="A1:X1087"/>
  <sheetViews>
    <sheetView workbookViewId="0"/>
  </sheetViews>
  <sheetFormatPr baseColWidth="10" defaultColWidth="12.625" defaultRowHeight="15" customHeight="1"/>
  <cols>
    <col min="1" max="1" width="29.25" customWidth="1"/>
    <col min="2" max="2" width="31.25" customWidth="1"/>
    <col min="3" max="3" width="14.625" customWidth="1"/>
    <col min="4" max="8" width="12.875" customWidth="1"/>
    <col min="9" max="9" width="23.125" bestFit="1" customWidth="1"/>
    <col min="10" max="10" width="12.875" customWidth="1"/>
    <col min="11" max="11" width="20.25" bestFit="1" customWidth="1"/>
    <col min="12"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s>
  <sheetData>
    <row r="1" spans="1:24" ht="30" customHeight="1">
      <c r="A1" s="1050" t="s">
        <v>251</v>
      </c>
      <c r="B1" s="1050" t="s">
        <v>709</v>
      </c>
      <c r="C1" s="1051" t="s">
        <v>713</v>
      </c>
      <c r="D1" s="1051" t="s">
        <v>714</v>
      </c>
      <c r="E1" s="1051" t="s">
        <v>715</v>
      </c>
      <c r="F1" s="1050" t="s">
        <v>710</v>
      </c>
      <c r="G1" s="1050" t="s">
        <v>711</v>
      </c>
      <c r="H1" s="1050" t="s">
        <v>712</v>
      </c>
      <c r="I1" s="1051" t="s">
        <v>3412</v>
      </c>
      <c r="J1" s="1051" t="s">
        <v>3413</v>
      </c>
      <c r="K1" s="1051" t="s">
        <v>3414</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row>
    <row r="2" spans="1:24" ht="15" customHeight="1">
      <c r="A2" s="1052" t="s">
        <v>720</v>
      </c>
      <c r="B2" s="1052" t="s">
        <v>1438</v>
      </c>
      <c r="C2" s="1053"/>
      <c r="D2" s="1053"/>
      <c r="E2" s="1053"/>
      <c r="F2" s="1052" t="s">
        <v>2</v>
      </c>
      <c r="G2" s="1052" t="s">
        <v>3322</v>
      </c>
      <c r="H2" s="1053"/>
      <c r="I2" s="1054">
        <v>116061</v>
      </c>
      <c r="J2" s="1054">
        <v>0</v>
      </c>
      <c r="K2" s="1054">
        <v>116061</v>
      </c>
      <c r="L2" s="653" t="str">
        <f>TEXT(B2,0)</f>
        <v>10</v>
      </c>
      <c r="M2" s="654" t="str">
        <f t="shared" ref="M2:M256" si="0">+A2</f>
        <v>PROFIT/PERTES JANVIER</v>
      </c>
      <c r="N2" s="655">
        <f>+IF(OR($Q2=Parametres!$G$2,$Q2=Parametres!$G$3),I2,C2)</f>
        <v>116061</v>
      </c>
      <c r="O2" s="655">
        <f>+IF(OR($Q2=Parametres!$G$2,$Q2=Parametres!$G$3),J2,D2)</f>
        <v>0</v>
      </c>
      <c r="P2" s="655">
        <f>+IF(OR($Q2=Parametres!$G$2,$Q2=Parametres!$G$3),K2,E2)</f>
        <v>116061</v>
      </c>
      <c r="Q2" s="654" t="str">
        <f t="shared" ref="Q2:S2" si="1">+F2</f>
        <v>1-Mémo</v>
      </c>
      <c r="R2" s="653" t="str">
        <f t="shared" si="1"/>
        <v>1</v>
      </c>
      <c r="S2" s="654">
        <f t="shared" si="1"/>
        <v>0</v>
      </c>
      <c r="T2" s="656" t="str">
        <f>+VLOOKUP($L2,Data_Validation!$A:$E,1,0)</f>
        <v>10</v>
      </c>
      <c r="U2" s="656">
        <f>+VLOOKUP($L2,Data_Validation!$A:$E,3,0)</f>
        <v>0</v>
      </c>
      <c r="V2" s="656">
        <f>+VLOOKUP($L2,Data_Validation!$A:$E,4,0)</f>
        <v>0</v>
      </c>
      <c r="W2" s="656">
        <f>VLOOKUP($L2,Data_Validation!$A:$E,5,FALSE)</f>
        <v>0</v>
      </c>
      <c r="X2" s="656">
        <f>+VLOOKUP($L2,Data_Validation!$A:$F,6,0)</f>
        <v>0</v>
      </c>
    </row>
    <row r="3" spans="1:24" ht="15" customHeight="1">
      <c r="A3" s="1052" t="s">
        <v>721</v>
      </c>
      <c r="B3" s="1052" t="s">
        <v>1638</v>
      </c>
      <c r="C3" s="1053"/>
      <c r="D3" s="1053"/>
      <c r="E3" s="1053"/>
      <c r="F3" s="1052" t="s">
        <v>2</v>
      </c>
      <c r="G3" s="1052" t="s">
        <v>3322</v>
      </c>
      <c r="H3" s="1053"/>
      <c r="I3" s="1054">
        <v>81087.95</v>
      </c>
      <c r="J3" s="1054">
        <v>0</v>
      </c>
      <c r="K3" s="1054">
        <v>81087.95</v>
      </c>
      <c r="L3" s="653" t="str">
        <f t="shared" ref="L3:L66" si="2">TEXT(B3,0)</f>
        <v>20</v>
      </c>
      <c r="M3" s="654" t="str">
        <f t="shared" si="0"/>
        <v>PROFIT/PERTES FEVRIER</v>
      </c>
      <c r="N3" s="655">
        <f>+IF(OR($Q3=Parametres!$G$2,$Q3=Parametres!$G$3),I3,C3)</f>
        <v>81087.95</v>
      </c>
      <c r="O3" s="659">
        <f>+IF(OR($Q3=Parametres!$G$2,$Q3=Parametres!$G$3),J3,D3)</f>
        <v>0</v>
      </c>
      <c r="P3" s="655">
        <f>+IF(OR($Q3=Parametres!$G$2,$Q3=Parametres!$G$3),K3,E3)</f>
        <v>81087.95</v>
      </c>
      <c r="Q3" s="654" t="str">
        <f t="shared" ref="Q3:S3" si="3">+F3</f>
        <v>1-Mémo</v>
      </c>
      <c r="R3" s="653" t="str">
        <f t="shared" si="3"/>
        <v>1</v>
      </c>
      <c r="S3" s="654">
        <f t="shared" si="3"/>
        <v>0</v>
      </c>
      <c r="T3" s="656" t="str">
        <f>+VLOOKUP($L3,Data_Validation!$A:$D,1,0)</f>
        <v>20</v>
      </c>
      <c r="U3" s="656">
        <f>+VLOOKUP($L3,Data_Validation!$A:$D,3,0)</f>
        <v>0</v>
      </c>
      <c r="V3" s="656">
        <f>+VLOOKUP($L3,Data_Validation!$A:$D,4,0)</f>
        <v>0</v>
      </c>
      <c r="W3" s="656">
        <f>+VLOOKUP($L3,Data_Validation!$A:$E,5,0)</f>
        <v>0</v>
      </c>
      <c r="X3" s="656">
        <f>+VLOOKUP($L3,Data_Validation!$A:$F,6,0)</f>
        <v>0</v>
      </c>
    </row>
    <row r="4" spans="1:24" ht="15" customHeight="1">
      <c r="A4" s="1052" t="s">
        <v>722</v>
      </c>
      <c r="B4" s="1052" t="s">
        <v>748</v>
      </c>
      <c r="C4" s="1053"/>
      <c r="D4" s="1053"/>
      <c r="E4" s="1053"/>
      <c r="F4" s="1052" t="s">
        <v>2</v>
      </c>
      <c r="G4" s="1052" t="s">
        <v>3322</v>
      </c>
      <c r="H4" s="1053"/>
      <c r="I4" s="1054">
        <v>198702.43</v>
      </c>
      <c r="J4" s="1054">
        <v>0</v>
      </c>
      <c r="K4" s="1054">
        <v>198702.43</v>
      </c>
      <c r="L4" s="653" t="str">
        <f t="shared" si="2"/>
        <v>30</v>
      </c>
      <c r="M4" s="654" t="str">
        <f t="shared" si="0"/>
        <v>PROFIT/PERTES MARS</v>
      </c>
      <c r="N4" s="655">
        <f>+IF(OR($Q4=Parametres!$G$2,$Q4=Parametres!$G$3),I4,C4)</f>
        <v>198702.43</v>
      </c>
      <c r="O4" s="659">
        <f>+IF(OR($Q4=Parametres!$G$2,$Q4=Parametres!$G$3),J4,D4)</f>
        <v>0</v>
      </c>
      <c r="P4" s="655">
        <f>+IF(OR($Q4=Parametres!$G$2,$Q4=Parametres!$G$3),K4,E4)</f>
        <v>198702.43</v>
      </c>
      <c r="Q4" s="654" t="str">
        <f t="shared" ref="Q4:S4" si="4">+F4</f>
        <v>1-Mémo</v>
      </c>
      <c r="R4" s="653" t="str">
        <f t="shared" si="4"/>
        <v>1</v>
      </c>
      <c r="S4" s="654">
        <f t="shared" si="4"/>
        <v>0</v>
      </c>
      <c r="T4" s="656" t="str">
        <f>+VLOOKUP($L4,Data_Validation!$A:$D,1,0)</f>
        <v>30</v>
      </c>
      <c r="U4" s="656">
        <f>+VLOOKUP($L4,Data_Validation!$A:$D,3,0)</f>
        <v>0</v>
      </c>
      <c r="V4" s="656">
        <f>+VLOOKUP($L4,Data_Validation!$A:$D,4,0)</f>
        <v>0</v>
      </c>
      <c r="W4" s="656">
        <f>+VLOOKUP($L4,Data_Validation!$A:$E,5,0)</f>
        <v>0</v>
      </c>
      <c r="X4" s="656">
        <f>+VLOOKUP($L4,Data_Validation!$A:$F,6,0)</f>
        <v>0</v>
      </c>
    </row>
    <row r="5" spans="1:24" ht="15.75" customHeight="1">
      <c r="A5" s="1052" t="s">
        <v>723</v>
      </c>
      <c r="B5" s="1052" t="s">
        <v>761</v>
      </c>
      <c r="C5" s="1053"/>
      <c r="D5" s="1053"/>
      <c r="E5" s="1053"/>
      <c r="F5" s="1052" t="s">
        <v>2</v>
      </c>
      <c r="G5" s="1052" t="s">
        <v>3322</v>
      </c>
      <c r="H5" s="1053"/>
      <c r="I5" s="1054">
        <v>148007</v>
      </c>
      <c r="J5" s="1054">
        <v>0</v>
      </c>
      <c r="K5" s="1054">
        <v>148007</v>
      </c>
      <c r="L5" s="653" t="str">
        <f t="shared" si="2"/>
        <v>40</v>
      </c>
      <c r="M5" s="654" t="str">
        <f t="shared" si="0"/>
        <v>PROFIT/PERTES AVRIL</v>
      </c>
      <c r="N5" s="655">
        <f>+IF(OR($Q5=Parametres!$G$2,$Q5=Parametres!$G$3),I5,C5)</f>
        <v>148007</v>
      </c>
      <c r="O5" s="659">
        <f>+IF(OR($Q5=Parametres!$G$2,$Q5=Parametres!$G$3),J5,D5)</f>
        <v>0</v>
      </c>
      <c r="P5" s="655">
        <f>+IF(OR($Q5=Parametres!$G$2,$Q5=Parametres!$G$3),K5,E5)</f>
        <v>148007</v>
      </c>
      <c r="Q5" s="654" t="str">
        <f t="shared" ref="Q5:S5" si="5">+F5</f>
        <v>1-Mémo</v>
      </c>
      <c r="R5" s="653" t="str">
        <f t="shared" si="5"/>
        <v>1</v>
      </c>
      <c r="S5" s="654">
        <f t="shared" si="5"/>
        <v>0</v>
      </c>
      <c r="T5" s="656" t="str">
        <f>+VLOOKUP($L5,Data_Validation!$A:$D,1,0)</f>
        <v>40</v>
      </c>
      <c r="U5" s="656">
        <f>+VLOOKUP($L5,Data_Validation!$A:$D,3,0)</f>
        <v>0</v>
      </c>
      <c r="V5" s="656">
        <f>+VLOOKUP($L5,Data_Validation!$A:$D,4,0)</f>
        <v>0</v>
      </c>
      <c r="W5" s="656">
        <f>+VLOOKUP($L5,Data_Validation!$A:$E,5,0)</f>
        <v>0</v>
      </c>
      <c r="X5" s="656">
        <f>+VLOOKUP($L5,Data_Validation!$A:$F,6,0)</f>
        <v>0</v>
      </c>
    </row>
    <row r="6" spans="1:24" ht="15.75" customHeight="1">
      <c r="A6" s="1052" t="s">
        <v>724</v>
      </c>
      <c r="B6" s="1052" t="s">
        <v>785</v>
      </c>
      <c r="C6" s="1053"/>
      <c r="D6" s="1053"/>
      <c r="E6" s="1053"/>
      <c r="F6" s="1052" t="s">
        <v>2</v>
      </c>
      <c r="G6" s="1052" t="s">
        <v>3322</v>
      </c>
      <c r="H6" s="1053"/>
      <c r="I6" s="1054">
        <v>213696.9</v>
      </c>
      <c r="J6" s="1054">
        <v>0</v>
      </c>
      <c r="K6" s="1054">
        <v>213696.9</v>
      </c>
      <c r="L6" s="653" t="str">
        <f t="shared" si="2"/>
        <v>50</v>
      </c>
      <c r="M6" s="654" t="str">
        <f t="shared" si="0"/>
        <v>PROFIT/PERTES MAI</v>
      </c>
      <c r="N6" s="655">
        <f>+IF(OR($Q6=Parametres!$G$2,$Q6=Parametres!$G$3),I6,C6)</f>
        <v>213696.9</v>
      </c>
      <c r="O6" s="655">
        <f>+IF(OR($Q6=Parametres!$G$2,$Q6=Parametres!$G$3),J6,D6)</f>
        <v>0</v>
      </c>
      <c r="P6" s="655">
        <f>+IF(OR($Q6=Parametres!$G$2,$Q6=Parametres!$G$3),K6,E6)</f>
        <v>213696.9</v>
      </c>
      <c r="Q6" s="654" t="str">
        <f t="shared" ref="Q6:S6" si="6">+F6</f>
        <v>1-Mémo</v>
      </c>
      <c r="R6" s="653" t="str">
        <f t="shared" si="6"/>
        <v>1</v>
      </c>
      <c r="S6" s="654">
        <f t="shared" si="6"/>
        <v>0</v>
      </c>
      <c r="T6" s="656" t="str">
        <f>+VLOOKUP($L6,Data_Validation!$A:$D,1,0)</f>
        <v>50</v>
      </c>
      <c r="U6" s="656">
        <f>+VLOOKUP($L6,Data_Validation!$A:$D,3,0)</f>
        <v>0</v>
      </c>
      <c r="V6" s="656">
        <f>+VLOOKUP($L6,Data_Validation!$A:$D,4,0)</f>
        <v>0</v>
      </c>
      <c r="W6" s="656">
        <f>+VLOOKUP($L6,Data_Validation!$A:$E,5,0)</f>
        <v>0</v>
      </c>
      <c r="X6" s="656">
        <f>+VLOOKUP($L6,Data_Validation!$A:$F,6,0)</f>
        <v>0</v>
      </c>
    </row>
    <row r="7" spans="1:24" ht="15" customHeight="1">
      <c r="A7" s="1052" t="s">
        <v>725</v>
      </c>
      <c r="B7" s="1052" t="s">
        <v>2240</v>
      </c>
      <c r="C7" s="1053"/>
      <c r="D7" s="1053"/>
      <c r="E7" s="1053"/>
      <c r="F7" s="1052" t="s">
        <v>2</v>
      </c>
      <c r="G7" s="1052" t="s">
        <v>3322</v>
      </c>
      <c r="H7" s="1053"/>
      <c r="I7" s="1054">
        <v>260095.67</v>
      </c>
      <c r="J7" s="1054">
        <v>0</v>
      </c>
      <c r="K7" s="1054">
        <v>260095.67</v>
      </c>
      <c r="L7" s="653" t="str">
        <f t="shared" si="2"/>
        <v>60</v>
      </c>
      <c r="M7" s="654" t="str">
        <f t="shared" si="0"/>
        <v>PROFIT/PERTES JUIN</v>
      </c>
      <c r="N7" s="655">
        <f>+IF(OR($Q7=Parametres!$G$2,$Q7=Parametres!$G$3),I7,C7)</f>
        <v>260095.67</v>
      </c>
      <c r="O7" s="659">
        <f>+IF(OR($Q7=Parametres!$G$2,$Q7=Parametres!$G$3),J7,D7)</f>
        <v>0</v>
      </c>
      <c r="P7" s="655">
        <f>+IF(OR($Q7=Parametres!$G$2,$Q7=Parametres!$G$3),K7,E7)</f>
        <v>260095.67</v>
      </c>
      <c r="Q7" s="654" t="str">
        <f t="shared" ref="Q7:S7" si="7">+F7</f>
        <v>1-Mémo</v>
      </c>
      <c r="R7" s="653" t="str">
        <f t="shared" si="7"/>
        <v>1</v>
      </c>
      <c r="S7" s="654">
        <f t="shared" si="7"/>
        <v>0</v>
      </c>
      <c r="T7" s="656" t="str">
        <f>+VLOOKUP($L7,Data_Validation!$A:$D,1,0)</f>
        <v>60</v>
      </c>
      <c r="U7" s="656">
        <f>+VLOOKUP($L7,Data_Validation!$A:$D,3,0)</f>
        <v>0</v>
      </c>
      <c r="V7" s="656">
        <f>+VLOOKUP($L7,Data_Validation!$A:$D,4,0)</f>
        <v>0</v>
      </c>
      <c r="W7" s="656">
        <f>+VLOOKUP($L7,Data_Validation!$A:$E,5,0)</f>
        <v>0</v>
      </c>
      <c r="X7" s="656">
        <f>+VLOOKUP($L7,Data_Validation!$A:$F,6,0)</f>
        <v>0</v>
      </c>
    </row>
    <row r="8" spans="1:24" ht="15" customHeight="1">
      <c r="A8" s="1052" t="s">
        <v>726</v>
      </c>
      <c r="B8" s="1052" t="s">
        <v>2742</v>
      </c>
      <c r="C8" s="1053"/>
      <c r="D8" s="1053"/>
      <c r="E8" s="1053"/>
      <c r="F8" s="1052" t="s">
        <v>2</v>
      </c>
      <c r="G8" s="1052" t="s">
        <v>3322</v>
      </c>
      <c r="H8" s="1053"/>
      <c r="I8" s="1054">
        <v>247076.44</v>
      </c>
      <c r="J8" s="1054">
        <v>0</v>
      </c>
      <c r="K8" s="1054">
        <v>247076.44</v>
      </c>
      <c r="L8" s="653" t="str">
        <f t="shared" si="2"/>
        <v>70</v>
      </c>
      <c r="M8" s="654" t="str">
        <f t="shared" si="0"/>
        <v>PROFIT/PERTES JUILLET</v>
      </c>
      <c r="N8" s="655">
        <f>+IF(OR($Q8=Parametres!$G$2,$Q8=Parametres!$G$3),I8,C8)</f>
        <v>247076.44</v>
      </c>
      <c r="O8" s="659">
        <f>+IF(OR($Q8=Parametres!$G$2,$Q8=Parametres!$G$3),J8,D8)</f>
        <v>0</v>
      </c>
      <c r="P8" s="655">
        <f>+IF(OR($Q8=Parametres!$G$2,$Q8=Parametres!$G$3),K8,E8)</f>
        <v>247076.44</v>
      </c>
      <c r="Q8" s="654" t="str">
        <f t="shared" ref="Q8:S8" si="8">+F8</f>
        <v>1-Mémo</v>
      </c>
      <c r="R8" s="653" t="str">
        <f t="shared" si="8"/>
        <v>1</v>
      </c>
      <c r="S8" s="654">
        <f t="shared" si="8"/>
        <v>0</v>
      </c>
      <c r="T8" s="656" t="str">
        <f>+VLOOKUP($L8,Data_Validation!$A:$D,1,0)</f>
        <v>70</v>
      </c>
      <c r="U8" s="656">
        <f>+VLOOKUP($L8,Data_Validation!$A:$D,3,0)</f>
        <v>0</v>
      </c>
      <c r="V8" s="656">
        <f>+VLOOKUP($L8,Data_Validation!$A:$D,4,0)</f>
        <v>0</v>
      </c>
      <c r="W8" s="656">
        <f>+VLOOKUP($L8,Data_Validation!$A:$E,5,0)</f>
        <v>0</v>
      </c>
      <c r="X8" s="656">
        <f>+VLOOKUP($L8,Data_Validation!$A:$F,6,0)</f>
        <v>0</v>
      </c>
    </row>
    <row r="9" spans="1:24" ht="15" customHeight="1">
      <c r="A9" s="1052" t="s">
        <v>727</v>
      </c>
      <c r="B9" s="1052" t="s">
        <v>2745</v>
      </c>
      <c r="C9" s="1053"/>
      <c r="D9" s="1053"/>
      <c r="E9" s="1053"/>
      <c r="F9" s="1052" t="s">
        <v>2</v>
      </c>
      <c r="G9" s="1052" t="s">
        <v>3322</v>
      </c>
      <c r="H9" s="1053"/>
      <c r="I9" s="1054">
        <v>342752.56</v>
      </c>
      <c r="J9" s="1054">
        <v>0</v>
      </c>
      <c r="K9" s="1054">
        <v>342752.56</v>
      </c>
      <c r="L9" s="653" t="str">
        <f t="shared" si="2"/>
        <v>80</v>
      </c>
      <c r="M9" s="654" t="str">
        <f t="shared" si="0"/>
        <v>PROFIT/PERTES AOUT</v>
      </c>
      <c r="N9" s="655">
        <f>+IF(OR($Q9=Parametres!$G$2,$Q9=Parametres!$G$3),I9,C9)</f>
        <v>342752.56</v>
      </c>
      <c r="O9" s="659">
        <f>+IF(OR($Q9=Parametres!$G$2,$Q9=Parametres!$G$3),J9,D9)</f>
        <v>0</v>
      </c>
      <c r="P9" s="655">
        <f>+IF(OR($Q9=Parametres!$G$2,$Q9=Parametres!$G$3),K9,E9)</f>
        <v>342752.56</v>
      </c>
      <c r="Q9" s="654" t="str">
        <f t="shared" ref="Q9:S9" si="9">+F9</f>
        <v>1-Mémo</v>
      </c>
      <c r="R9" s="653" t="str">
        <f t="shared" si="9"/>
        <v>1</v>
      </c>
      <c r="S9" s="654">
        <f t="shared" si="9"/>
        <v>0</v>
      </c>
      <c r="T9" s="656" t="str">
        <f>+VLOOKUP($L9,Data_Validation!$A:$D,1,0)</f>
        <v>80</v>
      </c>
      <c r="U9" s="656">
        <f>+VLOOKUP($L9,Data_Validation!$A:$D,3,0)</f>
        <v>0</v>
      </c>
      <c r="V9" s="656">
        <f>+VLOOKUP($L9,Data_Validation!$A:$D,4,0)</f>
        <v>0</v>
      </c>
      <c r="W9" s="656">
        <f>+VLOOKUP($L9,Data_Validation!$A:$E,5,0)</f>
        <v>0</v>
      </c>
      <c r="X9" s="656">
        <f>+VLOOKUP($L9,Data_Validation!$A:$F,6,0)</f>
        <v>0</v>
      </c>
    </row>
    <row r="10" spans="1:24" ht="15" customHeight="1">
      <c r="A10" s="1052" t="s">
        <v>728</v>
      </c>
      <c r="B10" s="1052" t="s">
        <v>2748</v>
      </c>
      <c r="C10" s="1053"/>
      <c r="D10" s="1053"/>
      <c r="E10" s="1053"/>
      <c r="F10" s="1052" t="s">
        <v>2</v>
      </c>
      <c r="G10" s="1052" t="s">
        <v>3322</v>
      </c>
      <c r="H10" s="1053"/>
      <c r="I10" s="1054">
        <v>186502.97</v>
      </c>
      <c r="J10" s="1054">
        <v>0</v>
      </c>
      <c r="K10" s="1054">
        <v>186502.97</v>
      </c>
      <c r="L10" s="653" t="str">
        <f t="shared" si="2"/>
        <v>90</v>
      </c>
      <c r="M10" s="654" t="str">
        <f t="shared" si="0"/>
        <v>PROFIT/PERTES SEPTEMBRE</v>
      </c>
      <c r="N10" s="655">
        <f>+IF(OR($Q10=Parametres!$G$2,$Q10=Parametres!$G$3),I10,C10)</f>
        <v>186502.97</v>
      </c>
      <c r="O10" s="659">
        <f>+IF(OR($Q10=Parametres!$G$2,$Q10=Parametres!$G$3),J10,D10)</f>
        <v>0</v>
      </c>
      <c r="P10" s="655">
        <f>+IF(OR($Q10=Parametres!$G$2,$Q10=Parametres!$G$3),K10,E10)</f>
        <v>186502.97</v>
      </c>
      <c r="Q10" s="654" t="str">
        <f t="shared" ref="Q10:S10" si="10">+F10</f>
        <v>1-Mémo</v>
      </c>
      <c r="R10" s="653" t="str">
        <f t="shared" si="10"/>
        <v>1</v>
      </c>
      <c r="S10" s="654">
        <f t="shared" si="10"/>
        <v>0</v>
      </c>
      <c r="T10" s="656" t="str">
        <f>+VLOOKUP($L10,Data_Validation!$A:$D,1,0)</f>
        <v>90</v>
      </c>
      <c r="U10" s="656">
        <f>+VLOOKUP($L10,Data_Validation!$A:$D,3,0)</f>
        <v>0</v>
      </c>
      <c r="V10" s="656">
        <f>+VLOOKUP($L10,Data_Validation!$A:$D,4,0)</f>
        <v>0</v>
      </c>
      <c r="W10" s="656">
        <f>+VLOOKUP($L10,Data_Validation!$A:$E,5,0)</f>
        <v>0</v>
      </c>
      <c r="X10" s="656">
        <f>+VLOOKUP($L10,Data_Validation!$A:$F,6,0)</f>
        <v>0</v>
      </c>
    </row>
    <row r="11" spans="1:24" ht="15" customHeight="1">
      <c r="A11" s="1052" t="s">
        <v>729</v>
      </c>
      <c r="B11" s="1052" t="s">
        <v>1441</v>
      </c>
      <c r="C11" s="1053"/>
      <c r="D11" s="1053"/>
      <c r="E11" s="1053"/>
      <c r="F11" s="1052" t="s">
        <v>2</v>
      </c>
      <c r="G11" s="1052" t="s">
        <v>3322</v>
      </c>
      <c r="H11" s="1053"/>
      <c r="I11" s="1054">
        <v>202788.53</v>
      </c>
      <c r="J11" s="1054">
        <v>0</v>
      </c>
      <c r="K11" s="1054">
        <v>202788.53</v>
      </c>
      <c r="L11" s="653" t="str">
        <f t="shared" si="2"/>
        <v>100</v>
      </c>
      <c r="M11" s="654" t="str">
        <f t="shared" si="0"/>
        <v>PROFIT/PERTES OCTOBRE</v>
      </c>
      <c r="N11" s="655">
        <f>+IF(OR($Q11=Parametres!$G$2,$Q11=Parametres!$G$3),I11,C11)</f>
        <v>202788.53</v>
      </c>
      <c r="O11" s="655">
        <f>+IF(OR($Q11=Parametres!$G$2,$Q11=Parametres!$G$3),J11,D11)</f>
        <v>0</v>
      </c>
      <c r="P11" s="655">
        <f>+IF(OR($Q11=Parametres!$G$2,$Q11=Parametres!$G$3),K11,E11)</f>
        <v>202788.53</v>
      </c>
      <c r="Q11" s="654" t="str">
        <f t="shared" ref="Q11:S11" si="11">+F11</f>
        <v>1-Mémo</v>
      </c>
      <c r="R11" s="653" t="str">
        <f t="shared" si="11"/>
        <v>1</v>
      </c>
      <c r="S11" s="654">
        <f t="shared" si="11"/>
        <v>0</v>
      </c>
      <c r="T11" s="656" t="str">
        <f>+VLOOKUP($L11,Data_Validation!$A:$D,1,0)</f>
        <v>100</v>
      </c>
      <c r="U11" s="656">
        <f>+VLOOKUP($L11,Data_Validation!$A:$D,3,0)</f>
        <v>0</v>
      </c>
      <c r="V11" s="656">
        <f>+VLOOKUP($L11,Data_Validation!$A:$D,4,0)</f>
        <v>0</v>
      </c>
      <c r="W11" s="656">
        <f>+VLOOKUP($L11,Data_Validation!$A:$E,5,0)</f>
        <v>0</v>
      </c>
      <c r="X11" s="656">
        <f>+VLOOKUP($L11,Data_Validation!$A:$F,6,0)</f>
        <v>0</v>
      </c>
    </row>
    <row r="12" spans="1:24" ht="15" customHeight="1">
      <c r="A12" s="1052" t="s">
        <v>730</v>
      </c>
      <c r="B12" s="1052" t="s">
        <v>1444</v>
      </c>
      <c r="C12" s="1053"/>
      <c r="D12" s="1053"/>
      <c r="E12" s="1053"/>
      <c r="F12" s="1052" t="s">
        <v>2</v>
      </c>
      <c r="G12" s="1052" t="s">
        <v>3322</v>
      </c>
      <c r="H12" s="1053"/>
      <c r="I12" s="1054">
        <v>222887.14</v>
      </c>
      <c r="J12" s="1054">
        <v>0</v>
      </c>
      <c r="K12" s="1054">
        <v>222887.14</v>
      </c>
      <c r="L12" s="653" t="str">
        <f t="shared" si="2"/>
        <v>110</v>
      </c>
      <c r="M12" s="654" t="str">
        <f t="shared" si="0"/>
        <v>PROFIT/PERTES NOVEMBRE</v>
      </c>
      <c r="N12" s="655">
        <f>+IF(OR($Q12=Parametres!$G$2,$Q12=Parametres!$G$3),I12,C12)</f>
        <v>222887.14</v>
      </c>
      <c r="O12" s="655">
        <f>+IF(OR($Q12=Parametres!$G$2,$Q12=Parametres!$G$3),J12,D12)</f>
        <v>0</v>
      </c>
      <c r="P12" s="655">
        <f>+IF(OR($Q12=Parametres!$G$2,$Q12=Parametres!$G$3),K12,E12)</f>
        <v>222887.14</v>
      </c>
      <c r="Q12" s="654" t="str">
        <f t="shared" ref="Q12:S12" si="12">+F12</f>
        <v>1-Mémo</v>
      </c>
      <c r="R12" s="653" t="str">
        <f t="shared" si="12"/>
        <v>1</v>
      </c>
      <c r="S12" s="654">
        <f t="shared" si="12"/>
        <v>0</v>
      </c>
      <c r="T12" s="656" t="str">
        <f>+VLOOKUP($L12,Data_Validation!$A:$D,1,0)</f>
        <v>110</v>
      </c>
      <c r="U12" s="656">
        <f>+VLOOKUP($L12,Data_Validation!$A:$D,3,0)</f>
        <v>0</v>
      </c>
      <c r="V12" s="656">
        <f>+VLOOKUP($L12,Data_Validation!$A:$D,4,0)</f>
        <v>0</v>
      </c>
      <c r="W12" s="656">
        <f>+VLOOKUP($L12,Data_Validation!$A:$E,5,0)</f>
        <v>0</v>
      </c>
      <c r="X12" s="656">
        <f>+VLOOKUP($L12,Data_Validation!$A:$F,6,0)</f>
        <v>0</v>
      </c>
    </row>
    <row r="13" spans="1:24" ht="15" customHeight="1">
      <c r="A13" s="1052" t="s">
        <v>731</v>
      </c>
      <c r="B13" s="1052" t="s">
        <v>3352</v>
      </c>
      <c r="C13" s="1053"/>
      <c r="D13" s="1053"/>
      <c r="E13" s="1053"/>
      <c r="F13" s="1052" t="s">
        <v>2</v>
      </c>
      <c r="G13" s="1052" t="s">
        <v>3322</v>
      </c>
      <c r="H13" s="1053"/>
      <c r="I13" s="1054">
        <v>0</v>
      </c>
      <c r="J13" s="1054">
        <v>-43030.16</v>
      </c>
      <c r="K13" s="1054">
        <v>-43030.16</v>
      </c>
      <c r="L13" s="653" t="str">
        <f t="shared" si="2"/>
        <v>120</v>
      </c>
      <c r="M13" s="654" t="str">
        <f t="shared" si="0"/>
        <v>PROFIT/PERTES DECEMBRE</v>
      </c>
      <c r="N13" s="655">
        <f>+IF(OR($Q13=Parametres!$G$2,$Q13=Parametres!$G$3),I13,C13)</f>
        <v>0</v>
      </c>
      <c r="O13" s="659">
        <f>+IF(OR($Q13=Parametres!$G$2,$Q13=Parametres!$G$3),J13,D13)</f>
        <v>-43030.16</v>
      </c>
      <c r="P13" s="655">
        <f>+IF(OR($Q13=Parametres!$G$2,$Q13=Parametres!$G$3),K13,E13)</f>
        <v>-43030.16</v>
      </c>
      <c r="Q13" s="654" t="str">
        <f t="shared" ref="Q13:S13" si="13">+F13</f>
        <v>1-Mémo</v>
      </c>
      <c r="R13" s="653" t="str">
        <f t="shared" si="13"/>
        <v>1</v>
      </c>
      <c r="S13" s="654">
        <f t="shared" si="13"/>
        <v>0</v>
      </c>
      <c r="T13" s="656" t="str">
        <f>+VLOOKUP($L13,Data_Validation!$A:$D,1,0)</f>
        <v>120</v>
      </c>
      <c r="U13" s="656">
        <f>+VLOOKUP($L13,Data_Validation!$A:$D,3,0)</f>
        <v>0</v>
      </c>
      <c r="V13" s="656">
        <f>+VLOOKUP($L13,Data_Validation!$A:$D,4,0)</f>
        <v>0</v>
      </c>
      <c r="W13" s="656">
        <f>+VLOOKUP($L13,Data_Validation!$A:$E,5,0)</f>
        <v>0</v>
      </c>
      <c r="X13" s="656">
        <f>+VLOOKUP($L13,Data_Validation!$A:$F,6,0)</f>
        <v>0</v>
      </c>
    </row>
    <row r="14" spans="1:24" ht="15" customHeight="1">
      <c r="A14" s="1052" t="s">
        <v>732</v>
      </c>
      <c r="B14" s="1052" t="s">
        <v>1674</v>
      </c>
      <c r="C14" s="1053"/>
      <c r="D14" s="1053"/>
      <c r="E14" s="1053"/>
      <c r="F14" s="1052" t="s">
        <v>2</v>
      </c>
      <c r="G14" s="1052" t="s">
        <v>3323</v>
      </c>
      <c r="H14" s="1053"/>
      <c r="I14" s="1054">
        <v>6.63</v>
      </c>
      <c r="J14" s="1054">
        <v>0.41</v>
      </c>
      <c r="K14" s="1054">
        <v>7.04</v>
      </c>
      <c r="L14" s="653" t="str">
        <f t="shared" si="2"/>
        <v>229</v>
      </c>
      <c r="M14" s="654" t="str">
        <f t="shared" si="0"/>
        <v>CUMUL. VIS. CARR. VW</v>
      </c>
      <c r="N14" s="655">
        <f>+IF(OR($Q14=Parametres!$G$2,$Q14=Parametres!$G$3),I14,C14)</f>
        <v>6.63</v>
      </c>
      <c r="O14" s="659">
        <f>+IF(OR($Q14=Parametres!$G$2,$Q14=Parametres!$G$3),J14,D14)</f>
        <v>0.41</v>
      </c>
      <c r="P14" s="655">
        <f>+IF(OR($Q14=Parametres!$G$2,$Q14=Parametres!$G$3),K14,E14)</f>
        <v>7.04</v>
      </c>
      <c r="Q14" s="654" t="str">
        <f t="shared" ref="Q14:S14" si="14">+F14</f>
        <v>1-Mémo</v>
      </c>
      <c r="R14" s="653" t="str">
        <f t="shared" si="14"/>
        <v>23</v>
      </c>
      <c r="S14" s="654">
        <f t="shared" si="14"/>
        <v>0</v>
      </c>
      <c r="T14" s="656" t="str">
        <f>+VLOOKUP($L14,Data_Validation!$A:$D,1,0)</f>
        <v>229</v>
      </c>
      <c r="U14" s="656">
        <f>+VLOOKUP($L14,Data_Validation!$A:$D,3,0)</f>
        <v>0</v>
      </c>
      <c r="V14" s="656">
        <f>+VLOOKUP($L14,Data_Validation!$A:$D,4,0)</f>
        <v>0</v>
      </c>
      <c r="W14" s="656">
        <f>+VLOOKUP($L14,Data_Validation!$A:$E,5,0)</f>
        <v>0</v>
      </c>
      <c r="X14" s="656">
        <f>+VLOOKUP($L14,Data_Validation!$A:$F,6,0)</f>
        <v>0</v>
      </c>
    </row>
    <row r="15" spans="1:24" ht="15" customHeight="1">
      <c r="A15" s="1052" t="s">
        <v>733</v>
      </c>
      <c r="B15" s="1052" t="s">
        <v>1690</v>
      </c>
      <c r="C15" s="1053"/>
      <c r="D15" s="1053"/>
      <c r="E15" s="1053"/>
      <c r="F15" s="1052" t="s">
        <v>2</v>
      </c>
      <c r="G15" s="1052" t="s">
        <v>3323</v>
      </c>
      <c r="H15" s="1053"/>
      <c r="I15" s="1054">
        <v>100.49</v>
      </c>
      <c r="J15" s="1054">
        <v>7.1</v>
      </c>
      <c r="K15" s="1054">
        <v>107.59</v>
      </c>
      <c r="L15" s="653" t="str">
        <f t="shared" si="2"/>
        <v>230</v>
      </c>
      <c r="M15" s="654" t="str">
        <f t="shared" si="0"/>
        <v>CUMUL. VIS. VEH. SERV. VW</v>
      </c>
      <c r="N15" s="655">
        <f>+IF(OR($Q15=Parametres!$G$2,$Q15=Parametres!$G$3),I15,C15)</f>
        <v>100.49</v>
      </c>
      <c r="O15" s="659">
        <f>+IF(OR($Q15=Parametres!$G$2,$Q15=Parametres!$G$3),J15,D15)</f>
        <v>7.1</v>
      </c>
      <c r="P15" s="655">
        <f>+IF(OR($Q15=Parametres!$G$2,$Q15=Parametres!$G$3),K15,E15)</f>
        <v>107.59</v>
      </c>
      <c r="Q15" s="654" t="str">
        <f t="shared" ref="Q15:S15" si="15">+F15</f>
        <v>1-Mémo</v>
      </c>
      <c r="R15" s="653" t="str">
        <f t="shared" si="15"/>
        <v>23</v>
      </c>
      <c r="S15" s="654">
        <f t="shared" si="15"/>
        <v>0</v>
      </c>
      <c r="T15" s="656" t="str">
        <f>+VLOOKUP($L15,Data_Validation!$A:$D,1,0)</f>
        <v>230</v>
      </c>
      <c r="U15" s="656">
        <f>+VLOOKUP($L15,Data_Validation!$A:$D,3,0)</f>
        <v>0</v>
      </c>
      <c r="V15" s="656">
        <f>+VLOOKUP($L15,Data_Validation!$A:$D,4,0)</f>
        <v>0</v>
      </c>
      <c r="W15" s="656" t="str">
        <f>+VLOOKUP($L15,Data_Validation!$A:$E,5,0)</f>
        <v>$</v>
      </c>
      <c r="X15" s="656">
        <f>+VLOOKUP($L15,Data_Validation!$A:$F,6,0)</f>
        <v>0</v>
      </c>
    </row>
    <row r="16" spans="1:24" ht="15" customHeight="1">
      <c r="A16" s="1052" t="s">
        <v>734</v>
      </c>
      <c r="B16" s="1052" t="s">
        <v>1698</v>
      </c>
      <c r="C16" s="1053"/>
      <c r="D16" s="1053"/>
      <c r="E16" s="1053"/>
      <c r="F16" s="1052" t="s">
        <v>2</v>
      </c>
      <c r="G16" s="1052" t="s">
        <v>3323</v>
      </c>
      <c r="H16" s="1053"/>
      <c r="I16" s="1054">
        <v>195.46</v>
      </c>
      <c r="J16" s="1054">
        <v>15.69</v>
      </c>
      <c r="K16" s="1054">
        <v>211.15</v>
      </c>
      <c r="L16" s="653" t="str">
        <f t="shared" si="2"/>
        <v>234</v>
      </c>
      <c r="M16" s="654" t="str">
        <f t="shared" si="0"/>
        <v>TOTAL HRES PROD. SERVICE</v>
      </c>
      <c r="N16" s="655">
        <f>+IF(OR($Q16=Parametres!$G$2,$Q16=Parametres!$G$3),I16,C16)</f>
        <v>195.46</v>
      </c>
      <c r="O16" s="659">
        <f>+IF(OR($Q16=Parametres!$G$2,$Q16=Parametres!$G$3),J16,D16)</f>
        <v>15.69</v>
      </c>
      <c r="P16" s="655">
        <f>+IF(OR($Q16=Parametres!$G$2,$Q16=Parametres!$G$3),K16,E16)</f>
        <v>211.15</v>
      </c>
      <c r="Q16" s="654" t="str">
        <f t="shared" ref="Q16:S16" si="16">+F16</f>
        <v>1-Mémo</v>
      </c>
      <c r="R16" s="653" t="str">
        <f t="shared" si="16"/>
        <v>23</v>
      </c>
      <c r="S16" s="654">
        <f t="shared" si="16"/>
        <v>0</v>
      </c>
      <c r="T16" s="656" t="str">
        <f>+VLOOKUP($L16,Data_Validation!$A:$D,1,0)</f>
        <v>234</v>
      </c>
      <c r="U16" s="656">
        <f>+VLOOKUP($L16,Data_Validation!$A:$D,3,0)</f>
        <v>0</v>
      </c>
      <c r="V16" s="656">
        <f>+VLOOKUP($L16,Data_Validation!$A:$D,4,0)</f>
        <v>0</v>
      </c>
      <c r="W16" s="656">
        <f>+VLOOKUP($L16,Data_Validation!$A:$E,5,0)</f>
        <v>0</v>
      </c>
      <c r="X16" s="656">
        <f>+VLOOKUP($L16,Data_Validation!$A:$F,6,0)</f>
        <v>0</v>
      </c>
    </row>
    <row r="17" spans="1:24" ht="15" customHeight="1">
      <c r="A17" s="1052" t="s">
        <v>735</v>
      </c>
      <c r="B17" s="1052" t="s">
        <v>1710</v>
      </c>
      <c r="C17" s="1053"/>
      <c r="D17" s="1053"/>
      <c r="E17" s="1053"/>
      <c r="F17" s="1052" t="s">
        <v>2</v>
      </c>
      <c r="G17" s="1052" t="s">
        <v>3323</v>
      </c>
      <c r="H17" s="1053"/>
      <c r="I17" s="1054">
        <v>194.4</v>
      </c>
      <c r="J17" s="1054">
        <v>15.8</v>
      </c>
      <c r="K17" s="1054">
        <v>210.2</v>
      </c>
      <c r="L17" s="653" t="str">
        <f t="shared" si="2"/>
        <v>236</v>
      </c>
      <c r="M17" s="654" t="str">
        <f t="shared" si="0"/>
        <v>HEURES VENDU VW - SERVICE</v>
      </c>
      <c r="N17" s="655">
        <f>+IF(OR($Q17=Parametres!$G$2,$Q17=Parametres!$G$3),I17,C17)</f>
        <v>194.4</v>
      </c>
      <c r="O17" s="659">
        <f>+IF(OR($Q17=Parametres!$G$2,$Q17=Parametres!$G$3),J17,D17)</f>
        <v>15.8</v>
      </c>
      <c r="P17" s="655">
        <f>+IF(OR($Q17=Parametres!$G$2,$Q17=Parametres!$G$3),K17,E17)</f>
        <v>210.2</v>
      </c>
      <c r="Q17" s="654" t="str">
        <f t="shared" ref="Q17:S17" si="17">+F17</f>
        <v>1-Mémo</v>
      </c>
      <c r="R17" s="653" t="str">
        <f t="shared" si="17"/>
        <v>23</v>
      </c>
      <c r="S17" s="654">
        <f t="shared" si="17"/>
        <v>0</v>
      </c>
      <c r="T17" s="656" t="str">
        <f>+VLOOKUP($L17,Data_Validation!$A:$D,1,0)</f>
        <v>236</v>
      </c>
      <c r="U17" s="656">
        <f>+VLOOKUP($L17,Data_Validation!$A:$D,3,0)</f>
        <v>0</v>
      </c>
      <c r="V17" s="656">
        <f>+VLOOKUP($L17,Data_Validation!$A:$D,4,0)</f>
        <v>0</v>
      </c>
      <c r="W17" s="656">
        <f>+VLOOKUP($L17,Data_Validation!$A:$E,5,0)</f>
        <v>0</v>
      </c>
      <c r="X17" s="656">
        <f>+VLOOKUP($L17,Data_Validation!$A:$F,6,0)</f>
        <v>0</v>
      </c>
    </row>
    <row r="18" spans="1:24" ht="15" customHeight="1">
      <c r="A18" s="1052" t="s">
        <v>736</v>
      </c>
      <c r="B18" s="1052" t="s">
        <v>1713</v>
      </c>
      <c r="C18" s="1053"/>
      <c r="D18" s="1053"/>
      <c r="E18" s="1053"/>
      <c r="F18" s="1052" t="s">
        <v>2</v>
      </c>
      <c r="G18" s="1052" t="s">
        <v>3323</v>
      </c>
      <c r="H18" s="1053"/>
      <c r="I18" s="1054">
        <v>221.17</v>
      </c>
      <c r="J18" s="1054">
        <v>16.760000000000002</v>
      </c>
      <c r="K18" s="1054">
        <v>237.93</v>
      </c>
      <c r="L18" s="653" t="str">
        <f t="shared" si="2"/>
        <v>238</v>
      </c>
      <c r="M18" s="654" t="str">
        <f t="shared" si="0"/>
        <v>TOT. HEURES DISP. SERVICE</v>
      </c>
      <c r="N18" s="655">
        <f>+IF(OR($Q18=Parametres!$G$2,$Q18=Parametres!$G$3),I18,C18)</f>
        <v>221.17</v>
      </c>
      <c r="O18" s="655">
        <f>+IF(OR($Q18=Parametres!$G$2,$Q18=Parametres!$G$3),J18,D18)</f>
        <v>16.760000000000002</v>
      </c>
      <c r="P18" s="655">
        <f>+IF(OR($Q18=Parametres!$G$2,$Q18=Parametres!$G$3),K18,E18)</f>
        <v>237.93</v>
      </c>
      <c r="Q18" s="654" t="str">
        <f t="shared" ref="Q18:S18" si="18">+F18</f>
        <v>1-Mémo</v>
      </c>
      <c r="R18" s="653" t="str">
        <f t="shared" si="18"/>
        <v>23</v>
      </c>
      <c r="S18" s="654">
        <f t="shared" si="18"/>
        <v>0</v>
      </c>
      <c r="T18" s="656" t="str">
        <f>+VLOOKUP($L18,Data_Validation!$A:$D,1,0)</f>
        <v>238</v>
      </c>
      <c r="U18" s="656">
        <f>+VLOOKUP($L18,Data_Validation!$A:$D,3,0)</f>
        <v>0</v>
      </c>
      <c r="V18" s="656">
        <f>+VLOOKUP($L18,Data_Validation!$A:$D,4,0)</f>
        <v>0</v>
      </c>
      <c r="W18" s="656">
        <f>+VLOOKUP($L18,Data_Validation!$A:$E,5,0)</f>
        <v>0</v>
      </c>
      <c r="X18" s="656">
        <f>+VLOOKUP($L18,Data_Validation!$A:$F,6,0)</f>
        <v>0</v>
      </c>
    </row>
    <row r="19" spans="1:24" ht="15" customHeight="1">
      <c r="A19" s="1052" t="s">
        <v>3658</v>
      </c>
      <c r="B19" s="1052" t="s">
        <v>1718</v>
      </c>
      <c r="C19" s="1053"/>
      <c r="D19" s="1053"/>
      <c r="E19" s="1053"/>
      <c r="F19" s="1052" t="s">
        <v>2</v>
      </c>
      <c r="G19" s="1052" t="s">
        <v>3324</v>
      </c>
      <c r="H19" s="1053"/>
      <c r="I19" s="1054">
        <v>134.94999999999999</v>
      </c>
      <c r="J19" s="1054">
        <v>0</v>
      </c>
      <c r="K19" s="1054">
        <v>134.94999999999999</v>
      </c>
      <c r="L19" s="653" t="str">
        <f t="shared" si="2"/>
        <v>243</v>
      </c>
      <c r="M19" s="654" t="str">
        <f t="shared" si="0"/>
        <v>TAUX MAIN D'OEUVRE - VW - MCI - CLIENT</v>
      </c>
      <c r="N19" s="655">
        <f>+IF(OR($Q19=Parametres!$G$2,$Q19=Parametres!$G$3),I19,C19)</f>
        <v>134.94999999999999</v>
      </c>
      <c r="O19" s="659">
        <f>+IF(OR($Q19=Parametres!$G$2,$Q19=Parametres!$G$3),J19,D19)</f>
        <v>0</v>
      </c>
      <c r="P19" s="655">
        <f>+IF(OR($Q19=Parametres!$G$2,$Q19=Parametres!$G$3),K19,E19)</f>
        <v>134.94999999999999</v>
      </c>
      <c r="Q19" s="654" t="str">
        <f t="shared" ref="Q19:S19" si="19">+F19</f>
        <v>1-Mémo</v>
      </c>
      <c r="R19" s="653" t="str">
        <f t="shared" si="19"/>
        <v>24</v>
      </c>
      <c r="S19" s="654">
        <f t="shared" si="19"/>
        <v>0</v>
      </c>
      <c r="T19" s="656" t="str">
        <f>+VLOOKUP($L19,Data_Validation!$A:$D,1,0)</f>
        <v>243</v>
      </c>
      <c r="U19" s="656">
        <f>+VLOOKUP($L19,Data_Validation!$A:$D,3,0)</f>
        <v>0</v>
      </c>
      <c r="V19" s="656">
        <f>+VLOOKUP($L19,Data_Validation!$A:$D,4,0)</f>
        <v>0</v>
      </c>
      <c r="W19" s="656">
        <f>+VLOOKUP($L19,Data_Validation!$A:$E,5,0)</f>
        <v>0</v>
      </c>
      <c r="X19" s="656">
        <f>+VLOOKUP($L19,Data_Validation!$A:$F,6,0)</f>
        <v>0</v>
      </c>
    </row>
    <row r="20" spans="1:24" ht="15" customHeight="1">
      <c r="A20" s="1052" t="s">
        <v>3659</v>
      </c>
      <c r="B20" s="1052" t="s">
        <v>1721</v>
      </c>
      <c r="C20" s="1053"/>
      <c r="D20" s="1053"/>
      <c r="E20" s="1053"/>
      <c r="F20" s="1052" t="s">
        <v>2</v>
      </c>
      <c r="G20" s="1052" t="s">
        <v>3324</v>
      </c>
      <c r="H20" s="1053"/>
      <c r="I20" s="1054">
        <v>123.64</v>
      </c>
      <c r="J20" s="1054">
        <v>0</v>
      </c>
      <c r="K20" s="1054">
        <v>123.64</v>
      </c>
      <c r="L20" s="653" t="str">
        <f t="shared" si="2"/>
        <v>244</v>
      </c>
      <c r="M20" s="654" t="str">
        <f t="shared" si="0"/>
        <v>TAUX MAIN D'OEUVRE - VW - MCI - GARANTIE</v>
      </c>
      <c r="N20" s="655">
        <f>+IF(OR($Q20=Parametres!$G$2,$Q20=Parametres!$G$3),I20,C20)</f>
        <v>123.64</v>
      </c>
      <c r="O20" s="659">
        <f>+IF(OR($Q20=Parametres!$G$2,$Q20=Parametres!$G$3),J20,D20)</f>
        <v>0</v>
      </c>
      <c r="P20" s="655">
        <f>+IF(OR($Q20=Parametres!$G$2,$Q20=Parametres!$G$3),K20,E20)</f>
        <v>123.64</v>
      </c>
      <c r="Q20" s="654" t="str">
        <f t="shared" ref="Q20:S20" si="20">+F20</f>
        <v>1-Mémo</v>
      </c>
      <c r="R20" s="653" t="str">
        <f t="shared" si="20"/>
        <v>24</v>
      </c>
      <c r="S20" s="654">
        <f t="shared" si="20"/>
        <v>0</v>
      </c>
      <c r="T20" s="656" t="str">
        <f>+VLOOKUP($L20,Data_Validation!$A:$D,1,0)</f>
        <v>244</v>
      </c>
      <c r="U20" s="656">
        <f>+VLOOKUP($L20,Data_Validation!$A:$D,3,0)</f>
        <v>0</v>
      </c>
      <c r="V20" s="656">
        <f>+VLOOKUP($L20,Data_Validation!$A:$D,4,0)</f>
        <v>0</v>
      </c>
      <c r="W20" s="656">
        <f>+VLOOKUP($L20,Data_Validation!$A:$E,5,0)</f>
        <v>0</v>
      </c>
      <c r="X20" s="656">
        <f>+VLOOKUP($L20,Data_Validation!$A:$F,6,0)</f>
        <v>0</v>
      </c>
    </row>
    <row r="21" spans="1:24" ht="15" customHeight="1">
      <c r="A21" s="1052" t="s">
        <v>3660</v>
      </c>
      <c r="B21" s="1052" t="s">
        <v>1724</v>
      </c>
      <c r="C21" s="1053"/>
      <c r="D21" s="1053"/>
      <c r="E21" s="1053"/>
      <c r="F21" s="1052" t="s">
        <v>2</v>
      </c>
      <c r="G21" s="1052" t="s">
        <v>3324</v>
      </c>
      <c r="H21" s="1053"/>
      <c r="I21" s="1054">
        <v>134.94999999999999</v>
      </c>
      <c r="J21" s="1054">
        <v>0</v>
      </c>
      <c r="K21" s="1054">
        <v>134.94999999999999</v>
      </c>
      <c r="L21" s="653" t="str">
        <f t="shared" si="2"/>
        <v>245</v>
      </c>
      <c r="M21" s="654" t="str">
        <f t="shared" si="0"/>
        <v>TAUX MAIN D'OEUVRE - VW - MCI - INTERNE</v>
      </c>
      <c r="N21" s="655">
        <f>+IF(OR($Q21=Parametres!$G$2,$Q21=Parametres!$G$3),I21,C21)</f>
        <v>134.94999999999999</v>
      </c>
      <c r="O21" s="655">
        <f>+IF(OR($Q21=Parametres!$G$2,$Q21=Parametres!$G$3),J21,D21)</f>
        <v>0</v>
      </c>
      <c r="P21" s="655">
        <f>+IF(OR($Q21=Parametres!$G$2,$Q21=Parametres!$G$3),K21,E21)</f>
        <v>134.94999999999999</v>
      </c>
      <c r="Q21" s="654" t="str">
        <f t="shared" ref="Q21:S21" si="21">+F21</f>
        <v>1-Mémo</v>
      </c>
      <c r="R21" s="653" t="str">
        <f t="shared" si="21"/>
        <v>24</v>
      </c>
      <c r="S21" s="654">
        <f t="shared" si="21"/>
        <v>0</v>
      </c>
      <c r="T21" s="656" t="str">
        <f>+VLOOKUP($L21,Data_Validation!$A:$D,1,0)</f>
        <v>245</v>
      </c>
      <c r="U21" s="656">
        <f>+VLOOKUP($L21,Data_Validation!$A:$D,3,0)</f>
        <v>0</v>
      </c>
      <c r="V21" s="656">
        <f>+VLOOKUP($L21,Data_Validation!$A:$D,4,0)</f>
        <v>0</v>
      </c>
      <c r="W21" s="656">
        <f>+VLOOKUP($L21,Data_Validation!$A:$E,5,0)</f>
        <v>0</v>
      </c>
      <c r="X21" s="656">
        <f>+VLOOKUP($L21,Data_Validation!$A:$F,6,0)</f>
        <v>0</v>
      </c>
    </row>
    <row r="22" spans="1:24" ht="15" customHeight="1">
      <c r="A22" s="1052" t="s">
        <v>3661</v>
      </c>
      <c r="B22" s="1052" t="s">
        <v>1727</v>
      </c>
      <c r="C22" s="1053"/>
      <c r="D22" s="1053"/>
      <c r="E22" s="1053"/>
      <c r="F22" s="1052" t="s">
        <v>2</v>
      </c>
      <c r="G22" s="1052" t="s">
        <v>3324</v>
      </c>
      <c r="H22" s="1053"/>
      <c r="I22" s="1054">
        <v>65</v>
      </c>
      <c r="J22" s="1054">
        <v>0</v>
      </c>
      <c r="K22" s="1054">
        <v>65</v>
      </c>
      <c r="L22" s="653" t="str">
        <f t="shared" si="2"/>
        <v>246</v>
      </c>
      <c r="M22" s="654" t="str">
        <f t="shared" si="0"/>
        <v>TAUX MAIN D'OEUVRE - VW - MCI - CARROSSERIE</v>
      </c>
      <c r="N22" s="655">
        <f>+IF(OR($Q22=Parametres!$G$2,$Q22=Parametres!$G$3),I22,C22)</f>
        <v>65</v>
      </c>
      <c r="O22" s="659">
        <f>+IF(OR($Q22=Parametres!$G$2,$Q22=Parametres!$G$3),J22,D22)</f>
        <v>0</v>
      </c>
      <c r="P22" s="655">
        <f>+IF(OR($Q22=Parametres!$G$2,$Q22=Parametres!$G$3),K22,E22)</f>
        <v>65</v>
      </c>
      <c r="Q22" s="654" t="str">
        <f t="shared" ref="Q22:S22" si="22">+F22</f>
        <v>1-Mémo</v>
      </c>
      <c r="R22" s="653" t="str">
        <f t="shared" si="22"/>
        <v>24</v>
      </c>
      <c r="S22" s="654">
        <f t="shared" si="22"/>
        <v>0</v>
      </c>
      <c r="T22" s="656" t="str">
        <f>+VLOOKUP($L22,Data_Validation!$A:$D,1,0)</f>
        <v>246</v>
      </c>
      <c r="U22" s="656">
        <f>+VLOOKUP($L22,Data_Validation!$A:$D,3,0)</f>
        <v>0</v>
      </c>
      <c r="V22" s="656">
        <f>+VLOOKUP($L22,Data_Validation!$A:$D,4,0)</f>
        <v>0</v>
      </c>
      <c r="W22" s="656">
        <f>+VLOOKUP($L22,Data_Validation!$A:$E,5,0)</f>
        <v>0</v>
      </c>
      <c r="X22" s="656">
        <f>+VLOOKUP($L22,Data_Validation!$A:$F,6,0)</f>
        <v>0</v>
      </c>
    </row>
    <row r="23" spans="1:24" ht="15" customHeight="1">
      <c r="A23" s="1052" t="s">
        <v>741</v>
      </c>
      <c r="B23" s="1052" t="s">
        <v>742</v>
      </c>
      <c r="C23" s="1053"/>
      <c r="D23" s="1053"/>
      <c r="E23" s="1053"/>
      <c r="F23" s="1052" t="s">
        <v>2</v>
      </c>
      <c r="G23" s="1052" t="s">
        <v>742</v>
      </c>
      <c r="H23" s="1053"/>
      <c r="I23" s="1054">
        <v>0.08</v>
      </c>
      <c r="J23" s="1054">
        <v>0</v>
      </c>
      <c r="K23" s="1054">
        <v>0.08</v>
      </c>
      <c r="L23" s="653" t="str">
        <f t="shared" si="2"/>
        <v>255</v>
      </c>
      <c r="M23" s="654" t="str">
        <f t="shared" si="0"/>
        <v>BAIES TRAVAIL PRODUCTIVES - SERVICE VW</v>
      </c>
      <c r="N23" s="655">
        <f>+IF(OR($Q23=Parametres!$G$2,$Q23=Parametres!$G$3),I23,C23)</f>
        <v>0.08</v>
      </c>
      <c r="O23" s="659">
        <f>+IF(OR($Q23=Parametres!$G$2,$Q23=Parametres!$G$3),J23,D23)</f>
        <v>0</v>
      </c>
      <c r="P23" s="655">
        <f>+IF(OR($Q23=Parametres!$G$2,$Q23=Parametres!$G$3),K23,E23)</f>
        <v>0.08</v>
      </c>
      <c r="Q23" s="654" t="str">
        <f t="shared" ref="Q23:S23" si="23">+F23</f>
        <v>1-Mémo</v>
      </c>
      <c r="R23" s="653" t="str">
        <f t="shared" si="23"/>
        <v>255</v>
      </c>
      <c r="S23" s="654">
        <f t="shared" si="23"/>
        <v>0</v>
      </c>
      <c r="T23" s="656" t="str">
        <f>+VLOOKUP($L23,Data_Validation!$A:$D,1,0)</f>
        <v>255</v>
      </c>
      <c r="U23" s="656">
        <f>+VLOOKUP($L23,Data_Validation!$A:$D,3,0)</f>
        <v>0</v>
      </c>
      <c r="V23" s="656">
        <f>+VLOOKUP($L23,Data_Validation!$A:$D,4,0)</f>
        <v>0</v>
      </c>
      <c r="W23" s="656">
        <f>+VLOOKUP($L23,Data_Validation!$A:$E,5,0)</f>
        <v>0</v>
      </c>
      <c r="X23" s="656">
        <f>+VLOOKUP($L23,Data_Validation!$A:$F,6,0)</f>
        <v>0</v>
      </c>
    </row>
    <row r="24" spans="1:24" ht="15" customHeight="1">
      <c r="A24" s="1052" t="s">
        <v>3662</v>
      </c>
      <c r="B24" s="1052" t="s">
        <v>744</v>
      </c>
      <c r="C24" s="1053"/>
      <c r="D24" s="1053"/>
      <c r="E24" s="1053"/>
      <c r="F24" s="1052" t="s">
        <v>2</v>
      </c>
      <c r="G24" s="1052" t="s">
        <v>744</v>
      </c>
      <c r="H24" s="1053"/>
      <c r="I24" s="1054">
        <v>10846.7</v>
      </c>
      <c r="J24" s="1054">
        <v>869.43</v>
      </c>
      <c r="K24" s="1054">
        <v>11716.13</v>
      </c>
      <c r="L24" s="653" t="str">
        <f t="shared" si="2"/>
        <v>257</v>
      </c>
      <c r="M24" s="654" t="str">
        <f t="shared" si="0"/>
        <v>HEURES VENDUES - SVC - VW - MCI - CLIENT</v>
      </c>
      <c r="N24" s="655">
        <f>+IF(OR($Q24=Parametres!$G$2,$Q24=Parametres!$G$3),I24,C24)</f>
        <v>10846.7</v>
      </c>
      <c r="O24" s="659">
        <f>+IF(OR($Q24=Parametres!$G$2,$Q24=Parametres!$G$3),J24,D24)</f>
        <v>869.43</v>
      </c>
      <c r="P24" s="655">
        <f>+IF(OR($Q24=Parametres!$G$2,$Q24=Parametres!$G$3),K24,E24)</f>
        <v>11716.13</v>
      </c>
      <c r="Q24" s="654" t="str">
        <f t="shared" ref="Q24:S24" si="24">+F24</f>
        <v>1-Mémo</v>
      </c>
      <c r="R24" s="653" t="str">
        <f t="shared" si="24"/>
        <v>257</v>
      </c>
      <c r="S24" s="654">
        <f t="shared" si="24"/>
        <v>0</v>
      </c>
      <c r="T24" s="656" t="str">
        <f>+VLOOKUP($L24,Data_Validation!$A:$D,1,0)</f>
        <v>257</v>
      </c>
      <c r="U24" s="656">
        <f>+VLOOKUP($L24,Data_Validation!$A:$D,3,0)</f>
        <v>0</v>
      </c>
      <c r="V24" s="656">
        <f>+VLOOKUP($L24,Data_Validation!$A:$D,4,0)</f>
        <v>0</v>
      </c>
      <c r="W24" s="656">
        <f>+VLOOKUP($L24,Data_Validation!$A:$E,5,0)</f>
        <v>0</v>
      </c>
      <c r="X24" s="656">
        <f>+VLOOKUP($L24,Data_Validation!$A:$F,6,0)</f>
        <v>0</v>
      </c>
    </row>
    <row r="25" spans="1:24" ht="15" customHeight="1">
      <c r="A25" s="1052" t="s">
        <v>3663</v>
      </c>
      <c r="B25" s="1052" t="s">
        <v>1750</v>
      </c>
      <c r="C25" s="1053"/>
      <c r="D25" s="1053"/>
      <c r="E25" s="1053"/>
      <c r="F25" s="1052" t="s">
        <v>2</v>
      </c>
      <c r="G25" s="1052" t="s">
        <v>744</v>
      </c>
      <c r="H25" s="1053"/>
      <c r="I25" s="1054">
        <v>4067.18</v>
      </c>
      <c r="J25" s="1054">
        <v>317.7</v>
      </c>
      <c r="K25" s="1054">
        <v>4384.88</v>
      </c>
      <c r="L25" s="653" t="str">
        <f t="shared" si="2"/>
        <v>258</v>
      </c>
      <c r="M25" s="654" t="str">
        <f t="shared" si="0"/>
        <v>HEURES VENDUES - SVC - VW - MCI - GARANTIE</v>
      </c>
      <c r="N25" s="655">
        <f>+IF(OR($Q25=Parametres!$G$2,$Q25=Parametres!$G$3),I25,C25)</f>
        <v>4067.18</v>
      </c>
      <c r="O25" s="659">
        <f>+IF(OR($Q25=Parametres!$G$2,$Q25=Parametres!$G$3),J25,D25)</f>
        <v>317.7</v>
      </c>
      <c r="P25" s="655">
        <f>+IF(OR($Q25=Parametres!$G$2,$Q25=Parametres!$G$3),K25,E25)</f>
        <v>4384.88</v>
      </c>
      <c r="Q25" s="654" t="str">
        <f t="shared" ref="Q25:S25" si="25">+F25</f>
        <v>1-Mémo</v>
      </c>
      <c r="R25" s="653" t="str">
        <f t="shared" si="25"/>
        <v>257</v>
      </c>
      <c r="S25" s="654">
        <f t="shared" si="25"/>
        <v>0</v>
      </c>
      <c r="T25" s="656" t="str">
        <f>+VLOOKUP($L25,Data_Validation!$A:$D,1,0)</f>
        <v>258</v>
      </c>
      <c r="U25" s="656">
        <f>+VLOOKUP($L25,Data_Validation!$A:$D,3,0)</f>
        <v>0</v>
      </c>
      <c r="V25" s="656">
        <f>+VLOOKUP($L25,Data_Validation!$A:$D,4,0)</f>
        <v>0</v>
      </c>
      <c r="W25" s="656">
        <f>+VLOOKUP($L25,Data_Validation!$A:$E,5,0)</f>
        <v>0</v>
      </c>
      <c r="X25" s="656">
        <f>+VLOOKUP($L25,Data_Validation!$A:$F,6,0)</f>
        <v>0</v>
      </c>
    </row>
    <row r="26" spans="1:24" ht="15.75" customHeight="1">
      <c r="A26" s="1052" t="s">
        <v>3664</v>
      </c>
      <c r="B26" s="1052" t="s">
        <v>1753</v>
      </c>
      <c r="C26" s="1053"/>
      <c r="D26" s="1053"/>
      <c r="E26" s="1053"/>
      <c r="F26" s="1052" t="s">
        <v>2</v>
      </c>
      <c r="G26" s="1052" t="s">
        <v>744</v>
      </c>
      <c r="H26" s="1053"/>
      <c r="I26" s="1054">
        <v>4526.6099999999997</v>
      </c>
      <c r="J26" s="1054">
        <v>393.3</v>
      </c>
      <c r="K26" s="1054">
        <v>4919.91</v>
      </c>
      <c r="L26" s="653" t="str">
        <f t="shared" si="2"/>
        <v>259</v>
      </c>
      <c r="M26" s="654" t="str">
        <f t="shared" si="0"/>
        <v>HEURES VENDUES - SVC - VW - MCI - INTERNE</v>
      </c>
      <c r="N26" s="655">
        <f>+IF(OR($Q26=Parametres!$G$2,$Q26=Parametres!$G$3),I26,C26)</f>
        <v>4526.6099999999997</v>
      </c>
      <c r="O26" s="659">
        <f>+IF(OR($Q26=Parametres!$G$2,$Q26=Parametres!$G$3),J26,D26)</f>
        <v>393.3</v>
      </c>
      <c r="P26" s="655">
        <f>+IF(OR($Q26=Parametres!$G$2,$Q26=Parametres!$G$3),K26,E26)</f>
        <v>4919.91</v>
      </c>
      <c r="Q26" s="654" t="str">
        <f t="shared" ref="Q26:S26" si="26">+F26</f>
        <v>1-Mémo</v>
      </c>
      <c r="R26" s="653" t="str">
        <f t="shared" si="26"/>
        <v>257</v>
      </c>
      <c r="S26" s="654">
        <f t="shared" si="26"/>
        <v>0</v>
      </c>
      <c r="T26" s="656" t="str">
        <f>+VLOOKUP($L26,Data_Validation!$A:$D,1,0)</f>
        <v>259</v>
      </c>
      <c r="U26" s="656">
        <f>+VLOOKUP($L26,Data_Validation!$A:$D,3,0)</f>
        <v>0</v>
      </c>
      <c r="V26" s="656">
        <f>+VLOOKUP($L26,Data_Validation!$A:$D,4,0)</f>
        <v>0</v>
      </c>
      <c r="W26" s="656">
        <f>+VLOOKUP($L26,Data_Validation!$A:$E,5,0)</f>
        <v>0</v>
      </c>
      <c r="X26" s="656">
        <f>+VLOOKUP($L26,Data_Validation!$A:$F,6,0)</f>
        <v>0</v>
      </c>
    </row>
    <row r="27" spans="1:24" ht="15" customHeight="1">
      <c r="A27" s="1052" t="s">
        <v>747</v>
      </c>
      <c r="B27" s="1052" t="s">
        <v>1763</v>
      </c>
      <c r="C27" s="1053"/>
      <c r="D27" s="1053"/>
      <c r="E27" s="1053"/>
      <c r="F27" s="1052" t="s">
        <v>2</v>
      </c>
      <c r="G27" s="1052" t="s">
        <v>748</v>
      </c>
      <c r="H27" s="1053"/>
      <c r="I27" s="1054">
        <v>-59153.9</v>
      </c>
      <c r="J27" s="1054">
        <v>-5635.67</v>
      </c>
      <c r="K27" s="1054">
        <v>-64789.57</v>
      </c>
      <c r="L27" s="653" t="str">
        <f t="shared" si="2"/>
        <v>300</v>
      </c>
      <c r="M27" s="654" t="str">
        <f t="shared" si="0"/>
        <v>REC VEH PASSE DU 30-60</v>
      </c>
      <c r="N27" s="655">
        <f>+IF(OR($Q27=Parametres!$G$2,$Q27=Parametres!$G$3),I27,C27)</f>
        <v>-59153.9</v>
      </c>
      <c r="O27" s="659">
        <f>+IF(OR($Q27=Parametres!$G$2,$Q27=Parametres!$G$3),J27,D27)</f>
        <v>-5635.67</v>
      </c>
      <c r="P27" s="655">
        <f>+IF(OR($Q27=Parametres!$G$2,$Q27=Parametres!$G$3),K27,E27)</f>
        <v>-64789.57</v>
      </c>
      <c r="Q27" s="654" t="str">
        <f t="shared" ref="Q27:S27" si="27">+F27</f>
        <v>1-Mémo</v>
      </c>
      <c r="R27" s="653" t="str">
        <f t="shared" si="27"/>
        <v>30</v>
      </c>
      <c r="S27" s="654">
        <f t="shared" si="27"/>
        <v>0</v>
      </c>
      <c r="T27" s="656" t="str">
        <f>+VLOOKUP($L27,Data_Validation!$A:$D,1,0)</f>
        <v>300</v>
      </c>
      <c r="U27" s="656">
        <f>+VLOOKUP($L27,Data_Validation!$A:$D,3,0)</f>
        <v>0</v>
      </c>
      <c r="V27" s="656">
        <f>+VLOOKUP($L27,Data_Validation!$A:$D,4,0)</f>
        <v>0</v>
      </c>
      <c r="W27" s="656">
        <f>+VLOOKUP($L27,Data_Validation!$A:$E,5,0)</f>
        <v>0</v>
      </c>
      <c r="X27" s="656">
        <f>+VLOOKUP($L27,Data_Validation!$A:$F,6,0)</f>
        <v>0</v>
      </c>
    </row>
    <row r="28" spans="1:24" ht="15" customHeight="1">
      <c r="A28" s="1052" t="s">
        <v>749</v>
      </c>
      <c r="B28" s="1052" t="s">
        <v>1774</v>
      </c>
      <c r="C28" s="1053"/>
      <c r="D28" s="1053"/>
      <c r="E28" s="1053"/>
      <c r="F28" s="1052" t="s">
        <v>2</v>
      </c>
      <c r="G28" s="1052" t="s">
        <v>748</v>
      </c>
      <c r="H28" s="1053"/>
      <c r="I28" s="1054">
        <v>252014.04</v>
      </c>
      <c r="J28" s="1054">
        <v>52287.59</v>
      </c>
      <c r="K28" s="1054">
        <v>304301.63</v>
      </c>
      <c r="L28" s="653" t="str">
        <f t="shared" si="2"/>
        <v>301</v>
      </c>
      <c r="M28" s="654" t="str">
        <f t="shared" si="0"/>
        <v>CLIENT S P ET A PASSE DU 30-60</v>
      </c>
      <c r="N28" s="655">
        <f>+IF(OR($Q28=Parametres!$G$2,$Q28=Parametres!$G$3),I28,C28)</f>
        <v>252014.04</v>
      </c>
      <c r="O28" s="659">
        <f>+IF(OR($Q28=Parametres!$G$2,$Q28=Parametres!$G$3),J28,D28)</f>
        <v>52287.59</v>
      </c>
      <c r="P28" s="655">
        <f>+IF(OR($Q28=Parametres!$G$2,$Q28=Parametres!$G$3),K28,E28)</f>
        <v>304301.63</v>
      </c>
      <c r="Q28" s="654" t="str">
        <f t="shared" ref="Q28:S28" si="28">+F28</f>
        <v>1-Mémo</v>
      </c>
      <c r="R28" s="653" t="str">
        <f t="shared" si="28"/>
        <v>30</v>
      </c>
      <c r="S28" s="654">
        <f t="shared" si="28"/>
        <v>0</v>
      </c>
      <c r="T28" s="656" t="str">
        <f>+VLOOKUP($L28,Data_Validation!$A:$D,1,0)</f>
        <v>301</v>
      </c>
      <c r="U28" s="656">
        <f>+VLOOKUP($L28,Data_Validation!$A:$D,3,0)</f>
        <v>0</v>
      </c>
      <c r="V28" s="656">
        <f>+VLOOKUP($L28,Data_Validation!$A:$D,4,0)</f>
        <v>0</v>
      </c>
      <c r="W28" s="656">
        <f>+VLOOKUP($L28,Data_Validation!$A:$E,5,0)</f>
        <v>0</v>
      </c>
      <c r="X28" s="656">
        <f>+VLOOKUP($L28,Data_Validation!$A:$F,6,0)</f>
        <v>0</v>
      </c>
    </row>
    <row r="29" spans="1:24" ht="15" customHeight="1">
      <c r="A29" s="1052" t="s">
        <v>750</v>
      </c>
      <c r="B29" s="1052" t="s">
        <v>1777</v>
      </c>
      <c r="C29" s="1053"/>
      <c r="D29" s="1053"/>
      <c r="E29" s="1053"/>
      <c r="F29" s="1052" t="s">
        <v>2</v>
      </c>
      <c r="G29" s="1052" t="s">
        <v>748</v>
      </c>
      <c r="H29" s="1053"/>
      <c r="I29" s="1054">
        <v>205860.44</v>
      </c>
      <c r="J29" s="1054">
        <v>0</v>
      </c>
      <c r="K29" s="1054">
        <v>205860.44</v>
      </c>
      <c r="L29" s="653" t="str">
        <f t="shared" si="2"/>
        <v>302</v>
      </c>
      <c r="M29" s="654" t="str">
        <f t="shared" si="0"/>
        <v>RECLAM GARANTIE VW PASSE DU 30-60</v>
      </c>
      <c r="N29" s="655">
        <f>+IF(OR($Q29=Parametres!$G$2,$Q29=Parametres!$G$3),I29,C29)</f>
        <v>205860.44</v>
      </c>
      <c r="O29" s="659">
        <f>+IF(OR($Q29=Parametres!$G$2,$Q29=Parametres!$G$3),J29,D29)</f>
        <v>0</v>
      </c>
      <c r="P29" s="655">
        <f>+IF(OR($Q29=Parametres!$G$2,$Q29=Parametres!$G$3),K29,E29)</f>
        <v>205860.44</v>
      </c>
      <c r="Q29" s="654" t="str">
        <f t="shared" ref="Q29:S29" si="29">+F29</f>
        <v>1-Mémo</v>
      </c>
      <c r="R29" s="653" t="str">
        <f t="shared" si="29"/>
        <v>30</v>
      </c>
      <c r="S29" s="654">
        <f t="shared" si="29"/>
        <v>0</v>
      </c>
      <c r="T29" s="656" t="str">
        <f>+VLOOKUP($L29,Data_Validation!$A:$D,1,0)</f>
        <v>302</v>
      </c>
      <c r="U29" s="656">
        <f>+VLOOKUP($L29,Data_Validation!$A:$D,3,0)</f>
        <v>0</v>
      </c>
      <c r="V29" s="656">
        <f>+VLOOKUP($L29,Data_Validation!$A:$D,4,0)</f>
        <v>0</v>
      </c>
      <c r="W29" s="656">
        <f>+VLOOKUP($L29,Data_Validation!$A:$E,5,0)</f>
        <v>0</v>
      </c>
      <c r="X29" s="656">
        <f>+VLOOKUP($L29,Data_Validation!$A:$F,6,0)</f>
        <v>0</v>
      </c>
    </row>
    <row r="30" spans="1:24" ht="15" customHeight="1">
      <c r="A30" s="1052" t="s">
        <v>751</v>
      </c>
      <c r="B30" s="1052" t="s">
        <v>1780</v>
      </c>
      <c r="C30" s="1053"/>
      <c r="D30" s="1053"/>
      <c r="E30" s="1053"/>
      <c r="F30" s="1052" t="s">
        <v>2</v>
      </c>
      <c r="G30" s="1052" t="s">
        <v>748</v>
      </c>
      <c r="H30" s="1053"/>
      <c r="I30" s="1054">
        <v>-29803.37</v>
      </c>
      <c r="J30" s="1054">
        <v>-19709.400000000001</v>
      </c>
      <c r="K30" s="1054">
        <v>-49512.77</v>
      </c>
      <c r="L30" s="653" t="str">
        <f t="shared" si="2"/>
        <v>307</v>
      </c>
      <c r="M30" s="654" t="str">
        <f t="shared" si="0"/>
        <v>AUTRE REC MANUFACTURIER VW PASSE DU 30-60</v>
      </c>
      <c r="N30" s="655">
        <f>+IF(OR($Q30=Parametres!$G$2,$Q30=Parametres!$G$3),I30,C30)</f>
        <v>-29803.37</v>
      </c>
      <c r="O30" s="659">
        <f>+IF(OR($Q30=Parametres!$G$2,$Q30=Parametres!$G$3),J30,D30)</f>
        <v>-19709.400000000001</v>
      </c>
      <c r="P30" s="655">
        <f>+IF(OR($Q30=Parametres!$G$2,$Q30=Parametres!$G$3),K30,E30)</f>
        <v>-49512.77</v>
      </c>
      <c r="Q30" s="654" t="str">
        <f t="shared" ref="Q30:S30" si="30">+F30</f>
        <v>1-Mémo</v>
      </c>
      <c r="R30" s="653" t="str">
        <f t="shared" si="30"/>
        <v>30</v>
      </c>
      <c r="S30" s="654">
        <f t="shared" si="30"/>
        <v>0</v>
      </c>
      <c r="T30" s="656" t="str">
        <f>+VLOOKUP($L30,Data_Validation!$A:$D,1,0)</f>
        <v>307</v>
      </c>
      <c r="U30" s="656">
        <f>+VLOOKUP($L30,Data_Validation!$A:$D,3,0)</f>
        <v>0</v>
      </c>
      <c r="V30" s="656">
        <f>+VLOOKUP($L30,Data_Validation!$A:$D,4,0)</f>
        <v>0</v>
      </c>
      <c r="W30" s="656">
        <f>+VLOOKUP($L30,Data_Validation!$A:$E,5,0)</f>
        <v>0</v>
      </c>
      <c r="X30" s="656">
        <f>+VLOOKUP($L30,Data_Validation!$A:$F,6,0)</f>
        <v>0</v>
      </c>
    </row>
    <row r="31" spans="1:24" ht="15" customHeight="1">
      <c r="A31" s="1052" t="s">
        <v>752</v>
      </c>
      <c r="B31" s="1052" t="s">
        <v>1783</v>
      </c>
      <c r="C31" s="1053"/>
      <c r="D31" s="1053"/>
      <c r="E31" s="1053"/>
      <c r="F31" s="1052" t="s">
        <v>2</v>
      </c>
      <c r="G31" s="1052" t="s">
        <v>3325</v>
      </c>
      <c r="H31" s="1053"/>
      <c r="I31" s="1054">
        <v>-103418.86</v>
      </c>
      <c r="J31" s="1054">
        <v>-27590.15</v>
      </c>
      <c r="K31" s="1054">
        <v>-131009.01</v>
      </c>
      <c r="L31" s="653" t="str">
        <f t="shared" si="2"/>
        <v>311</v>
      </c>
      <c r="M31" s="654" t="str">
        <f t="shared" si="0"/>
        <v>CLIENT VEH PLUS DE 60</v>
      </c>
      <c r="N31" s="655">
        <f>+IF(OR($Q31=Parametres!$G$2,$Q31=Parametres!$G$3),I31,C31)</f>
        <v>-103418.86</v>
      </c>
      <c r="O31" s="655">
        <f>+IF(OR($Q31=Parametres!$G$2,$Q31=Parametres!$G$3),J31,D31)</f>
        <v>-27590.15</v>
      </c>
      <c r="P31" s="655">
        <f>+IF(OR($Q31=Parametres!$G$2,$Q31=Parametres!$G$3),K31,E31)</f>
        <v>-131009.01</v>
      </c>
      <c r="Q31" s="654" t="str">
        <f t="shared" ref="Q31:S31" si="31">+F31</f>
        <v>1-Mémo</v>
      </c>
      <c r="R31" s="653" t="str">
        <f t="shared" si="31"/>
        <v>31</v>
      </c>
      <c r="S31" s="654">
        <f t="shared" si="31"/>
        <v>0</v>
      </c>
      <c r="T31" s="656" t="str">
        <f>+VLOOKUP($L31,Data_Validation!$A:$D,1,0)</f>
        <v>311</v>
      </c>
      <c r="U31" s="656">
        <f>+VLOOKUP($L31,Data_Validation!$A:$D,3,0)</f>
        <v>0</v>
      </c>
      <c r="V31" s="656">
        <f>+VLOOKUP($L31,Data_Validation!$A:$D,4,0)</f>
        <v>0</v>
      </c>
      <c r="W31" s="656">
        <f>+VLOOKUP($L31,Data_Validation!$A:$E,5,0)</f>
        <v>0</v>
      </c>
      <c r="X31" s="656">
        <f>+VLOOKUP($L31,Data_Validation!$A:$F,6,0)</f>
        <v>0</v>
      </c>
    </row>
    <row r="32" spans="1:24" ht="15" customHeight="1">
      <c r="A32" s="1052" t="s">
        <v>753</v>
      </c>
      <c r="B32" s="1052" t="s">
        <v>1786</v>
      </c>
      <c r="C32" s="1053"/>
      <c r="D32" s="1053"/>
      <c r="E32" s="1053"/>
      <c r="F32" s="1052" t="s">
        <v>2</v>
      </c>
      <c r="G32" s="1052" t="s">
        <v>3325</v>
      </c>
      <c r="H32" s="1053"/>
      <c r="I32" s="1054">
        <v>161196.84</v>
      </c>
      <c r="J32" s="1054">
        <v>32051.62</v>
      </c>
      <c r="K32" s="1054">
        <v>193248.46</v>
      </c>
      <c r="L32" s="653" t="str">
        <f t="shared" si="2"/>
        <v>312</v>
      </c>
      <c r="M32" s="654" t="str">
        <f t="shared" si="0"/>
        <v>CLIENT S P ET A PLUS DE 60</v>
      </c>
      <c r="N32" s="655">
        <f>+IF(OR($Q32=Parametres!$G$2,$Q32=Parametres!$G$3),I32,C32)</f>
        <v>161196.84</v>
      </c>
      <c r="O32" s="659">
        <f>+IF(OR($Q32=Parametres!$G$2,$Q32=Parametres!$G$3),J32,D32)</f>
        <v>32051.62</v>
      </c>
      <c r="P32" s="655">
        <f>+IF(OR($Q32=Parametres!$G$2,$Q32=Parametres!$G$3),K32,E32)</f>
        <v>193248.46</v>
      </c>
      <c r="Q32" s="654" t="str">
        <f t="shared" ref="Q32:S32" si="32">+F32</f>
        <v>1-Mémo</v>
      </c>
      <c r="R32" s="653" t="str">
        <f t="shared" si="32"/>
        <v>31</v>
      </c>
      <c r="S32" s="654">
        <f t="shared" si="32"/>
        <v>0</v>
      </c>
      <c r="T32" s="656" t="str">
        <f>+VLOOKUP($L32,Data_Validation!$A:$D,1,0)</f>
        <v>312</v>
      </c>
      <c r="U32" s="656">
        <f>+VLOOKUP($L32,Data_Validation!$A:$D,3,0)</f>
        <v>0</v>
      </c>
      <c r="V32" s="656">
        <f>+VLOOKUP($L32,Data_Validation!$A:$D,4,0)</f>
        <v>0</v>
      </c>
      <c r="W32" s="656">
        <f>+VLOOKUP($L32,Data_Validation!$A:$E,5,0)</f>
        <v>0</v>
      </c>
      <c r="X32" s="656">
        <f>+VLOOKUP($L32,Data_Validation!$A:$F,6,0)</f>
        <v>0</v>
      </c>
    </row>
    <row r="33" spans="1:24" ht="15" customHeight="1">
      <c r="A33" s="1052" t="s">
        <v>754</v>
      </c>
      <c r="B33" s="1052" t="s">
        <v>1789</v>
      </c>
      <c r="C33" s="1053"/>
      <c r="D33" s="1053"/>
      <c r="E33" s="1053"/>
      <c r="F33" s="1052" t="s">
        <v>2</v>
      </c>
      <c r="G33" s="1052" t="s">
        <v>3325</v>
      </c>
      <c r="H33" s="1053"/>
      <c r="I33" s="1054">
        <v>431440.53</v>
      </c>
      <c r="J33" s="1054">
        <v>4077.44</v>
      </c>
      <c r="K33" s="1054">
        <v>435517.97</v>
      </c>
      <c r="L33" s="653" t="str">
        <f t="shared" si="2"/>
        <v>313</v>
      </c>
      <c r="M33" s="654" t="str">
        <f t="shared" si="0"/>
        <v>RECLAMATIONS DE GARATIE VW PLUS DE 60</v>
      </c>
      <c r="N33" s="655">
        <f>+IF(OR($Q33=Parametres!$G$2,$Q33=Parametres!$G$3),I33,C33)</f>
        <v>431440.53</v>
      </c>
      <c r="O33" s="659">
        <f>+IF(OR($Q33=Parametres!$G$2,$Q33=Parametres!$G$3),J33,D33)</f>
        <v>4077.44</v>
      </c>
      <c r="P33" s="655">
        <f>+IF(OR($Q33=Parametres!$G$2,$Q33=Parametres!$G$3),K33,E33)</f>
        <v>435517.97</v>
      </c>
      <c r="Q33" s="654" t="str">
        <f t="shared" ref="Q33:S33" si="33">+F33</f>
        <v>1-Mémo</v>
      </c>
      <c r="R33" s="653" t="str">
        <f t="shared" si="33"/>
        <v>31</v>
      </c>
      <c r="S33" s="654">
        <f t="shared" si="33"/>
        <v>0</v>
      </c>
      <c r="T33" s="656" t="str">
        <f>+VLOOKUP($L33,Data_Validation!$A:$D,1,0)</f>
        <v>313</v>
      </c>
      <c r="U33" s="656">
        <f>+VLOOKUP($L33,Data_Validation!$A:$D,3,0)</f>
        <v>0</v>
      </c>
      <c r="V33" s="656">
        <f>+VLOOKUP($L33,Data_Validation!$A:$D,4,0)</f>
        <v>0</v>
      </c>
      <c r="W33" s="656">
        <f>+VLOOKUP($L33,Data_Validation!$A:$E,5,0)</f>
        <v>0</v>
      </c>
      <c r="X33" s="656">
        <f>+VLOOKUP($L33,Data_Validation!$A:$F,6,0)</f>
        <v>0</v>
      </c>
    </row>
    <row r="34" spans="1:24" ht="15.75" customHeight="1">
      <c r="A34" s="1052" t="s">
        <v>755</v>
      </c>
      <c r="B34" s="1052" t="s">
        <v>1792</v>
      </c>
      <c r="C34" s="1053"/>
      <c r="D34" s="1053"/>
      <c r="E34" s="1053"/>
      <c r="F34" s="1052" t="s">
        <v>2</v>
      </c>
      <c r="G34" s="1052" t="s">
        <v>3325</v>
      </c>
      <c r="H34" s="1053"/>
      <c r="I34" s="1054">
        <v>-108476.78</v>
      </c>
      <c r="J34" s="1054">
        <v>-34124.26</v>
      </c>
      <c r="K34" s="1054">
        <v>-142601.04</v>
      </c>
      <c r="L34" s="653" t="str">
        <f t="shared" si="2"/>
        <v>316</v>
      </c>
      <c r="M34" s="654" t="str">
        <f t="shared" si="0"/>
        <v>AUTRE REC MANUFACTURIER VW PLUS DE 60</v>
      </c>
      <c r="N34" s="655">
        <f>+IF(OR($Q34=Parametres!$G$2,$Q34=Parametres!$G$3),I34,C34)</f>
        <v>-108476.78</v>
      </c>
      <c r="O34" s="659">
        <f>+IF(OR($Q34=Parametres!$G$2,$Q34=Parametres!$G$3),J34,D34)</f>
        <v>-34124.26</v>
      </c>
      <c r="P34" s="655">
        <f>+IF(OR($Q34=Parametres!$G$2,$Q34=Parametres!$G$3),K34,E34)</f>
        <v>-142601.04</v>
      </c>
      <c r="Q34" s="654" t="str">
        <f t="shared" ref="Q34:S34" si="34">+F34</f>
        <v>1-Mémo</v>
      </c>
      <c r="R34" s="653" t="str">
        <f t="shared" si="34"/>
        <v>31</v>
      </c>
      <c r="S34" s="654">
        <f t="shared" si="34"/>
        <v>0</v>
      </c>
      <c r="T34" s="656" t="str">
        <f>+VLOOKUP($L34,Data_Validation!$A:$D,1,0)</f>
        <v>316</v>
      </c>
      <c r="U34" s="656">
        <f>+VLOOKUP($L34,Data_Validation!$A:$D,3,0)</f>
        <v>0</v>
      </c>
      <c r="V34" s="656">
        <f>+VLOOKUP($L34,Data_Validation!$A:$D,4,0)</f>
        <v>0</v>
      </c>
      <c r="W34" s="656">
        <f>+VLOOKUP($L34,Data_Validation!$A:$E,5,0)</f>
        <v>0</v>
      </c>
      <c r="X34" s="656">
        <f>+VLOOKUP($L34,Data_Validation!$A:$F,6,0)</f>
        <v>0</v>
      </c>
    </row>
    <row r="35" spans="1:24" ht="15" customHeight="1">
      <c r="A35" s="1052" t="s">
        <v>756</v>
      </c>
      <c r="B35" s="1052" t="s">
        <v>1798</v>
      </c>
      <c r="C35" s="1053"/>
      <c r="D35" s="1053"/>
      <c r="E35" s="1053"/>
      <c r="F35" s="1052" t="s">
        <v>2</v>
      </c>
      <c r="G35" s="1052" t="s">
        <v>3326</v>
      </c>
      <c r="H35" s="1053"/>
      <c r="I35" s="1054">
        <v>1.88</v>
      </c>
      <c r="J35" s="1054">
        <v>0.13</v>
      </c>
      <c r="K35" s="1054">
        <v>2.0099999999999998</v>
      </c>
      <c r="L35" s="653" t="str">
        <f t="shared" si="2"/>
        <v>350</v>
      </c>
      <c r="M35" s="654" t="str">
        <f t="shared" si="0"/>
        <v>UNITES USAGES +30JRS</v>
      </c>
      <c r="N35" s="655">
        <f>+IF(OR($Q35=Parametres!$G$2,$Q35=Parametres!$G$3),I35,C35)</f>
        <v>1.88</v>
      </c>
      <c r="O35" s="655">
        <f>+IF(OR($Q35=Parametres!$G$2,$Q35=Parametres!$G$3),J35,D35)</f>
        <v>0.13</v>
      </c>
      <c r="P35" s="655">
        <f>+IF(OR($Q35=Parametres!$G$2,$Q35=Parametres!$G$3),K35,E35)</f>
        <v>2.0099999999999998</v>
      </c>
      <c r="Q35" s="654" t="str">
        <f t="shared" ref="Q35:S35" si="35">+F35</f>
        <v>1-Mémo</v>
      </c>
      <c r="R35" s="653" t="str">
        <f t="shared" si="35"/>
        <v>35</v>
      </c>
      <c r="S35" s="654">
        <f t="shared" si="35"/>
        <v>0</v>
      </c>
      <c r="T35" s="656" t="str">
        <f>+VLOOKUP($L35,Data_Validation!$A:$D,1,0)</f>
        <v>350</v>
      </c>
      <c r="U35" s="656">
        <f>+VLOOKUP($L35,Data_Validation!$A:$D,3,0)</f>
        <v>0</v>
      </c>
      <c r="V35" s="656">
        <f>+VLOOKUP($L35,Data_Validation!$A:$D,4,0)</f>
        <v>0</v>
      </c>
      <c r="W35" s="656">
        <f>+VLOOKUP($L35,Data_Validation!$A:$E,5,0)</f>
        <v>0</v>
      </c>
      <c r="X35" s="656">
        <f>+VLOOKUP($L35,Data_Validation!$A:$F,6,0)</f>
        <v>0</v>
      </c>
    </row>
    <row r="36" spans="1:24" ht="15" customHeight="1">
      <c r="A36" s="1052" t="s">
        <v>757</v>
      </c>
      <c r="B36" s="1052" t="s">
        <v>1801</v>
      </c>
      <c r="C36" s="1053"/>
      <c r="D36" s="1053"/>
      <c r="E36" s="1053"/>
      <c r="F36" s="1052" t="s">
        <v>2</v>
      </c>
      <c r="G36" s="1052" t="s">
        <v>3327</v>
      </c>
      <c r="H36" s="1053"/>
      <c r="I36" s="1054">
        <v>5170572.37</v>
      </c>
      <c r="J36" s="1054">
        <v>348236.13</v>
      </c>
      <c r="K36" s="1054">
        <v>5518808.5</v>
      </c>
      <c r="L36" s="653" t="str">
        <f t="shared" si="2"/>
        <v>360</v>
      </c>
      <c r="M36" s="654" t="str">
        <f t="shared" si="0"/>
        <v>OCCASION VW + 60 JRS</v>
      </c>
      <c r="N36" s="655">
        <f>+IF(OR($Q36=Parametres!$G$2,$Q36=Parametres!$G$3),I36,C36)</f>
        <v>5170572.37</v>
      </c>
      <c r="O36" s="659">
        <f>+IF(OR($Q36=Parametres!$G$2,$Q36=Parametres!$G$3),J36,D36)</f>
        <v>348236.13</v>
      </c>
      <c r="P36" s="655">
        <f>+IF(OR($Q36=Parametres!$G$2,$Q36=Parametres!$G$3),K36,E36)</f>
        <v>5518808.5</v>
      </c>
      <c r="Q36" s="654" t="str">
        <f t="shared" ref="Q36:S36" si="36">+F36</f>
        <v>1-Mémo</v>
      </c>
      <c r="R36" s="653" t="str">
        <f t="shared" si="36"/>
        <v>36</v>
      </c>
      <c r="S36" s="654">
        <f t="shared" si="36"/>
        <v>0</v>
      </c>
      <c r="T36" s="656" t="str">
        <f>+VLOOKUP($L36,Data_Validation!$A:$D,1,0)</f>
        <v>360</v>
      </c>
      <c r="U36" s="656">
        <f>+VLOOKUP($L36,Data_Validation!$A:$D,3,0)</f>
        <v>0</v>
      </c>
      <c r="V36" s="656">
        <f>+VLOOKUP($L36,Data_Validation!$A:$D,4,0)</f>
        <v>0</v>
      </c>
      <c r="W36" s="656">
        <f>+VLOOKUP($L36,Data_Validation!$A:$E,5,0)</f>
        <v>0</v>
      </c>
      <c r="X36" s="656">
        <f>+VLOOKUP($L36,Data_Validation!$A:$F,6,0)</f>
        <v>0</v>
      </c>
    </row>
    <row r="37" spans="1:24" ht="15" customHeight="1">
      <c r="A37" s="1052" t="s">
        <v>758</v>
      </c>
      <c r="B37" s="1052" t="s">
        <v>1804</v>
      </c>
      <c r="C37" s="1053"/>
      <c r="D37" s="1053"/>
      <c r="E37" s="1053"/>
      <c r="F37" s="1052" t="s">
        <v>2</v>
      </c>
      <c r="G37" s="1052" t="s">
        <v>3328</v>
      </c>
      <c r="H37" s="1053"/>
      <c r="I37" s="1054">
        <v>425000</v>
      </c>
      <c r="J37" s="1054">
        <v>0</v>
      </c>
      <c r="K37" s="1054">
        <v>425000</v>
      </c>
      <c r="L37" s="653" t="str">
        <f t="shared" si="2"/>
        <v>370</v>
      </c>
      <c r="M37" s="654" t="str">
        <f t="shared" si="0"/>
        <v>AVOIR DU PROP. MIM. REQUIS</v>
      </c>
      <c r="N37" s="655">
        <f>+IF(OR($Q37=Parametres!$G$2,$Q37=Parametres!$G$3),I37,C37)</f>
        <v>425000</v>
      </c>
      <c r="O37" s="655">
        <f>+IF(OR($Q37=Parametres!$G$2,$Q37=Parametres!$G$3),J37,D37)</f>
        <v>0</v>
      </c>
      <c r="P37" s="655">
        <f>+IF(OR($Q37=Parametres!$G$2,$Q37=Parametres!$G$3),K37,E37)</f>
        <v>425000</v>
      </c>
      <c r="Q37" s="654" t="str">
        <f t="shared" ref="Q37:S37" si="37">+F37</f>
        <v>1-Mémo</v>
      </c>
      <c r="R37" s="653" t="str">
        <f t="shared" si="37"/>
        <v>37</v>
      </c>
      <c r="S37" s="654">
        <f t="shared" si="37"/>
        <v>0</v>
      </c>
      <c r="T37" s="656" t="str">
        <f>+VLOOKUP($L37,Data_Validation!$A:$D,1,0)</f>
        <v>370</v>
      </c>
      <c r="U37" s="656">
        <f>+VLOOKUP($L37,Data_Validation!$A:$D,3,0)</f>
        <v>0</v>
      </c>
      <c r="V37" s="656">
        <f>+VLOOKUP($L37,Data_Validation!$A:$D,4,0)</f>
        <v>0</v>
      </c>
      <c r="W37" s="656">
        <f>+VLOOKUP($L37,Data_Validation!$A:$E,5,0)</f>
        <v>0</v>
      </c>
      <c r="X37" s="656">
        <f>+VLOOKUP($L37,Data_Validation!$A:$F,6,0)</f>
        <v>0</v>
      </c>
    </row>
    <row r="38" spans="1:24" ht="15" customHeight="1">
      <c r="A38" s="1052" t="s">
        <v>759</v>
      </c>
      <c r="B38" s="1052" t="s">
        <v>1807</v>
      </c>
      <c r="C38" s="1053"/>
      <c r="D38" s="1053"/>
      <c r="E38" s="1053"/>
      <c r="F38" s="1052" t="s">
        <v>2</v>
      </c>
      <c r="G38" s="1052" t="s">
        <v>3328</v>
      </c>
      <c r="H38" s="1053"/>
      <c r="I38" s="1054">
        <v>737500</v>
      </c>
      <c r="J38" s="1054">
        <v>0</v>
      </c>
      <c r="K38" s="1054">
        <v>737500</v>
      </c>
      <c r="L38" s="653" t="str">
        <f t="shared" si="2"/>
        <v>372</v>
      </c>
      <c r="M38" s="654" t="str">
        <f t="shared" si="0"/>
        <v>FONDS DE ROULEMENT/MIN. REQUIS</v>
      </c>
      <c r="N38" s="655">
        <f>+IF(OR($Q38=Parametres!$G$2,$Q38=Parametres!$G$3),I38,C38)</f>
        <v>737500</v>
      </c>
      <c r="O38" s="659">
        <f>+IF(OR($Q38=Parametres!$G$2,$Q38=Parametres!$G$3),J38,D38)</f>
        <v>0</v>
      </c>
      <c r="P38" s="655">
        <f>+IF(OR($Q38=Parametres!$G$2,$Q38=Parametres!$G$3),K38,E38)</f>
        <v>737500</v>
      </c>
      <c r="Q38" s="654" t="str">
        <f t="shared" ref="Q38:S38" si="38">+F38</f>
        <v>1-Mémo</v>
      </c>
      <c r="R38" s="653" t="str">
        <f t="shared" si="38"/>
        <v>37</v>
      </c>
      <c r="S38" s="654">
        <f t="shared" si="38"/>
        <v>0</v>
      </c>
      <c r="T38" s="656" t="str">
        <f>+VLOOKUP($L38,Data_Validation!$A:$D,1,0)</f>
        <v>372</v>
      </c>
      <c r="U38" s="656">
        <f>+VLOOKUP($L38,Data_Validation!$A:$D,3,0)</f>
        <v>0</v>
      </c>
      <c r="V38" s="656">
        <f>+VLOOKUP($L38,Data_Validation!$A:$D,4,0)</f>
        <v>0</v>
      </c>
      <c r="W38" s="656">
        <f>+VLOOKUP($L38,Data_Validation!$A:$E,5,0)</f>
        <v>0</v>
      </c>
      <c r="X38" s="656">
        <f>+VLOOKUP($L38,Data_Validation!$A:$F,6,0)</f>
        <v>0</v>
      </c>
    </row>
    <row r="39" spans="1:24" ht="15" customHeight="1">
      <c r="A39" s="1052" t="s">
        <v>760</v>
      </c>
      <c r="B39" s="1052" t="s">
        <v>1812</v>
      </c>
      <c r="C39" s="1053"/>
      <c r="D39" s="1053"/>
      <c r="E39" s="1053"/>
      <c r="F39" s="1052" t="s">
        <v>2</v>
      </c>
      <c r="G39" s="1052" t="s">
        <v>761</v>
      </c>
      <c r="H39" s="1053"/>
      <c r="I39" s="1054">
        <v>0.47</v>
      </c>
      <c r="J39" s="1054">
        <v>0</v>
      </c>
      <c r="K39" s="1054">
        <v>0.47</v>
      </c>
      <c r="L39" s="653" t="str">
        <f t="shared" si="2"/>
        <v>401</v>
      </c>
      <c r="M39" s="654" t="str">
        <f t="shared" si="0"/>
        <v>UNITES NEUVES VENDUES JANVIER</v>
      </c>
      <c r="N39" s="655">
        <f>+IF(OR($Q39=Parametres!$G$2,$Q39=Parametres!$G$3),I39,C39)</f>
        <v>0.47</v>
      </c>
      <c r="O39" s="711">
        <f>+IF(OR($Q39=Parametres!$G$2,$Q39=Parametres!$G$3),J39,D39)</f>
        <v>0</v>
      </c>
      <c r="P39" s="655">
        <f>+IF(OR($Q39=Parametres!$G$2,$Q39=Parametres!$G$3),K39,E39)</f>
        <v>0.47</v>
      </c>
      <c r="Q39" s="654" t="str">
        <f t="shared" ref="Q39:S39" si="39">+F39</f>
        <v>1-Mémo</v>
      </c>
      <c r="R39" s="653" t="str">
        <f t="shared" si="39"/>
        <v>40</v>
      </c>
      <c r="S39" s="654">
        <f t="shared" si="39"/>
        <v>0</v>
      </c>
      <c r="T39" s="656" t="str">
        <f>+VLOOKUP($L39,Data_Validation!$A:$D,1,0)</f>
        <v>401</v>
      </c>
      <c r="U39" s="656">
        <f>+VLOOKUP($L39,Data_Validation!$A:$D,3,0)</f>
        <v>0</v>
      </c>
      <c r="V39" s="656">
        <f>+VLOOKUP($L39,Data_Validation!$A:$D,4,0)</f>
        <v>0</v>
      </c>
      <c r="W39" s="656">
        <f>+VLOOKUP($L39,Data_Validation!$A:$E,5,0)</f>
        <v>0</v>
      </c>
      <c r="X39" s="656">
        <f>+VLOOKUP($L39,Data_Validation!$A:$F,6,0)</f>
        <v>0</v>
      </c>
    </row>
    <row r="40" spans="1:24" ht="15.75" customHeight="1">
      <c r="A40" s="1052" t="s">
        <v>762</v>
      </c>
      <c r="B40" s="1052" t="s">
        <v>1815</v>
      </c>
      <c r="C40" s="1053"/>
      <c r="D40" s="1053"/>
      <c r="E40" s="1053"/>
      <c r="F40" s="1052" t="s">
        <v>2</v>
      </c>
      <c r="G40" s="1052" t="s">
        <v>761</v>
      </c>
      <c r="H40" s="1053"/>
      <c r="I40" s="1054">
        <v>0.26</v>
      </c>
      <c r="J40" s="1054">
        <v>0</v>
      </c>
      <c r="K40" s="1054">
        <v>0.26</v>
      </c>
      <c r="L40" s="653" t="str">
        <f t="shared" si="2"/>
        <v>402</v>
      </c>
      <c r="M40" s="654" t="str">
        <f t="shared" si="0"/>
        <v>UNITES NEUVES VENDUES FEVRIER</v>
      </c>
      <c r="N40" s="655">
        <f>+IF(OR($Q40=Parametres!$G$2,$Q40=Parametres!$G$3),I40,C40)</f>
        <v>0.26</v>
      </c>
      <c r="O40" s="659">
        <f>+IF(OR($Q40=Parametres!$G$2,$Q40=Parametres!$G$3),J40,D40)</f>
        <v>0</v>
      </c>
      <c r="P40" s="655">
        <f>+IF(OR($Q40=Parametres!$G$2,$Q40=Parametres!$G$3),K40,E40)</f>
        <v>0.26</v>
      </c>
      <c r="Q40" s="654" t="str">
        <f t="shared" ref="Q40:S40" si="40">+F40</f>
        <v>1-Mémo</v>
      </c>
      <c r="R40" s="653" t="str">
        <f t="shared" si="40"/>
        <v>40</v>
      </c>
      <c r="S40" s="654">
        <f t="shared" si="40"/>
        <v>0</v>
      </c>
      <c r="T40" s="656" t="str">
        <f>+VLOOKUP($L40,Data_Validation!$A:$D,1,0)</f>
        <v>402</v>
      </c>
      <c r="U40" s="656">
        <f>+VLOOKUP($L40,Data_Validation!$A:$D,3,0)</f>
        <v>0</v>
      </c>
      <c r="V40" s="656">
        <f>+VLOOKUP($L40,Data_Validation!$A:$D,4,0)</f>
        <v>0</v>
      </c>
      <c r="W40" s="656">
        <f>+VLOOKUP($L40,Data_Validation!$A:$E,5,0)</f>
        <v>0</v>
      </c>
      <c r="X40" s="656">
        <f>+VLOOKUP($L40,Data_Validation!$A:$F,6,0)</f>
        <v>0</v>
      </c>
    </row>
    <row r="41" spans="1:24" ht="15" customHeight="1">
      <c r="A41" s="1052" t="s">
        <v>763</v>
      </c>
      <c r="B41" s="1052" t="s">
        <v>1818</v>
      </c>
      <c r="C41" s="1053"/>
      <c r="D41" s="1053"/>
      <c r="E41" s="1053"/>
      <c r="F41" s="1052" t="s">
        <v>2</v>
      </c>
      <c r="G41" s="1052" t="s">
        <v>761</v>
      </c>
      <c r="H41" s="1053"/>
      <c r="I41" s="1054">
        <v>0.28999999999999998</v>
      </c>
      <c r="J41" s="1054">
        <v>0</v>
      </c>
      <c r="K41" s="1054">
        <v>0.28999999999999998</v>
      </c>
      <c r="L41" s="653" t="str">
        <f t="shared" si="2"/>
        <v>403</v>
      </c>
      <c r="M41" s="654" t="str">
        <f t="shared" si="0"/>
        <v>UNITES NEUVES VENDUES MARS</v>
      </c>
      <c r="N41" s="655">
        <f>+IF(OR($Q41=Parametres!$G$2,$Q41=Parametres!$G$3),I41,C41)</f>
        <v>0.28999999999999998</v>
      </c>
      <c r="O41" s="659">
        <f>+IF(OR($Q41=Parametres!$G$2,$Q41=Parametres!$G$3),J41,D41)</f>
        <v>0</v>
      </c>
      <c r="P41" s="655">
        <f>+IF(OR($Q41=Parametres!$G$2,$Q41=Parametres!$G$3),K41,E41)</f>
        <v>0.28999999999999998</v>
      </c>
      <c r="Q41" s="654" t="str">
        <f t="shared" ref="Q41:S41" si="41">+F41</f>
        <v>1-Mémo</v>
      </c>
      <c r="R41" s="653" t="str">
        <f t="shared" si="41"/>
        <v>40</v>
      </c>
      <c r="S41" s="654">
        <f t="shared" si="41"/>
        <v>0</v>
      </c>
      <c r="T41" s="656" t="str">
        <f>+VLOOKUP($L41,Data_Validation!$A:$D,1,0)</f>
        <v>403</v>
      </c>
      <c r="U41" s="656">
        <f>+VLOOKUP($L41,Data_Validation!$A:$D,3,0)</f>
        <v>0</v>
      </c>
      <c r="V41" s="656">
        <f>+VLOOKUP($L41,Data_Validation!$A:$D,4,0)</f>
        <v>0</v>
      </c>
      <c r="W41" s="656">
        <f>+VLOOKUP($L41,Data_Validation!$A:$E,5,0)</f>
        <v>0</v>
      </c>
      <c r="X41" s="656">
        <f>+VLOOKUP($L41,Data_Validation!$A:$F,6,0)</f>
        <v>0</v>
      </c>
    </row>
    <row r="42" spans="1:24" ht="15" customHeight="1">
      <c r="A42" s="1052" t="s">
        <v>764</v>
      </c>
      <c r="B42" s="1052" t="s">
        <v>1821</v>
      </c>
      <c r="C42" s="1053"/>
      <c r="D42" s="1053"/>
      <c r="E42" s="1053"/>
      <c r="F42" s="1052" t="s">
        <v>2</v>
      </c>
      <c r="G42" s="1052" t="s">
        <v>761</v>
      </c>
      <c r="H42" s="1053"/>
      <c r="I42" s="1054">
        <v>0.33</v>
      </c>
      <c r="J42" s="1054">
        <v>0</v>
      </c>
      <c r="K42" s="1054">
        <v>0.33</v>
      </c>
      <c r="L42" s="653" t="str">
        <f t="shared" si="2"/>
        <v>404</v>
      </c>
      <c r="M42" s="654" t="str">
        <f t="shared" si="0"/>
        <v>UNITES NEUVES VENDUES AVRIL</v>
      </c>
      <c r="N42" s="655">
        <f>+IF(OR($Q42=Parametres!$G$2,$Q42=Parametres!$G$3),I42,C42)</f>
        <v>0.33</v>
      </c>
      <c r="O42" s="659">
        <f>+IF(OR($Q42=Parametres!$G$2,$Q42=Parametres!$G$3),J42,D42)</f>
        <v>0</v>
      </c>
      <c r="P42" s="655">
        <f>+IF(OR($Q42=Parametres!$G$2,$Q42=Parametres!$G$3),K42,E42)</f>
        <v>0.33</v>
      </c>
      <c r="Q42" s="654" t="str">
        <f t="shared" ref="Q42:S42" si="42">+F42</f>
        <v>1-Mémo</v>
      </c>
      <c r="R42" s="653" t="str">
        <f t="shared" si="42"/>
        <v>40</v>
      </c>
      <c r="S42" s="654">
        <f t="shared" si="42"/>
        <v>0</v>
      </c>
      <c r="T42" s="656" t="str">
        <f>+VLOOKUP($L42,Data_Validation!$A:$D,1,0)</f>
        <v>404</v>
      </c>
      <c r="U42" s="656">
        <f>+VLOOKUP($L42,Data_Validation!$A:$D,3,0)</f>
        <v>0</v>
      </c>
      <c r="V42" s="656">
        <f>+VLOOKUP($L42,Data_Validation!$A:$D,4,0)</f>
        <v>0</v>
      </c>
      <c r="W42" s="656">
        <f>+VLOOKUP($L42,Data_Validation!$A:$E,5,0)</f>
        <v>0</v>
      </c>
      <c r="X42" s="656">
        <f>+VLOOKUP($L42,Data_Validation!$A:$F,6,0)</f>
        <v>0</v>
      </c>
    </row>
    <row r="43" spans="1:24" ht="15" customHeight="1">
      <c r="A43" s="1052" t="s">
        <v>765</v>
      </c>
      <c r="B43" s="1052" t="s">
        <v>1824</v>
      </c>
      <c r="C43" s="1053"/>
      <c r="D43" s="1053"/>
      <c r="E43" s="1053"/>
      <c r="F43" s="1052" t="s">
        <v>2</v>
      </c>
      <c r="G43" s="1052" t="s">
        <v>761</v>
      </c>
      <c r="H43" s="1053"/>
      <c r="I43" s="1054">
        <v>0.46</v>
      </c>
      <c r="J43" s="1054">
        <v>0</v>
      </c>
      <c r="K43" s="1054">
        <v>0.46</v>
      </c>
      <c r="L43" s="653" t="str">
        <f t="shared" si="2"/>
        <v>405</v>
      </c>
      <c r="M43" s="654" t="str">
        <f t="shared" si="0"/>
        <v>UNITES NEUVES VENDUES MAI</v>
      </c>
      <c r="N43" s="655">
        <f>+IF(OR($Q43=Parametres!$G$2,$Q43=Parametres!$G$3),I43,C43)</f>
        <v>0.46</v>
      </c>
      <c r="O43" s="659">
        <f>+IF(OR($Q43=Parametres!$G$2,$Q43=Parametres!$G$3),J43,D43)</f>
        <v>0</v>
      </c>
      <c r="P43" s="655">
        <f>+IF(OR($Q43=Parametres!$G$2,$Q43=Parametres!$G$3),K43,E43)</f>
        <v>0.46</v>
      </c>
      <c r="Q43" s="654" t="str">
        <f t="shared" ref="Q43:S43" si="43">+F43</f>
        <v>1-Mémo</v>
      </c>
      <c r="R43" s="653" t="str">
        <f t="shared" si="43"/>
        <v>40</v>
      </c>
      <c r="S43" s="654">
        <f t="shared" si="43"/>
        <v>0</v>
      </c>
      <c r="T43" s="656" t="str">
        <f>+VLOOKUP($L43,Data_Validation!$A:$D,1,0)</f>
        <v>405</v>
      </c>
      <c r="U43" s="656">
        <f>+VLOOKUP($L43,Data_Validation!$A:$D,3,0)</f>
        <v>0</v>
      </c>
      <c r="V43" s="656">
        <f>+VLOOKUP($L43,Data_Validation!$A:$D,4,0)</f>
        <v>0</v>
      </c>
      <c r="W43" s="656">
        <f>+VLOOKUP($L43,Data_Validation!$A:$E,5,0)</f>
        <v>0</v>
      </c>
      <c r="X43" s="656">
        <f>+VLOOKUP($L43,Data_Validation!$A:$F,6,0)</f>
        <v>0</v>
      </c>
    </row>
    <row r="44" spans="1:24" ht="15.75" customHeight="1">
      <c r="A44" s="1052" t="s">
        <v>766</v>
      </c>
      <c r="B44" s="1052" t="s">
        <v>1827</v>
      </c>
      <c r="C44" s="1053"/>
      <c r="D44" s="1053"/>
      <c r="E44" s="1053"/>
      <c r="F44" s="1052" t="s">
        <v>2</v>
      </c>
      <c r="G44" s="1052" t="s">
        <v>761</v>
      </c>
      <c r="H44" s="1053"/>
      <c r="I44" s="1054">
        <v>0.56000000000000005</v>
      </c>
      <c r="J44" s="1054">
        <v>0</v>
      </c>
      <c r="K44" s="1054">
        <v>0.56000000000000005</v>
      </c>
      <c r="L44" s="653" t="str">
        <f t="shared" si="2"/>
        <v>406</v>
      </c>
      <c r="M44" s="654" t="str">
        <f t="shared" si="0"/>
        <v>UNITES NEUVES VENDUES JUIN</v>
      </c>
      <c r="N44" s="655">
        <f>+IF(OR($Q44=Parametres!$G$2,$Q44=Parametres!$G$3),I44,C44)</f>
        <v>0.56000000000000005</v>
      </c>
      <c r="O44" s="659">
        <f>+IF(OR($Q44=Parametres!$G$2,$Q44=Parametres!$G$3),J44,D44)</f>
        <v>0</v>
      </c>
      <c r="P44" s="655">
        <f>+IF(OR($Q44=Parametres!$G$2,$Q44=Parametres!$G$3),K44,E44)</f>
        <v>0.56000000000000005</v>
      </c>
      <c r="Q44" s="654" t="str">
        <f t="shared" ref="Q44:S44" si="44">+F44</f>
        <v>1-Mémo</v>
      </c>
      <c r="R44" s="653" t="str">
        <f t="shared" si="44"/>
        <v>40</v>
      </c>
      <c r="S44" s="654">
        <f t="shared" si="44"/>
        <v>0</v>
      </c>
      <c r="T44" s="656" t="str">
        <f>+VLOOKUP($L44,Data_Validation!$A:$D,1,0)</f>
        <v>406</v>
      </c>
      <c r="U44" s="656">
        <f>+VLOOKUP($L44,Data_Validation!$A:$D,3,0)</f>
        <v>0</v>
      </c>
      <c r="V44" s="656">
        <f>+VLOOKUP($L44,Data_Validation!$A:$D,4,0)</f>
        <v>0</v>
      </c>
      <c r="W44" s="656">
        <f>+VLOOKUP($L44,Data_Validation!$A:$E,5,0)</f>
        <v>0</v>
      </c>
      <c r="X44" s="656">
        <f>+VLOOKUP($L44,Data_Validation!$A:$F,6,0)</f>
        <v>0</v>
      </c>
    </row>
    <row r="45" spans="1:24" ht="15" customHeight="1">
      <c r="A45" s="1052" t="s">
        <v>767</v>
      </c>
      <c r="B45" s="1052" t="s">
        <v>1830</v>
      </c>
      <c r="C45" s="1053"/>
      <c r="D45" s="1053"/>
      <c r="E45" s="1053"/>
      <c r="F45" s="1052" t="s">
        <v>2</v>
      </c>
      <c r="G45" s="1052" t="s">
        <v>761</v>
      </c>
      <c r="H45" s="1053"/>
      <c r="I45" s="1054">
        <v>0.55000000000000004</v>
      </c>
      <c r="J45" s="1054">
        <v>0</v>
      </c>
      <c r="K45" s="1054">
        <v>0.55000000000000004</v>
      </c>
      <c r="L45" s="653" t="str">
        <f t="shared" si="2"/>
        <v>407</v>
      </c>
      <c r="M45" s="654" t="str">
        <f t="shared" si="0"/>
        <v>UNITES NEUVES VENDUES JUILLET</v>
      </c>
      <c r="N45" s="655">
        <f>+IF(OR($Q45=Parametres!$G$2,$Q45=Parametres!$G$3),I45,C45)</f>
        <v>0.55000000000000004</v>
      </c>
      <c r="O45" s="659">
        <f>+IF(OR($Q45=Parametres!$G$2,$Q45=Parametres!$G$3),J45,D45)</f>
        <v>0</v>
      </c>
      <c r="P45" s="655">
        <f>+IF(OR($Q45=Parametres!$G$2,$Q45=Parametres!$G$3),K45,E45)</f>
        <v>0.55000000000000004</v>
      </c>
      <c r="Q45" s="654" t="str">
        <f t="shared" ref="Q45:S45" si="45">+F45</f>
        <v>1-Mémo</v>
      </c>
      <c r="R45" s="653" t="str">
        <f t="shared" si="45"/>
        <v>40</v>
      </c>
      <c r="S45" s="654">
        <f t="shared" si="45"/>
        <v>0</v>
      </c>
      <c r="T45" s="656" t="str">
        <f>+VLOOKUP($L45,Data_Validation!$A:$D,1,0)</f>
        <v>407</v>
      </c>
      <c r="U45" s="656">
        <f>+VLOOKUP($L45,Data_Validation!$A:$D,3,0)</f>
        <v>0</v>
      </c>
      <c r="V45" s="656">
        <f>+VLOOKUP($L45,Data_Validation!$A:$D,4,0)</f>
        <v>0</v>
      </c>
      <c r="W45" s="656">
        <f>+VLOOKUP($L45,Data_Validation!$A:$E,5,0)</f>
        <v>0</v>
      </c>
      <c r="X45" s="656">
        <f>+VLOOKUP($L45,Data_Validation!$A:$F,6,0)</f>
        <v>0</v>
      </c>
    </row>
    <row r="46" spans="1:24" ht="15" customHeight="1">
      <c r="A46" s="1052" t="s">
        <v>768</v>
      </c>
      <c r="B46" s="1052" t="s">
        <v>1833</v>
      </c>
      <c r="C46" s="1053"/>
      <c r="D46" s="1053"/>
      <c r="E46" s="1053"/>
      <c r="F46" s="1052" t="s">
        <v>2</v>
      </c>
      <c r="G46" s="1052" t="s">
        <v>761</v>
      </c>
      <c r="H46" s="1053"/>
      <c r="I46" s="1054">
        <v>0.77</v>
      </c>
      <c r="J46" s="1054">
        <v>0</v>
      </c>
      <c r="K46" s="1054">
        <v>0.77</v>
      </c>
      <c r="L46" s="653" t="str">
        <f t="shared" si="2"/>
        <v>408</v>
      </c>
      <c r="M46" s="654" t="str">
        <f t="shared" si="0"/>
        <v>UNITES NEUVES VENDUES AOUT</v>
      </c>
      <c r="N46" s="655">
        <f>+IF(OR($Q46=Parametres!$G$2,$Q46=Parametres!$G$3),I46,C46)</f>
        <v>0.77</v>
      </c>
      <c r="O46" s="659">
        <f>+IF(OR($Q46=Parametres!$G$2,$Q46=Parametres!$G$3),J46,D46)</f>
        <v>0</v>
      </c>
      <c r="P46" s="655">
        <f>+IF(OR($Q46=Parametres!$G$2,$Q46=Parametres!$G$3),K46,E46)</f>
        <v>0.77</v>
      </c>
      <c r="Q46" s="654" t="str">
        <f t="shared" ref="Q46:S46" si="46">+F46</f>
        <v>1-Mémo</v>
      </c>
      <c r="R46" s="653" t="str">
        <f t="shared" si="46"/>
        <v>40</v>
      </c>
      <c r="S46" s="654">
        <f t="shared" si="46"/>
        <v>0</v>
      </c>
      <c r="T46" s="656" t="str">
        <f>+VLOOKUP($L46,Data_Validation!$A:$D,1,0)</f>
        <v>408</v>
      </c>
      <c r="U46" s="656">
        <f>+VLOOKUP($L46,Data_Validation!$A:$D,3,0)</f>
        <v>0</v>
      </c>
      <c r="V46" s="656">
        <f>+VLOOKUP($L46,Data_Validation!$A:$D,4,0)</f>
        <v>0</v>
      </c>
      <c r="W46" s="656">
        <f>+VLOOKUP($L46,Data_Validation!$A:$E,5,0)</f>
        <v>0</v>
      </c>
      <c r="X46" s="656">
        <f>+VLOOKUP($L46,Data_Validation!$A:$F,6,0)</f>
        <v>0</v>
      </c>
    </row>
    <row r="47" spans="1:24" ht="15" customHeight="1">
      <c r="A47" s="1052" t="s">
        <v>769</v>
      </c>
      <c r="B47" s="1052" t="s">
        <v>1836</v>
      </c>
      <c r="C47" s="1053"/>
      <c r="D47" s="1053"/>
      <c r="E47" s="1053"/>
      <c r="F47" s="1052" t="s">
        <v>2</v>
      </c>
      <c r="G47" s="1052" t="s">
        <v>761</v>
      </c>
      <c r="H47" s="1053"/>
      <c r="I47" s="1054">
        <v>0.53</v>
      </c>
      <c r="J47" s="1054">
        <v>0</v>
      </c>
      <c r="K47" s="1054">
        <v>0.53</v>
      </c>
      <c r="L47" s="653" t="str">
        <f t="shared" si="2"/>
        <v>409</v>
      </c>
      <c r="M47" s="654" t="str">
        <f t="shared" si="0"/>
        <v>UNITES NEUVES VENDUES SEPTEMBRE</v>
      </c>
      <c r="N47" s="655">
        <f>+IF(OR($Q47=Parametres!$G$2,$Q47=Parametres!$G$3),I47,C47)</f>
        <v>0.53</v>
      </c>
      <c r="O47" s="655">
        <f>+IF(OR($Q47=Parametres!$G$2,$Q47=Parametres!$G$3),J47,D47)</f>
        <v>0</v>
      </c>
      <c r="P47" s="655">
        <f>+IF(OR($Q47=Parametres!$G$2,$Q47=Parametres!$G$3),K47,E47)</f>
        <v>0.53</v>
      </c>
      <c r="Q47" s="654" t="str">
        <f t="shared" ref="Q47:S47" si="47">+F47</f>
        <v>1-Mémo</v>
      </c>
      <c r="R47" s="653" t="str">
        <f t="shared" si="47"/>
        <v>40</v>
      </c>
      <c r="S47" s="654">
        <f t="shared" si="47"/>
        <v>0</v>
      </c>
      <c r="T47" s="656" t="str">
        <f>+VLOOKUP($L47,Data_Validation!$A:$D,1,0)</f>
        <v>409</v>
      </c>
      <c r="U47" s="656">
        <f>+VLOOKUP($L47,Data_Validation!$A:$D,3,0)</f>
        <v>0</v>
      </c>
      <c r="V47" s="656">
        <f>+VLOOKUP($L47,Data_Validation!$A:$D,4,0)</f>
        <v>0</v>
      </c>
      <c r="W47" s="656">
        <f>+VLOOKUP($L47,Data_Validation!$A:$E,5,0)</f>
        <v>0</v>
      </c>
      <c r="X47" s="656">
        <f>+VLOOKUP($L47,Data_Validation!$A:$F,6,0)</f>
        <v>0</v>
      </c>
    </row>
    <row r="48" spans="1:24" ht="15.75" customHeight="1">
      <c r="A48" s="1052" t="s">
        <v>770</v>
      </c>
      <c r="B48" s="1052" t="s">
        <v>1839</v>
      </c>
      <c r="C48" s="1053"/>
      <c r="D48" s="1053"/>
      <c r="E48" s="1053"/>
      <c r="F48" s="1052" t="s">
        <v>2</v>
      </c>
      <c r="G48" s="1052" t="s">
        <v>761</v>
      </c>
      <c r="H48" s="1053"/>
      <c r="I48" s="1054">
        <v>0.53</v>
      </c>
      <c r="J48" s="1054">
        <v>0</v>
      </c>
      <c r="K48" s="1054">
        <v>0.53</v>
      </c>
      <c r="L48" s="653" t="str">
        <f t="shared" si="2"/>
        <v>410</v>
      </c>
      <c r="M48" s="654" t="str">
        <f t="shared" si="0"/>
        <v>UNITES NEUVES VENDUES OCTOBRE</v>
      </c>
      <c r="N48" s="655">
        <f>+IF(OR($Q48=Parametres!$G$2,$Q48=Parametres!$G$3),I48,C48)</f>
        <v>0.53</v>
      </c>
      <c r="O48" s="655">
        <f>+IF(OR($Q48=Parametres!$G$2,$Q48=Parametres!$G$3),J48,D48)</f>
        <v>0</v>
      </c>
      <c r="P48" s="655">
        <f>+IF(OR($Q48=Parametres!$G$2,$Q48=Parametres!$G$3),K48,E48)</f>
        <v>0.53</v>
      </c>
      <c r="Q48" s="654" t="str">
        <f t="shared" ref="Q48:S48" si="48">+F48</f>
        <v>1-Mémo</v>
      </c>
      <c r="R48" s="653" t="str">
        <f t="shared" si="48"/>
        <v>40</v>
      </c>
      <c r="S48" s="654">
        <f t="shared" si="48"/>
        <v>0</v>
      </c>
      <c r="T48" s="656" t="str">
        <f>+VLOOKUP($L48,Data_Validation!$A:$D,1,0)</f>
        <v>410</v>
      </c>
      <c r="U48" s="656">
        <f>+VLOOKUP($L48,Data_Validation!$A:$D,3,0)</f>
        <v>0</v>
      </c>
      <c r="V48" s="656">
        <f>+VLOOKUP($L48,Data_Validation!$A:$D,4,0)</f>
        <v>0</v>
      </c>
      <c r="W48" s="656">
        <f>+VLOOKUP($L48,Data_Validation!$A:$E,5,0)</f>
        <v>0</v>
      </c>
      <c r="X48" s="656">
        <f>+VLOOKUP($L48,Data_Validation!$A:$F,6,0)</f>
        <v>0</v>
      </c>
    </row>
    <row r="49" spans="1:24" ht="15" customHeight="1">
      <c r="A49" s="1052" t="s">
        <v>771</v>
      </c>
      <c r="B49" s="1052" t="s">
        <v>978</v>
      </c>
      <c r="C49" s="1053"/>
      <c r="D49" s="1053"/>
      <c r="E49" s="1053"/>
      <c r="F49" s="1052" t="s">
        <v>2</v>
      </c>
      <c r="G49" s="1052" t="s">
        <v>761</v>
      </c>
      <c r="H49" s="1053"/>
      <c r="I49" s="1054">
        <v>0.42</v>
      </c>
      <c r="J49" s="1054">
        <v>0</v>
      </c>
      <c r="K49" s="1054">
        <v>0.42</v>
      </c>
      <c r="L49" s="653" t="str">
        <f t="shared" si="2"/>
        <v>411</v>
      </c>
      <c r="M49" s="654" t="str">
        <f t="shared" si="0"/>
        <v>UNITES NEUVES VENDUES NOVEMBRE</v>
      </c>
      <c r="N49" s="655">
        <f>+IF(OR($Q49=Parametres!$G$2,$Q49=Parametres!$G$3),I49,C49)</f>
        <v>0.42</v>
      </c>
      <c r="O49" s="659">
        <f>+IF(OR($Q49=Parametres!$G$2,$Q49=Parametres!$G$3),J49,D49)</f>
        <v>0</v>
      </c>
      <c r="P49" s="655">
        <f>+IF(OR($Q49=Parametres!$G$2,$Q49=Parametres!$G$3),K49,E49)</f>
        <v>0.42</v>
      </c>
      <c r="Q49" s="654" t="str">
        <f t="shared" ref="Q49:S49" si="49">+F49</f>
        <v>1-Mémo</v>
      </c>
      <c r="R49" s="653" t="str">
        <f t="shared" si="49"/>
        <v>40</v>
      </c>
      <c r="S49" s="654">
        <f t="shared" si="49"/>
        <v>0</v>
      </c>
      <c r="T49" s="656" t="str">
        <f>+VLOOKUP($L49,Data_Validation!$A:$D,1,0)</f>
        <v>411</v>
      </c>
      <c r="U49" s="656">
        <f>+VLOOKUP($L49,Data_Validation!$A:$D,3,0)</f>
        <v>0</v>
      </c>
      <c r="V49" s="656">
        <f>+VLOOKUP($L49,Data_Validation!$A:$D,4,0)</f>
        <v>0</v>
      </c>
      <c r="W49" s="656">
        <f>+VLOOKUP($L49,Data_Validation!$A:$E,5,0)</f>
        <v>0</v>
      </c>
      <c r="X49" s="656">
        <f>+VLOOKUP($L49,Data_Validation!$A:$F,6,0)</f>
        <v>0</v>
      </c>
    </row>
    <row r="50" spans="1:24" ht="15" customHeight="1">
      <c r="A50" s="1052" t="s">
        <v>772</v>
      </c>
      <c r="B50" s="1052" t="s">
        <v>3353</v>
      </c>
      <c r="C50" s="1053"/>
      <c r="D50" s="1053"/>
      <c r="E50" s="1053"/>
      <c r="F50" s="1052" t="s">
        <v>2</v>
      </c>
      <c r="G50" s="1052" t="s">
        <v>761</v>
      </c>
      <c r="H50" s="1053"/>
      <c r="I50" s="1054">
        <v>0</v>
      </c>
      <c r="J50" s="1054">
        <v>0.37</v>
      </c>
      <c r="K50" s="1054">
        <v>0.37</v>
      </c>
      <c r="L50" s="653" t="str">
        <f t="shared" si="2"/>
        <v>412</v>
      </c>
      <c r="M50" s="654" t="str">
        <f t="shared" si="0"/>
        <v>UNITES NEUVES VENDUES DECEMBRE</v>
      </c>
      <c r="N50" s="655">
        <f>+IF(OR($Q50=Parametres!$G$2,$Q50=Parametres!$G$3),I50,C50)</f>
        <v>0</v>
      </c>
      <c r="O50" s="659">
        <f>+IF(OR($Q50=Parametres!$G$2,$Q50=Parametres!$G$3),J50,D50)</f>
        <v>0.37</v>
      </c>
      <c r="P50" s="655">
        <f>+IF(OR($Q50=Parametres!$G$2,$Q50=Parametres!$G$3),K50,E50)</f>
        <v>0.37</v>
      </c>
      <c r="Q50" s="654" t="str">
        <f t="shared" ref="Q50:S50" si="50">+F50</f>
        <v>1-Mémo</v>
      </c>
      <c r="R50" s="653" t="str">
        <f t="shared" si="50"/>
        <v>40</v>
      </c>
      <c r="S50" s="654">
        <f t="shared" si="50"/>
        <v>0</v>
      </c>
      <c r="T50" s="656" t="str">
        <f>+VLOOKUP($L50,Data_Validation!$A:$D,1,0)</f>
        <v>412</v>
      </c>
      <c r="U50" s="656">
        <f>+VLOOKUP($L50,Data_Validation!$A:$D,3,0)</f>
        <v>0</v>
      </c>
      <c r="V50" s="656">
        <f>+VLOOKUP($L50,Data_Validation!$A:$D,4,0)</f>
        <v>0</v>
      </c>
      <c r="W50" s="656">
        <f>+VLOOKUP($L50,Data_Validation!$A:$E,5,0)</f>
        <v>0</v>
      </c>
      <c r="X50" s="656">
        <f>+VLOOKUP($L50,Data_Validation!$A:$F,6,0)</f>
        <v>0</v>
      </c>
    </row>
    <row r="51" spans="1:24" ht="15" customHeight="1">
      <c r="A51" s="1052" t="s">
        <v>773</v>
      </c>
      <c r="B51" s="1052" t="s">
        <v>1905</v>
      </c>
      <c r="C51" s="1053"/>
      <c r="D51" s="1053"/>
      <c r="E51" s="1053"/>
      <c r="F51" s="1052" t="s">
        <v>2</v>
      </c>
      <c r="G51" s="1052" t="s">
        <v>3329</v>
      </c>
      <c r="H51" s="1053"/>
      <c r="I51" s="1054">
        <v>0.18</v>
      </c>
      <c r="J51" s="1054">
        <v>0</v>
      </c>
      <c r="K51" s="1054">
        <v>0.18</v>
      </c>
      <c r="L51" s="653" t="str">
        <f t="shared" si="2"/>
        <v>421</v>
      </c>
      <c r="M51" s="654" t="str">
        <f t="shared" si="0"/>
        <v>UNITES USAGES DET./ JANV.</v>
      </c>
      <c r="N51" s="655">
        <f>+IF(OR($Q51=Parametres!$G$2,$Q51=Parametres!$G$3),I51,C51)</f>
        <v>0.18</v>
      </c>
      <c r="O51" s="659">
        <f>+IF(OR($Q51=Parametres!$G$2,$Q51=Parametres!$G$3),J51,D51)</f>
        <v>0</v>
      </c>
      <c r="P51" s="655">
        <f>+IF(OR($Q51=Parametres!$G$2,$Q51=Parametres!$G$3),K51,E51)</f>
        <v>0.18</v>
      </c>
      <c r="Q51" s="654" t="str">
        <f t="shared" ref="Q51:S51" si="51">+F51</f>
        <v>1-Mémo</v>
      </c>
      <c r="R51" s="653" t="str">
        <f t="shared" si="51"/>
        <v>42</v>
      </c>
      <c r="S51" s="654">
        <f t="shared" si="51"/>
        <v>0</v>
      </c>
      <c r="T51" s="656" t="str">
        <f>+VLOOKUP($L51,Data_Validation!$A:$D,1,0)</f>
        <v>421</v>
      </c>
      <c r="U51" s="656">
        <f>+VLOOKUP($L51,Data_Validation!$A:$D,3,0)</f>
        <v>0</v>
      </c>
      <c r="V51" s="656">
        <f>+VLOOKUP($L51,Data_Validation!$A:$D,4,0)</f>
        <v>0</v>
      </c>
      <c r="W51" s="656">
        <f>+VLOOKUP($L51,Data_Validation!$A:$E,5,0)</f>
        <v>0</v>
      </c>
      <c r="X51" s="656">
        <f>+VLOOKUP($L51,Data_Validation!$A:$F,6,0)</f>
        <v>0</v>
      </c>
    </row>
    <row r="52" spans="1:24" ht="15.75" customHeight="1">
      <c r="A52" s="1052" t="s">
        <v>774</v>
      </c>
      <c r="B52" s="1052" t="s">
        <v>1912</v>
      </c>
      <c r="C52" s="1053"/>
      <c r="D52" s="1053"/>
      <c r="E52" s="1053"/>
      <c r="F52" s="1052" t="s">
        <v>2</v>
      </c>
      <c r="G52" s="1052" t="s">
        <v>3329</v>
      </c>
      <c r="H52" s="1053"/>
      <c r="I52" s="1054">
        <v>0.34</v>
      </c>
      <c r="J52" s="1054">
        <v>0</v>
      </c>
      <c r="K52" s="1054">
        <v>0.34</v>
      </c>
      <c r="L52" s="653" t="str">
        <f t="shared" si="2"/>
        <v>422</v>
      </c>
      <c r="M52" s="654" t="str">
        <f t="shared" si="0"/>
        <v>UNITES USAGES DET./ FEVR.</v>
      </c>
      <c r="N52" s="655">
        <f>+IF(OR($Q52=Parametres!$G$2,$Q52=Parametres!$G$3),I52,C52)</f>
        <v>0.34</v>
      </c>
      <c r="O52" s="655">
        <f>+IF(OR($Q52=Parametres!$G$2,$Q52=Parametres!$G$3),J52,D52)</f>
        <v>0</v>
      </c>
      <c r="P52" s="655">
        <f>+IF(OR($Q52=Parametres!$G$2,$Q52=Parametres!$G$3),K52,E52)</f>
        <v>0.34</v>
      </c>
      <c r="Q52" s="654" t="str">
        <f t="shared" ref="Q52:S52" si="52">+F52</f>
        <v>1-Mémo</v>
      </c>
      <c r="R52" s="653" t="str">
        <f t="shared" si="52"/>
        <v>42</v>
      </c>
      <c r="S52" s="654">
        <f t="shared" si="52"/>
        <v>0</v>
      </c>
      <c r="T52" s="656" t="str">
        <f>+VLOOKUP($L52,Data_Validation!$A:$D,1,0)</f>
        <v>422</v>
      </c>
      <c r="U52" s="656">
        <f>+VLOOKUP($L52,Data_Validation!$A:$D,3,0)</f>
        <v>0</v>
      </c>
      <c r="V52" s="656">
        <f>+VLOOKUP($L52,Data_Validation!$A:$D,4,0)</f>
        <v>0</v>
      </c>
      <c r="W52" s="656">
        <f>+VLOOKUP($L52,Data_Validation!$A:$E,5,0)</f>
        <v>0</v>
      </c>
      <c r="X52" s="656">
        <f>+VLOOKUP($L52,Data_Validation!$A:$F,6,0)</f>
        <v>0</v>
      </c>
    </row>
    <row r="53" spans="1:24" ht="15" customHeight="1">
      <c r="A53" s="1052" t="s">
        <v>775</v>
      </c>
      <c r="B53" s="1052" t="s">
        <v>1915</v>
      </c>
      <c r="C53" s="1053"/>
      <c r="D53" s="1053"/>
      <c r="E53" s="1053"/>
      <c r="F53" s="1052" t="s">
        <v>2</v>
      </c>
      <c r="G53" s="1052" t="s">
        <v>3329</v>
      </c>
      <c r="H53" s="1053"/>
      <c r="I53" s="1054">
        <v>0.42</v>
      </c>
      <c r="J53" s="1054">
        <v>0</v>
      </c>
      <c r="K53" s="1054">
        <v>0.42</v>
      </c>
      <c r="L53" s="653" t="str">
        <f t="shared" si="2"/>
        <v>423</v>
      </c>
      <c r="M53" s="654" t="str">
        <f t="shared" si="0"/>
        <v>UNITES USAGES DET./ MARS</v>
      </c>
      <c r="N53" s="655">
        <f>+IF(OR($Q53=Parametres!$G$2,$Q53=Parametres!$G$3),I53,C53)</f>
        <v>0.42</v>
      </c>
      <c r="O53" s="659">
        <f>+IF(OR($Q53=Parametres!$G$2,$Q53=Parametres!$G$3),J53,D53)</f>
        <v>0</v>
      </c>
      <c r="P53" s="655">
        <f>+IF(OR($Q53=Parametres!$G$2,$Q53=Parametres!$G$3),K53,E53)</f>
        <v>0.42</v>
      </c>
      <c r="Q53" s="654" t="str">
        <f t="shared" ref="Q53:S53" si="53">+F53</f>
        <v>1-Mémo</v>
      </c>
      <c r="R53" s="653" t="str">
        <f t="shared" si="53"/>
        <v>42</v>
      </c>
      <c r="S53" s="654">
        <f t="shared" si="53"/>
        <v>0</v>
      </c>
      <c r="T53" s="656" t="str">
        <f>+VLOOKUP($L53,Data_Validation!$A:$D,1,0)</f>
        <v>423</v>
      </c>
      <c r="U53" s="656">
        <f>+VLOOKUP($L53,Data_Validation!$A:$D,3,0)</f>
        <v>0</v>
      </c>
      <c r="V53" s="656">
        <f>+VLOOKUP($L53,Data_Validation!$A:$D,4,0)</f>
        <v>0</v>
      </c>
      <c r="W53" s="656">
        <f>+VLOOKUP($L53,Data_Validation!$A:$E,5,0)</f>
        <v>0</v>
      </c>
      <c r="X53" s="656">
        <f>+VLOOKUP($L53,Data_Validation!$A:$F,6,0)</f>
        <v>0</v>
      </c>
    </row>
    <row r="54" spans="1:24" ht="15" customHeight="1">
      <c r="A54" s="1052" t="s">
        <v>776</v>
      </c>
      <c r="B54" s="1052" t="s">
        <v>1918</v>
      </c>
      <c r="C54" s="1053"/>
      <c r="D54" s="1053"/>
      <c r="E54" s="1053"/>
      <c r="F54" s="1052" t="s">
        <v>2</v>
      </c>
      <c r="G54" s="1052" t="s">
        <v>3329</v>
      </c>
      <c r="H54" s="1053"/>
      <c r="I54" s="1054">
        <v>0.31</v>
      </c>
      <c r="J54" s="1054">
        <v>0</v>
      </c>
      <c r="K54" s="1054">
        <v>0.31</v>
      </c>
      <c r="L54" s="653" t="str">
        <f t="shared" si="2"/>
        <v>424</v>
      </c>
      <c r="M54" s="654" t="str">
        <f t="shared" si="0"/>
        <v>UNITES USAGES DET./ AVRIL</v>
      </c>
      <c r="N54" s="655">
        <f>+IF(OR($Q54=Parametres!$G$2,$Q54=Parametres!$G$3),I54,C54)</f>
        <v>0.31</v>
      </c>
      <c r="O54" s="655">
        <f>+IF(OR($Q54=Parametres!$G$2,$Q54=Parametres!$G$3),J54,D54)</f>
        <v>0</v>
      </c>
      <c r="P54" s="655">
        <f>+IF(OR($Q54=Parametres!$G$2,$Q54=Parametres!$G$3),K54,E54)</f>
        <v>0.31</v>
      </c>
      <c r="Q54" s="654" t="str">
        <f t="shared" ref="Q54:S54" si="54">+F54</f>
        <v>1-Mémo</v>
      </c>
      <c r="R54" s="653" t="str">
        <f t="shared" si="54"/>
        <v>42</v>
      </c>
      <c r="S54" s="654">
        <f t="shared" si="54"/>
        <v>0</v>
      </c>
      <c r="T54" s="656" t="str">
        <f>+VLOOKUP($L54,Data_Validation!$A:$D,1,0)</f>
        <v>424</v>
      </c>
      <c r="U54" s="656">
        <f>+VLOOKUP($L54,Data_Validation!$A:$D,3,0)</f>
        <v>0</v>
      </c>
      <c r="V54" s="656">
        <f>+VLOOKUP($L54,Data_Validation!$A:$D,4,0)</f>
        <v>0</v>
      </c>
      <c r="W54" s="656">
        <f>+VLOOKUP($L54,Data_Validation!$A:$E,5,0)</f>
        <v>0</v>
      </c>
      <c r="X54" s="656">
        <f>+VLOOKUP($L54,Data_Validation!$A:$F,6,0)</f>
        <v>0</v>
      </c>
    </row>
    <row r="55" spans="1:24" ht="15" customHeight="1">
      <c r="A55" s="1052" t="s">
        <v>777</v>
      </c>
      <c r="B55" s="1052" t="s">
        <v>1921</v>
      </c>
      <c r="C55" s="1053"/>
      <c r="D55" s="1053"/>
      <c r="E55" s="1053"/>
      <c r="F55" s="1052" t="s">
        <v>2</v>
      </c>
      <c r="G55" s="1052" t="s">
        <v>3329</v>
      </c>
      <c r="H55" s="1053"/>
      <c r="I55" s="1054">
        <v>0.32</v>
      </c>
      <c r="J55" s="1054">
        <v>0</v>
      </c>
      <c r="K55" s="1054">
        <v>0.32</v>
      </c>
      <c r="L55" s="653" t="str">
        <f t="shared" si="2"/>
        <v>425</v>
      </c>
      <c r="M55" s="654" t="str">
        <f t="shared" si="0"/>
        <v>UNITES USAGES DET./ MAI</v>
      </c>
      <c r="N55" s="655">
        <f>+IF(OR($Q55=Parametres!$G$2,$Q55=Parametres!$G$3),I55,C55)</f>
        <v>0.32</v>
      </c>
      <c r="O55" s="655">
        <f>+IF(OR($Q55=Parametres!$G$2,$Q55=Parametres!$G$3),J55,D55)</f>
        <v>0</v>
      </c>
      <c r="P55" s="655">
        <f>+IF(OR($Q55=Parametres!$G$2,$Q55=Parametres!$G$3),K55,E55)</f>
        <v>0.32</v>
      </c>
      <c r="Q55" s="654" t="str">
        <f t="shared" ref="Q55:S55" si="55">+F55</f>
        <v>1-Mémo</v>
      </c>
      <c r="R55" s="653" t="str">
        <f t="shared" si="55"/>
        <v>42</v>
      </c>
      <c r="S55" s="654">
        <f t="shared" si="55"/>
        <v>0</v>
      </c>
      <c r="T55" s="656" t="str">
        <f>+VLOOKUP($L55,Data_Validation!$A:$D,1,0)</f>
        <v>425</v>
      </c>
      <c r="U55" s="656">
        <f>+VLOOKUP($L55,Data_Validation!$A:$D,3,0)</f>
        <v>0</v>
      </c>
      <c r="V55" s="656">
        <f>+VLOOKUP($L55,Data_Validation!$A:$D,4,0)</f>
        <v>0</v>
      </c>
      <c r="W55" s="656">
        <f>+VLOOKUP($L55,Data_Validation!$A:$E,5,0)</f>
        <v>0</v>
      </c>
      <c r="X55" s="656">
        <f>+VLOOKUP($L55,Data_Validation!$A:$F,6,0)</f>
        <v>0</v>
      </c>
    </row>
    <row r="56" spans="1:24" ht="15.75" customHeight="1">
      <c r="A56" s="1052" t="s">
        <v>778</v>
      </c>
      <c r="B56" s="1052" t="s">
        <v>1924</v>
      </c>
      <c r="C56" s="1053"/>
      <c r="D56" s="1053"/>
      <c r="E56" s="1053"/>
      <c r="F56" s="1052" t="s">
        <v>2</v>
      </c>
      <c r="G56" s="1052" t="s">
        <v>3329</v>
      </c>
      <c r="H56" s="1053"/>
      <c r="I56" s="1054">
        <v>0.36</v>
      </c>
      <c r="J56" s="1054">
        <v>0</v>
      </c>
      <c r="K56" s="1054">
        <v>0.36</v>
      </c>
      <c r="L56" s="653" t="str">
        <f t="shared" si="2"/>
        <v>426</v>
      </c>
      <c r="M56" s="654" t="str">
        <f t="shared" si="0"/>
        <v>UNITES USAGES DET./ JUIN</v>
      </c>
      <c r="N56" s="655">
        <f>+IF(OR($Q56=Parametres!$G$2,$Q56=Parametres!$G$3),I56,C56)</f>
        <v>0.36</v>
      </c>
      <c r="O56" s="659">
        <f>+IF(OR($Q56=Parametres!$G$2,$Q56=Parametres!$G$3),J56,D56)</f>
        <v>0</v>
      </c>
      <c r="P56" s="655">
        <f>+IF(OR($Q56=Parametres!$G$2,$Q56=Parametres!$G$3),K56,E56)</f>
        <v>0.36</v>
      </c>
      <c r="Q56" s="654" t="str">
        <f t="shared" ref="Q56:S56" si="56">+F56</f>
        <v>1-Mémo</v>
      </c>
      <c r="R56" s="653" t="str">
        <f t="shared" si="56"/>
        <v>42</v>
      </c>
      <c r="S56" s="654">
        <f t="shared" si="56"/>
        <v>0</v>
      </c>
      <c r="T56" s="656" t="str">
        <f>+VLOOKUP($L56,Data_Validation!$A:$D,1,0)</f>
        <v>426</v>
      </c>
      <c r="U56" s="656">
        <f>+VLOOKUP($L56,Data_Validation!$A:$D,3,0)</f>
        <v>0</v>
      </c>
      <c r="V56" s="656">
        <f>+VLOOKUP($L56,Data_Validation!$A:$D,4,0)</f>
        <v>0</v>
      </c>
      <c r="W56" s="656">
        <f>+VLOOKUP($L56,Data_Validation!$A:$E,5,0)</f>
        <v>0</v>
      </c>
      <c r="X56" s="656">
        <f>+VLOOKUP($L56,Data_Validation!$A:$F,6,0)</f>
        <v>0</v>
      </c>
    </row>
    <row r="57" spans="1:24" ht="15" customHeight="1">
      <c r="A57" s="1052" t="s">
        <v>779</v>
      </c>
      <c r="B57" s="1052" t="s">
        <v>1927</v>
      </c>
      <c r="C57" s="1053"/>
      <c r="D57" s="1053"/>
      <c r="E57" s="1053"/>
      <c r="F57" s="1052" t="s">
        <v>2</v>
      </c>
      <c r="G57" s="1052" t="s">
        <v>3329</v>
      </c>
      <c r="H57" s="1053"/>
      <c r="I57" s="1054">
        <v>0.39</v>
      </c>
      <c r="J57" s="1054">
        <v>0</v>
      </c>
      <c r="K57" s="1054">
        <v>0.39</v>
      </c>
      <c r="L57" s="653" t="str">
        <f t="shared" si="2"/>
        <v>427</v>
      </c>
      <c r="M57" s="654" t="str">
        <f t="shared" si="0"/>
        <v>UNITES USAGES DET./ JUILLET</v>
      </c>
      <c r="N57" s="655">
        <f>+IF(OR($Q57=Parametres!$G$2,$Q57=Parametres!$G$3),I57,C57)</f>
        <v>0.39</v>
      </c>
      <c r="O57" s="655">
        <f>+IF(OR($Q57=Parametres!$G$2,$Q57=Parametres!$G$3),J57,D57)</f>
        <v>0</v>
      </c>
      <c r="P57" s="655">
        <f>+IF(OR($Q57=Parametres!$G$2,$Q57=Parametres!$G$3),K57,E57)</f>
        <v>0.39</v>
      </c>
      <c r="Q57" s="654" t="str">
        <f t="shared" ref="Q57:S57" si="57">+F57</f>
        <v>1-Mémo</v>
      </c>
      <c r="R57" s="653" t="str">
        <f t="shared" si="57"/>
        <v>42</v>
      </c>
      <c r="S57" s="654">
        <f t="shared" si="57"/>
        <v>0</v>
      </c>
      <c r="T57" s="656" t="str">
        <f>+VLOOKUP($L57,Data_Validation!$A:$D,1,0)</f>
        <v>427</v>
      </c>
      <c r="U57" s="656">
        <f>+VLOOKUP($L57,Data_Validation!$A:$D,3,0)</f>
        <v>0</v>
      </c>
      <c r="V57" s="656">
        <f>+VLOOKUP($L57,Data_Validation!$A:$D,4,0)</f>
        <v>0</v>
      </c>
      <c r="W57" s="656">
        <f>+VLOOKUP($L57,Data_Validation!$A:$E,5,0)</f>
        <v>0</v>
      </c>
      <c r="X57" s="656">
        <f>+VLOOKUP($L57,Data_Validation!$A:$F,6,0)</f>
        <v>0</v>
      </c>
    </row>
    <row r="58" spans="1:24" ht="15" customHeight="1">
      <c r="A58" s="1052" t="s">
        <v>780</v>
      </c>
      <c r="B58" s="1052" t="s">
        <v>1930</v>
      </c>
      <c r="C58" s="1053"/>
      <c r="D58" s="1053"/>
      <c r="E58" s="1053"/>
      <c r="F58" s="1052" t="s">
        <v>2</v>
      </c>
      <c r="G58" s="1052" t="s">
        <v>3329</v>
      </c>
      <c r="H58" s="1053"/>
      <c r="I58" s="1054">
        <v>0.37</v>
      </c>
      <c r="J58" s="1054">
        <v>0</v>
      </c>
      <c r="K58" s="1054">
        <v>0.37</v>
      </c>
      <c r="L58" s="653" t="str">
        <f t="shared" si="2"/>
        <v>428</v>
      </c>
      <c r="M58" s="654" t="str">
        <f t="shared" si="0"/>
        <v>UNITES USAGES DET./ AOUT</v>
      </c>
      <c r="N58" s="655">
        <f>+IF(OR($Q58=Parametres!$G$2,$Q58=Parametres!$G$3),I58,C58)</f>
        <v>0.37</v>
      </c>
      <c r="O58" s="655">
        <f>+IF(OR($Q58=Parametres!$G$2,$Q58=Parametres!$G$3),J58,D58)</f>
        <v>0</v>
      </c>
      <c r="P58" s="655">
        <f>+IF(OR($Q58=Parametres!$G$2,$Q58=Parametres!$G$3),K58,E58)</f>
        <v>0.37</v>
      </c>
      <c r="Q58" s="654" t="str">
        <f t="shared" ref="Q58:S58" si="58">+F58</f>
        <v>1-Mémo</v>
      </c>
      <c r="R58" s="653" t="str">
        <f t="shared" si="58"/>
        <v>42</v>
      </c>
      <c r="S58" s="654">
        <f t="shared" si="58"/>
        <v>0</v>
      </c>
      <c r="T58" s="656" t="str">
        <f>+VLOOKUP($L58,Data_Validation!$A:$D,1,0)</f>
        <v>428</v>
      </c>
      <c r="U58" s="656">
        <f>+VLOOKUP($L58,Data_Validation!$A:$D,3,0)</f>
        <v>0</v>
      </c>
      <c r="V58" s="656">
        <f>+VLOOKUP($L58,Data_Validation!$A:$D,4,0)</f>
        <v>0</v>
      </c>
      <c r="W58" s="656">
        <f>+VLOOKUP($L58,Data_Validation!$A:$E,5,0)</f>
        <v>0</v>
      </c>
      <c r="X58" s="656">
        <f>+VLOOKUP($L58,Data_Validation!$A:$F,6,0)</f>
        <v>0</v>
      </c>
    </row>
    <row r="59" spans="1:24" ht="15" customHeight="1">
      <c r="A59" s="1052" t="s">
        <v>781</v>
      </c>
      <c r="B59" s="1052" t="s">
        <v>1939</v>
      </c>
      <c r="C59" s="1053"/>
      <c r="D59" s="1053"/>
      <c r="E59" s="1053"/>
      <c r="F59" s="1052" t="s">
        <v>2</v>
      </c>
      <c r="G59" s="1052" t="s">
        <v>3329</v>
      </c>
      <c r="H59" s="1053"/>
      <c r="I59" s="1054">
        <v>0.34</v>
      </c>
      <c r="J59" s="1054">
        <v>0</v>
      </c>
      <c r="K59" s="1054">
        <v>0.34</v>
      </c>
      <c r="L59" s="653" t="str">
        <f t="shared" si="2"/>
        <v>429</v>
      </c>
      <c r="M59" s="654" t="str">
        <f t="shared" si="0"/>
        <v>UNITES USAGES DET./ SEPT.</v>
      </c>
      <c r="N59" s="655">
        <f>+IF(OR($Q59=Parametres!$G$2,$Q59=Parametres!$G$3),I59,C59)</f>
        <v>0.34</v>
      </c>
      <c r="O59" s="655">
        <f>+IF(OR($Q59=Parametres!$G$2,$Q59=Parametres!$G$3),J59,D59)</f>
        <v>0</v>
      </c>
      <c r="P59" s="655">
        <f>+IF(OR($Q59=Parametres!$G$2,$Q59=Parametres!$G$3),K59,E59)</f>
        <v>0.34</v>
      </c>
      <c r="Q59" s="654" t="str">
        <f t="shared" ref="Q59:S59" si="59">+F59</f>
        <v>1-Mémo</v>
      </c>
      <c r="R59" s="653" t="str">
        <f t="shared" si="59"/>
        <v>42</v>
      </c>
      <c r="S59" s="654">
        <f t="shared" si="59"/>
        <v>0</v>
      </c>
      <c r="T59" s="656" t="str">
        <f>+VLOOKUP($L59,Data_Validation!$A:$D,1,0)</f>
        <v>429</v>
      </c>
      <c r="U59" s="656">
        <f>+VLOOKUP($L59,Data_Validation!$A:$D,3,0)</f>
        <v>0</v>
      </c>
      <c r="V59" s="656">
        <f>+VLOOKUP($L59,Data_Validation!$A:$D,4,0)</f>
        <v>0</v>
      </c>
      <c r="W59" s="656">
        <f>+VLOOKUP($L59,Data_Validation!$A:$E,5,0)</f>
        <v>0</v>
      </c>
      <c r="X59" s="656">
        <f>+VLOOKUP($L59,Data_Validation!$A:$F,6,0)</f>
        <v>0</v>
      </c>
    </row>
    <row r="60" spans="1:24" ht="15" customHeight="1">
      <c r="A60" s="1052" t="s">
        <v>782</v>
      </c>
      <c r="B60" s="1052" t="s">
        <v>1947</v>
      </c>
      <c r="C60" s="1053"/>
      <c r="D60" s="1053"/>
      <c r="E60" s="1053"/>
      <c r="F60" s="1052" t="s">
        <v>2</v>
      </c>
      <c r="G60" s="1052" t="s">
        <v>3329</v>
      </c>
      <c r="H60" s="1053"/>
      <c r="I60" s="1054">
        <v>0.26</v>
      </c>
      <c r="J60" s="1054">
        <v>0</v>
      </c>
      <c r="K60" s="1054">
        <v>0.26</v>
      </c>
      <c r="L60" s="653" t="str">
        <f t="shared" si="2"/>
        <v>430</v>
      </c>
      <c r="M60" s="654" t="str">
        <f t="shared" si="0"/>
        <v>UNITES USAGES DET./ OCT.</v>
      </c>
      <c r="N60" s="655">
        <f>+IF(OR($Q60=Parametres!$G$2,$Q60=Parametres!$G$3),I60,C60)</f>
        <v>0.26</v>
      </c>
      <c r="O60" s="659">
        <f>+IF(OR($Q60=Parametres!$G$2,$Q60=Parametres!$G$3),J60,D60)</f>
        <v>0</v>
      </c>
      <c r="P60" s="655">
        <f>+IF(OR($Q60=Parametres!$G$2,$Q60=Parametres!$G$3),K60,E60)</f>
        <v>0.26</v>
      </c>
      <c r="Q60" s="654" t="str">
        <f t="shared" ref="Q60:S60" si="60">+F60</f>
        <v>1-Mémo</v>
      </c>
      <c r="R60" s="653" t="str">
        <f t="shared" si="60"/>
        <v>42</v>
      </c>
      <c r="S60" s="654">
        <f t="shared" si="60"/>
        <v>0</v>
      </c>
      <c r="T60" s="656" t="str">
        <f>+VLOOKUP($L60,Data_Validation!$A:$D,1,0)</f>
        <v>430</v>
      </c>
      <c r="U60" s="656">
        <f>+VLOOKUP($L60,Data_Validation!$A:$D,3,0)</f>
        <v>0</v>
      </c>
      <c r="V60" s="656">
        <f>+VLOOKUP($L60,Data_Validation!$A:$D,4,0)</f>
        <v>0</v>
      </c>
      <c r="W60" s="656">
        <f>+VLOOKUP($L60,Data_Validation!$A:$E,5,0)</f>
        <v>0</v>
      </c>
      <c r="X60" s="656">
        <f>+VLOOKUP($L60,Data_Validation!$A:$F,6,0)</f>
        <v>0</v>
      </c>
    </row>
    <row r="61" spans="1:24" ht="15" customHeight="1">
      <c r="A61" s="1052" t="s">
        <v>783</v>
      </c>
      <c r="B61" s="1052" t="s">
        <v>1950</v>
      </c>
      <c r="C61" s="1053"/>
      <c r="D61" s="1053"/>
      <c r="E61" s="1053"/>
      <c r="F61" s="1052" t="s">
        <v>2</v>
      </c>
      <c r="G61" s="1052" t="s">
        <v>3329</v>
      </c>
      <c r="H61" s="1053"/>
      <c r="I61" s="1054">
        <v>0.27</v>
      </c>
      <c r="J61" s="1054">
        <v>0</v>
      </c>
      <c r="K61" s="1054">
        <v>0.27</v>
      </c>
      <c r="L61" s="653" t="str">
        <f t="shared" si="2"/>
        <v>431</v>
      </c>
      <c r="M61" s="654" t="str">
        <f t="shared" si="0"/>
        <v>UNITES USAGES DET./ NOV.</v>
      </c>
      <c r="N61" s="655">
        <f>+IF(OR($Q61=Parametres!$G$2,$Q61=Parametres!$G$3),I61,C61)</f>
        <v>0.27</v>
      </c>
      <c r="O61" s="659">
        <f>+IF(OR($Q61=Parametres!$G$2,$Q61=Parametres!$G$3),J61,D61)</f>
        <v>0</v>
      </c>
      <c r="P61" s="655">
        <f>+IF(OR($Q61=Parametres!$G$2,$Q61=Parametres!$G$3),K61,E61)</f>
        <v>0.27</v>
      </c>
      <c r="Q61" s="654" t="str">
        <f t="shared" ref="Q61:S61" si="61">+F61</f>
        <v>1-Mémo</v>
      </c>
      <c r="R61" s="653" t="str">
        <f t="shared" si="61"/>
        <v>42</v>
      </c>
      <c r="S61" s="654">
        <f t="shared" si="61"/>
        <v>0</v>
      </c>
      <c r="T61" s="656" t="str">
        <f>+VLOOKUP($L61,Data_Validation!$A:$D,1,0)</f>
        <v>431</v>
      </c>
      <c r="U61" s="656">
        <f>+VLOOKUP($L61,Data_Validation!$A:$D,3,0)</f>
        <v>0</v>
      </c>
      <c r="V61" s="656">
        <f>+VLOOKUP($L61,Data_Validation!$A:$D,4,0)</f>
        <v>0</v>
      </c>
      <c r="W61" s="656">
        <f>+VLOOKUP($L61,Data_Validation!$A:$E,5,0)</f>
        <v>0</v>
      </c>
      <c r="X61" s="656">
        <f>+VLOOKUP($L61,Data_Validation!$A:$F,6,0)</f>
        <v>0</v>
      </c>
    </row>
    <row r="62" spans="1:24" ht="15" customHeight="1">
      <c r="A62" s="1052" t="s">
        <v>3665</v>
      </c>
      <c r="B62" s="1052" t="s">
        <v>3354</v>
      </c>
      <c r="C62" s="1053"/>
      <c r="D62" s="1053"/>
      <c r="E62" s="1053"/>
      <c r="F62" s="1052" t="s">
        <v>2</v>
      </c>
      <c r="G62" s="1052" t="s">
        <v>3329</v>
      </c>
      <c r="H62" s="1053"/>
      <c r="I62" s="1054">
        <v>0</v>
      </c>
      <c r="J62" s="1054">
        <v>0.25</v>
      </c>
      <c r="K62" s="1054">
        <v>0.25</v>
      </c>
      <c r="L62" s="653" t="str">
        <f t="shared" si="2"/>
        <v>432</v>
      </c>
      <c r="M62" s="654" t="str">
        <f t="shared" si="0"/>
        <v>UNITES USAGES DET./ DEC</v>
      </c>
      <c r="N62" s="655">
        <f>+IF(OR($Q62=Parametres!$G$2,$Q62=Parametres!$G$3),I62,C62)</f>
        <v>0</v>
      </c>
      <c r="O62" s="655">
        <f>+IF(OR($Q62=Parametres!$G$2,$Q62=Parametres!$G$3),J62,D62)</f>
        <v>0.25</v>
      </c>
      <c r="P62" s="655">
        <f>+IF(OR($Q62=Parametres!$G$2,$Q62=Parametres!$G$3),K62,E62)</f>
        <v>0.25</v>
      </c>
      <c r="Q62" s="654" t="str">
        <f t="shared" ref="Q62:S62" si="62">+F62</f>
        <v>1-Mémo</v>
      </c>
      <c r="R62" s="653" t="str">
        <f t="shared" si="62"/>
        <v>42</v>
      </c>
      <c r="S62" s="654">
        <f t="shared" si="62"/>
        <v>0</v>
      </c>
      <c r="T62" s="656" t="str">
        <f>+VLOOKUP($L62,Data_Validation!$A:$D,1,0)</f>
        <v>432</v>
      </c>
      <c r="U62" s="656">
        <f>+VLOOKUP($L62,Data_Validation!$A:$D,3,0)</f>
        <v>0</v>
      </c>
      <c r="V62" s="656">
        <f>+VLOOKUP($L62,Data_Validation!$A:$D,4,0)</f>
        <v>0</v>
      </c>
      <c r="W62" s="656">
        <f>+VLOOKUP($L62,Data_Validation!$A:$E,5,0)</f>
        <v>0</v>
      </c>
      <c r="X62" s="656">
        <f>+VLOOKUP($L62,Data_Validation!$A:$F,6,0)</f>
        <v>0</v>
      </c>
    </row>
    <row r="63" spans="1:24" ht="15" customHeight="1">
      <c r="A63" s="1052" t="s">
        <v>784</v>
      </c>
      <c r="B63" s="1052" t="s">
        <v>2055</v>
      </c>
      <c r="C63" s="1053"/>
      <c r="D63" s="1053"/>
      <c r="E63" s="1053"/>
      <c r="F63" s="1052" t="s">
        <v>2</v>
      </c>
      <c r="G63" s="1052" t="s">
        <v>785</v>
      </c>
      <c r="H63" s="1053"/>
      <c r="I63" s="1054">
        <v>1</v>
      </c>
      <c r="J63" s="1054">
        <v>0</v>
      </c>
      <c r="K63" s="1054">
        <v>1</v>
      </c>
      <c r="L63" s="653" t="str">
        <f t="shared" si="2"/>
        <v>500</v>
      </c>
      <c r="M63" s="654" t="str">
        <f t="shared" si="0"/>
        <v>PROPRIETAIRES</v>
      </c>
      <c r="N63" s="655">
        <f>+IF(OR($Q63=Parametres!$G$2,$Q63=Parametres!$G$3),I63,C63)</f>
        <v>1</v>
      </c>
      <c r="O63" s="655">
        <f>+IF(OR($Q63=Parametres!$G$2,$Q63=Parametres!$G$3),J63,D63)</f>
        <v>0</v>
      </c>
      <c r="P63" s="655">
        <f>+IF(OR($Q63=Parametres!$G$2,$Q63=Parametres!$G$3),K63,E63)</f>
        <v>1</v>
      </c>
      <c r="Q63" s="654" t="str">
        <f t="shared" ref="Q63:S63" si="63">+F63</f>
        <v>1-Mémo</v>
      </c>
      <c r="R63" s="653" t="str">
        <f t="shared" si="63"/>
        <v>50</v>
      </c>
      <c r="S63" s="654">
        <f t="shared" si="63"/>
        <v>0</v>
      </c>
      <c r="T63" s="656" t="str">
        <f>+VLOOKUP($L63,Data_Validation!$A:$D,1,0)</f>
        <v>500</v>
      </c>
      <c r="U63" s="656">
        <f>+VLOOKUP($L63,Data_Validation!$A:$D,3,0)</f>
        <v>0</v>
      </c>
      <c r="V63" s="656">
        <f>+VLOOKUP($L63,Data_Validation!$A:$D,4,0)</f>
        <v>0</v>
      </c>
      <c r="W63" s="656" t="str">
        <f>+VLOOKUP($L63,Data_Validation!$A:$E,5,0)</f>
        <v>$</v>
      </c>
      <c r="X63" s="656">
        <f>+VLOOKUP($L63,Data_Validation!$A:$F,6,0)</f>
        <v>0</v>
      </c>
    </row>
    <row r="64" spans="1:24" ht="15" customHeight="1">
      <c r="A64" s="1052" t="s">
        <v>786</v>
      </c>
      <c r="B64" s="1052" t="s">
        <v>1113</v>
      </c>
      <c r="C64" s="1053"/>
      <c r="D64" s="1053"/>
      <c r="E64" s="1053"/>
      <c r="F64" s="1052" t="s">
        <v>2</v>
      </c>
      <c r="G64" s="1052" t="s">
        <v>785</v>
      </c>
      <c r="H64" s="1053"/>
      <c r="I64" s="1054">
        <v>0.5</v>
      </c>
      <c r="J64" s="1054">
        <v>0</v>
      </c>
      <c r="K64" s="1054">
        <v>0.5</v>
      </c>
      <c r="L64" s="653" t="str">
        <f t="shared" si="2"/>
        <v>511</v>
      </c>
      <c r="M64" s="654" t="str">
        <f t="shared" si="0"/>
        <v>DIR. GENERAL NEUFS</v>
      </c>
      <c r="N64" s="655">
        <f>+IF(OR($Q64=Parametres!$G$2,$Q64=Parametres!$G$3),I64,C64)</f>
        <v>0.5</v>
      </c>
      <c r="O64" s="655">
        <f>+IF(OR($Q64=Parametres!$G$2,$Q64=Parametres!$G$3),J64,D64)</f>
        <v>0</v>
      </c>
      <c r="P64" s="655">
        <f>+IF(OR($Q64=Parametres!$G$2,$Q64=Parametres!$G$3),K64,E64)</f>
        <v>0.5</v>
      </c>
      <c r="Q64" s="654" t="str">
        <f t="shared" ref="Q64:S64" si="64">+F64</f>
        <v>1-Mémo</v>
      </c>
      <c r="R64" s="653" t="str">
        <f t="shared" si="64"/>
        <v>50</v>
      </c>
      <c r="S64" s="654">
        <f t="shared" si="64"/>
        <v>0</v>
      </c>
      <c r="T64" s="656" t="str">
        <f>+VLOOKUP($L64,Data_Validation!$A:$D,1,0)</f>
        <v>511</v>
      </c>
      <c r="U64" s="656">
        <f>+VLOOKUP($L64,Data_Validation!$A:$D,3,0)</f>
        <v>0</v>
      </c>
      <c r="V64" s="656">
        <f>+VLOOKUP($L64,Data_Validation!$A:$D,4,0)</f>
        <v>0</v>
      </c>
      <c r="W64" s="656" t="str">
        <f>+VLOOKUP($L64,Data_Validation!$A:$E,5,0)</f>
        <v>$</v>
      </c>
      <c r="X64" s="656">
        <f>+VLOOKUP($L64,Data_Validation!$A:$F,6,0)</f>
        <v>0</v>
      </c>
    </row>
    <row r="65" spans="1:24" ht="15" customHeight="1">
      <c r="A65" s="1052" t="s">
        <v>787</v>
      </c>
      <c r="B65" s="1052" t="s">
        <v>2087</v>
      </c>
      <c r="C65" s="1053"/>
      <c r="D65" s="1053"/>
      <c r="E65" s="1053"/>
      <c r="F65" s="1052" t="s">
        <v>2</v>
      </c>
      <c r="G65" s="1052" t="s">
        <v>785</v>
      </c>
      <c r="H65" s="1053"/>
      <c r="I65" s="1054">
        <v>0.5</v>
      </c>
      <c r="J65" s="1054">
        <v>0</v>
      </c>
      <c r="K65" s="1054">
        <v>0.5</v>
      </c>
      <c r="L65" s="653" t="str">
        <f t="shared" si="2"/>
        <v>512</v>
      </c>
      <c r="M65" s="654" t="str">
        <f t="shared" si="0"/>
        <v>DIR. GENERAL USAGES</v>
      </c>
      <c r="N65" s="655">
        <f>+IF(OR($Q65=Parametres!$G$2,$Q65=Parametres!$G$3),I65,C65)</f>
        <v>0.5</v>
      </c>
      <c r="O65" s="711">
        <f>+IF(OR($Q65=Parametres!$G$2,$Q65=Parametres!$G$3),J65,D65)</f>
        <v>0</v>
      </c>
      <c r="P65" s="655">
        <f>+IF(OR($Q65=Parametres!$G$2,$Q65=Parametres!$G$3),K65,E65)</f>
        <v>0.5</v>
      </c>
      <c r="Q65" s="654" t="str">
        <f t="shared" ref="Q65:S65" si="65">+F65</f>
        <v>1-Mémo</v>
      </c>
      <c r="R65" s="653" t="str">
        <f t="shared" si="65"/>
        <v>50</v>
      </c>
      <c r="S65" s="654">
        <f t="shared" si="65"/>
        <v>0</v>
      </c>
      <c r="T65" s="656" t="str">
        <f>+VLOOKUP($L65,Data_Validation!$A:$D,1,0)</f>
        <v>512</v>
      </c>
      <c r="U65" s="656">
        <f>+VLOOKUP($L65,Data_Validation!$A:$D,3,0)</f>
        <v>0</v>
      </c>
      <c r="V65" s="656">
        <f>+VLOOKUP($L65,Data_Validation!$A:$D,4,0)</f>
        <v>0</v>
      </c>
      <c r="W65" s="656" t="str">
        <f>+VLOOKUP($L65,Data_Validation!$A:$E,5,0)</f>
        <v>$</v>
      </c>
      <c r="X65" s="656">
        <f>+VLOOKUP($L65,Data_Validation!$A:$F,6,0)</f>
        <v>0</v>
      </c>
    </row>
    <row r="66" spans="1:24" ht="15" customHeight="1">
      <c r="A66" s="1052" t="s">
        <v>788</v>
      </c>
      <c r="B66" s="1052" t="s">
        <v>1120</v>
      </c>
      <c r="C66" s="1053"/>
      <c r="D66" s="1053"/>
      <c r="E66" s="1053"/>
      <c r="F66" s="1052" t="s">
        <v>2</v>
      </c>
      <c r="G66" s="1052" t="s">
        <v>785</v>
      </c>
      <c r="H66" s="1053"/>
      <c r="I66" s="1054">
        <v>0.5</v>
      </c>
      <c r="J66" s="1054">
        <v>0</v>
      </c>
      <c r="K66" s="1054">
        <v>0.5</v>
      </c>
      <c r="L66" s="653" t="str">
        <f t="shared" si="2"/>
        <v>514</v>
      </c>
      <c r="M66" s="654" t="str">
        <f t="shared" si="0"/>
        <v>DIR. GENERAL SERVICE</v>
      </c>
      <c r="N66" s="655">
        <f>+IF(OR($Q66=Parametres!$G$2,$Q66=Parametres!$G$3),I66,C66)</f>
        <v>0.5</v>
      </c>
      <c r="O66" s="655">
        <f>+IF(OR($Q66=Parametres!$G$2,$Q66=Parametres!$G$3),J66,D66)</f>
        <v>0</v>
      </c>
      <c r="P66" s="655">
        <f>+IF(OR($Q66=Parametres!$G$2,$Q66=Parametres!$G$3),K66,E66)</f>
        <v>0.5</v>
      </c>
      <c r="Q66" s="654" t="str">
        <f t="shared" ref="Q66:S66" si="66">+F66</f>
        <v>1-Mémo</v>
      </c>
      <c r="R66" s="653" t="str">
        <f t="shared" si="66"/>
        <v>50</v>
      </c>
      <c r="S66" s="654">
        <f t="shared" si="66"/>
        <v>0</v>
      </c>
      <c r="T66" s="656" t="str">
        <f>+VLOOKUP($L66,Data_Validation!$A:$D,1,0)</f>
        <v>514</v>
      </c>
      <c r="U66" s="656">
        <f>+VLOOKUP($L66,Data_Validation!$A:$D,3,0)</f>
        <v>0</v>
      </c>
      <c r="V66" s="656">
        <f>+VLOOKUP($L66,Data_Validation!$A:$D,4,0)</f>
        <v>0</v>
      </c>
      <c r="W66" s="656" t="str">
        <f>+VLOOKUP($L66,Data_Validation!$A:$E,5,0)</f>
        <v>$</v>
      </c>
      <c r="X66" s="656">
        <f>+VLOOKUP($L66,Data_Validation!$A:$F,6,0)</f>
        <v>0</v>
      </c>
    </row>
    <row r="67" spans="1:24" ht="15" customHeight="1">
      <c r="A67" s="1052" t="s">
        <v>789</v>
      </c>
      <c r="B67" s="1052" t="s">
        <v>2110</v>
      </c>
      <c r="C67" s="1053"/>
      <c r="D67" s="1053"/>
      <c r="E67" s="1053"/>
      <c r="F67" s="1052" t="s">
        <v>2</v>
      </c>
      <c r="G67" s="1052" t="s">
        <v>785</v>
      </c>
      <c r="H67" s="1053"/>
      <c r="I67" s="1054">
        <v>0.5</v>
      </c>
      <c r="J67" s="1054">
        <v>0</v>
      </c>
      <c r="K67" s="1054">
        <v>0.5</v>
      </c>
      <c r="L67" s="653" t="str">
        <f t="shared" ref="L67:L130" si="67">TEXT(B67,0)</f>
        <v>517</v>
      </c>
      <c r="M67" s="654" t="str">
        <f t="shared" si="0"/>
        <v>DIR. GENERAL PIECES</v>
      </c>
      <c r="N67" s="655">
        <f>+IF(OR($Q67=Parametres!$G$2,$Q67=Parametres!$G$3),I67,C67)</f>
        <v>0.5</v>
      </c>
      <c r="O67" s="659">
        <f>+IF(OR($Q67=Parametres!$G$2,$Q67=Parametres!$G$3),J67,D67)</f>
        <v>0</v>
      </c>
      <c r="P67" s="655">
        <f>+IF(OR($Q67=Parametres!$G$2,$Q67=Parametres!$G$3),K67,E67)</f>
        <v>0.5</v>
      </c>
      <c r="Q67" s="654" t="str">
        <f t="shared" ref="Q67:S67" si="68">+F67</f>
        <v>1-Mémo</v>
      </c>
      <c r="R67" s="653" t="str">
        <f t="shared" si="68"/>
        <v>50</v>
      </c>
      <c r="S67" s="654">
        <f t="shared" si="68"/>
        <v>0</v>
      </c>
      <c r="T67" s="656" t="str">
        <f>+VLOOKUP($L67,Data_Validation!$A:$D,1,0)</f>
        <v>517</v>
      </c>
      <c r="U67" s="656">
        <f>+VLOOKUP($L67,Data_Validation!$A:$D,3,0)</f>
        <v>0</v>
      </c>
      <c r="V67" s="656">
        <f>+VLOOKUP($L67,Data_Validation!$A:$D,4,0)</f>
        <v>0</v>
      </c>
      <c r="W67" s="656" t="str">
        <f>+VLOOKUP($L67,Data_Validation!$A:$E,5,0)</f>
        <v>$</v>
      </c>
      <c r="X67" s="656">
        <f>+VLOOKUP($L67,Data_Validation!$A:$F,6,0)</f>
        <v>0</v>
      </c>
    </row>
    <row r="68" spans="1:24" ht="15" customHeight="1">
      <c r="A68" s="1052" t="s">
        <v>790</v>
      </c>
      <c r="B68" s="1052" t="s">
        <v>2119</v>
      </c>
      <c r="C68" s="1053"/>
      <c r="D68" s="1053"/>
      <c r="E68" s="1053"/>
      <c r="F68" s="1052" t="s">
        <v>2</v>
      </c>
      <c r="G68" s="1052" t="s">
        <v>785</v>
      </c>
      <c r="H68" s="1053"/>
      <c r="I68" s="1054">
        <v>0.5</v>
      </c>
      <c r="J68" s="1054">
        <v>0</v>
      </c>
      <c r="K68" s="1054">
        <v>0.5</v>
      </c>
      <c r="L68" s="653" t="str">
        <f t="shared" si="67"/>
        <v>521</v>
      </c>
      <c r="M68" s="654" t="str">
        <f t="shared" si="0"/>
        <v>DIR. SERVICE NEUFS</v>
      </c>
      <c r="N68" s="655">
        <f>+IF(OR($Q68=Parametres!$G$2,$Q68=Parametres!$G$3),I68,C68)</f>
        <v>0.5</v>
      </c>
      <c r="O68" s="655">
        <f>+IF(OR($Q68=Parametres!$G$2,$Q68=Parametres!$G$3),J68,D68)</f>
        <v>0</v>
      </c>
      <c r="P68" s="655">
        <f>+IF(OR($Q68=Parametres!$G$2,$Q68=Parametres!$G$3),K68,E68)</f>
        <v>0.5</v>
      </c>
      <c r="Q68" s="654" t="str">
        <f t="shared" ref="Q68:S68" si="69">+F68</f>
        <v>1-Mémo</v>
      </c>
      <c r="R68" s="653" t="str">
        <f t="shared" si="69"/>
        <v>50</v>
      </c>
      <c r="S68" s="654">
        <f t="shared" si="69"/>
        <v>0</v>
      </c>
      <c r="T68" s="656" t="str">
        <f>+VLOOKUP($L68,Data_Validation!$A:$D,1,0)</f>
        <v>521</v>
      </c>
      <c r="U68" s="656">
        <f>+VLOOKUP($L68,Data_Validation!$A:$D,3,0)</f>
        <v>0</v>
      </c>
      <c r="V68" s="656">
        <f>+VLOOKUP($L68,Data_Validation!$A:$D,4,0)</f>
        <v>0</v>
      </c>
      <c r="W68" s="656" t="str">
        <f>+VLOOKUP($L68,Data_Validation!$A:$E,5,0)</f>
        <v>$</v>
      </c>
      <c r="X68" s="656">
        <f>+VLOOKUP($L68,Data_Validation!$A:$F,6,0)</f>
        <v>0</v>
      </c>
    </row>
    <row r="69" spans="1:24" ht="15" customHeight="1">
      <c r="A69" s="1052" t="s">
        <v>791</v>
      </c>
      <c r="B69" s="1052" t="s">
        <v>2128</v>
      </c>
      <c r="C69" s="1053"/>
      <c r="D69" s="1053"/>
      <c r="E69" s="1053"/>
      <c r="F69" s="1052" t="s">
        <v>2</v>
      </c>
      <c r="G69" s="1052" t="s">
        <v>785</v>
      </c>
      <c r="H69" s="1053"/>
      <c r="I69" s="1054">
        <v>0.5</v>
      </c>
      <c r="J69" s="1054">
        <v>0</v>
      </c>
      <c r="K69" s="1054">
        <v>0.5</v>
      </c>
      <c r="L69" s="653" t="str">
        <f t="shared" si="67"/>
        <v>522</v>
      </c>
      <c r="M69" s="654" t="str">
        <f t="shared" si="0"/>
        <v>DIR. SERVICE USAGES</v>
      </c>
      <c r="N69" s="655">
        <f>+IF(OR($Q69=Parametres!$G$2,$Q69=Parametres!$G$3),I69,C69)</f>
        <v>0.5</v>
      </c>
      <c r="O69" s="655">
        <f>+IF(OR($Q69=Parametres!$G$2,$Q69=Parametres!$G$3),J69,D69)</f>
        <v>0</v>
      </c>
      <c r="P69" s="655">
        <f>+IF(OR($Q69=Parametres!$G$2,$Q69=Parametres!$G$3),K69,E69)</f>
        <v>0.5</v>
      </c>
      <c r="Q69" s="654" t="str">
        <f t="shared" ref="Q69:S69" si="70">+F69</f>
        <v>1-Mémo</v>
      </c>
      <c r="R69" s="653" t="str">
        <f t="shared" si="70"/>
        <v>50</v>
      </c>
      <c r="S69" s="654">
        <f t="shared" si="70"/>
        <v>0</v>
      </c>
      <c r="T69" s="656" t="str">
        <f>+VLOOKUP($L69,Data_Validation!$A:$D,1,0)</f>
        <v>522</v>
      </c>
      <c r="U69" s="656">
        <f>+VLOOKUP($L69,Data_Validation!$A:$D,3,0)</f>
        <v>0</v>
      </c>
      <c r="V69" s="656">
        <f>+VLOOKUP($L69,Data_Validation!$A:$D,4,0)</f>
        <v>0</v>
      </c>
      <c r="W69" s="656" t="str">
        <f>+VLOOKUP($L69,Data_Validation!$A:$E,5,0)</f>
        <v>$</v>
      </c>
      <c r="X69" s="656">
        <f>+VLOOKUP($L69,Data_Validation!$A:$F,6,0)</f>
        <v>0</v>
      </c>
    </row>
    <row r="70" spans="1:24" ht="15" customHeight="1">
      <c r="A70" s="1052" t="s">
        <v>792</v>
      </c>
      <c r="B70" s="1052" t="s">
        <v>2131</v>
      </c>
      <c r="C70" s="1053"/>
      <c r="D70" s="1053"/>
      <c r="E70" s="1053"/>
      <c r="F70" s="1052" t="s">
        <v>2</v>
      </c>
      <c r="G70" s="1052" t="s">
        <v>785</v>
      </c>
      <c r="H70" s="1053"/>
      <c r="I70" s="1054">
        <v>1</v>
      </c>
      <c r="J70" s="1054">
        <v>0</v>
      </c>
      <c r="K70" s="1054">
        <v>1</v>
      </c>
      <c r="L70" s="653" t="str">
        <f t="shared" si="67"/>
        <v>524</v>
      </c>
      <c r="M70" s="654" t="str">
        <f t="shared" si="0"/>
        <v>DIR. SERVICE SERVICE</v>
      </c>
      <c r="N70" s="655">
        <f>+IF(OR($Q70=Parametres!$G$2,$Q70=Parametres!$G$3),I70,C70)</f>
        <v>1</v>
      </c>
      <c r="O70" s="655">
        <f>+IF(OR($Q70=Parametres!$G$2,$Q70=Parametres!$G$3),J70,D70)</f>
        <v>0</v>
      </c>
      <c r="P70" s="655">
        <f>+IF(OR($Q70=Parametres!$G$2,$Q70=Parametres!$G$3),K70,E70)</f>
        <v>1</v>
      </c>
      <c r="Q70" s="654" t="str">
        <f t="shared" ref="Q70:S70" si="71">+F70</f>
        <v>1-Mémo</v>
      </c>
      <c r="R70" s="653" t="str">
        <f t="shared" si="71"/>
        <v>50</v>
      </c>
      <c r="S70" s="654">
        <f t="shared" si="71"/>
        <v>0</v>
      </c>
      <c r="T70" s="656" t="str">
        <f>+VLOOKUP($L70,Data_Validation!$A:$D,1,0)</f>
        <v>524</v>
      </c>
      <c r="U70" s="656">
        <f>+VLOOKUP($L70,Data_Validation!$A:$D,3,0)</f>
        <v>0</v>
      </c>
      <c r="V70" s="656">
        <f>+VLOOKUP($L70,Data_Validation!$A:$D,4,0)</f>
        <v>0</v>
      </c>
      <c r="W70" s="656" t="str">
        <f>+VLOOKUP($L70,Data_Validation!$A:$E,5,0)</f>
        <v>$</v>
      </c>
      <c r="X70" s="656">
        <f>+VLOOKUP($L70,Data_Validation!$A:$F,6,0)</f>
        <v>0</v>
      </c>
    </row>
    <row r="71" spans="1:24" ht="15" customHeight="1">
      <c r="A71" s="1052" t="s">
        <v>793</v>
      </c>
      <c r="B71" s="1052" t="s">
        <v>2133</v>
      </c>
      <c r="C71" s="1053"/>
      <c r="D71" s="1053"/>
      <c r="E71" s="1053"/>
      <c r="F71" s="1052" t="s">
        <v>2</v>
      </c>
      <c r="G71" s="1052" t="s">
        <v>785</v>
      </c>
      <c r="H71" s="1053"/>
      <c r="I71" s="1054">
        <v>1</v>
      </c>
      <c r="J71" s="1054">
        <v>0</v>
      </c>
      <c r="K71" s="1054">
        <v>1</v>
      </c>
      <c r="L71" s="653" t="str">
        <f t="shared" si="67"/>
        <v>527</v>
      </c>
      <c r="M71" s="654" t="str">
        <f t="shared" si="0"/>
        <v>DIR. SERVICE PIECES</v>
      </c>
      <c r="N71" s="655">
        <f>+IF(OR($Q71=Parametres!$G$2,$Q71=Parametres!$G$3),I71,C71)</f>
        <v>1</v>
      </c>
      <c r="O71" s="659">
        <f>+IF(OR($Q71=Parametres!$G$2,$Q71=Parametres!$G$3),J71,D71)</f>
        <v>0</v>
      </c>
      <c r="P71" s="655">
        <f>+IF(OR($Q71=Parametres!$G$2,$Q71=Parametres!$G$3),K71,E71)</f>
        <v>1</v>
      </c>
      <c r="Q71" s="654" t="str">
        <f t="shared" ref="Q71:S71" si="72">+F71</f>
        <v>1-Mémo</v>
      </c>
      <c r="R71" s="653" t="str">
        <f t="shared" si="72"/>
        <v>50</v>
      </c>
      <c r="S71" s="654">
        <f t="shared" si="72"/>
        <v>0</v>
      </c>
      <c r="T71" s="656" t="str">
        <f>+VLOOKUP($L71,Data_Validation!$A:$D,1,0)</f>
        <v>527</v>
      </c>
      <c r="U71" s="656">
        <f>+VLOOKUP($L71,Data_Validation!$A:$D,3,0)</f>
        <v>0</v>
      </c>
      <c r="V71" s="656">
        <f>+VLOOKUP($L71,Data_Validation!$A:$D,4,0)</f>
        <v>0</v>
      </c>
      <c r="W71" s="656" t="str">
        <f>+VLOOKUP($L71,Data_Validation!$A:$E,5,0)</f>
        <v>$</v>
      </c>
      <c r="X71" s="656">
        <f>+VLOOKUP($L71,Data_Validation!$A:$F,6,0)</f>
        <v>0</v>
      </c>
    </row>
    <row r="72" spans="1:24" ht="15" customHeight="1">
      <c r="A72" s="1052" t="s">
        <v>794</v>
      </c>
      <c r="B72" s="1052" t="s">
        <v>2157</v>
      </c>
      <c r="C72" s="1053"/>
      <c r="D72" s="1053"/>
      <c r="E72" s="1053"/>
      <c r="F72" s="1052" t="s">
        <v>2</v>
      </c>
      <c r="G72" s="1052" t="s">
        <v>3330</v>
      </c>
      <c r="H72" s="1053"/>
      <c r="I72" s="1054">
        <v>6</v>
      </c>
      <c r="J72" s="1054">
        <v>0</v>
      </c>
      <c r="K72" s="1054">
        <v>6</v>
      </c>
      <c r="L72" s="653" t="str">
        <f t="shared" si="67"/>
        <v>541</v>
      </c>
      <c r="M72" s="654" t="str">
        <f t="shared" si="0"/>
        <v>VW REP. DES VENTES - NEUF</v>
      </c>
      <c r="N72" s="655">
        <f>+IF(OR($Q72=Parametres!$G$2,$Q72=Parametres!$G$3),I72,C72)</f>
        <v>6</v>
      </c>
      <c r="O72" s="655">
        <f>+IF(OR($Q72=Parametres!$G$2,$Q72=Parametres!$G$3),J72,D72)</f>
        <v>0</v>
      </c>
      <c r="P72" s="655">
        <f>+IF(OR($Q72=Parametres!$G$2,$Q72=Parametres!$G$3),K72,E72)</f>
        <v>6</v>
      </c>
      <c r="Q72" s="654" t="str">
        <f t="shared" ref="Q72:S72" si="73">+F72</f>
        <v>1-Mémo</v>
      </c>
      <c r="R72" s="653" t="str">
        <f t="shared" si="73"/>
        <v>54</v>
      </c>
      <c r="S72" s="654">
        <f t="shared" si="73"/>
        <v>0</v>
      </c>
      <c r="T72" s="656" t="str">
        <f>+VLOOKUP($L72,Data_Validation!$A:$D,1,0)</f>
        <v>541</v>
      </c>
      <c r="U72" s="656">
        <f>+VLOOKUP($L72,Data_Validation!$A:$D,3,0)</f>
        <v>0</v>
      </c>
      <c r="V72" s="656">
        <f>+VLOOKUP($L72,Data_Validation!$A:$D,4,0)</f>
        <v>0</v>
      </c>
      <c r="W72" s="656" t="str">
        <f>+VLOOKUP($L72,Data_Validation!$A:$E,5,0)</f>
        <v>$</v>
      </c>
      <c r="X72" s="656">
        <f>+VLOOKUP($L72,Data_Validation!$A:$F,6,0)</f>
        <v>0</v>
      </c>
    </row>
    <row r="73" spans="1:24" ht="15" customHeight="1">
      <c r="A73" s="1052" t="s">
        <v>795</v>
      </c>
      <c r="B73" s="1052" t="s">
        <v>2163</v>
      </c>
      <c r="C73" s="1053"/>
      <c r="D73" s="1053"/>
      <c r="E73" s="1053"/>
      <c r="F73" s="1052" t="s">
        <v>2</v>
      </c>
      <c r="G73" s="1052" t="s">
        <v>785</v>
      </c>
      <c r="H73" s="1053"/>
      <c r="I73" s="1054">
        <v>3</v>
      </c>
      <c r="J73" s="1054">
        <v>0</v>
      </c>
      <c r="K73" s="1054">
        <v>3</v>
      </c>
      <c r="L73" s="653" t="str">
        <f t="shared" si="67"/>
        <v>542</v>
      </c>
      <c r="M73" s="654" t="str">
        <f t="shared" si="0"/>
        <v>VW REP. DES VENTES - OCC.</v>
      </c>
      <c r="N73" s="655">
        <f>+IF(OR($Q73=Parametres!$G$2,$Q73=Parametres!$G$3),I73,C73)</f>
        <v>3</v>
      </c>
      <c r="O73" s="655">
        <f>+IF(OR($Q73=Parametres!$G$2,$Q73=Parametres!$G$3),J73,D73)</f>
        <v>0</v>
      </c>
      <c r="P73" s="655">
        <f>+IF(OR($Q73=Parametres!$G$2,$Q73=Parametres!$G$3),K73,E73)</f>
        <v>3</v>
      </c>
      <c r="Q73" s="654" t="str">
        <f t="shared" ref="Q73:S73" si="74">+F73</f>
        <v>1-Mémo</v>
      </c>
      <c r="R73" s="653" t="str">
        <f t="shared" si="74"/>
        <v>50</v>
      </c>
      <c r="S73" s="654">
        <f t="shared" si="74"/>
        <v>0</v>
      </c>
      <c r="T73" s="656" t="str">
        <f>+VLOOKUP($L73,Data_Validation!$A:$D,1,0)</f>
        <v>542</v>
      </c>
      <c r="U73" s="656">
        <f>+VLOOKUP($L73,Data_Validation!$A:$D,3,0)</f>
        <v>0</v>
      </c>
      <c r="V73" s="656">
        <f>+VLOOKUP($L73,Data_Validation!$A:$D,4,0)</f>
        <v>0</v>
      </c>
      <c r="W73" s="656" t="str">
        <f>+VLOOKUP($L73,Data_Validation!$A:$E,5,0)</f>
        <v>$</v>
      </c>
      <c r="X73" s="656">
        <f>+VLOOKUP($L73,Data_Validation!$A:$F,6,0)</f>
        <v>0</v>
      </c>
    </row>
    <row r="74" spans="1:24" ht="15" customHeight="1">
      <c r="A74" s="1052" t="s">
        <v>796</v>
      </c>
      <c r="B74" s="1052" t="s">
        <v>2178</v>
      </c>
      <c r="C74" s="1053"/>
      <c r="D74" s="1053"/>
      <c r="E74" s="1053"/>
      <c r="F74" s="1052" t="s">
        <v>2</v>
      </c>
      <c r="G74" s="1052" t="s">
        <v>785</v>
      </c>
      <c r="H74" s="1053"/>
      <c r="I74" s="1054">
        <v>1.5</v>
      </c>
      <c r="J74" s="1054">
        <v>0</v>
      </c>
      <c r="K74" s="1054">
        <v>1.5</v>
      </c>
      <c r="L74" s="653" t="str">
        <f t="shared" si="67"/>
        <v>551</v>
      </c>
      <c r="M74" s="654" t="str">
        <f t="shared" si="0"/>
        <v>DIR. COMMERCIAL NEUFS</v>
      </c>
      <c r="N74" s="655">
        <f>+IF(OR($Q74=Parametres!$G$2,$Q74=Parametres!$G$3),I74,C74)</f>
        <v>1.5</v>
      </c>
      <c r="O74" s="655">
        <f>+IF(OR($Q74=Parametres!$G$2,$Q74=Parametres!$G$3),J74,D74)</f>
        <v>0</v>
      </c>
      <c r="P74" s="655">
        <f>+IF(OR($Q74=Parametres!$G$2,$Q74=Parametres!$G$3),K74,E74)</f>
        <v>1.5</v>
      </c>
      <c r="Q74" s="654" t="str">
        <f t="shared" ref="Q74:S74" si="75">+F74</f>
        <v>1-Mémo</v>
      </c>
      <c r="R74" s="653" t="str">
        <f t="shared" si="75"/>
        <v>50</v>
      </c>
      <c r="S74" s="654">
        <f t="shared" si="75"/>
        <v>0</v>
      </c>
      <c r="T74" s="656" t="str">
        <f>+VLOOKUP($L74,Data_Validation!$A:$D,1,0)</f>
        <v>551</v>
      </c>
      <c r="U74" s="656">
        <f>+VLOOKUP($L74,Data_Validation!$A:$D,3,0)</f>
        <v>0</v>
      </c>
      <c r="V74" s="656">
        <f>+VLOOKUP($L74,Data_Validation!$A:$D,4,0)</f>
        <v>0</v>
      </c>
      <c r="W74" s="656" t="str">
        <f>+VLOOKUP($L74,Data_Validation!$A:$E,5,0)</f>
        <v>$</v>
      </c>
      <c r="X74" s="656">
        <f>+VLOOKUP($L74,Data_Validation!$A:$F,6,0)</f>
        <v>0</v>
      </c>
    </row>
    <row r="75" spans="1:24" ht="15" customHeight="1">
      <c r="A75" s="1052" t="s">
        <v>797</v>
      </c>
      <c r="B75" s="1052" t="s">
        <v>2181</v>
      </c>
      <c r="C75" s="1053"/>
      <c r="D75" s="1053"/>
      <c r="E75" s="1053"/>
      <c r="F75" s="1052" t="s">
        <v>2</v>
      </c>
      <c r="G75" s="1052" t="s">
        <v>785</v>
      </c>
      <c r="H75" s="1053"/>
      <c r="I75" s="1054">
        <v>1.5</v>
      </c>
      <c r="J75" s="1054">
        <v>0</v>
      </c>
      <c r="K75" s="1054">
        <v>1.5</v>
      </c>
      <c r="L75" s="653" t="str">
        <f t="shared" si="67"/>
        <v>552</v>
      </c>
      <c r="M75" s="654" t="str">
        <f t="shared" si="0"/>
        <v>DIR. COMMERCIAL USAGES</v>
      </c>
      <c r="N75" s="655">
        <f>+IF(OR($Q75=Parametres!$G$2,$Q75=Parametres!$G$3),I75,C75)</f>
        <v>1.5</v>
      </c>
      <c r="O75" s="655">
        <f>+IF(OR($Q75=Parametres!$G$2,$Q75=Parametres!$G$3),J75,D75)</f>
        <v>0</v>
      </c>
      <c r="P75" s="655">
        <f>+IF(OR($Q75=Parametres!$G$2,$Q75=Parametres!$G$3),K75,E75)</f>
        <v>1.5</v>
      </c>
      <c r="Q75" s="654" t="str">
        <f t="shared" ref="Q75:S75" si="76">+F75</f>
        <v>1-Mémo</v>
      </c>
      <c r="R75" s="653" t="str">
        <f t="shared" si="76"/>
        <v>50</v>
      </c>
      <c r="S75" s="654">
        <f t="shared" si="76"/>
        <v>0</v>
      </c>
      <c r="T75" s="656" t="str">
        <f>+VLOOKUP($L75,Data_Validation!$A:$D,1,0)</f>
        <v>552</v>
      </c>
      <c r="U75" s="656">
        <f>+VLOOKUP($L75,Data_Validation!$A:$D,3,0)</f>
        <v>0</v>
      </c>
      <c r="V75" s="656">
        <f>+VLOOKUP($L75,Data_Validation!$A:$D,4,0)</f>
        <v>0</v>
      </c>
      <c r="W75" s="656" t="str">
        <f>+VLOOKUP($L75,Data_Validation!$A:$E,5,0)</f>
        <v>$</v>
      </c>
      <c r="X75" s="656">
        <f>+VLOOKUP($L75,Data_Validation!$A:$F,6,0)</f>
        <v>0</v>
      </c>
    </row>
    <row r="76" spans="1:24" ht="15" customHeight="1">
      <c r="A76" s="1052" t="s">
        <v>798</v>
      </c>
      <c r="B76" s="1052" t="s">
        <v>3355</v>
      </c>
      <c r="C76" s="1053"/>
      <c r="D76" s="1053"/>
      <c r="E76" s="1053"/>
      <c r="F76" s="1052" t="s">
        <v>2</v>
      </c>
      <c r="G76" s="1052" t="s">
        <v>785</v>
      </c>
      <c r="H76" s="1053"/>
      <c r="I76" s="1054">
        <v>1</v>
      </c>
      <c r="J76" s="1054">
        <v>0</v>
      </c>
      <c r="K76" s="1054">
        <v>1</v>
      </c>
      <c r="L76" s="653" t="str">
        <f t="shared" si="67"/>
        <v>564</v>
      </c>
      <c r="M76" s="654" t="str">
        <f t="shared" si="0"/>
        <v>CONTREMAITRE SERVICE</v>
      </c>
      <c r="N76" s="655">
        <f>+IF(OR($Q76=Parametres!$G$2,$Q76=Parametres!$G$3),I76,C76)</f>
        <v>1</v>
      </c>
      <c r="O76" s="655">
        <f>+IF(OR($Q76=Parametres!$G$2,$Q76=Parametres!$G$3),J76,D76)</f>
        <v>0</v>
      </c>
      <c r="P76" s="655">
        <f>+IF(OR($Q76=Parametres!$G$2,$Q76=Parametres!$G$3),K76,E76)</f>
        <v>1</v>
      </c>
      <c r="Q76" s="654" t="str">
        <f t="shared" ref="Q76:S76" si="77">+F76</f>
        <v>1-Mémo</v>
      </c>
      <c r="R76" s="653" t="str">
        <f t="shared" si="77"/>
        <v>50</v>
      </c>
      <c r="S76" s="654">
        <f t="shared" si="77"/>
        <v>0</v>
      </c>
      <c r="T76" s="656" t="str">
        <f>+VLOOKUP($L76,Data_Validation!$A:$D,1,0)</f>
        <v>564</v>
      </c>
      <c r="U76" s="656">
        <f>+VLOOKUP($L76,Data_Validation!$A:$D,3,0)</f>
        <v>0</v>
      </c>
      <c r="V76" s="656">
        <f>+VLOOKUP($L76,Data_Validation!$A:$D,4,0)</f>
        <v>0</v>
      </c>
      <c r="W76" s="656" t="str">
        <f>+VLOOKUP($L76,Data_Validation!$A:$E,5,0)</f>
        <v>$</v>
      </c>
      <c r="X76" s="656">
        <f>+VLOOKUP($L76,Data_Validation!$A:$F,6,0)</f>
        <v>0</v>
      </c>
    </row>
    <row r="77" spans="1:24" ht="15" customHeight="1">
      <c r="A77" s="1052" t="s">
        <v>799</v>
      </c>
      <c r="B77" s="1052" t="s">
        <v>2276</v>
      </c>
      <c r="C77" s="1053"/>
      <c r="D77" s="1053"/>
      <c r="E77" s="1053"/>
      <c r="F77" s="1052" t="s">
        <v>2</v>
      </c>
      <c r="G77" s="1052" t="s">
        <v>3331</v>
      </c>
      <c r="H77" s="1053"/>
      <c r="I77" s="1054">
        <v>5</v>
      </c>
      <c r="J77" s="1054">
        <v>0</v>
      </c>
      <c r="K77" s="1054">
        <v>5</v>
      </c>
      <c r="L77" s="653" t="str">
        <f t="shared" si="67"/>
        <v>614</v>
      </c>
      <c r="M77" s="654" t="str">
        <f t="shared" si="0"/>
        <v>VW CONSEILLERS SERVICE -SERVICE</v>
      </c>
      <c r="N77" s="655">
        <f>+IF(OR($Q77=Parametres!$G$2,$Q77=Parametres!$G$3),I77,C77)</f>
        <v>5</v>
      </c>
      <c r="O77" s="655">
        <f>+IF(OR($Q77=Parametres!$G$2,$Q77=Parametres!$G$3),J77,D77)</f>
        <v>0</v>
      </c>
      <c r="P77" s="655">
        <f>+IF(OR($Q77=Parametres!$G$2,$Q77=Parametres!$G$3),K77,E77)</f>
        <v>5</v>
      </c>
      <c r="Q77" s="654" t="str">
        <f t="shared" ref="Q77:S77" si="78">+F77</f>
        <v>1-Mémo</v>
      </c>
      <c r="R77" s="653" t="str">
        <f t="shared" si="78"/>
        <v>61</v>
      </c>
      <c r="S77" s="654">
        <f t="shared" si="78"/>
        <v>0</v>
      </c>
      <c r="T77" s="656" t="str">
        <f>+VLOOKUP($L77,Data_Validation!$A:$D,1,0)</f>
        <v>614</v>
      </c>
      <c r="U77" s="656">
        <f>+VLOOKUP($L77,Data_Validation!$A:$D,3,0)</f>
        <v>0</v>
      </c>
      <c r="V77" s="656">
        <f>+VLOOKUP($L77,Data_Validation!$A:$D,4,0)</f>
        <v>0</v>
      </c>
      <c r="W77" s="656" t="str">
        <f>+VLOOKUP($L77,Data_Validation!$A:$E,5,0)</f>
        <v>$</v>
      </c>
      <c r="X77" s="656">
        <f>+VLOOKUP($L77,Data_Validation!$A:$F,6,0)</f>
        <v>0</v>
      </c>
    </row>
    <row r="78" spans="1:24" ht="15" customHeight="1">
      <c r="A78" s="1052" t="s">
        <v>800</v>
      </c>
      <c r="B78" s="1052" t="s">
        <v>1208</v>
      </c>
      <c r="C78" s="1053"/>
      <c r="D78" s="1053"/>
      <c r="E78" s="1053"/>
      <c r="F78" s="1052" t="s">
        <v>2</v>
      </c>
      <c r="G78" s="1052" t="s">
        <v>3331</v>
      </c>
      <c r="H78" s="1053"/>
      <c r="I78" s="1054">
        <v>1</v>
      </c>
      <c r="J78" s="1054">
        <v>0</v>
      </c>
      <c r="K78" s="1054">
        <v>1</v>
      </c>
      <c r="L78" s="653" t="str">
        <f t="shared" si="67"/>
        <v>615</v>
      </c>
      <c r="M78" s="654" t="str">
        <f t="shared" si="0"/>
        <v>VW CONSEILLERS SERVICE - PIEC. &amp; CARR.&lt;</v>
      </c>
      <c r="N78" s="655">
        <f>+IF(OR($Q78=Parametres!$G$2,$Q78=Parametres!$G$3),I78,C78)</f>
        <v>1</v>
      </c>
      <c r="O78" s="659">
        <f>+IF(OR($Q78=Parametres!$G$2,$Q78=Parametres!$G$3),J78,D78)</f>
        <v>0</v>
      </c>
      <c r="P78" s="655">
        <f>+IF(OR($Q78=Parametres!$G$2,$Q78=Parametres!$G$3),K78,E78)</f>
        <v>1</v>
      </c>
      <c r="Q78" s="654" t="str">
        <f t="shared" ref="Q78:S78" si="79">+F78</f>
        <v>1-Mémo</v>
      </c>
      <c r="R78" s="653" t="str">
        <f t="shared" si="79"/>
        <v>61</v>
      </c>
      <c r="S78" s="654">
        <f t="shared" si="79"/>
        <v>0</v>
      </c>
      <c r="T78" s="656" t="str">
        <f>+VLOOKUP($L78,Data_Validation!$A:$D,1,0)</f>
        <v>615</v>
      </c>
      <c r="U78" s="656">
        <f>+VLOOKUP($L78,Data_Validation!$A:$D,3,0)</f>
        <v>0</v>
      </c>
      <c r="V78" s="656">
        <f>+VLOOKUP($L78,Data_Validation!$A:$D,4,0)</f>
        <v>0</v>
      </c>
      <c r="W78" s="656" t="str">
        <f>+VLOOKUP($L78,Data_Validation!$A:$E,5,0)</f>
        <v>$</v>
      </c>
      <c r="X78" s="656">
        <f>+VLOOKUP($L78,Data_Validation!$A:$F,6,0)</f>
        <v>0</v>
      </c>
    </row>
    <row r="79" spans="1:24" ht="15" customHeight="1">
      <c r="A79" s="1052" t="s">
        <v>801</v>
      </c>
      <c r="B79" s="1052" t="s">
        <v>2337</v>
      </c>
      <c r="C79" s="1053"/>
      <c r="D79" s="1053"/>
      <c r="E79" s="1053"/>
      <c r="F79" s="1052" t="s">
        <v>2</v>
      </c>
      <c r="G79" s="1052" t="s">
        <v>785</v>
      </c>
      <c r="H79" s="1053"/>
      <c r="I79" s="1054">
        <v>1</v>
      </c>
      <c r="J79" s="1054">
        <v>0</v>
      </c>
      <c r="K79" s="1054">
        <v>1</v>
      </c>
      <c r="L79" s="653" t="str">
        <f t="shared" si="67"/>
        <v>621</v>
      </c>
      <c r="M79" s="654" t="str">
        <f t="shared" si="0"/>
        <v>LAVEURS NEUFS</v>
      </c>
      <c r="N79" s="655">
        <f>+IF(OR($Q79=Parametres!$G$2,$Q79=Parametres!$G$3),I79,C79)</f>
        <v>1</v>
      </c>
      <c r="O79" s="655">
        <f>+IF(OR($Q79=Parametres!$G$2,$Q79=Parametres!$G$3),J79,D79)</f>
        <v>0</v>
      </c>
      <c r="P79" s="655">
        <f>+IF(OR($Q79=Parametres!$G$2,$Q79=Parametres!$G$3),K79,E79)</f>
        <v>1</v>
      </c>
      <c r="Q79" s="654" t="str">
        <f t="shared" ref="Q79:S79" si="80">+F79</f>
        <v>1-Mémo</v>
      </c>
      <c r="R79" s="653" t="str">
        <f t="shared" si="80"/>
        <v>50</v>
      </c>
      <c r="S79" s="654">
        <f t="shared" si="80"/>
        <v>0</v>
      </c>
      <c r="T79" s="656" t="str">
        <f>+VLOOKUP($L79,Data_Validation!$A:$D,1,0)</f>
        <v>621</v>
      </c>
      <c r="U79" s="656">
        <f>+VLOOKUP($L79,Data_Validation!$A:$D,3,0)</f>
        <v>0</v>
      </c>
      <c r="V79" s="656">
        <f>+VLOOKUP($L79,Data_Validation!$A:$D,4,0)</f>
        <v>0</v>
      </c>
      <c r="W79" s="656" t="str">
        <f>+VLOOKUP($L79,Data_Validation!$A:$E,5,0)</f>
        <v>$</v>
      </c>
      <c r="X79" s="656">
        <f>+VLOOKUP($L79,Data_Validation!$A:$F,6,0)</f>
        <v>0</v>
      </c>
    </row>
    <row r="80" spans="1:24" ht="15.75" customHeight="1">
      <c r="A80" s="1052" t="s">
        <v>802</v>
      </c>
      <c r="B80" s="1052" t="s">
        <v>2346</v>
      </c>
      <c r="C80" s="1053"/>
      <c r="D80" s="1053"/>
      <c r="E80" s="1053"/>
      <c r="F80" s="1052" t="s">
        <v>2</v>
      </c>
      <c r="G80" s="1052" t="s">
        <v>785</v>
      </c>
      <c r="H80" s="1053"/>
      <c r="I80" s="1054">
        <v>1</v>
      </c>
      <c r="J80" s="1054">
        <v>0</v>
      </c>
      <c r="K80" s="1054">
        <v>1</v>
      </c>
      <c r="L80" s="653" t="str">
        <f t="shared" si="67"/>
        <v>622</v>
      </c>
      <c r="M80" s="654" t="str">
        <f t="shared" si="0"/>
        <v>LAVEURS USAGES</v>
      </c>
      <c r="N80" s="655">
        <f>+IF(OR($Q80=Parametres!$G$2,$Q80=Parametres!$G$3),I80,C80)</f>
        <v>1</v>
      </c>
      <c r="O80" s="655">
        <f>+IF(OR($Q80=Parametres!$G$2,$Q80=Parametres!$G$3),J80,D80)</f>
        <v>0</v>
      </c>
      <c r="P80" s="655">
        <f>+IF(OR($Q80=Parametres!$G$2,$Q80=Parametres!$G$3),K80,E80)</f>
        <v>1</v>
      </c>
      <c r="Q80" s="654" t="str">
        <f t="shared" ref="Q80:S80" si="81">+F80</f>
        <v>1-Mémo</v>
      </c>
      <c r="R80" s="653" t="str">
        <f t="shared" si="81"/>
        <v>50</v>
      </c>
      <c r="S80" s="654">
        <f t="shared" si="81"/>
        <v>0</v>
      </c>
      <c r="T80" s="656" t="str">
        <f>+VLOOKUP($L80,Data_Validation!$A:$D,1,0)</f>
        <v>622</v>
      </c>
      <c r="U80" s="656">
        <f>+VLOOKUP($L80,Data_Validation!$A:$D,3,0)</f>
        <v>0</v>
      </c>
      <c r="V80" s="656">
        <f>+VLOOKUP($L80,Data_Validation!$A:$D,4,0)</f>
        <v>0</v>
      </c>
      <c r="W80" s="656" t="str">
        <f>+VLOOKUP($L80,Data_Validation!$A:$E,5,0)</f>
        <v>$</v>
      </c>
      <c r="X80" s="656">
        <f>+VLOOKUP($L80,Data_Validation!$A:$F,6,0)</f>
        <v>0</v>
      </c>
    </row>
    <row r="81" spans="1:24" ht="15" customHeight="1">
      <c r="A81" s="1052" t="s">
        <v>803</v>
      </c>
      <c r="B81" s="1052" t="s">
        <v>2371</v>
      </c>
      <c r="C81" s="1053"/>
      <c r="D81" s="1053"/>
      <c r="E81" s="1053"/>
      <c r="F81" s="1052" t="s">
        <v>2</v>
      </c>
      <c r="G81" s="1052" t="s">
        <v>785</v>
      </c>
      <c r="H81" s="1053"/>
      <c r="I81" s="1054">
        <v>7</v>
      </c>
      <c r="J81" s="1054">
        <v>0</v>
      </c>
      <c r="K81" s="1054">
        <v>7</v>
      </c>
      <c r="L81" s="653" t="str">
        <f t="shared" si="67"/>
        <v>624</v>
      </c>
      <c r="M81" s="654" t="str">
        <f t="shared" si="0"/>
        <v>LAVEURS SERVICE</v>
      </c>
      <c r="N81" s="655">
        <f>+IF(OR($Q81=Parametres!$G$2,$Q81=Parametres!$G$3),I81,C81)</f>
        <v>7</v>
      </c>
      <c r="O81" s="655">
        <f>+IF(OR($Q81=Parametres!$G$2,$Q81=Parametres!$G$3),J81,D81)</f>
        <v>0</v>
      </c>
      <c r="P81" s="655">
        <f>+IF(OR($Q81=Parametres!$G$2,$Q81=Parametres!$G$3),K81,E81)</f>
        <v>7</v>
      </c>
      <c r="Q81" s="654" t="str">
        <f t="shared" ref="Q81:S81" si="82">+F81</f>
        <v>1-Mémo</v>
      </c>
      <c r="R81" s="653" t="str">
        <f t="shared" si="82"/>
        <v>50</v>
      </c>
      <c r="S81" s="654">
        <f t="shared" si="82"/>
        <v>0</v>
      </c>
      <c r="T81" s="656" t="str">
        <f>+VLOOKUP($L81,Data_Validation!$A:$D,1,0)</f>
        <v>624</v>
      </c>
      <c r="U81" s="656">
        <f>+VLOOKUP($L81,Data_Validation!$A:$D,3,0)</f>
        <v>0</v>
      </c>
      <c r="V81" s="656">
        <f>+VLOOKUP($L81,Data_Validation!$A:$D,4,0)</f>
        <v>0</v>
      </c>
      <c r="W81" s="656" t="str">
        <f>+VLOOKUP($L81,Data_Validation!$A:$E,5,0)</f>
        <v>$</v>
      </c>
      <c r="X81" s="656">
        <f>+VLOOKUP($L81,Data_Validation!$A:$F,6,0)</f>
        <v>0</v>
      </c>
    </row>
    <row r="82" spans="1:24" ht="15" customHeight="1">
      <c r="A82" s="1052" t="s">
        <v>804</v>
      </c>
      <c r="B82" s="1052" t="s">
        <v>2469</v>
      </c>
      <c r="C82" s="1053"/>
      <c r="D82" s="1053"/>
      <c r="E82" s="1053"/>
      <c r="F82" s="1052" t="s">
        <v>2</v>
      </c>
      <c r="G82" s="1052" t="s">
        <v>3332</v>
      </c>
      <c r="H82" s="1053"/>
      <c r="I82" s="1054">
        <v>12</v>
      </c>
      <c r="J82" s="1054">
        <v>0</v>
      </c>
      <c r="K82" s="1054">
        <v>12</v>
      </c>
      <c r="L82" s="653" t="str">
        <f t="shared" si="67"/>
        <v>644</v>
      </c>
      <c r="M82" s="654" t="str">
        <f t="shared" si="0"/>
        <v>VW TECHNICIENS - SERVICE</v>
      </c>
      <c r="N82" s="655">
        <f>+IF(OR($Q82=Parametres!$G$2,$Q82=Parametres!$G$3),I82,C82)</f>
        <v>12</v>
      </c>
      <c r="O82" s="655">
        <f>+IF(OR($Q82=Parametres!$G$2,$Q82=Parametres!$G$3),J82,D82)</f>
        <v>0</v>
      </c>
      <c r="P82" s="655">
        <f>+IF(OR($Q82=Parametres!$G$2,$Q82=Parametres!$G$3),K82,E82)</f>
        <v>12</v>
      </c>
      <c r="Q82" s="654" t="str">
        <f t="shared" ref="Q82:S82" si="83">+F82</f>
        <v>1-Mémo</v>
      </c>
      <c r="R82" s="653" t="str">
        <f t="shared" si="83"/>
        <v>64</v>
      </c>
      <c r="S82" s="654">
        <f t="shared" si="83"/>
        <v>0</v>
      </c>
      <c r="T82" s="656" t="str">
        <f>+VLOOKUP($L82,Data_Validation!$A:$D,1,0)</f>
        <v>644</v>
      </c>
      <c r="U82" s="656">
        <f>+VLOOKUP($L82,Data_Validation!$A:$D,3,0)</f>
        <v>0</v>
      </c>
      <c r="V82" s="656">
        <f>+VLOOKUP($L82,Data_Validation!$A:$D,4,0)</f>
        <v>0</v>
      </c>
      <c r="W82" s="656" t="str">
        <f>+VLOOKUP($L82,Data_Validation!$A:$E,5,0)</f>
        <v>$</v>
      </c>
      <c r="X82" s="656">
        <f>+VLOOKUP($L82,Data_Validation!$A:$F,6,0)</f>
        <v>0</v>
      </c>
    </row>
    <row r="83" spans="1:24" ht="15" customHeight="1">
      <c r="A83" s="1052" t="s">
        <v>805</v>
      </c>
      <c r="B83" s="1052" t="s">
        <v>2538</v>
      </c>
      <c r="C83" s="1053"/>
      <c r="D83" s="1053"/>
      <c r="E83" s="1053"/>
      <c r="F83" s="1052" t="s">
        <v>2</v>
      </c>
      <c r="G83" s="1052" t="s">
        <v>785</v>
      </c>
      <c r="H83" s="1053"/>
      <c r="I83" s="1054">
        <v>0.2</v>
      </c>
      <c r="J83" s="1054">
        <v>0</v>
      </c>
      <c r="K83" s="1054">
        <v>0.2</v>
      </c>
      <c r="L83" s="653" t="str">
        <f t="shared" si="67"/>
        <v>651</v>
      </c>
      <c r="M83" s="654" t="str">
        <f t="shared" si="0"/>
        <v>DIR. ADMINIS. NEUFS</v>
      </c>
      <c r="N83" s="655">
        <f>+IF(OR($Q83=Parametres!$G$2,$Q83=Parametres!$G$3),I83,C83)</f>
        <v>0.2</v>
      </c>
      <c r="O83" s="655">
        <f>+IF(OR($Q83=Parametres!$G$2,$Q83=Parametres!$G$3),J83,D83)</f>
        <v>0</v>
      </c>
      <c r="P83" s="655">
        <f>+IF(OR($Q83=Parametres!$G$2,$Q83=Parametres!$G$3),K83,E83)</f>
        <v>0.2</v>
      </c>
      <c r="Q83" s="654" t="str">
        <f t="shared" ref="Q83:S83" si="84">+F83</f>
        <v>1-Mémo</v>
      </c>
      <c r="R83" s="653" t="str">
        <f t="shared" si="84"/>
        <v>50</v>
      </c>
      <c r="S83" s="654">
        <f t="shared" si="84"/>
        <v>0</v>
      </c>
      <c r="T83" s="656" t="str">
        <f>+VLOOKUP($L83,Data_Validation!$A:$D,1,0)</f>
        <v>651</v>
      </c>
      <c r="U83" s="656">
        <f>+VLOOKUP($L83,Data_Validation!$A:$D,3,0)</f>
        <v>0</v>
      </c>
      <c r="V83" s="656">
        <f>+VLOOKUP($L83,Data_Validation!$A:$D,4,0)</f>
        <v>0</v>
      </c>
      <c r="W83" s="656" t="str">
        <f>+VLOOKUP($L83,Data_Validation!$A:$E,5,0)</f>
        <v>$</v>
      </c>
      <c r="X83" s="656">
        <f>+VLOOKUP($L83,Data_Validation!$A:$F,6,0)</f>
        <v>0</v>
      </c>
    </row>
    <row r="84" spans="1:24" ht="15.75" customHeight="1">
      <c r="A84" s="1052" t="s">
        <v>806</v>
      </c>
      <c r="B84" s="1052" t="s">
        <v>2544</v>
      </c>
      <c r="C84" s="1053"/>
      <c r="D84" s="1053"/>
      <c r="E84" s="1053"/>
      <c r="F84" s="1052" t="s">
        <v>2</v>
      </c>
      <c r="G84" s="1052" t="s">
        <v>785</v>
      </c>
      <c r="H84" s="1053"/>
      <c r="I84" s="1054">
        <v>0.2</v>
      </c>
      <c r="J84" s="1054">
        <v>0</v>
      </c>
      <c r="K84" s="1054">
        <v>0.2</v>
      </c>
      <c r="L84" s="653" t="str">
        <f t="shared" si="67"/>
        <v>652</v>
      </c>
      <c r="M84" s="654" t="str">
        <f t="shared" si="0"/>
        <v>DIR. ADMINIS. USAGES</v>
      </c>
      <c r="N84" s="655">
        <f>+IF(OR($Q84=Parametres!$G$2,$Q84=Parametres!$G$3),I84,C84)</f>
        <v>0.2</v>
      </c>
      <c r="O84" s="659">
        <f>+IF(OR($Q84=Parametres!$G$2,$Q84=Parametres!$G$3),J84,D84)</f>
        <v>0</v>
      </c>
      <c r="P84" s="655">
        <f>+IF(OR($Q84=Parametres!$G$2,$Q84=Parametres!$G$3),K84,E84)</f>
        <v>0.2</v>
      </c>
      <c r="Q84" s="654" t="str">
        <f t="shared" ref="Q84:S84" si="85">+F84</f>
        <v>1-Mémo</v>
      </c>
      <c r="R84" s="653" t="str">
        <f t="shared" si="85"/>
        <v>50</v>
      </c>
      <c r="S84" s="654">
        <f t="shared" si="85"/>
        <v>0</v>
      </c>
      <c r="T84" s="656" t="str">
        <f>+VLOOKUP($L84,Data_Validation!$A:$D,1,0)</f>
        <v>652</v>
      </c>
      <c r="U84" s="656">
        <f>+VLOOKUP($L84,Data_Validation!$A:$D,3,0)</f>
        <v>0</v>
      </c>
      <c r="V84" s="656">
        <f>+VLOOKUP($L84,Data_Validation!$A:$D,4,0)</f>
        <v>0</v>
      </c>
      <c r="W84" s="656" t="str">
        <f>+VLOOKUP($L84,Data_Validation!$A:$E,5,0)</f>
        <v>$</v>
      </c>
      <c r="X84" s="656">
        <f>+VLOOKUP($L84,Data_Validation!$A:$F,6,0)</f>
        <v>0</v>
      </c>
    </row>
    <row r="85" spans="1:24" ht="15" customHeight="1">
      <c r="A85" s="1052" t="s">
        <v>807</v>
      </c>
      <c r="B85" s="1052" t="s">
        <v>2574</v>
      </c>
      <c r="C85" s="1053"/>
      <c r="D85" s="1053"/>
      <c r="E85" s="1053"/>
      <c r="F85" s="1052" t="s">
        <v>2</v>
      </c>
      <c r="G85" s="1052" t="s">
        <v>785</v>
      </c>
      <c r="H85" s="1053"/>
      <c r="I85" s="1054">
        <v>0.2</v>
      </c>
      <c r="J85" s="1054">
        <v>0</v>
      </c>
      <c r="K85" s="1054">
        <v>0.2</v>
      </c>
      <c r="L85" s="653" t="str">
        <f t="shared" si="67"/>
        <v>654</v>
      </c>
      <c r="M85" s="654" t="str">
        <f t="shared" si="0"/>
        <v>DIR. ADMINIS. SERVICE</v>
      </c>
      <c r="N85" s="655">
        <f>+IF(OR($Q85=Parametres!$G$2,$Q85=Parametres!$G$3),I85,C85)</f>
        <v>0.2</v>
      </c>
      <c r="O85" s="659">
        <f>+IF(OR($Q85=Parametres!$G$2,$Q85=Parametres!$G$3),J85,D85)</f>
        <v>0</v>
      </c>
      <c r="P85" s="655">
        <f>+IF(OR($Q85=Parametres!$G$2,$Q85=Parametres!$G$3),K85,E85)</f>
        <v>0.2</v>
      </c>
      <c r="Q85" s="654" t="str">
        <f t="shared" ref="Q85:S85" si="86">+F85</f>
        <v>1-Mémo</v>
      </c>
      <c r="R85" s="653" t="str">
        <f t="shared" si="86"/>
        <v>50</v>
      </c>
      <c r="S85" s="654">
        <f t="shared" si="86"/>
        <v>0</v>
      </c>
      <c r="T85" s="656" t="str">
        <f>+VLOOKUP($L85,Data_Validation!$A:$D,1,0)</f>
        <v>654</v>
      </c>
      <c r="U85" s="656">
        <f>+VLOOKUP($L85,Data_Validation!$A:$D,3,0)</f>
        <v>0</v>
      </c>
      <c r="V85" s="656">
        <f>+VLOOKUP($L85,Data_Validation!$A:$D,4,0)</f>
        <v>0</v>
      </c>
      <c r="W85" s="656" t="str">
        <f>+VLOOKUP($L85,Data_Validation!$A:$E,5,0)</f>
        <v>$</v>
      </c>
      <c r="X85" s="656">
        <f>+VLOOKUP($L85,Data_Validation!$A:$F,6,0)</f>
        <v>0</v>
      </c>
    </row>
    <row r="86" spans="1:24" ht="15" customHeight="1">
      <c r="A86" s="1052" t="s">
        <v>808</v>
      </c>
      <c r="B86" s="1052" t="s">
        <v>1267</v>
      </c>
      <c r="C86" s="1053"/>
      <c r="D86" s="1053"/>
      <c r="E86" s="1053"/>
      <c r="F86" s="1052" t="s">
        <v>2</v>
      </c>
      <c r="G86" s="1052" t="s">
        <v>785</v>
      </c>
      <c r="H86" s="1053"/>
      <c r="I86" s="1054">
        <v>0.2</v>
      </c>
      <c r="J86" s="1054">
        <v>0</v>
      </c>
      <c r="K86" s="1054">
        <v>0.2</v>
      </c>
      <c r="L86" s="653" t="str">
        <f t="shared" si="67"/>
        <v>655</v>
      </c>
      <c r="M86" s="654" t="str">
        <f t="shared" si="0"/>
        <v>DIR. ADMINIS. CARROSS.</v>
      </c>
      <c r="N86" s="655">
        <f>+IF(OR($Q86=Parametres!$G$2,$Q86=Parametres!$G$3),I86,C86)</f>
        <v>0.2</v>
      </c>
      <c r="O86" s="655">
        <f>+IF(OR($Q86=Parametres!$G$2,$Q86=Parametres!$G$3),J86,D86)</f>
        <v>0</v>
      </c>
      <c r="P86" s="655">
        <f>+IF(OR($Q86=Parametres!$G$2,$Q86=Parametres!$G$3),K86,E86)</f>
        <v>0.2</v>
      </c>
      <c r="Q86" s="654" t="str">
        <f t="shared" ref="Q86:S86" si="87">+F86</f>
        <v>1-Mémo</v>
      </c>
      <c r="R86" s="653" t="str">
        <f t="shared" si="87"/>
        <v>50</v>
      </c>
      <c r="S86" s="654">
        <f t="shared" si="87"/>
        <v>0</v>
      </c>
      <c r="T86" s="656" t="str">
        <f>+VLOOKUP($L86,Data_Validation!$A:$D,1,0)</f>
        <v>655</v>
      </c>
      <c r="U86" s="656">
        <f>+VLOOKUP($L86,Data_Validation!$A:$D,3,0)</f>
        <v>0</v>
      </c>
      <c r="V86" s="656">
        <f>+VLOOKUP($L86,Data_Validation!$A:$D,4,0)</f>
        <v>0</v>
      </c>
      <c r="W86" s="656" t="str">
        <f>+VLOOKUP($L86,Data_Validation!$A:$E,5,0)</f>
        <v>$</v>
      </c>
      <c r="X86" s="656">
        <f>+VLOOKUP($L86,Data_Validation!$A:$F,6,0)</f>
        <v>0</v>
      </c>
    </row>
    <row r="87" spans="1:24" ht="15" customHeight="1">
      <c r="A87" s="1052" t="s">
        <v>809</v>
      </c>
      <c r="B87" s="1052" t="s">
        <v>2617</v>
      </c>
      <c r="C87" s="1053"/>
      <c r="D87" s="1053"/>
      <c r="E87" s="1053"/>
      <c r="F87" s="1052" t="s">
        <v>2</v>
      </c>
      <c r="G87" s="1052" t="s">
        <v>785</v>
      </c>
      <c r="H87" s="1053"/>
      <c r="I87" s="1054">
        <v>0.2</v>
      </c>
      <c r="J87" s="1054">
        <v>0</v>
      </c>
      <c r="K87" s="1054">
        <v>0.2</v>
      </c>
      <c r="L87" s="653" t="str">
        <f t="shared" si="67"/>
        <v>657</v>
      </c>
      <c r="M87" s="654" t="str">
        <f t="shared" si="0"/>
        <v>DIR. ADMINIS. PIECES</v>
      </c>
      <c r="N87" s="655">
        <f>+IF(OR($Q87=Parametres!$G$2,$Q87=Parametres!$G$3),I87,C87)</f>
        <v>0.2</v>
      </c>
      <c r="O87" s="655">
        <f>+IF(OR($Q87=Parametres!$G$2,$Q87=Parametres!$G$3),J87,D87)</f>
        <v>0</v>
      </c>
      <c r="P87" s="655">
        <f>+IF(OR($Q87=Parametres!$G$2,$Q87=Parametres!$G$3),K87,E87)</f>
        <v>0.2</v>
      </c>
      <c r="Q87" s="654" t="str">
        <f t="shared" ref="Q87:S87" si="88">+F87</f>
        <v>1-Mémo</v>
      </c>
      <c r="R87" s="653" t="str">
        <f t="shared" si="88"/>
        <v>50</v>
      </c>
      <c r="S87" s="654">
        <f t="shared" si="88"/>
        <v>0</v>
      </c>
      <c r="T87" s="656" t="str">
        <f>+VLOOKUP($L87,Data_Validation!$A:$D,1,0)</f>
        <v>657</v>
      </c>
      <c r="U87" s="656">
        <f>+VLOOKUP($L87,Data_Validation!$A:$D,3,0)</f>
        <v>0</v>
      </c>
      <c r="V87" s="656">
        <f>+VLOOKUP($L87,Data_Validation!$A:$D,4,0)</f>
        <v>0</v>
      </c>
      <c r="W87" s="656" t="str">
        <f>+VLOOKUP($L87,Data_Validation!$A:$E,5,0)</f>
        <v>$</v>
      </c>
      <c r="X87" s="656">
        <f>+VLOOKUP($L87,Data_Validation!$A:$F,6,0)</f>
        <v>0</v>
      </c>
    </row>
    <row r="88" spans="1:24" ht="15" customHeight="1">
      <c r="A88" s="1052" t="s">
        <v>810</v>
      </c>
      <c r="B88" s="1052" t="s">
        <v>2635</v>
      </c>
      <c r="C88" s="1053"/>
      <c r="D88" s="1053"/>
      <c r="E88" s="1053"/>
      <c r="F88" s="1052" t="s">
        <v>2</v>
      </c>
      <c r="G88" s="1052" t="s">
        <v>785</v>
      </c>
      <c r="H88" s="1053"/>
      <c r="I88" s="1054">
        <v>1</v>
      </c>
      <c r="J88" s="1054">
        <v>0</v>
      </c>
      <c r="K88" s="1054">
        <v>1</v>
      </c>
      <c r="L88" s="653" t="str">
        <f t="shared" si="67"/>
        <v>661</v>
      </c>
      <c r="M88" s="654" t="str">
        <f t="shared" si="0"/>
        <v>PERSONELS CLER. NEUFS</v>
      </c>
      <c r="N88" s="655">
        <f>+IF(OR($Q88=Parametres!$G$2,$Q88=Parametres!$G$3),I88,C88)</f>
        <v>1</v>
      </c>
      <c r="O88" s="659">
        <f>+IF(OR($Q88=Parametres!$G$2,$Q88=Parametres!$G$3),J88,D88)</f>
        <v>0</v>
      </c>
      <c r="P88" s="655">
        <f>+IF(OR($Q88=Parametres!$G$2,$Q88=Parametres!$G$3),K88,E88)</f>
        <v>1</v>
      </c>
      <c r="Q88" s="654" t="str">
        <f t="shared" ref="Q88:S88" si="89">+F88</f>
        <v>1-Mémo</v>
      </c>
      <c r="R88" s="653" t="str">
        <f t="shared" si="89"/>
        <v>50</v>
      </c>
      <c r="S88" s="654">
        <f t="shared" si="89"/>
        <v>0</v>
      </c>
      <c r="T88" s="656" t="str">
        <f>+VLOOKUP($L88,Data_Validation!$A:$D,1,0)</f>
        <v>661</v>
      </c>
      <c r="U88" s="656">
        <f>+VLOOKUP($L88,Data_Validation!$A:$D,3,0)</f>
        <v>0</v>
      </c>
      <c r="V88" s="656">
        <f>+VLOOKUP($L88,Data_Validation!$A:$D,4,0)</f>
        <v>0</v>
      </c>
      <c r="W88" s="656" t="str">
        <f>+VLOOKUP($L88,Data_Validation!$A:$E,5,0)</f>
        <v>$</v>
      </c>
      <c r="X88" s="656">
        <f>+VLOOKUP($L88,Data_Validation!$A:$F,6,0)</f>
        <v>0</v>
      </c>
    </row>
    <row r="89" spans="1:24" ht="15" customHeight="1">
      <c r="A89" s="1052" t="s">
        <v>811</v>
      </c>
      <c r="B89" s="1052" t="s">
        <v>2638</v>
      </c>
      <c r="C89" s="1053"/>
      <c r="D89" s="1053"/>
      <c r="E89" s="1053"/>
      <c r="F89" s="1052" t="s">
        <v>2</v>
      </c>
      <c r="G89" s="1052" t="s">
        <v>785</v>
      </c>
      <c r="H89" s="1053"/>
      <c r="I89" s="1054">
        <v>1</v>
      </c>
      <c r="J89" s="1054">
        <v>0</v>
      </c>
      <c r="K89" s="1054">
        <v>1</v>
      </c>
      <c r="L89" s="653" t="str">
        <f t="shared" si="67"/>
        <v>662</v>
      </c>
      <c r="M89" s="654" t="str">
        <f t="shared" si="0"/>
        <v>PERSONELS CLER. USAGES</v>
      </c>
      <c r="N89" s="655">
        <f>+IF(OR($Q89=Parametres!$G$2,$Q89=Parametres!$G$3),I89,C89)</f>
        <v>1</v>
      </c>
      <c r="O89" s="655">
        <f>+IF(OR($Q89=Parametres!$G$2,$Q89=Parametres!$G$3),J89,D89)</f>
        <v>0</v>
      </c>
      <c r="P89" s="655">
        <f>+IF(OR($Q89=Parametres!$G$2,$Q89=Parametres!$G$3),K89,E89)</f>
        <v>1</v>
      </c>
      <c r="Q89" s="654" t="str">
        <f t="shared" ref="Q89:S89" si="90">+F89</f>
        <v>1-Mémo</v>
      </c>
      <c r="R89" s="653" t="str">
        <f t="shared" si="90"/>
        <v>50</v>
      </c>
      <c r="S89" s="654">
        <f t="shared" si="90"/>
        <v>0</v>
      </c>
      <c r="T89" s="656" t="str">
        <f>+VLOOKUP($L89,Data_Validation!$A:$D,1,0)</f>
        <v>662</v>
      </c>
      <c r="U89" s="656">
        <f>+VLOOKUP($L89,Data_Validation!$A:$D,3,0)</f>
        <v>0</v>
      </c>
      <c r="V89" s="656">
        <f>+VLOOKUP($L89,Data_Validation!$A:$D,4,0)</f>
        <v>0</v>
      </c>
      <c r="W89" s="656" t="str">
        <f>+VLOOKUP($L89,Data_Validation!$A:$E,5,0)</f>
        <v>$</v>
      </c>
      <c r="X89" s="656">
        <f>+VLOOKUP($L89,Data_Validation!$A:$F,6,0)</f>
        <v>0</v>
      </c>
    </row>
    <row r="90" spans="1:24" ht="15" customHeight="1">
      <c r="A90" s="1052" t="s">
        <v>812</v>
      </c>
      <c r="B90" s="1052" t="s">
        <v>2641</v>
      </c>
      <c r="C90" s="1053"/>
      <c r="D90" s="1053"/>
      <c r="E90" s="1053"/>
      <c r="F90" s="1052" t="s">
        <v>2</v>
      </c>
      <c r="G90" s="1052" t="s">
        <v>785</v>
      </c>
      <c r="H90" s="1053"/>
      <c r="I90" s="1054">
        <v>1</v>
      </c>
      <c r="J90" s="1054">
        <v>0</v>
      </c>
      <c r="K90" s="1054">
        <v>1</v>
      </c>
      <c r="L90" s="653" t="str">
        <f t="shared" si="67"/>
        <v>664</v>
      </c>
      <c r="M90" s="654" t="str">
        <f t="shared" si="0"/>
        <v>PERSONELS CLER. SERVICE</v>
      </c>
      <c r="N90" s="655">
        <f>+IF(OR($Q90=Parametres!$G$2,$Q90=Parametres!$G$3),I90,C90)</f>
        <v>1</v>
      </c>
      <c r="O90" s="655">
        <f>+IF(OR($Q90=Parametres!$G$2,$Q90=Parametres!$G$3),J90,D90)</f>
        <v>0</v>
      </c>
      <c r="P90" s="655">
        <f>+IF(OR($Q90=Parametres!$G$2,$Q90=Parametres!$G$3),K90,E90)</f>
        <v>1</v>
      </c>
      <c r="Q90" s="654" t="str">
        <f t="shared" ref="Q90:S90" si="91">+F90</f>
        <v>1-Mémo</v>
      </c>
      <c r="R90" s="653" t="str">
        <f t="shared" si="91"/>
        <v>50</v>
      </c>
      <c r="S90" s="654">
        <f t="shared" si="91"/>
        <v>0</v>
      </c>
      <c r="T90" s="656" t="str">
        <f>+VLOOKUP($L90,Data_Validation!$A:$D,1,0)</f>
        <v>664</v>
      </c>
      <c r="U90" s="656">
        <f>+VLOOKUP($L90,Data_Validation!$A:$D,3,0)</f>
        <v>0</v>
      </c>
      <c r="V90" s="656">
        <f>+VLOOKUP($L90,Data_Validation!$A:$D,4,0)</f>
        <v>0</v>
      </c>
      <c r="W90" s="656" t="str">
        <f>+VLOOKUP($L90,Data_Validation!$A:$E,5,0)</f>
        <v>$</v>
      </c>
      <c r="X90" s="656">
        <f>+VLOOKUP($L90,Data_Validation!$A:$F,6,0)</f>
        <v>0</v>
      </c>
    </row>
    <row r="91" spans="1:24" ht="15" customHeight="1">
      <c r="A91" s="1052" t="s">
        <v>813</v>
      </c>
      <c r="B91" s="1052" t="s">
        <v>2644</v>
      </c>
      <c r="C91" s="1053"/>
      <c r="D91" s="1053"/>
      <c r="E91" s="1053"/>
      <c r="F91" s="1052" t="s">
        <v>2</v>
      </c>
      <c r="G91" s="1052" t="s">
        <v>785</v>
      </c>
      <c r="H91" s="1053"/>
      <c r="I91" s="1054">
        <v>1</v>
      </c>
      <c r="J91" s="1054">
        <v>0</v>
      </c>
      <c r="K91" s="1054">
        <v>1</v>
      </c>
      <c r="L91" s="653" t="str">
        <f t="shared" si="67"/>
        <v>667</v>
      </c>
      <c r="M91" s="654" t="str">
        <f t="shared" si="0"/>
        <v>PERSONELS CLER. PIECES</v>
      </c>
      <c r="N91" s="655">
        <f>+IF(OR($Q91=Parametres!$G$2,$Q91=Parametres!$G$3),I91,C91)</f>
        <v>1</v>
      </c>
      <c r="O91" s="655">
        <f>+IF(OR($Q91=Parametres!$G$2,$Q91=Parametres!$G$3),J91,D91)</f>
        <v>0</v>
      </c>
      <c r="P91" s="655">
        <f>+IF(OR($Q91=Parametres!$G$2,$Q91=Parametres!$G$3),K91,E91)</f>
        <v>1</v>
      </c>
      <c r="Q91" s="654" t="str">
        <f t="shared" ref="Q91:S91" si="92">+F91</f>
        <v>1-Mémo</v>
      </c>
      <c r="R91" s="653" t="str">
        <f t="shared" si="92"/>
        <v>50</v>
      </c>
      <c r="S91" s="654">
        <f t="shared" si="92"/>
        <v>0</v>
      </c>
      <c r="T91" s="656" t="str">
        <f>+VLOOKUP($L91,Data_Validation!$A:$D,1,0)</f>
        <v>667</v>
      </c>
      <c r="U91" s="656">
        <f>+VLOOKUP($L91,Data_Validation!$A:$D,3,0)</f>
        <v>0</v>
      </c>
      <c r="V91" s="656">
        <f>+VLOOKUP($L91,Data_Validation!$A:$D,4,0)</f>
        <v>0</v>
      </c>
      <c r="W91" s="656" t="str">
        <f>+VLOOKUP($L91,Data_Validation!$A:$E,5,0)</f>
        <v>$</v>
      </c>
      <c r="X91" s="656">
        <f>+VLOOKUP($L91,Data_Validation!$A:$F,6,0)</f>
        <v>0</v>
      </c>
    </row>
    <row r="92" spans="1:24" ht="15" customHeight="1">
      <c r="A92" s="1052" t="s">
        <v>814</v>
      </c>
      <c r="B92" s="1052" t="s">
        <v>2722</v>
      </c>
      <c r="C92" s="1053"/>
      <c r="D92" s="1053"/>
      <c r="E92" s="1053"/>
      <c r="F92" s="1052" t="s">
        <v>2</v>
      </c>
      <c r="G92" s="1052" t="s">
        <v>3333</v>
      </c>
      <c r="H92" s="1053"/>
      <c r="I92" s="1054">
        <v>3</v>
      </c>
      <c r="J92" s="1054">
        <v>0</v>
      </c>
      <c r="K92" s="1054">
        <v>3</v>
      </c>
      <c r="L92" s="653" t="str">
        <f t="shared" si="67"/>
        <v>677</v>
      </c>
      <c r="M92" s="654" t="str">
        <f t="shared" si="0"/>
        <v>VW PIECES</v>
      </c>
      <c r="N92" s="655">
        <f>+IF(OR($Q92=Parametres!$G$2,$Q92=Parametres!$G$3),I92,C92)</f>
        <v>3</v>
      </c>
      <c r="O92" s="655">
        <f>+IF(OR($Q92=Parametres!$G$2,$Q92=Parametres!$G$3),J92,D92)</f>
        <v>0</v>
      </c>
      <c r="P92" s="655">
        <f>+IF(OR($Q92=Parametres!$G$2,$Q92=Parametres!$G$3),K92,E92)</f>
        <v>3</v>
      </c>
      <c r="Q92" s="654" t="str">
        <f t="shared" ref="Q92:S92" si="93">+F92</f>
        <v>1-Mémo</v>
      </c>
      <c r="R92" s="653" t="str">
        <f t="shared" si="93"/>
        <v>67</v>
      </c>
      <c r="S92" s="654">
        <f t="shared" si="93"/>
        <v>0</v>
      </c>
      <c r="T92" s="656" t="str">
        <f>+VLOOKUP($L92,Data_Validation!$A:$D,1,0)</f>
        <v>677</v>
      </c>
      <c r="U92" s="656">
        <f>+VLOOKUP($L92,Data_Validation!$A:$D,3,0)</f>
        <v>0</v>
      </c>
      <c r="V92" s="656">
        <f>+VLOOKUP($L92,Data_Validation!$A:$D,4,0)</f>
        <v>0</v>
      </c>
      <c r="W92" s="656" t="str">
        <f>+VLOOKUP($L92,Data_Validation!$A:$E,5,0)</f>
        <v>$</v>
      </c>
      <c r="X92" s="656">
        <f>+VLOOKUP($L92,Data_Validation!$A:$F,6,0)</f>
        <v>0</v>
      </c>
    </row>
    <row r="93" spans="1:24" ht="15" customHeight="1">
      <c r="A93" s="1052" t="s">
        <v>815</v>
      </c>
      <c r="B93" s="1052" t="s">
        <v>817</v>
      </c>
      <c r="C93" s="1054">
        <v>966471.7</v>
      </c>
      <c r="D93" s="1054">
        <v>35273.9</v>
      </c>
      <c r="E93" s="1054">
        <v>1001745.6</v>
      </c>
      <c r="F93" s="1052" t="s">
        <v>816</v>
      </c>
      <c r="G93" s="1052" t="s">
        <v>817</v>
      </c>
      <c r="H93" s="1053"/>
      <c r="I93" s="1053"/>
      <c r="J93" s="1053"/>
      <c r="K93" s="1053"/>
      <c r="L93" s="653" t="str">
        <f t="shared" si="67"/>
        <v>1102</v>
      </c>
      <c r="M93" s="654" t="str">
        <f t="shared" si="0"/>
        <v>BANQUE DE COMMERCE C/C</v>
      </c>
      <c r="N93" s="655">
        <f>+IF(OR($Q93=Parametres!$G$2,$Q93=Parametres!$G$3),I93,C93)</f>
        <v>966471.7</v>
      </c>
      <c r="O93" s="659">
        <f>+IF(OR($Q93=Parametres!$G$2,$Q93=Parametres!$G$3),J93,D93)</f>
        <v>35273.9</v>
      </c>
      <c r="P93" s="655">
        <f>+IF(OR($Q93=Parametres!$G$2,$Q93=Parametres!$G$3),K93,E93)</f>
        <v>1001745.6</v>
      </c>
      <c r="Q93" s="654" t="str">
        <f t="shared" ref="Q93:S93" si="94">+F93</f>
        <v>2-Actifs</v>
      </c>
      <c r="R93" s="653" t="str">
        <f t="shared" si="94"/>
        <v>1102</v>
      </c>
      <c r="S93" s="654">
        <f t="shared" si="94"/>
        <v>0</v>
      </c>
      <c r="T93" s="656" t="str">
        <f>+VLOOKUP($L93,Data_Validation!$A:$D,1,0)</f>
        <v>1102</v>
      </c>
      <c r="U93" s="656" t="str">
        <f>+VLOOKUP($L93,Data_Validation!$A:$D,3,0)</f>
        <v>Bilan</v>
      </c>
      <c r="V93" s="656" t="str">
        <f>+VLOOKUP($L93,Data_Validation!$A:$D,4,0)</f>
        <v>Encaisse</v>
      </c>
      <c r="W93" s="656" t="str">
        <f>+VLOOKUP($L93,Data_Validation!$A:$E,5,0)</f>
        <v>$</v>
      </c>
      <c r="X93" s="656">
        <f>+VLOOKUP($L93,Data_Validation!$A:$F,6,0)</f>
        <v>0</v>
      </c>
    </row>
    <row r="94" spans="1:24" ht="15.75" customHeight="1">
      <c r="A94" s="1052" t="s">
        <v>818</v>
      </c>
      <c r="B94" s="1052" t="s">
        <v>3357</v>
      </c>
      <c r="C94" s="1054">
        <v>0</v>
      </c>
      <c r="D94" s="1054">
        <v>0.01</v>
      </c>
      <c r="E94" s="1054">
        <v>0.01</v>
      </c>
      <c r="F94" s="1052" t="s">
        <v>816</v>
      </c>
      <c r="G94" s="1052" t="s">
        <v>817</v>
      </c>
      <c r="H94" s="1053"/>
      <c r="I94" s="1053"/>
      <c r="J94" s="1053"/>
      <c r="K94" s="1053"/>
      <c r="L94" s="653" t="str">
        <f t="shared" si="67"/>
        <v>1104</v>
      </c>
      <c r="M94" s="654" t="str">
        <f t="shared" si="0"/>
        <v>MASTER CARD (CANADA TRUST)</v>
      </c>
      <c r="N94" s="655">
        <f>+IF(OR($Q94=Parametres!$G$2,$Q94=Parametres!$G$3),I94,C94)</f>
        <v>0</v>
      </c>
      <c r="O94" s="655">
        <f>+IF(OR($Q94=Parametres!$G$2,$Q94=Parametres!$G$3),J94,D94)</f>
        <v>0.01</v>
      </c>
      <c r="P94" s="655">
        <f>+IF(OR($Q94=Parametres!$G$2,$Q94=Parametres!$G$3),K94,E94)</f>
        <v>0.01</v>
      </c>
      <c r="Q94" s="654" t="str">
        <f t="shared" ref="Q94:S94" si="95">+F94</f>
        <v>2-Actifs</v>
      </c>
      <c r="R94" s="653" t="str">
        <f t="shared" si="95"/>
        <v>1102</v>
      </c>
      <c r="S94" s="654">
        <f t="shared" si="95"/>
        <v>0</v>
      </c>
      <c r="T94" s="656" t="str">
        <f>+VLOOKUP($L94,Data_Validation!$A:$D,1,0)</f>
        <v>1104</v>
      </c>
      <c r="U94" s="656" t="str">
        <f>+VLOOKUP($L94,Data_Validation!$A:$D,3,0)</f>
        <v>Bilan</v>
      </c>
      <c r="V94" s="656" t="str">
        <f>+VLOOKUP($L94,Data_Validation!$A:$D,4,0)</f>
        <v>Encaisse</v>
      </c>
      <c r="W94" s="656" t="str">
        <f>+VLOOKUP($L94,Data_Validation!$A:$E,5,0)</f>
        <v>$</v>
      </c>
      <c r="X94" s="656">
        <f>+VLOOKUP($L94,Data_Validation!$A:$F,6,0)</f>
        <v>0</v>
      </c>
    </row>
    <row r="95" spans="1:24" ht="15" customHeight="1">
      <c r="A95" s="1052" t="s">
        <v>819</v>
      </c>
      <c r="B95" s="1052" t="s">
        <v>3360</v>
      </c>
      <c r="C95" s="1054">
        <v>850000</v>
      </c>
      <c r="D95" s="1054">
        <v>0</v>
      </c>
      <c r="E95" s="1054">
        <v>850000</v>
      </c>
      <c r="F95" s="1052" t="s">
        <v>816</v>
      </c>
      <c r="G95" s="1052" t="s">
        <v>817</v>
      </c>
      <c r="H95" s="1053"/>
      <c r="I95" s="1053"/>
      <c r="J95" s="1053"/>
      <c r="K95" s="1053"/>
      <c r="L95" s="653" t="str">
        <f t="shared" si="67"/>
        <v>1111</v>
      </c>
      <c r="M95" s="654" t="str">
        <f t="shared" si="0"/>
        <v>REMBOURSEMENTS FLOORPLAN</v>
      </c>
      <c r="N95" s="655">
        <f>+IF(OR($Q95=Parametres!$G$2,$Q95=Parametres!$G$3),I95,C95)</f>
        <v>850000</v>
      </c>
      <c r="O95" s="655">
        <f>+IF(OR($Q95=Parametres!$G$2,$Q95=Parametres!$G$3),J95,D95)</f>
        <v>0</v>
      </c>
      <c r="P95" s="655">
        <f>+IF(OR($Q95=Parametres!$G$2,$Q95=Parametres!$G$3),K95,E95)</f>
        <v>850000</v>
      </c>
      <c r="Q95" s="654" t="str">
        <f t="shared" ref="Q95:S95" si="96">+F95</f>
        <v>2-Actifs</v>
      </c>
      <c r="R95" s="653" t="str">
        <f t="shared" si="96"/>
        <v>1102</v>
      </c>
      <c r="S95" s="654">
        <f t="shared" si="96"/>
        <v>0</v>
      </c>
      <c r="T95" s="656" t="str">
        <f>+VLOOKUP($L95,Data_Validation!$A:$D,1,0)</f>
        <v>1111</v>
      </c>
      <c r="U95" s="656" t="str">
        <f>+VLOOKUP($L95,Data_Validation!$A:$D,3,0)</f>
        <v>Bilan</v>
      </c>
      <c r="V95" s="656" t="str">
        <f>+VLOOKUP($L95,Data_Validation!$A:$D,4,0)</f>
        <v>Encaisse</v>
      </c>
      <c r="W95" s="656" t="str">
        <f>+VLOOKUP($L95,Data_Validation!$A:$E,5,0)</f>
        <v>$</v>
      </c>
      <c r="X95" s="656">
        <f>+VLOOKUP($L95,Data_Validation!$A:$F,6,0)</f>
        <v>0</v>
      </c>
    </row>
    <row r="96" spans="1:24" ht="15" customHeight="1">
      <c r="A96" s="1052" t="s">
        <v>820</v>
      </c>
      <c r="B96" s="1052" t="s">
        <v>1452</v>
      </c>
      <c r="C96" s="1054">
        <v>220.85</v>
      </c>
      <c r="D96" s="1054">
        <v>0</v>
      </c>
      <c r="E96" s="1054">
        <v>220.85</v>
      </c>
      <c r="F96" s="1052" t="s">
        <v>816</v>
      </c>
      <c r="G96" s="1052" t="s">
        <v>817</v>
      </c>
      <c r="H96" s="1053"/>
      <c r="I96" s="1053"/>
      <c r="J96" s="1053"/>
      <c r="K96" s="1053"/>
      <c r="L96" s="653" t="str">
        <f t="shared" si="67"/>
        <v>1182</v>
      </c>
      <c r="M96" s="654" t="str">
        <f t="shared" si="0"/>
        <v>PETITE CAISSE</v>
      </c>
      <c r="N96" s="655">
        <f>+IF(OR($Q96=Parametres!$G$2,$Q96=Parametres!$G$3),I96,C96)</f>
        <v>220.85</v>
      </c>
      <c r="O96" s="655">
        <f>+IF(OR($Q96=Parametres!$G$2,$Q96=Parametres!$G$3),J96,D96)</f>
        <v>0</v>
      </c>
      <c r="P96" s="655">
        <f>+IF(OR($Q96=Parametres!$G$2,$Q96=Parametres!$G$3),K96,E96)</f>
        <v>220.85</v>
      </c>
      <c r="Q96" s="654" t="str">
        <f t="shared" ref="Q96:S96" si="97">+F96</f>
        <v>2-Actifs</v>
      </c>
      <c r="R96" s="653" t="str">
        <f t="shared" si="97"/>
        <v>1102</v>
      </c>
      <c r="S96" s="654">
        <f t="shared" si="97"/>
        <v>0</v>
      </c>
      <c r="T96" s="656" t="str">
        <f>+VLOOKUP($L96,Data_Validation!$A:$D,1,0)</f>
        <v>1182</v>
      </c>
      <c r="U96" s="656" t="str">
        <f>+VLOOKUP($L96,Data_Validation!$A:$D,3,0)</f>
        <v>Bilan</v>
      </c>
      <c r="V96" s="656" t="str">
        <f>+VLOOKUP($L96,Data_Validation!$A:$D,4,0)</f>
        <v>Encaisse</v>
      </c>
      <c r="W96" s="656" t="str">
        <f>+VLOOKUP($L96,Data_Validation!$A:$E,5,0)</f>
        <v>$</v>
      </c>
      <c r="X96" s="656">
        <f>+VLOOKUP($L96,Data_Validation!$A:$F,6,0)</f>
        <v>0</v>
      </c>
    </row>
    <row r="97" spans="1:24" ht="15" customHeight="1">
      <c r="A97" s="1052" t="s">
        <v>3666</v>
      </c>
      <c r="B97" s="1052" t="s">
        <v>3362</v>
      </c>
      <c r="C97" s="1054">
        <v>0</v>
      </c>
      <c r="D97" s="1054">
        <v>69.33</v>
      </c>
      <c r="E97" s="1054">
        <v>69.33</v>
      </c>
      <c r="F97" s="1052" t="s">
        <v>816</v>
      </c>
      <c r="G97" s="1052" t="s">
        <v>821</v>
      </c>
      <c r="H97" s="1031"/>
      <c r="I97" s="1031"/>
      <c r="J97" s="1031"/>
      <c r="K97" s="1031"/>
      <c r="L97" s="653" t="str">
        <f t="shared" si="67"/>
        <v>1189</v>
      </c>
      <c r="M97" s="654" t="str">
        <f t="shared" si="0"/>
        <v>VENTE AU COMPTANT (PIECES)</v>
      </c>
      <c r="N97" s="655">
        <f>+IF(OR($Q97=Parametres!$G$2,$Q97=Parametres!$G$3),I97,C97)</f>
        <v>0</v>
      </c>
      <c r="O97" s="655">
        <f>+IF(OR($Q97=Parametres!$G$2,$Q97=Parametres!$G$3),J97,D97)</f>
        <v>69.33</v>
      </c>
      <c r="P97" s="655">
        <f>+IF(OR($Q97=Parametres!$G$2,$Q97=Parametres!$G$3),K97,E97)</f>
        <v>69.33</v>
      </c>
      <c r="Q97" s="654" t="str">
        <f t="shared" ref="Q97:S97" si="98">+F97</f>
        <v>2-Actifs</v>
      </c>
      <c r="R97" s="653" t="str">
        <f t="shared" si="98"/>
        <v>1382</v>
      </c>
      <c r="S97" s="654">
        <f t="shared" si="98"/>
        <v>0</v>
      </c>
      <c r="T97" s="656" t="str">
        <f>+VLOOKUP($L97,Data_Validation!$A:$D,1,0)</f>
        <v>1189</v>
      </c>
      <c r="U97" s="656" t="str">
        <f>+VLOOKUP($L97,Data_Validation!$A:$D,3,0)</f>
        <v>Bilan</v>
      </c>
      <c r="V97" s="656" t="str">
        <f>+VLOOKUP($L97,Data_Validation!$A:$D,4,0)</f>
        <v>Encaisse</v>
      </c>
      <c r="W97" s="656" t="str">
        <f>+VLOOKUP($L97,Data_Validation!$A:$E,5,0)</f>
        <v>$</v>
      </c>
      <c r="X97" s="656">
        <f>+VLOOKUP($L97,Data_Validation!$A:$F,6,0)</f>
        <v>0</v>
      </c>
    </row>
    <row r="98" spans="1:24" ht="15" customHeight="1">
      <c r="A98" s="1052" t="s">
        <v>822</v>
      </c>
      <c r="B98" s="1052" t="s">
        <v>823</v>
      </c>
      <c r="C98" s="1054">
        <v>924558.89</v>
      </c>
      <c r="D98" s="1054">
        <v>-342698.95</v>
      </c>
      <c r="E98" s="1054">
        <v>581859.93999999994</v>
      </c>
      <c r="F98" s="1052" t="s">
        <v>816</v>
      </c>
      <c r="G98" s="1052" t="s">
        <v>823</v>
      </c>
      <c r="H98" s="1031"/>
      <c r="I98" s="1031"/>
      <c r="J98" s="1031"/>
      <c r="K98" s="1031"/>
      <c r="L98" s="653" t="str">
        <f t="shared" si="67"/>
        <v>1202</v>
      </c>
      <c r="M98" s="654" t="str">
        <f t="shared" si="0"/>
        <v>CONTRATS EN TRANSIT</v>
      </c>
      <c r="N98" s="655">
        <f>+IF(OR($Q98=Parametres!$G$2,$Q98=Parametres!$G$3),I98,C98)</f>
        <v>924558.89</v>
      </c>
      <c r="O98" s="655">
        <f>+IF(OR($Q98=Parametres!$G$2,$Q98=Parametres!$G$3),J98,D98)</f>
        <v>-342698.95</v>
      </c>
      <c r="P98" s="655">
        <f>+IF(OR($Q98=Parametres!$G$2,$Q98=Parametres!$G$3),K98,E98)</f>
        <v>581859.93999999994</v>
      </c>
      <c r="Q98" s="654" t="str">
        <f t="shared" ref="Q98:S98" si="99">+F98</f>
        <v>2-Actifs</v>
      </c>
      <c r="R98" s="653" t="str">
        <f t="shared" si="99"/>
        <v>1202</v>
      </c>
      <c r="S98" s="654">
        <f t="shared" si="99"/>
        <v>0</v>
      </c>
      <c r="T98" s="656" t="str">
        <f>+VLOOKUP($L98,Data_Validation!$A:$D,1,0)</f>
        <v>1202</v>
      </c>
      <c r="U98" s="656" t="str">
        <f>+VLOOKUP($L98,Data_Validation!$A:$D,3,0)</f>
        <v>Bilan</v>
      </c>
      <c r="V98" s="656" t="str">
        <f>+VLOOKUP($L98,Data_Validation!$A:$D,4,0)</f>
        <v>Recevables Contrats en Transit</v>
      </c>
      <c r="W98" s="656" t="str">
        <f>+VLOOKUP($L98,Data_Validation!$A:$E,5,0)</f>
        <v>$</v>
      </c>
      <c r="X98" s="656">
        <f>+VLOOKUP($L98,Data_Validation!$A:$F,6,0)</f>
        <v>0</v>
      </c>
    </row>
    <row r="99" spans="1:24" ht="15.75" customHeight="1">
      <c r="A99" s="1052" t="s">
        <v>824</v>
      </c>
      <c r="B99" s="1052" t="s">
        <v>825</v>
      </c>
      <c r="C99" s="1054">
        <v>-10369.950000000001</v>
      </c>
      <c r="D99" s="1054">
        <v>18688.14</v>
      </c>
      <c r="E99" s="1054">
        <v>8318.19</v>
      </c>
      <c r="F99" s="1052" t="s">
        <v>816</v>
      </c>
      <c r="G99" s="1052" t="s">
        <v>825</v>
      </c>
      <c r="H99" s="1031"/>
      <c r="I99" s="1031"/>
      <c r="J99" s="1031"/>
      <c r="K99" s="1031"/>
      <c r="L99" s="653" t="str">
        <f t="shared" si="67"/>
        <v>1302</v>
      </c>
      <c r="M99" s="654" t="str">
        <f t="shared" si="0"/>
        <v>RECEVABLE-CLIENT-VEHICULE</v>
      </c>
      <c r="N99" s="655">
        <f>+IF(OR($Q99=Parametres!$G$2,$Q99=Parametres!$G$3),I99,C99)</f>
        <v>-10369.950000000001</v>
      </c>
      <c r="O99" s="655">
        <f>+IF(OR($Q99=Parametres!$G$2,$Q99=Parametres!$G$3),J99,D99)</f>
        <v>18688.14</v>
      </c>
      <c r="P99" s="655">
        <f>+IF(OR($Q99=Parametres!$G$2,$Q99=Parametres!$G$3),K99,E99)</f>
        <v>8318.19</v>
      </c>
      <c r="Q99" s="654" t="str">
        <f t="shared" ref="Q99:S99" si="100">+F99</f>
        <v>2-Actifs</v>
      </c>
      <c r="R99" s="653" t="str">
        <f t="shared" si="100"/>
        <v>1302</v>
      </c>
      <c r="S99" s="654">
        <f t="shared" si="100"/>
        <v>0</v>
      </c>
      <c r="T99" s="656" t="str">
        <f>+VLOOKUP($L99,Data_Validation!$A:$D,1,0)</f>
        <v>1302</v>
      </c>
      <c r="U99" s="656" t="str">
        <f>+VLOOKUP($L99,Data_Validation!$A:$D,3,0)</f>
        <v>Bilan</v>
      </c>
      <c r="V99" s="656" t="str">
        <f>+VLOOKUP($L99,Data_Validation!$A:$D,4,0)</f>
        <v>Recevables Véhicules</v>
      </c>
      <c r="W99" s="656" t="str">
        <f>+VLOOKUP($L99,Data_Validation!$A:$E,5,0)</f>
        <v>$</v>
      </c>
      <c r="X99" s="656">
        <f>+VLOOKUP($L99,Data_Validation!$A:$F,6,0)</f>
        <v>0</v>
      </c>
    </row>
    <row r="100" spans="1:24" ht="15" customHeight="1">
      <c r="A100" s="1052" t="s">
        <v>826</v>
      </c>
      <c r="B100" s="1052" t="s">
        <v>1459</v>
      </c>
      <c r="C100" s="1054">
        <v>714333.52</v>
      </c>
      <c r="D100" s="1054">
        <v>-562398.52</v>
      </c>
      <c r="E100" s="1054">
        <v>151935</v>
      </c>
      <c r="F100" s="1052" t="s">
        <v>816</v>
      </c>
      <c r="G100" s="1052" t="s">
        <v>825</v>
      </c>
      <c r="H100" s="1031"/>
      <c r="I100" s="1031"/>
      <c r="J100" s="1031"/>
      <c r="K100" s="1031"/>
      <c r="L100" s="653" t="str">
        <f t="shared" si="67"/>
        <v>1303</v>
      </c>
      <c r="M100" s="654" t="str">
        <f t="shared" si="0"/>
        <v>RECEVABLES LPA ET AU GROS</v>
      </c>
      <c r="N100" s="655">
        <f>+IF(OR($Q100=Parametres!$G$2,$Q100=Parametres!$G$3),I100,C100)</f>
        <v>714333.52</v>
      </c>
      <c r="O100" s="655">
        <f>+IF(OR($Q100=Parametres!$G$2,$Q100=Parametres!$G$3),J100,D100)</f>
        <v>-562398.52</v>
      </c>
      <c r="P100" s="655">
        <f>+IF(OR($Q100=Parametres!$G$2,$Q100=Parametres!$G$3),K100,E100)</f>
        <v>151935</v>
      </c>
      <c r="Q100" s="654" t="str">
        <f t="shared" ref="Q100:S100" si="101">+F100</f>
        <v>2-Actifs</v>
      </c>
      <c r="R100" s="653" t="str">
        <f t="shared" si="101"/>
        <v>1302</v>
      </c>
      <c r="S100" s="654">
        <f t="shared" si="101"/>
        <v>0</v>
      </c>
      <c r="T100" s="656" t="str">
        <f>+VLOOKUP($L100,Data_Validation!$A:$D,1,0)</f>
        <v>1303</v>
      </c>
      <c r="U100" s="656" t="str">
        <f>+VLOOKUP($L100,Data_Validation!$A:$D,3,0)</f>
        <v>Bilan</v>
      </c>
      <c r="V100" s="656" t="str">
        <f>+VLOOKUP($L100,Data_Validation!$A:$D,4,0)</f>
        <v>Recevables Véhicules</v>
      </c>
      <c r="W100" s="656" t="str">
        <f>+VLOOKUP($L100,Data_Validation!$A:$E,5,0)</f>
        <v>$</v>
      </c>
      <c r="X100" s="656">
        <f>+VLOOKUP($L100,Data_Validation!$A:$F,6,0)</f>
        <v>0</v>
      </c>
    </row>
    <row r="101" spans="1:24" ht="15" customHeight="1">
      <c r="A101" s="1052" t="s">
        <v>827</v>
      </c>
      <c r="B101" s="1052" t="s">
        <v>828</v>
      </c>
      <c r="C101" s="1054">
        <v>167891.3</v>
      </c>
      <c r="D101" s="1054">
        <v>-38032.120000000003</v>
      </c>
      <c r="E101" s="1054">
        <v>129859.18</v>
      </c>
      <c r="F101" s="1052" t="s">
        <v>816</v>
      </c>
      <c r="G101" s="1052" t="s">
        <v>828</v>
      </c>
      <c r="H101" s="1031"/>
      <c r="I101" s="1031"/>
      <c r="J101" s="1031"/>
      <c r="K101" s="1031"/>
      <c r="L101" s="653" t="str">
        <f t="shared" si="67"/>
        <v>1304</v>
      </c>
      <c r="M101" s="654" t="str">
        <f t="shared" si="0"/>
        <v>RECEVABLES PIECES &amp; SERVICE</v>
      </c>
      <c r="N101" s="655">
        <f>+IF(OR($Q101=Parametres!$G$2,$Q101=Parametres!$G$3),I101,C101)</f>
        <v>167891.3</v>
      </c>
      <c r="O101" s="655">
        <f>+IF(OR($Q101=Parametres!$G$2,$Q101=Parametres!$G$3),J101,D101)</f>
        <v>-38032.120000000003</v>
      </c>
      <c r="P101" s="655">
        <f>+IF(OR($Q101=Parametres!$G$2,$Q101=Parametres!$G$3),K101,E101)</f>
        <v>129859.18</v>
      </c>
      <c r="Q101" s="654" t="str">
        <f t="shared" ref="Q101:S101" si="102">+F101</f>
        <v>2-Actifs</v>
      </c>
      <c r="R101" s="653" t="str">
        <f t="shared" si="102"/>
        <v>1304</v>
      </c>
      <c r="S101" s="654">
        <f t="shared" si="102"/>
        <v>0</v>
      </c>
      <c r="T101" s="656" t="str">
        <f>+VLOOKUP($L101,Data_Validation!$A:$D,1,0)</f>
        <v>1304</v>
      </c>
      <c r="U101" s="656" t="str">
        <f>+VLOOKUP($L101,Data_Validation!$A:$D,3,0)</f>
        <v>Bilan</v>
      </c>
      <c r="V101" s="656" t="str">
        <f>+VLOOKUP($L101,Data_Validation!$A:$D,4,0)</f>
        <v>Recevables Pièces et Service</v>
      </c>
      <c r="W101" s="656" t="str">
        <f>+VLOOKUP($L101,Data_Validation!$A:$E,5,0)</f>
        <v>$</v>
      </c>
      <c r="X101" s="656">
        <f>+VLOOKUP($L101,Data_Validation!$A:$F,6,0)</f>
        <v>0</v>
      </c>
    </row>
    <row r="102" spans="1:24" ht="15" customHeight="1">
      <c r="A102" s="1052" t="s">
        <v>829</v>
      </c>
      <c r="B102" s="1052" t="s">
        <v>1464</v>
      </c>
      <c r="C102" s="1054">
        <v>91192.84</v>
      </c>
      <c r="D102" s="1054">
        <v>-20264.66</v>
      </c>
      <c r="E102" s="1054">
        <v>70928.179999999993</v>
      </c>
      <c r="F102" s="1052" t="s">
        <v>816</v>
      </c>
      <c r="G102" s="1052" t="s">
        <v>828</v>
      </c>
      <c r="H102" s="1031"/>
      <c r="I102" s="1031"/>
      <c r="J102" s="1031"/>
      <c r="K102" s="1031"/>
      <c r="L102" s="653" t="str">
        <f t="shared" si="67"/>
        <v>1305</v>
      </c>
      <c r="M102" s="654" t="str">
        <f t="shared" si="0"/>
        <v>RECEVABLES CARROSSERIE</v>
      </c>
      <c r="N102" s="655">
        <f>+IF(OR($Q102=Parametres!$G$2,$Q102=Parametres!$G$3),I102,C102)</f>
        <v>91192.84</v>
      </c>
      <c r="O102" s="659">
        <f>+IF(OR($Q102=Parametres!$G$2,$Q102=Parametres!$G$3),J102,D102)</f>
        <v>-20264.66</v>
      </c>
      <c r="P102" s="655">
        <f>+IF(OR($Q102=Parametres!$G$2,$Q102=Parametres!$G$3),K102,E102)</f>
        <v>70928.179999999993</v>
      </c>
      <c r="Q102" s="654" t="str">
        <f t="shared" ref="Q102:S102" si="103">+F102</f>
        <v>2-Actifs</v>
      </c>
      <c r="R102" s="653" t="str">
        <f t="shared" si="103"/>
        <v>1304</v>
      </c>
      <c r="S102" s="654">
        <f t="shared" si="103"/>
        <v>0</v>
      </c>
      <c r="T102" s="656" t="str">
        <f>+VLOOKUP($L102,Data_Validation!$A:$D,1,0)</f>
        <v>1305</v>
      </c>
      <c r="U102" s="656" t="str">
        <f>+VLOOKUP($L102,Data_Validation!$A:$D,3,0)</f>
        <v>Bilan</v>
      </c>
      <c r="V102" s="656" t="str">
        <f>+VLOOKUP($L102,Data_Validation!$A:$D,4,0)</f>
        <v>Recevables Carrosserie</v>
      </c>
      <c r="W102" s="656" t="str">
        <f>+VLOOKUP($L102,Data_Validation!$A:$E,5,0)</f>
        <v>$</v>
      </c>
      <c r="X102" s="656">
        <f>+VLOOKUP($L102,Data_Validation!$A:$F,6,0)</f>
        <v>0</v>
      </c>
    </row>
    <row r="103" spans="1:24" ht="15.75" customHeight="1">
      <c r="A103" s="1052" t="s">
        <v>830</v>
      </c>
      <c r="B103" s="1052" t="s">
        <v>3363</v>
      </c>
      <c r="C103" s="1054">
        <v>3928.91</v>
      </c>
      <c r="D103" s="1054">
        <v>5887.87</v>
      </c>
      <c r="E103" s="1054">
        <v>9816.7800000000007</v>
      </c>
      <c r="F103" s="1052" t="s">
        <v>816</v>
      </c>
      <c r="G103" s="1052" t="s">
        <v>828</v>
      </c>
      <c r="H103" s="1031"/>
      <c r="I103" s="1032"/>
      <c r="J103" s="1032"/>
      <c r="K103" s="1032"/>
      <c r="L103" s="653" t="str">
        <f t="shared" si="67"/>
        <v>1306</v>
      </c>
      <c r="M103" s="654" t="str">
        <f t="shared" si="0"/>
        <v>RECEVABLES INTERCO</v>
      </c>
      <c r="N103" s="655">
        <f>+IF(OR($Q103=Parametres!$G$2,$Q103=Parametres!$G$3),I103,C103)</f>
        <v>3928.91</v>
      </c>
      <c r="O103" s="655">
        <f>+IF(OR($Q103=Parametres!$G$2,$Q103=Parametres!$G$3),J103,D103)</f>
        <v>5887.87</v>
      </c>
      <c r="P103" s="655">
        <f>+IF(OR($Q103=Parametres!$G$2,$Q103=Parametres!$G$3),K103,E103)</f>
        <v>9816.7800000000007</v>
      </c>
      <c r="Q103" s="654" t="str">
        <f t="shared" ref="Q103:S103" si="104">+F103</f>
        <v>2-Actifs</v>
      </c>
      <c r="R103" s="653" t="str">
        <f t="shared" si="104"/>
        <v>1304</v>
      </c>
      <c r="S103" s="654">
        <f t="shared" si="104"/>
        <v>0</v>
      </c>
      <c r="T103" s="656" t="str">
        <f>+VLOOKUP($L103,Data_Validation!$A:$D,1,0)</f>
        <v>1306</v>
      </c>
      <c r="U103" s="656" t="str">
        <f>+VLOOKUP($L103,Data_Validation!$A:$D,3,0)</f>
        <v>Bilan</v>
      </c>
      <c r="V103" s="656" t="str">
        <f>+VLOOKUP($L103,Data_Validation!$A:$D,4,0)</f>
        <v>Recevables Intercos</v>
      </c>
      <c r="W103" s="656" t="str">
        <f>+VLOOKUP($L103,Data_Validation!$A:$E,5,0)</f>
        <v>$</v>
      </c>
      <c r="X103" s="656">
        <f>+VLOOKUP($L103,Data_Validation!$A:$F,6,0)</f>
        <v>0</v>
      </c>
    </row>
    <row r="104" spans="1:24" ht="15" customHeight="1">
      <c r="A104" s="1052" t="s">
        <v>831</v>
      </c>
      <c r="B104" s="1052" t="s">
        <v>3364</v>
      </c>
      <c r="C104" s="1054">
        <v>24300</v>
      </c>
      <c r="D104" s="1054">
        <v>14700</v>
      </c>
      <c r="E104" s="1054">
        <v>39000</v>
      </c>
      <c r="F104" s="1052" t="s">
        <v>816</v>
      </c>
      <c r="G104" s="1052" t="s">
        <v>825</v>
      </c>
      <c r="H104" s="1031"/>
      <c r="I104" s="1032"/>
      <c r="J104" s="1032"/>
      <c r="K104" s="1032"/>
      <c r="L104" s="653" t="str">
        <f t="shared" si="67"/>
        <v>1307</v>
      </c>
      <c r="M104" s="654" t="str">
        <f t="shared" si="0"/>
        <v>RECEVABLES INTERCO VEHICULE</v>
      </c>
      <c r="N104" s="655">
        <f>+IF(OR($Q104=Parametres!$G$2,$Q104=Parametres!$G$3),I104,C104)</f>
        <v>24300</v>
      </c>
      <c r="O104" s="655">
        <f>+IF(OR($Q104=Parametres!$G$2,$Q104=Parametres!$G$3),J104,D104)</f>
        <v>14700</v>
      </c>
      <c r="P104" s="655">
        <f>+IF(OR($Q104=Parametres!$G$2,$Q104=Parametres!$G$3),K104,E104)</f>
        <v>39000</v>
      </c>
      <c r="Q104" s="654" t="str">
        <f t="shared" ref="Q104:S104" si="105">+F104</f>
        <v>2-Actifs</v>
      </c>
      <c r="R104" s="653" t="str">
        <f t="shared" si="105"/>
        <v>1302</v>
      </c>
      <c r="S104" s="654">
        <f t="shared" si="105"/>
        <v>0</v>
      </c>
      <c r="T104" s="656" t="str">
        <f>+VLOOKUP($L104,Data_Validation!$A:$D,1,0)</f>
        <v>1307</v>
      </c>
      <c r="U104" s="656" t="str">
        <f>+VLOOKUP($L104,Data_Validation!$A:$D,3,0)</f>
        <v>Bilan</v>
      </c>
      <c r="V104" s="656" t="str">
        <f>+VLOOKUP($L104,Data_Validation!$A:$D,4,0)</f>
        <v>Recevables Intercos</v>
      </c>
      <c r="W104" s="656" t="str">
        <f>+VLOOKUP($L104,Data_Validation!$A:$E,5,0)</f>
        <v>$</v>
      </c>
      <c r="X104" s="656">
        <f>+VLOOKUP($L104,Data_Validation!$A:$F,6,0)</f>
        <v>0</v>
      </c>
    </row>
    <row r="105" spans="1:24" ht="15" customHeight="1">
      <c r="A105" s="1052" t="s">
        <v>832</v>
      </c>
      <c r="B105" s="1052" t="s">
        <v>1467</v>
      </c>
      <c r="C105" s="1054">
        <v>88115</v>
      </c>
      <c r="D105" s="1054">
        <v>-73870</v>
      </c>
      <c r="E105" s="1054">
        <v>14245</v>
      </c>
      <c r="F105" s="1052" t="s">
        <v>816</v>
      </c>
      <c r="G105" s="1052" t="s">
        <v>833</v>
      </c>
      <c r="H105" s="1031"/>
      <c r="I105" s="1032"/>
      <c r="J105" s="1032"/>
      <c r="K105" s="1032"/>
      <c r="L105" s="653" t="str">
        <f t="shared" si="67"/>
        <v>1312</v>
      </c>
      <c r="M105" s="654" t="str">
        <f t="shared" si="0"/>
        <v>RESEVE VOLKS</v>
      </c>
      <c r="N105" s="655">
        <f>+IF(OR($Q105=Parametres!$G$2,$Q105=Parametres!$G$3),I105,C105)</f>
        <v>88115</v>
      </c>
      <c r="O105" s="655">
        <f>+IF(OR($Q105=Parametres!$G$2,$Q105=Parametres!$G$3),J105,D105)</f>
        <v>-73870</v>
      </c>
      <c r="P105" s="655">
        <f>+IF(OR($Q105=Parametres!$G$2,$Q105=Parametres!$G$3),K105,E105)</f>
        <v>14245</v>
      </c>
      <c r="Q105" s="654" t="str">
        <f t="shared" ref="Q105:S105" si="106">+F105</f>
        <v>2-Actifs</v>
      </c>
      <c r="R105" s="653" t="str">
        <f t="shared" si="106"/>
        <v>1314</v>
      </c>
      <c r="S105" s="654">
        <f t="shared" si="106"/>
        <v>0</v>
      </c>
      <c r="T105" s="656" t="str">
        <f>+VLOOKUP($L105,Data_Validation!$A:$D,1,0)</f>
        <v>1312</v>
      </c>
      <c r="U105" s="656" t="str">
        <f>+VLOOKUP($L105,Data_Validation!$A:$D,3,0)</f>
        <v>Bilan</v>
      </c>
      <c r="V105" s="656" t="str">
        <f>+VLOOKUP($L105,Data_Validation!$A:$D,4,0)</f>
        <v>Recevables Manufacturier</v>
      </c>
      <c r="W105" s="656" t="str">
        <f>+VLOOKUP($L105,Data_Validation!$A:$E,5,0)</f>
        <v>$</v>
      </c>
      <c r="X105" s="656">
        <f>+VLOOKUP($L105,Data_Validation!$A:$F,6,0)</f>
        <v>0</v>
      </c>
    </row>
    <row r="106" spans="1:24" ht="15" customHeight="1">
      <c r="A106" s="1052" t="s">
        <v>834</v>
      </c>
      <c r="B106" s="1052" t="s">
        <v>835</v>
      </c>
      <c r="C106" s="1054">
        <v>81514.460000000006</v>
      </c>
      <c r="D106" s="1054">
        <v>-78097.36</v>
      </c>
      <c r="E106" s="1054">
        <v>3417.1</v>
      </c>
      <c r="F106" s="1052" t="s">
        <v>816</v>
      </c>
      <c r="G106" s="1052" t="s">
        <v>835</v>
      </c>
      <c r="H106" s="1031"/>
      <c r="I106" s="1032"/>
      <c r="J106" s="1032"/>
      <c r="K106" s="1032"/>
      <c r="L106" s="653" t="str">
        <f t="shared" si="67"/>
        <v>1332</v>
      </c>
      <c r="M106" s="654" t="str">
        <f t="shared" si="0"/>
        <v>RECLAM. RECEVABLE-GARANTIE</v>
      </c>
      <c r="N106" s="655">
        <f>+IF(OR($Q106=Parametres!$G$2,$Q106=Parametres!$G$3),I106,C106)</f>
        <v>81514.460000000006</v>
      </c>
      <c r="O106" s="659">
        <f>+IF(OR($Q106=Parametres!$G$2,$Q106=Parametres!$G$3),J106,D106)</f>
        <v>-78097.36</v>
      </c>
      <c r="P106" s="655">
        <f>+IF(OR($Q106=Parametres!$G$2,$Q106=Parametres!$G$3),K106,E106)</f>
        <v>3417.1</v>
      </c>
      <c r="Q106" s="654" t="str">
        <f t="shared" ref="Q106:S106" si="107">+F106</f>
        <v>2-Actifs</v>
      </c>
      <c r="R106" s="653" t="str">
        <f t="shared" si="107"/>
        <v>1332</v>
      </c>
      <c r="S106" s="654">
        <f t="shared" si="107"/>
        <v>0</v>
      </c>
      <c r="T106" s="656" t="str">
        <f>+VLOOKUP($L106,Data_Validation!$A:$D,1,0)</f>
        <v>1332</v>
      </c>
      <c r="U106" s="656" t="str">
        <f>+VLOOKUP($L106,Data_Validation!$A:$D,3,0)</f>
        <v>Bilan</v>
      </c>
      <c r="V106" s="656" t="str">
        <f>+VLOOKUP($L106,Data_Validation!$A:$D,4,0)</f>
        <v>Recevables Garantie Manufacturier</v>
      </c>
      <c r="W106" s="656" t="str">
        <f>+VLOOKUP($L106,Data_Validation!$A:$E,5,0)</f>
        <v>$</v>
      </c>
      <c r="X106" s="656">
        <f>+VLOOKUP($L106,Data_Validation!$A:$F,6,0)</f>
        <v>0</v>
      </c>
    </row>
    <row r="107" spans="1:24" ht="15" customHeight="1">
      <c r="A107" s="1052" t="s">
        <v>836</v>
      </c>
      <c r="B107" s="1052" t="s">
        <v>1472</v>
      </c>
      <c r="C107" s="1054">
        <v>9050.6200000000008</v>
      </c>
      <c r="D107" s="1054">
        <v>3198.86</v>
      </c>
      <c r="E107" s="1054">
        <v>12249.48</v>
      </c>
      <c r="F107" s="1052" t="s">
        <v>816</v>
      </c>
      <c r="G107" s="1052" t="s">
        <v>821</v>
      </c>
      <c r="H107" s="1031"/>
      <c r="I107" s="1032"/>
      <c r="J107" s="1032"/>
      <c r="K107" s="1032"/>
      <c r="L107" s="653" t="str">
        <f t="shared" si="67"/>
        <v>1340</v>
      </c>
      <c r="M107" s="654" t="str">
        <f t="shared" si="0"/>
        <v>GARANTIE PPM</v>
      </c>
      <c r="N107" s="655">
        <f>+IF(OR($Q107=Parametres!$G$2,$Q107=Parametres!$G$3),I107,C107)</f>
        <v>9050.6200000000008</v>
      </c>
      <c r="O107" s="655">
        <f>+IF(OR($Q107=Parametres!$G$2,$Q107=Parametres!$G$3),J107,D107)</f>
        <v>3198.86</v>
      </c>
      <c r="P107" s="655">
        <f>+IF(OR($Q107=Parametres!$G$2,$Q107=Parametres!$G$3),K107,E107)</f>
        <v>12249.48</v>
      </c>
      <c r="Q107" s="654" t="str">
        <f t="shared" ref="Q107:S107" si="108">+F107</f>
        <v>2-Actifs</v>
      </c>
      <c r="R107" s="653" t="str">
        <f t="shared" si="108"/>
        <v>1382</v>
      </c>
      <c r="S107" s="654">
        <f t="shared" si="108"/>
        <v>0</v>
      </c>
      <c r="T107" s="656" t="str">
        <f>+VLOOKUP($L107,Data_Validation!$A:$D,1,0)</f>
        <v>1340</v>
      </c>
      <c r="U107" s="656" t="str">
        <f>+VLOOKUP($L107,Data_Validation!$A:$D,3,0)</f>
        <v>Bilan</v>
      </c>
      <c r="V107" s="656" t="str">
        <f>+VLOOKUP($L107,Data_Validation!$A:$D,4,0)</f>
        <v>recevables Autres</v>
      </c>
      <c r="W107" s="656" t="str">
        <f>+VLOOKUP($L107,Data_Validation!$A:$E,5,0)</f>
        <v>$</v>
      </c>
      <c r="X107" s="656">
        <f>+VLOOKUP($L107,Data_Validation!$A:$F,6,0)</f>
        <v>0</v>
      </c>
    </row>
    <row r="108" spans="1:24" ht="15" customHeight="1">
      <c r="A108" s="1052" t="s">
        <v>837</v>
      </c>
      <c r="B108" s="1052" t="s">
        <v>1475</v>
      </c>
      <c r="C108" s="1054">
        <v>-54183.66</v>
      </c>
      <c r="D108" s="1054">
        <v>17044</v>
      </c>
      <c r="E108" s="1054">
        <v>-37139.660000000003</v>
      </c>
      <c r="F108" s="1052" t="s">
        <v>816</v>
      </c>
      <c r="G108" s="1052" t="s">
        <v>833</v>
      </c>
      <c r="H108" s="1031"/>
      <c r="I108" s="1032"/>
      <c r="J108" s="1032"/>
      <c r="K108" s="1032"/>
      <c r="L108" s="653" t="str">
        <f t="shared" si="67"/>
        <v>1352</v>
      </c>
      <c r="M108" s="654" t="str">
        <f t="shared" si="0"/>
        <v>RECEV. MANUFACTURIER VOLKS</v>
      </c>
      <c r="N108" s="655">
        <f>+IF(OR($Q108=Parametres!$G$2,$Q108=Parametres!$G$3),I108,C108)</f>
        <v>-54183.66</v>
      </c>
      <c r="O108" s="655">
        <f>+IF(OR($Q108=Parametres!$G$2,$Q108=Parametres!$G$3),J108,D108)</f>
        <v>17044</v>
      </c>
      <c r="P108" s="655">
        <f>+IF(OR($Q108=Parametres!$G$2,$Q108=Parametres!$G$3),K108,E108)</f>
        <v>-37139.660000000003</v>
      </c>
      <c r="Q108" s="654" t="str">
        <f t="shared" ref="Q108:S108" si="109">+F108</f>
        <v>2-Actifs</v>
      </c>
      <c r="R108" s="653" t="str">
        <f t="shared" si="109"/>
        <v>1314</v>
      </c>
      <c r="S108" s="654">
        <f t="shared" si="109"/>
        <v>0</v>
      </c>
      <c r="T108" s="656" t="str">
        <f>+VLOOKUP($L108,Data_Validation!$A:$D,1,0)</f>
        <v>1352</v>
      </c>
      <c r="U108" s="656" t="str">
        <f>+VLOOKUP($L108,Data_Validation!$A:$D,3,0)</f>
        <v>Bilan</v>
      </c>
      <c r="V108" s="656" t="str">
        <f>+VLOOKUP($L108,Data_Validation!$A:$D,4,0)</f>
        <v>Recevables Manufacturier</v>
      </c>
      <c r="W108" s="656" t="str">
        <f>+VLOOKUP($L108,Data_Validation!$A:$E,5,0)</f>
        <v>$</v>
      </c>
      <c r="X108" s="656">
        <f>+VLOOKUP($L108,Data_Validation!$A:$F,6,0)</f>
        <v>0</v>
      </c>
    </row>
    <row r="109" spans="1:24" ht="15.75" customHeight="1">
      <c r="A109" s="1052" t="s">
        <v>838</v>
      </c>
      <c r="B109" s="1052" t="s">
        <v>839</v>
      </c>
      <c r="C109" s="1054">
        <v>-2655.24</v>
      </c>
      <c r="D109" s="1054">
        <v>0</v>
      </c>
      <c r="E109" s="1054">
        <v>-2655.24</v>
      </c>
      <c r="F109" s="1052" t="s">
        <v>816</v>
      </c>
      <c r="G109" s="1052" t="s">
        <v>839</v>
      </c>
      <c r="H109" s="1031"/>
      <c r="I109" s="1032"/>
      <c r="J109" s="1032"/>
      <c r="K109" s="1032"/>
      <c r="L109" s="653" t="str">
        <f t="shared" si="67"/>
        <v>1399</v>
      </c>
      <c r="M109" s="654" t="str">
        <f t="shared" si="0"/>
        <v>RESERVE CREANCE DOUTEUSES</v>
      </c>
      <c r="N109" s="655">
        <f>+IF(OR($Q109=Parametres!$G$2,$Q109=Parametres!$G$3),I109,C109)</f>
        <v>-2655.24</v>
      </c>
      <c r="O109" s="659">
        <f>+IF(OR($Q109=Parametres!$G$2,$Q109=Parametres!$G$3),J109,D109)</f>
        <v>0</v>
      </c>
      <c r="P109" s="655">
        <f>+IF(OR($Q109=Parametres!$G$2,$Q109=Parametres!$G$3),K109,E109)</f>
        <v>-2655.24</v>
      </c>
      <c r="Q109" s="654" t="str">
        <f t="shared" ref="Q109:S109" si="110">+F109</f>
        <v>2-Actifs</v>
      </c>
      <c r="R109" s="653" t="str">
        <f t="shared" si="110"/>
        <v>1399</v>
      </c>
      <c r="S109" s="654">
        <f t="shared" si="110"/>
        <v>0</v>
      </c>
      <c r="T109" s="656" t="str">
        <f>+VLOOKUP($L109,Data_Validation!$A:$D,1,0)</f>
        <v>1399</v>
      </c>
      <c r="U109" s="656" t="str">
        <f>+VLOOKUP($L109,Data_Validation!$A:$D,3,0)</f>
        <v>Bilan</v>
      </c>
      <c r="V109" s="656" t="str">
        <f>+VLOOKUP($L109,Data_Validation!$A:$D,4,0)</f>
        <v>Recevables Pièces et Service</v>
      </c>
      <c r="W109" s="656" t="str">
        <f>+VLOOKUP($L109,Data_Validation!$A:$E,5,0)</f>
        <v>$</v>
      </c>
      <c r="X109" s="656">
        <f>+VLOOKUP($L109,Data_Validation!$A:$F,6,0)</f>
        <v>0</v>
      </c>
    </row>
    <row r="110" spans="1:24" ht="15" customHeight="1">
      <c r="A110" s="1052" t="s">
        <v>840</v>
      </c>
      <c r="B110" s="1052" t="s">
        <v>841</v>
      </c>
      <c r="C110" s="1054">
        <v>2737483.13</v>
      </c>
      <c r="D110" s="1054">
        <v>-483507.75</v>
      </c>
      <c r="E110" s="1054">
        <v>2253975.38</v>
      </c>
      <c r="F110" s="1052" t="s">
        <v>816</v>
      </c>
      <c r="G110" s="1052" t="s">
        <v>841</v>
      </c>
      <c r="H110" s="1031"/>
      <c r="I110" s="1032"/>
      <c r="J110" s="1032"/>
      <c r="K110" s="1032"/>
      <c r="L110" s="653" t="str">
        <f t="shared" si="67"/>
        <v>1402</v>
      </c>
      <c r="M110" s="654" t="str">
        <f t="shared" si="0"/>
        <v>VEHIC. NEUFS VOLKS</v>
      </c>
      <c r="N110" s="655">
        <f>+IF(OR($Q110=Parametres!$G$2,$Q110=Parametres!$G$3),I110,C110)</f>
        <v>2737483.13</v>
      </c>
      <c r="O110" s="655">
        <f>+IF(OR($Q110=Parametres!$G$2,$Q110=Parametres!$G$3),J110,D110)</f>
        <v>-483507.75</v>
      </c>
      <c r="P110" s="655">
        <f>+IF(OR($Q110=Parametres!$G$2,$Q110=Parametres!$G$3),K110,E110)</f>
        <v>2253975.38</v>
      </c>
      <c r="Q110" s="654" t="str">
        <f t="shared" ref="Q110:S110" si="111">+F110</f>
        <v>2-Actifs</v>
      </c>
      <c r="R110" s="653" t="str">
        <f t="shared" si="111"/>
        <v>1402</v>
      </c>
      <c r="S110" s="654">
        <f t="shared" si="111"/>
        <v>0</v>
      </c>
      <c r="T110" s="656" t="str">
        <f>+VLOOKUP($L110,Data_Validation!$A:$D,1,0)</f>
        <v>1402</v>
      </c>
      <c r="U110" s="656" t="str">
        <f>+VLOOKUP($L110,Data_Validation!$A:$D,3,0)</f>
        <v>Bilan</v>
      </c>
      <c r="V110" s="656" t="str">
        <f>+VLOOKUP($L110,Data_Validation!$A:$D,4,0)</f>
        <v>Inventaire Véhicules Neufs</v>
      </c>
      <c r="W110" s="656" t="str">
        <f>+VLOOKUP($L110,Data_Validation!$A:$E,5,0)</f>
        <v>$</v>
      </c>
      <c r="X110" s="656">
        <f>+VLOOKUP($L110,Data_Validation!$A:$F,6,0)</f>
        <v>0</v>
      </c>
    </row>
    <row r="111" spans="1:24" ht="15" customHeight="1">
      <c r="A111" s="1052" t="s">
        <v>844</v>
      </c>
      <c r="B111" s="1052" t="s">
        <v>1487</v>
      </c>
      <c r="C111" s="1054">
        <v>-57100</v>
      </c>
      <c r="D111" s="1054">
        <v>-1875</v>
      </c>
      <c r="E111" s="1054">
        <v>-58975</v>
      </c>
      <c r="F111" s="1052" t="s">
        <v>816</v>
      </c>
      <c r="G111" s="1052" t="s">
        <v>841</v>
      </c>
      <c r="H111" s="1031"/>
      <c r="I111" s="1032"/>
      <c r="J111" s="1032"/>
      <c r="K111" s="1032"/>
      <c r="L111" s="653" t="str">
        <f t="shared" si="67"/>
        <v>1403</v>
      </c>
      <c r="M111" s="654" t="str">
        <f t="shared" si="0"/>
        <v>BRUISING VOLKS VEH. NEUFS</v>
      </c>
      <c r="N111" s="655">
        <f>+IF(OR($Q111=Parametres!$G$2,$Q111=Parametres!$G$3),I111,C111)</f>
        <v>-57100</v>
      </c>
      <c r="O111" s="655">
        <f>+IF(OR($Q111=Parametres!$G$2,$Q111=Parametres!$G$3),J111,D111)</f>
        <v>-1875</v>
      </c>
      <c r="P111" s="655">
        <f>+IF(OR($Q111=Parametres!$G$2,$Q111=Parametres!$G$3),K111,E111)</f>
        <v>-58975</v>
      </c>
      <c r="Q111" s="654" t="str">
        <f t="shared" ref="Q111:S111" si="112">+F111</f>
        <v>2-Actifs</v>
      </c>
      <c r="R111" s="653" t="str">
        <f t="shared" si="112"/>
        <v>1402</v>
      </c>
      <c r="S111" s="654">
        <f t="shared" si="112"/>
        <v>0</v>
      </c>
      <c r="T111" s="656" t="str">
        <f>+VLOOKUP($L111,Data_Validation!$A:$D,1,0)</f>
        <v>1403</v>
      </c>
      <c r="U111" s="656" t="str">
        <f>+VLOOKUP($L111,Data_Validation!$A:$D,3,0)</f>
        <v>Bilan</v>
      </c>
      <c r="V111" s="656" t="str">
        <f>+VLOOKUP($L111,Data_Validation!$A:$D,4,0)</f>
        <v>Inventaire Véhicules Neufs</v>
      </c>
      <c r="W111" s="656" t="str">
        <f>+VLOOKUP($L111,Data_Validation!$A:$E,5,0)</f>
        <v>$</v>
      </c>
      <c r="X111" s="656">
        <f>+VLOOKUP($L111,Data_Validation!$A:$F,6,0)</f>
        <v>0</v>
      </c>
    </row>
    <row r="112" spans="1:24" ht="15" customHeight="1">
      <c r="A112" s="1052" t="s">
        <v>845</v>
      </c>
      <c r="B112" s="1052" t="s">
        <v>846</v>
      </c>
      <c r="C112" s="1054">
        <v>-5312</v>
      </c>
      <c r="D112" s="1054">
        <v>-2400</v>
      </c>
      <c r="E112" s="1054">
        <v>-7712</v>
      </c>
      <c r="F112" s="1052" t="s">
        <v>816</v>
      </c>
      <c r="G112" s="1052" t="s">
        <v>846</v>
      </c>
      <c r="H112" s="1031"/>
      <c r="I112" s="1032"/>
      <c r="J112" s="1032"/>
      <c r="K112" s="1032"/>
      <c r="L112" s="653" t="str">
        <f t="shared" si="67"/>
        <v>1413</v>
      </c>
      <c r="M112" s="654" t="str">
        <f t="shared" si="0"/>
        <v>BRUISING USED CAR</v>
      </c>
      <c r="N112" s="655">
        <f>+IF(OR($Q112=Parametres!$G$2,$Q112=Parametres!$G$3),I112,C112)</f>
        <v>-5312</v>
      </c>
      <c r="O112" s="655">
        <f>+IF(OR($Q112=Parametres!$G$2,$Q112=Parametres!$G$3),J112,D112)</f>
        <v>-2400</v>
      </c>
      <c r="P112" s="655">
        <f>+IF(OR($Q112=Parametres!$G$2,$Q112=Parametres!$G$3),K112,E112)</f>
        <v>-7712</v>
      </c>
      <c r="Q112" s="654" t="str">
        <f t="shared" ref="Q112:S112" si="113">+F112</f>
        <v>2-Actifs</v>
      </c>
      <c r="R112" s="653" t="str">
        <f t="shared" si="113"/>
        <v>1413</v>
      </c>
      <c r="S112" s="654">
        <f t="shared" si="113"/>
        <v>0</v>
      </c>
      <c r="T112" s="656" t="str">
        <f>+VLOOKUP($L112,Data_Validation!$A:$D,1,0)</f>
        <v>1413</v>
      </c>
      <c r="U112" s="656" t="str">
        <f>+VLOOKUP($L112,Data_Validation!$A:$D,3,0)</f>
        <v>Bilan</v>
      </c>
      <c r="V112" s="656" t="str">
        <f>+VLOOKUP($L112,Data_Validation!$A:$D,4,0)</f>
        <v>Inventaire Véhicules Usagés</v>
      </c>
      <c r="W112" s="656" t="str">
        <f>+VLOOKUP($L112,Data_Validation!$A:$E,5,0)</f>
        <v>$</v>
      </c>
      <c r="X112" s="656">
        <f>+VLOOKUP($L112,Data_Validation!$A:$F,6,0)</f>
        <v>0</v>
      </c>
    </row>
    <row r="113" spans="1:24" ht="15.75" customHeight="1">
      <c r="A113" s="1052" t="s">
        <v>847</v>
      </c>
      <c r="B113" s="1052" t="s">
        <v>848</v>
      </c>
      <c r="C113" s="1054">
        <v>2836520.29</v>
      </c>
      <c r="D113" s="1054">
        <v>-348389.8</v>
      </c>
      <c r="E113" s="1054">
        <v>2488130.4900000002</v>
      </c>
      <c r="F113" s="1052" t="s">
        <v>816</v>
      </c>
      <c r="G113" s="1052" t="s">
        <v>848</v>
      </c>
      <c r="H113" s="1031"/>
      <c r="I113" s="1032"/>
      <c r="J113" s="1032"/>
      <c r="K113" s="1032"/>
      <c r="L113" s="653" t="str">
        <f t="shared" si="67"/>
        <v>1416</v>
      </c>
      <c r="M113" s="654" t="str">
        <f t="shared" si="0"/>
        <v>INV. VEH. USAGE VW</v>
      </c>
      <c r="N113" s="655">
        <f>+IF(OR($Q113=Parametres!$G$2,$Q113=Parametres!$G$3),I113,C113)</f>
        <v>2836520.29</v>
      </c>
      <c r="O113" s="659">
        <f>+IF(OR($Q113=Parametres!$G$2,$Q113=Parametres!$G$3),J113,D113)</f>
        <v>-348389.8</v>
      </c>
      <c r="P113" s="655">
        <f>+IF(OR($Q113=Parametres!$G$2,$Q113=Parametres!$G$3),K113,E113)</f>
        <v>2488130.4900000002</v>
      </c>
      <c r="Q113" s="654" t="str">
        <f t="shared" ref="Q113:S113" si="114">+F113</f>
        <v>2-Actifs</v>
      </c>
      <c r="R113" s="653" t="str">
        <f t="shared" si="114"/>
        <v>1416</v>
      </c>
      <c r="S113" s="654">
        <f t="shared" si="114"/>
        <v>0</v>
      </c>
      <c r="T113" s="656" t="str">
        <f>+VLOOKUP($L113,Data_Validation!$A:$D,1,0)</f>
        <v>1416</v>
      </c>
      <c r="U113" s="656" t="str">
        <f>+VLOOKUP($L113,Data_Validation!$A:$D,3,0)</f>
        <v>Bilan</v>
      </c>
      <c r="V113" s="656" t="str">
        <f>+VLOOKUP($L113,Data_Validation!$A:$D,4,0)</f>
        <v>Inventaire Véhicules Usagés</v>
      </c>
      <c r="W113" s="656" t="str">
        <f>+VLOOKUP($L113,Data_Validation!$A:$E,5,0)</f>
        <v>$</v>
      </c>
      <c r="X113" s="656">
        <f>+VLOOKUP($L113,Data_Validation!$A:$F,6,0)</f>
        <v>0</v>
      </c>
    </row>
    <row r="114" spans="1:24" ht="15" customHeight="1">
      <c r="A114" s="1052" t="s">
        <v>851</v>
      </c>
      <c r="B114" s="1052" t="s">
        <v>852</v>
      </c>
      <c r="C114" s="1054">
        <v>-11095.25</v>
      </c>
      <c r="D114" s="1054">
        <v>-7064.46</v>
      </c>
      <c r="E114" s="1054">
        <v>-18159.71</v>
      </c>
      <c r="F114" s="1052" t="s">
        <v>816</v>
      </c>
      <c r="G114" s="1052" t="s">
        <v>852</v>
      </c>
      <c r="H114" s="1031"/>
      <c r="I114" s="1032"/>
      <c r="J114" s="1032"/>
      <c r="K114" s="1032"/>
      <c r="L114" s="653" t="str">
        <f t="shared" si="67"/>
        <v>1423</v>
      </c>
      <c r="M114" s="668" t="str">
        <f t="shared" si="0"/>
        <v>RESERVE DEMO</v>
      </c>
      <c r="N114" s="655">
        <f>+IF(OR($Q114=Parametres!$G$2,$Q114=Parametres!$G$3),I114,C114)</f>
        <v>-11095.25</v>
      </c>
      <c r="O114" s="712">
        <f>+IF(OR($Q114=Parametres!$G$2,$Q114=Parametres!$G$3),J114,D114)</f>
        <v>-7064.46</v>
      </c>
      <c r="P114" s="669">
        <f>+IF(OR($Q114=Parametres!$G$2,$Q114=Parametres!$G$3),K114,E114)</f>
        <v>-18159.71</v>
      </c>
      <c r="Q114" s="654" t="str">
        <f t="shared" ref="Q114:S114" si="115">+F114</f>
        <v>2-Actifs</v>
      </c>
      <c r="R114" s="653" t="str">
        <f t="shared" si="115"/>
        <v>1423</v>
      </c>
      <c r="S114" s="654">
        <f t="shared" si="115"/>
        <v>0</v>
      </c>
      <c r="T114" s="656" t="str">
        <f>+VLOOKUP($L114,Data_Validation!$A:$D,1,0)</f>
        <v>1423</v>
      </c>
      <c r="U114" s="656" t="str">
        <f>+VLOOKUP($L114,Data_Validation!$A:$D,3,0)</f>
        <v>Bilan</v>
      </c>
      <c r="V114" s="656" t="str">
        <f>+VLOOKUP($L114,Data_Validation!$A:$D,4,0)</f>
        <v>Inventaire Véhicules Neufs</v>
      </c>
      <c r="W114" s="656" t="str">
        <f>+VLOOKUP($L114,Data_Validation!$A:$E,5,0)</f>
        <v>$</v>
      </c>
      <c r="X114" s="656">
        <f>+VLOOKUP($L114,Data_Validation!$A:$F,6,0)</f>
        <v>0</v>
      </c>
    </row>
    <row r="115" spans="1:24" ht="15" customHeight="1">
      <c r="A115" s="1052" t="s">
        <v>853</v>
      </c>
      <c r="B115" s="1052" t="s">
        <v>3366</v>
      </c>
      <c r="C115" s="1054">
        <v>-36318.639999999999</v>
      </c>
      <c r="D115" s="1054">
        <v>6920.62</v>
      </c>
      <c r="E115" s="1054">
        <v>-29398.02</v>
      </c>
      <c r="F115" s="1052" t="s">
        <v>816</v>
      </c>
      <c r="G115" s="1052" t="s">
        <v>854</v>
      </c>
      <c r="H115" s="1031"/>
      <c r="I115" s="1032"/>
      <c r="J115" s="1032"/>
      <c r="K115" s="1032"/>
      <c r="L115" s="653" t="str">
        <f t="shared" si="67"/>
        <v>1433</v>
      </c>
      <c r="M115" s="654" t="str">
        <f t="shared" si="0"/>
        <v>RESERVE COURTOISIE</v>
      </c>
      <c r="N115" s="655">
        <f>+IF(OR($Q115=Parametres!$G$2,$Q115=Parametres!$G$3),I115,C115)</f>
        <v>-36318.639999999999</v>
      </c>
      <c r="O115" s="655">
        <f>+IF(OR($Q115=Parametres!$G$2,$Q115=Parametres!$G$3),J115,D115)</f>
        <v>6920.62</v>
      </c>
      <c r="P115" s="655">
        <f>+IF(OR($Q115=Parametres!$G$2,$Q115=Parametres!$G$3),K115,E115)</f>
        <v>-29398.02</v>
      </c>
      <c r="Q115" s="654" t="str">
        <f t="shared" ref="Q115:S115" si="116">+F115</f>
        <v>2-Actifs</v>
      </c>
      <c r="R115" s="653" t="str">
        <f t="shared" si="116"/>
        <v>143</v>
      </c>
      <c r="S115" s="654">
        <f t="shared" si="116"/>
        <v>0</v>
      </c>
      <c r="T115" s="671" t="str">
        <f>+VLOOKUP($L115,Data_Validation!$A:$D,1,0)</f>
        <v>1433</v>
      </c>
      <c r="U115" s="656" t="str">
        <f>+VLOOKUP($L115,Data_Validation!$A:$D,3,0)</f>
        <v>Bilan</v>
      </c>
      <c r="V115" s="656" t="str">
        <f>+VLOOKUP($L115,Data_Validation!$A:$D,4,0)</f>
        <v>Inventaire Véhicules Neufs</v>
      </c>
      <c r="W115" s="656" t="str">
        <f>+VLOOKUP($L115,Data_Validation!$A:$E,5,0)</f>
        <v>$</v>
      </c>
      <c r="X115" s="656">
        <f>+VLOOKUP($L115,Data_Validation!$A:$F,6,0)</f>
        <v>0</v>
      </c>
    </row>
    <row r="116" spans="1:24" ht="15" customHeight="1">
      <c r="A116" s="1052" t="s">
        <v>855</v>
      </c>
      <c r="B116" s="1052" t="s">
        <v>856</v>
      </c>
      <c r="C116" s="1054">
        <v>65871.789999999994</v>
      </c>
      <c r="D116" s="1054">
        <v>-10711.08</v>
      </c>
      <c r="E116" s="1054">
        <v>55160.71</v>
      </c>
      <c r="F116" s="1052" t="s">
        <v>816</v>
      </c>
      <c r="G116" s="1052" t="s">
        <v>856</v>
      </c>
      <c r="H116" s="1031"/>
      <c r="I116" s="1032"/>
      <c r="J116" s="1032"/>
      <c r="K116" s="1032"/>
      <c r="L116" s="653" t="str">
        <f t="shared" si="67"/>
        <v>1442</v>
      </c>
      <c r="M116" s="654" t="str">
        <f t="shared" si="0"/>
        <v>PIECES &amp; ACCESSOIRES NEUFS</v>
      </c>
      <c r="N116" s="655">
        <f>+IF(OR($Q116=Parametres!$G$2,$Q116=Parametres!$G$3),I116,C116)</f>
        <v>65871.789999999994</v>
      </c>
      <c r="O116" s="655">
        <f>+IF(OR($Q116=Parametres!$G$2,$Q116=Parametres!$G$3),J116,D116)</f>
        <v>-10711.08</v>
      </c>
      <c r="P116" s="655">
        <f>+IF(OR($Q116=Parametres!$G$2,$Q116=Parametres!$G$3),K116,E116)</f>
        <v>55160.71</v>
      </c>
      <c r="Q116" s="654" t="str">
        <f t="shared" ref="Q116:S116" si="117">+F116</f>
        <v>2-Actifs</v>
      </c>
      <c r="R116" s="653" t="str">
        <f t="shared" si="117"/>
        <v>1442</v>
      </c>
      <c r="S116" s="654">
        <f t="shared" si="117"/>
        <v>0</v>
      </c>
      <c r="T116" s="656" t="str">
        <f>+VLOOKUP($L116,Data_Validation!$A:$D,1,0)</f>
        <v>1442</v>
      </c>
      <c r="U116" s="656" t="str">
        <f>+VLOOKUP($L116,Data_Validation!$A:$D,3,0)</f>
        <v>Bilan</v>
      </c>
      <c r="V116" s="656" t="str">
        <f>+VLOOKUP($L116,Data_Validation!$A:$D,4,0)</f>
        <v>Inventaire Pièces, Pneus, Huile</v>
      </c>
      <c r="W116" s="656" t="str">
        <f>+VLOOKUP($L116,Data_Validation!$A:$E,5,0)</f>
        <v>$</v>
      </c>
      <c r="X116" s="656">
        <f>+VLOOKUP($L116,Data_Validation!$A:$F,6,0)</f>
        <v>0</v>
      </c>
    </row>
    <row r="117" spans="1:24" ht="15.75" customHeight="1">
      <c r="A117" s="1052" t="s">
        <v>857</v>
      </c>
      <c r="B117" s="1052" t="s">
        <v>3367</v>
      </c>
      <c r="C117" s="1054">
        <v>346.5</v>
      </c>
      <c r="D117" s="1054">
        <v>-346.5</v>
      </c>
      <c r="E117" s="1054">
        <v>0</v>
      </c>
      <c r="F117" s="1052" t="s">
        <v>816</v>
      </c>
      <c r="G117" s="1052" t="s">
        <v>856</v>
      </c>
      <c r="H117" s="1031"/>
      <c r="I117" s="1032"/>
      <c r="J117" s="1032"/>
      <c r="K117" s="1032"/>
      <c r="L117" s="653" t="str">
        <f t="shared" si="67"/>
        <v>1448</v>
      </c>
      <c r="M117" s="668" t="str">
        <f t="shared" si="0"/>
        <v>AUTRES MARQUES P&amp;A</v>
      </c>
      <c r="N117" s="655">
        <f>+IF(OR($Q117=Parametres!$G$2,$Q117=Parametres!$G$3),I117,C117)</f>
        <v>346.5</v>
      </c>
      <c r="O117" s="712">
        <f>+IF(OR($Q117=Parametres!$G$2,$Q117=Parametres!$G$3),J117,D117)</f>
        <v>-346.5</v>
      </c>
      <c r="P117" s="669">
        <f>+IF(OR($Q117=Parametres!$G$2,$Q117=Parametres!$G$3),K117,E117)</f>
        <v>0</v>
      </c>
      <c r="Q117" s="654" t="str">
        <f t="shared" ref="Q117:S117" si="118">+F117</f>
        <v>2-Actifs</v>
      </c>
      <c r="R117" s="653" t="str">
        <f t="shared" si="118"/>
        <v>1442</v>
      </c>
      <c r="S117" s="654">
        <f t="shared" si="118"/>
        <v>0</v>
      </c>
      <c r="T117" s="656" t="str">
        <f>+VLOOKUP($L117,Data_Validation!$A:$D,1,0)</f>
        <v>1448</v>
      </c>
      <c r="U117" s="656" t="str">
        <f>+VLOOKUP($L117,Data_Validation!$A:$D,3,0)</f>
        <v>Bilan</v>
      </c>
      <c r="V117" s="656" t="str">
        <f>+VLOOKUP($L117,Data_Validation!$A:$D,4,0)</f>
        <v>Inventaire Pièces, Pneus, Huile</v>
      </c>
      <c r="W117" s="656" t="str">
        <f>+VLOOKUP($L117,Data_Validation!$A:$E,5,0)</f>
        <v>$</v>
      </c>
      <c r="X117" s="656">
        <f>+VLOOKUP($L117,Data_Validation!$A:$F,6,0)</f>
        <v>0</v>
      </c>
    </row>
    <row r="118" spans="1:24" ht="15" customHeight="1">
      <c r="A118" s="1052" t="s">
        <v>858</v>
      </c>
      <c r="B118" s="1052" t="s">
        <v>1498</v>
      </c>
      <c r="C118" s="1054">
        <v>184295.38</v>
      </c>
      <c r="D118" s="1054">
        <v>6291.44</v>
      </c>
      <c r="E118" s="1054">
        <v>190586.82</v>
      </c>
      <c r="F118" s="1052" t="s">
        <v>816</v>
      </c>
      <c r="G118" s="1052" t="s">
        <v>856</v>
      </c>
      <c r="H118" s="1031"/>
      <c r="I118" s="1032"/>
      <c r="J118" s="1032"/>
      <c r="K118" s="1032"/>
      <c r="L118" s="653" t="str">
        <f t="shared" si="67"/>
        <v>1452</v>
      </c>
      <c r="M118" s="654" t="str">
        <f t="shared" si="0"/>
        <v>PNEUS</v>
      </c>
      <c r="N118" s="655">
        <f>+IF(OR($Q118=Parametres!$G$2,$Q118=Parametres!$G$3),I118,C118)</f>
        <v>184295.38</v>
      </c>
      <c r="O118" s="659">
        <f>+IF(OR($Q118=Parametres!$G$2,$Q118=Parametres!$G$3),J118,D118)</f>
        <v>6291.44</v>
      </c>
      <c r="P118" s="655">
        <f>+IF(OR($Q118=Parametres!$G$2,$Q118=Parametres!$G$3),K118,E118)</f>
        <v>190586.82</v>
      </c>
      <c r="Q118" s="654" t="str">
        <f t="shared" ref="Q118:S118" si="119">+F118</f>
        <v>2-Actifs</v>
      </c>
      <c r="R118" s="653" t="str">
        <f t="shared" si="119"/>
        <v>1442</v>
      </c>
      <c r="S118" s="654">
        <f t="shared" si="119"/>
        <v>0</v>
      </c>
      <c r="T118" s="656" t="str">
        <f>+VLOOKUP($L118,Data_Validation!$A:$D,1,0)</f>
        <v>1452</v>
      </c>
      <c r="U118" s="656" t="str">
        <f>+VLOOKUP($L118,Data_Validation!$A:$D,3,0)</f>
        <v>Bilan</v>
      </c>
      <c r="V118" s="656" t="str">
        <f>+VLOOKUP($L118,Data_Validation!$A:$D,4,0)</f>
        <v>Inventaire Pièces, Pneus, Huile</v>
      </c>
      <c r="W118" s="656" t="str">
        <f>+VLOOKUP($L118,Data_Validation!$A:$E,5,0)</f>
        <v>$</v>
      </c>
      <c r="X118" s="656">
        <f>+VLOOKUP($L118,Data_Validation!$A:$F,6,0)</f>
        <v>0</v>
      </c>
    </row>
    <row r="119" spans="1:24" ht="15" customHeight="1">
      <c r="A119" s="1052" t="s">
        <v>859</v>
      </c>
      <c r="B119" s="1052" t="s">
        <v>860</v>
      </c>
      <c r="C119" s="1054">
        <v>87436.52</v>
      </c>
      <c r="D119" s="1054">
        <v>4161.88</v>
      </c>
      <c r="E119" s="1054">
        <v>91598.399999999994</v>
      </c>
      <c r="F119" s="1052" t="s">
        <v>816</v>
      </c>
      <c r="G119" s="1052" t="s">
        <v>860</v>
      </c>
      <c r="H119" s="1031"/>
      <c r="I119" s="1032"/>
      <c r="J119" s="1032"/>
      <c r="K119" s="1032"/>
      <c r="L119" s="653" t="str">
        <f t="shared" si="67"/>
        <v>1456</v>
      </c>
      <c r="M119" s="654" t="str">
        <f t="shared" si="0"/>
        <v>PIECES VW NON ORIGINE</v>
      </c>
      <c r="N119" s="655">
        <f>+IF(OR($Q119=Parametres!$G$2,$Q119=Parametres!$G$3),I119,C119)</f>
        <v>87436.52</v>
      </c>
      <c r="O119" s="659">
        <f>+IF(OR($Q119=Parametres!$G$2,$Q119=Parametres!$G$3),J119,D119)</f>
        <v>4161.88</v>
      </c>
      <c r="P119" s="655">
        <f>+IF(OR($Q119=Parametres!$G$2,$Q119=Parametres!$G$3),K119,E119)</f>
        <v>91598.399999999994</v>
      </c>
      <c r="Q119" s="654" t="str">
        <f t="shared" ref="Q119:S119" si="120">+F119</f>
        <v>2-Actifs</v>
      </c>
      <c r="R119" s="653" t="str">
        <f t="shared" si="120"/>
        <v>1456</v>
      </c>
      <c r="S119" s="654">
        <f t="shared" si="120"/>
        <v>0</v>
      </c>
      <c r="T119" s="656" t="str">
        <f>+VLOOKUP($L119,Data_Validation!$A:$D,1,0)</f>
        <v>1456</v>
      </c>
      <c r="U119" s="656" t="str">
        <f>+VLOOKUP($L119,Data_Validation!$A:$D,3,0)</f>
        <v>Bilan</v>
      </c>
      <c r="V119" s="656" t="str">
        <f>+VLOOKUP($L119,Data_Validation!$A:$D,4,0)</f>
        <v>Inventaire Pièces, Pneus, Huile</v>
      </c>
      <c r="W119" s="656" t="str">
        <f>+VLOOKUP($L119,Data_Validation!$A:$E,5,0)</f>
        <v>$</v>
      </c>
      <c r="X119" s="656">
        <f>+VLOOKUP($L119,Data_Validation!$A:$F,6,0)</f>
        <v>0</v>
      </c>
    </row>
    <row r="120" spans="1:24" ht="15" customHeight="1">
      <c r="A120" s="1052" t="s">
        <v>861</v>
      </c>
      <c r="B120" s="1052" t="s">
        <v>862</v>
      </c>
      <c r="C120" s="1054">
        <v>6332.7</v>
      </c>
      <c r="D120" s="1054">
        <v>3466.3</v>
      </c>
      <c r="E120" s="1054">
        <v>9799</v>
      </c>
      <c r="F120" s="1052" t="s">
        <v>816</v>
      </c>
      <c r="G120" s="1052" t="s">
        <v>862</v>
      </c>
      <c r="H120" s="1031"/>
      <c r="I120" s="1032"/>
      <c r="J120" s="1032"/>
      <c r="K120" s="1032"/>
      <c r="L120" s="653" t="str">
        <f t="shared" si="67"/>
        <v>1472</v>
      </c>
      <c r="M120" s="654" t="str">
        <f t="shared" si="0"/>
        <v>WIP M-O VW</v>
      </c>
      <c r="N120" s="655">
        <f>+IF(OR($Q120=Parametres!$G$2,$Q120=Parametres!$G$3),I120,C120)</f>
        <v>6332.7</v>
      </c>
      <c r="O120" s="655">
        <f>+IF(OR($Q120=Parametres!$G$2,$Q120=Parametres!$G$3),J120,D120)</f>
        <v>3466.3</v>
      </c>
      <c r="P120" s="655">
        <f>+IF(OR($Q120=Parametres!$G$2,$Q120=Parametres!$G$3),K120,E120)</f>
        <v>9799</v>
      </c>
      <c r="Q120" s="654" t="str">
        <f t="shared" ref="Q120:S120" si="121">+F120</f>
        <v>2-Actifs</v>
      </c>
      <c r="R120" s="653" t="str">
        <f t="shared" si="121"/>
        <v>1472</v>
      </c>
      <c r="S120" s="654">
        <f t="shared" si="121"/>
        <v>0</v>
      </c>
      <c r="T120" s="656" t="str">
        <f>+VLOOKUP($L120,Data_Validation!$A:$D,1,0)</f>
        <v>1472</v>
      </c>
      <c r="U120" s="656" t="str">
        <f>+VLOOKUP($L120,Data_Validation!$A:$D,3,0)</f>
        <v>Bilan</v>
      </c>
      <c r="V120" s="656" t="str">
        <f>+VLOOKUP($L120,Data_Validation!$A:$D,4,0)</f>
        <v>Travaux en Cours</v>
      </c>
      <c r="W120" s="656" t="str">
        <f>+VLOOKUP($L120,Data_Validation!$A:$E,5,0)</f>
        <v>$</v>
      </c>
      <c r="X120" s="656">
        <f>+VLOOKUP($L120,Data_Validation!$A:$F,6,0)</f>
        <v>0</v>
      </c>
    </row>
    <row r="121" spans="1:24" ht="15" customHeight="1">
      <c r="A121" s="1052" t="s">
        <v>863</v>
      </c>
      <c r="B121" s="1052" t="s">
        <v>1505</v>
      </c>
      <c r="C121" s="1054">
        <v>2533.04</v>
      </c>
      <c r="D121" s="1054">
        <v>4139.5600000000004</v>
      </c>
      <c r="E121" s="1054">
        <v>6672.6</v>
      </c>
      <c r="F121" s="1052" t="s">
        <v>816</v>
      </c>
      <c r="G121" s="1052" t="s">
        <v>862</v>
      </c>
      <c r="H121" s="1031"/>
      <c r="I121" s="1032"/>
      <c r="J121" s="1032"/>
      <c r="K121" s="1032"/>
      <c r="L121" s="653" t="str">
        <f t="shared" si="67"/>
        <v>1474</v>
      </c>
      <c r="M121" s="654" t="str">
        <f t="shared" si="0"/>
        <v>INVENTAIRE SOUS-TRAITANTS</v>
      </c>
      <c r="N121" s="655">
        <f>+IF(OR($Q121=Parametres!$G$2,$Q121=Parametres!$G$3),I121,C121)</f>
        <v>2533.04</v>
      </c>
      <c r="O121" s="655">
        <f>+IF(OR($Q121=Parametres!$G$2,$Q121=Parametres!$G$3),J121,D121)</f>
        <v>4139.5600000000004</v>
      </c>
      <c r="P121" s="655">
        <f>+IF(OR($Q121=Parametres!$G$2,$Q121=Parametres!$G$3),K121,E121)</f>
        <v>6672.6</v>
      </c>
      <c r="Q121" s="654" t="str">
        <f t="shared" ref="Q121:S121" si="122">+F121</f>
        <v>2-Actifs</v>
      </c>
      <c r="R121" s="653" t="str">
        <f t="shared" si="122"/>
        <v>1472</v>
      </c>
      <c r="S121" s="654">
        <f t="shared" si="122"/>
        <v>0</v>
      </c>
      <c r="T121" s="656" t="str">
        <f>+VLOOKUP($L121,Data_Validation!$A:$D,1,0)</f>
        <v>1474</v>
      </c>
      <c r="U121" s="656" t="str">
        <f>+VLOOKUP($L121,Data_Validation!$A:$D,3,0)</f>
        <v>Bilan</v>
      </c>
      <c r="V121" s="656" t="str">
        <f>+VLOOKUP($L121,Data_Validation!$A:$D,4,0)</f>
        <v>Sous-Traitance</v>
      </c>
      <c r="W121" s="656" t="str">
        <f>+VLOOKUP($L121,Data_Validation!$A:$E,5,0)</f>
        <v>$</v>
      </c>
      <c r="X121" s="656">
        <f>+VLOOKUP($L121,Data_Validation!$A:$F,6,0)</f>
        <v>0</v>
      </c>
    </row>
    <row r="122" spans="1:24" ht="15" customHeight="1">
      <c r="A122" s="1052" t="s">
        <v>864</v>
      </c>
      <c r="B122" s="1052" t="s">
        <v>1508</v>
      </c>
      <c r="C122" s="1054">
        <v>1932.59</v>
      </c>
      <c r="D122" s="1054">
        <v>15309.97</v>
      </c>
      <c r="E122" s="1054">
        <v>17242.560000000001</v>
      </c>
      <c r="F122" s="1052" t="s">
        <v>816</v>
      </c>
      <c r="G122" s="1052" t="s">
        <v>856</v>
      </c>
      <c r="H122" s="1031"/>
      <c r="I122" s="1032"/>
      <c r="J122" s="1032"/>
      <c r="K122" s="1032"/>
      <c r="L122" s="653" t="str">
        <f t="shared" si="67"/>
        <v>1492</v>
      </c>
      <c r="M122" s="654" t="str">
        <f t="shared" si="0"/>
        <v>CARBURANT, HUILE, GRAISSE</v>
      </c>
      <c r="N122" s="655">
        <f>+IF(OR($Q122=Parametres!$G$2,$Q122=Parametres!$G$3),I122,C122)</f>
        <v>1932.59</v>
      </c>
      <c r="O122" s="655">
        <f>+IF(OR($Q122=Parametres!$G$2,$Q122=Parametres!$G$3),J122,D122)</f>
        <v>15309.97</v>
      </c>
      <c r="P122" s="655">
        <f>+IF(OR($Q122=Parametres!$G$2,$Q122=Parametres!$G$3),K122,E122)</f>
        <v>17242.560000000001</v>
      </c>
      <c r="Q122" s="654" t="str">
        <f t="shared" ref="Q122:S122" si="123">+F122</f>
        <v>2-Actifs</v>
      </c>
      <c r="R122" s="653" t="str">
        <f t="shared" si="123"/>
        <v>1442</v>
      </c>
      <c r="S122" s="654">
        <f t="shared" si="123"/>
        <v>0</v>
      </c>
      <c r="T122" s="656" t="str">
        <f>+VLOOKUP($L122,Data_Validation!$A:$D,1,0)</f>
        <v>1492</v>
      </c>
      <c r="U122" s="656" t="str">
        <f>+VLOOKUP($L122,Data_Validation!$A:$D,3,0)</f>
        <v>Bilan</v>
      </c>
      <c r="V122" s="656" t="str">
        <f>+VLOOKUP($L122,Data_Validation!$A:$D,4,0)</f>
        <v>Inventaire Pièces, Pneus, Huile</v>
      </c>
      <c r="W122" s="656" t="str">
        <f>+VLOOKUP($L122,Data_Validation!$A:$E,5,0)</f>
        <v>$</v>
      </c>
      <c r="X122" s="656">
        <f>+VLOOKUP($L122,Data_Validation!$A:$F,6,0)</f>
        <v>0</v>
      </c>
    </row>
    <row r="123" spans="1:24" ht="15.75" customHeight="1">
      <c r="A123" s="1052" t="s">
        <v>865</v>
      </c>
      <c r="B123" s="1052" t="s">
        <v>866</v>
      </c>
      <c r="C123" s="1054">
        <v>47.1</v>
      </c>
      <c r="D123" s="1054">
        <v>0</v>
      </c>
      <c r="E123" s="1054">
        <v>47.1</v>
      </c>
      <c r="F123" s="1052" t="s">
        <v>816</v>
      </c>
      <c r="G123" s="1052" t="s">
        <v>866</v>
      </c>
      <c r="H123" s="1031"/>
      <c r="I123" s="1032"/>
      <c r="J123" s="1032"/>
      <c r="K123" s="1032"/>
      <c r="L123" s="653" t="str">
        <f t="shared" si="67"/>
        <v>1498</v>
      </c>
      <c r="M123" s="654" t="str">
        <f t="shared" si="0"/>
        <v>AUTRES INVENTAIRES</v>
      </c>
      <c r="N123" s="655">
        <f>+IF(OR($Q123=Parametres!$G$2,$Q123=Parametres!$G$3),I123,C123)</f>
        <v>47.1</v>
      </c>
      <c r="O123" s="655">
        <f>+IF(OR($Q123=Parametres!$G$2,$Q123=Parametres!$G$3),J123,D123)</f>
        <v>0</v>
      </c>
      <c r="P123" s="655">
        <f>+IF(OR($Q123=Parametres!$G$2,$Q123=Parametres!$G$3),K123,E123)</f>
        <v>47.1</v>
      </c>
      <c r="Q123" s="654" t="str">
        <f t="shared" ref="Q123:S123" si="124">+F123</f>
        <v>2-Actifs</v>
      </c>
      <c r="R123" s="653" t="str">
        <f t="shared" si="124"/>
        <v>1498</v>
      </c>
      <c r="S123" s="654">
        <f t="shared" si="124"/>
        <v>0</v>
      </c>
      <c r="T123" s="656" t="str">
        <f>+VLOOKUP($L123,Data_Validation!$A:$D,1,0)</f>
        <v>1498</v>
      </c>
      <c r="U123" s="656" t="str">
        <f>+VLOOKUP($L123,Data_Validation!$A:$D,3,0)</f>
        <v>Bilan</v>
      </c>
      <c r="V123" s="656" t="str">
        <f>+VLOOKUP($L123,Data_Validation!$A:$D,4,0)</f>
        <v>Inventaire Pièces, Pneus, Huile</v>
      </c>
      <c r="W123" s="656" t="str">
        <f>+VLOOKUP($L123,Data_Validation!$A:$E,5,0)</f>
        <v>$</v>
      </c>
      <c r="X123" s="656">
        <f>+VLOOKUP($L123,Data_Validation!$A:$F,6,0)</f>
        <v>0</v>
      </c>
    </row>
    <row r="124" spans="1:24" ht="15" customHeight="1">
      <c r="A124" s="1052" t="s">
        <v>867</v>
      </c>
      <c r="B124" s="1052" t="s">
        <v>1513</v>
      </c>
      <c r="C124" s="1054">
        <v>2228.83</v>
      </c>
      <c r="D124" s="1054">
        <v>-148.26</v>
      </c>
      <c r="E124" s="1054">
        <v>2080.5700000000002</v>
      </c>
      <c r="F124" s="1052" t="s">
        <v>816</v>
      </c>
      <c r="G124" s="1052" t="s">
        <v>868</v>
      </c>
      <c r="H124" s="1031"/>
      <c r="I124" s="1032"/>
      <c r="J124" s="1032"/>
      <c r="K124" s="1032"/>
      <c r="L124" s="653" t="str">
        <f t="shared" si="67"/>
        <v>1502</v>
      </c>
      <c r="M124" s="654" t="str">
        <f t="shared" si="0"/>
        <v>FPA PUB.VEHICULES NEUFS</v>
      </c>
      <c r="N124" s="655">
        <f>+IF(OR($Q124=Parametres!$G$2,$Q124=Parametres!$G$3),I124,C124)</f>
        <v>2228.83</v>
      </c>
      <c r="O124" s="655">
        <f>+IF(OR($Q124=Parametres!$G$2,$Q124=Parametres!$G$3),J124,D124)</f>
        <v>-148.26</v>
      </c>
      <c r="P124" s="655">
        <f>+IF(OR($Q124=Parametres!$G$2,$Q124=Parametres!$G$3),K124,E124)</f>
        <v>2080.5700000000002</v>
      </c>
      <c r="Q124" s="654" t="str">
        <f t="shared" ref="Q124:S124" si="125">+F124</f>
        <v>2-Actifs</v>
      </c>
      <c r="R124" s="653" t="str">
        <f t="shared" si="125"/>
        <v>1500</v>
      </c>
      <c r="S124" s="654">
        <f t="shared" si="125"/>
        <v>0</v>
      </c>
      <c r="T124" s="656" t="str">
        <f>+VLOOKUP($L124,Data_Validation!$A:$D,1,0)</f>
        <v>1502</v>
      </c>
      <c r="U124" s="656" t="str">
        <f>+VLOOKUP($L124,Data_Validation!$A:$D,3,0)</f>
        <v>Bilan</v>
      </c>
      <c r="V124" s="656" t="str">
        <f>+VLOOKUP($L124,Data_Validation!$A:$D,4,0)</f>
        <v>Frais Payés d'Avance</v>
      </c>
      <c r="W124" s="656" t="str">
        <f>+VLOOKUP($L124,Data_Validation!$A:$E,5,0)</f>
        <v>$</v>
      </c>
      <c r="X124" s="656">
        <f>+VLOOKUP($L124,Data_Validation!$A:$F,6,0)</f>
        <v>0</v>
      </c>
    </row>
    <row r="125" spans="1:24" ht="15" customHeight="1">
      <c r="A125" s="1052" t="s">
        <v>869</v>
      </c>
      <c r="B125" s="1052" t="s">
        <v>1516</v>
      </c>
      <c r="C125" s="1054">
        <v>47.35</v>
      </c>
      <c r="D125" s="1054">
        <v>86.97</v>
      </c>
      <c r="E125" s="1054">
        <v>134.32</v>
      </c>
      <c r="F125" s="1052" t="s">
        <v>816</v>
      </c>
      <c r="G125" s="1052" t="s">
        <v>868</v>
      </c>
      <c r="H125" s="1031"/>
      <c r="I125" s="1032"/>
      <c r="J125" s="1032"/>
      <c r="K125" s="1032"/>
      <c r="L125" s="653" t="str">
        <f t="shared" si="67"/>
        <v>1504</v>
      </c>
      <c r="M125" s="654" t="str">
        <f t="shared" si="0"/>
        <v>PUBLICITE VEH USAGES</v>
      </c>
      <c r="N125" s="655">
        <f>+IF(OR($Q125=Parametres!$G$2,$Q125=Parametres!$G$3),I125,C125)</f>
        <v>47.35</v>
      </c>
      <c r="O125" s="659">
        <f>+IF(OR($Q125=Parametres!$G$2,$Q125=Parametres!$G$3),J125,D125)</f>
        <v>86.97</v>
      </c>
      <c r="P125" s="655">
        <f>+IF(OR($Q125=Parametres!$G$2,$Q125=Parametres!$G$3),K125,E125)</f>
        <v>134.32</v>
      </c>
      <c r="Q125" s="654" t="str">
        <f t="shared" ref="Q125:S125" si="126">+F125</f>
        <v>2-Actifs</v>
      </c>
      <c r="R125" s="653" t="str">
        <f t="shared" si="126"/>
        <v>1500</v>
      </c>
      <c r="S125" s="654">
        <f t="shared" si="126"/>
        <v>0</v>
      </c>
      <c r="T125" s="656" t="str">
        <f>+VLOOKUP($L125,Data_Validation!$A:$D,1,0)</f>
        <v>1504</v>
      </c>
      <c r="U125" s="656" t="str">
        <f>+VLOOKUP($L125,Data_Validation!$A:$D,3,0)</f>
        <v>Bilan</v>
      </c>
      <c r="V125" s="656" t="str">
        <f>+VLOOKUP($L125,Data_Validation!$A:$D,4,0)</f>
        <v>Frais Payés d'Avance</v>
      </c>
      <c r="W125" s="656" t="str">
        <f>+VLOOKUP($L125,Data_Validation!$A:$E,5,0)</f>
        <v>$</v>
      </c>
      <c r="X125" s="656">
        <f>+VLOOKUP($L125,Data_Validation!$A:$F,6,0)</f>
        <v>0</v>
      </c>
    </row>
    <row r="126" spans="1:24" ht="15" customHeight="1">
      <c r="A126" s="1052" t="s">
        <v>870</v>
      </c>
      <c r="B126" s="1052" t="s">
        <v>1519</v>
      </c>
      <c r="C126" s="1054">
        <v>-19641.759999999998</v>
      </c>
      <c r="D126" s="1054">
        <v>3804.65</v>
      </c>
      <c r="E126" s="1054">
        <v>-15837.11</v>
      </c>
      <c r="F126" s="1052" t="s">
        <v>816</v>
      </c>
      <c r="G126" s="1052" t="s">
        <v>868</v>
      </c>
      <c r="H126" s="1031"/>
      <c r="I126" s="1032"/>
      <c r="J126" s="1032"/>
      <c r="K126" s="1032"/>
      <c r="L126" s="653" t="str">
        <f t="shared" si="67"/>
        <v>1506</v>
      </c>
      <c r="M126" s="654" t="str">
        <f t="shared" si="0"/>
        <v>FPA PUBLICITE SERVICE</v>
      </c>
      <c r="N126" s="655">
        <f>+IF(OR($Q126=Parametres!$G$2,$Q126=Parametres!$G$3),I126,C126)</f>
        <v>-19641.759999999998</v>
      </c>
      <c r="O126" s="659">
        <f>+IF(OR($Q126=Parametres!$G$2,$Q126=Parametres!$G$3),J126,D126)</f>
        <v>3804.65</v>
      </c>
      <c r="P126" s="655">
        <f>+IF(OR($Q126=Parametres!$G$2,$Q126=Parametres!$G$3),K126,E126)</f>
        <v>-15837.11</v>
      </c>
      <c r="Q126" s="654" t="str">
        <f t="shared" ref="Q126:S126" si="127">+F126</f>
        <v>2-Actifs</v>
      </c>
      <c r="R126" s="653" t="str">
        <f t="shared" si="127"/>
        <v>1500</v>
      </c>
      <c r="S126" s="654">
        <f t="shared" si="127"/>
        <v>0</v>
      </c>
      <c r="T126" s="656" t="str">
        <f>+VLOOKUP($L126,Data_Validation!$A:$D,1,0)</f>
        <v>1506</v>
      </c>
      <c r="U126" s="656" t="str">
        <f>+VLOOKUP($L126,Data_Validation!$A:$D,3,0)</f>
        <v>Bilan</v>
      </c>
      <c r="V126" s="656" t="str">
        <f>+VLOOKUP($L126,Data_Validation!$A:$D,4,0)</f>
        <v>Frais Payés d'Avance</v>
      </c>
      <c r="W126" s="656" t="str">
        <f>+VLOOKUP($L126,Data_Validation!$A:$E,5,0)</f>
        <v>$</v>
      </c>
      <c r="X126" s="656">
        <f>+VLOOKUP($L126,Data_Validation!$A:$F,6,0)</f>
        <v>0</v>
      </c>
    </row>
    <row r="127" spans="1:24" ht="15" customHeight="1">
      <c r="A127" s="1052" t="s">
        <v>871</v>
      </c>
      <c r="B127" s="1052" t="s">
        <v>1525</v>
      </c>
      <c r="C127" s="1054">
        <v>1380</v>
      </c>
      <c r="D127" s="1054">
        <v>-70</v>
      </c>
      <c r="E127" s="1054">
        <v>1310</v>
      </c>
      <c r="F127" s="1052" t="s">
        <v>816</v>
      </c>
      <c r="G127" s="1052" t="s">
        <v>868</v>
      </c>
      <c r="H127" s="1031"/>
      <c r="I127" s="1032"/>
      <c r="J127" s="1032"/>
      <c r="K127" s="1032"/>
      <c r="L127" s="653" t="str">
        <f t="shared" si="67"/>
        <v>1510</v>
      </c>
      <c r="M127" s="654" t="str">
        <f t="shared" si="0"/>
        <v>DIAMOND KOTE (NANO)</v>
      </c>
      <c r="N127" s="655">
        <f>+IF(OR($Q127=Parametres!$G$2,$Q127=Parametres!$G$3),I127,C127)</f>
        <v>1380</v>
      </c>
      <c r="O127" s="655">
        <f>+IF(OR($Q127=Parametres!$G$2,$Q127=Parametres!$G$3),J127,D127)</f>
        <v>-70</v>
      </c>
      <c r="P127" s="655">
        <f>+IF(OR($Q127=Parametres!$G$2,$Q127=Parametres!$G$3),K127,E127)</f>
        <v>1310</v>
      </c>
      <c r="Q127" s="654" t="str">
        <f t="shared" ref="Q127:S127" si="128">+F127</f>
        <v>2-Actifs</v>
      </c>
      <c r="R127" s="653" t="str">
        <f t="shared" si="128"/>
        <v>1500</v>
      </c>
      <c r="S127" s="654">
        <f t="shared" si="128"/>
        <v>0</v>
      </c>
      <c r="T127" s="656" t="str">
        <f>+VLOOKUP($L127,Data_Validation!$A:$D,1,0)</f>
        <v>1510</v>
      </c>
      <c r="U127" s="656" t="str">
        <f>+VLOOKUP($L127,Data_Validation!$A:$D,3,0)</f>
        <v>Bilan</v>
      </c>
      <c r="V127" s="656" t="str">
        <f>+VLOOKUP($L127,Data_Validation!$A:$D,4,0)</f>
        <v>Frais Payés d'Avance</v>
      </c>
      <c r="W127" s="656" t="str">
        <f>+VLOOKUP($L127,Data_Validation!$A:$E,5,0)</f>
        <v>$</v>
      </c>
      <c r="X127" s="656">
        <f>+VLOOKUP($L127,Data_Validation!$A:$F,6,0)</f>
        <v>0</v>
      </c>
    </row>
    <row r="128" spans="1:24" ht="15" customHeight="1">
      <c r="A128" s="1052" t="s">
        <v>872</v>
      </c>
      <c r="B128" s="1052" t="s">
        <v>1528</v>
      </c>
      <c r="C128" s="1054">
        <v>8034.43</v>
      </c>
      <c r="D128" s="1054">
        <v>0</v>
      </c>
      <c r="E128" s="1054">
        <v>8034.43</v>
      </c>
      <c r="F128" s="1052" t="s">
        <v>816</v>
      </c>
      <c r="G128" s="1052" t="s">
        <v>868</v>
      </c>
      <c r="H128" s="1031"/>
      <c r="I128" s="1032"/>
      <c r="J128" s="1032"/>
      <c r="K128" s="1032"/>
      <c r="L128" s="653" t="str">
        <f t="shared" si="67"/>
        <v>1520</v>
      </c>
      <c r="M128" s="668" t="str">
        <f t="shared" si="0"/>
        <v>FPA IMMATRICULATION</v>
      </c>
      <c r="N128" s="655">
        <f>+IF(OR($Q128=Parametres!$G$2,$Q128=Parametres!$G$3),I128,C128)</f>
        <v>8034.43</v>
      </c>
      <c r="O128" s="712">
        <f>+IF(OR($Q128=Parametres!$G$2,$Q128=Parametres!$G$3),J128,D128)</f>
        <v>0</v>
      </c>
      <c r="P128" s="669">
        <f>+IF(OR($Q128=Parametres!$G$2,$Q128=Parametres!$G$3),K128,E128)</f>
        <v>8034.43</v>
      </c>
      <c r="Q128" s="654" t="str">
        <f t="shared" ref="Q128:S128" si="129">+F128</f>
        <v>2-Actifs</v>
      </c>
      <c r="R128" s="653" t="str">
        <f t="shared" si="129"/>
        <v>1500</v>
      </c>
      <c r="S128" s="654">
        <f t="shared" si="129"/>
        <v>0</v>
      </c>
      <c r="T128" s="656" t="str">
        <f>+VLOOKUP($L128,Data_Validation!$A:$D,1,0)</f>
        <v>1520</v>
      </c>
      <c r="U128" s="656" t="str">
        <f>+VLOOKUP($L128,Data_Validation!$A:$D,3,0)</f>
        <v>Bilan</v>
      </c>
      <c r="V128" s="656" t="str">
        <f>+VLOOKUP($L128,Data_Validation!$A:$D,4,0)</f>
        <v>Frais Payés d'Avance</v>
      </c>
      <c r="W128" s="656" t="str">
        <f>+VLOOKUP($L128,Data_Validation!$A:$E,5,0)</f>
        <v>$</v>
      </c>
      <c r="X128" s="656">
        <f>+VLOOKUP($L128,Data_Validation!$A:$F,6,0)</f>
        <v>0</v>
      </c>
    </row>
    <row r="129" spans="1:24" ht="15" customHeight="1">
      <c r="A129" s="1052" t="s">
        <v>873</v>
      </c>
      <c r="B129" s="1052" t="s">
        <v>1540</v>
      </c>
      <c r="C129" s="1054">
        <v>1873</v>
      </c>
      <c r="D129" s="1054">
        <v>2326.5</v>
      </c>
      <c r="E129" s="1054">
        <v>4199.5</v>
      </c>
      <c r="F129" s="1052" t="s">
        <v>816</v>
      </c>
      <c r="G129" s="1052" t="s">
        <v>868</v>
      </c>
      <c r="H129" s="1031"/>
      <c r="I129" s="1032"/>
      <c r="J129" s="1032"/>
      <c r="K129" s="1032"/>
      <c r="L129" s="653" t="str">
        <f t="shared" si="67"/>
        <v>1532</v>
      </c>
      <c r="M129" s="654" t="str">
        <f t="shared" si="0"/>
        <v>FPA C.C.A.M.Q.</v>
      </c>
      <c r="N129" s="655">
        <f>+IF(OR($Q129=Parametres!$G$2,$Q129=Parametres!$G$3),I129,C129)</f>
        <v>1873</v>
      </c>
      <c r="O129" s="655">
        <f>+IF(OR($Q129=Parametres!$G$2,$Q129=Parametres!$G$3),J129,D129)</f>
        <v>2326.5</v>
      </c>
      <c r="P129" s="655">
        <f>+IF(OR($Q129=Parametres!$G$2,$Q129=Parametres!$G$3),K129,E129)</f>
        <v>4199.5</v>
      </c>
      <c r="Q129" s="654" t="str">
        <f t="shared" ref="Q129:S129" si="130">+F129</f>
        <v>2-Actifs</v>
      </c>
      <c r="R129" s="653" t="str">
        <f t="shared" si="130"/>
        <v>1500</v>
      </c>
      <c r="S129" s="654">
        <f t="shared" si="130"/>
        <v>0</v>
      </c>
      <c r="T129" s="656" t="str">
        <f>+VLOOKUP($L129,Data_Validation!$A:$D,1,0)</f>
        <v>1532</v>
      </c>
      <c r="U129" s="656" t="str">
        <f>+VLOOKUP($L129,Data_Validation!$A:$D,3,0)</f>
        <v>Bilan</v>
      </c>
      <c r="V129" s="656" t="str">
        <f>+VLOOKUP($L129,Data_Validation!$A:$D,4,0)</f>
        <v>Frais Payés d'Avance</v>
      </c>
      <c r="W129" s="656" t="str">
        <f>+VLOOKUP($L129,Data_Validation!$A:$E,5,0)</f>
        <v>$</v>
      </c>
      <c r="X129" s="656">
        <f>+VLOOKUP($L129,Data_Validation!$A:$F,6,0)</f>
        <v>0</v>
      </c>
    </row>
    <row r="130" spans="1:24" ht="15" customHeight="1">
      <c r="A130" s="1052" t="s">
        <v>874</v>
      </c>
      <c r="B130" s="1052" t="s">
        <v>1543</v>
      </c>
      <c r="C130" s="1054">
        <v>-130</v>
      </c>
      <c r="D130" s="1054">
        <v>0</v>
      </c>
      <c r="E130" s="1054">
        <v>-130</v>
      </c>
      <c r="F130" s="1052" t="s">
        <v>816</v>
      </c>
      <c r="G130" s="1052" t="s">
        <v>868</v>
      </c>
      <c r="H130" s="1031"/>
      <c r="I130" s="1032"/>
      <c r="J130" s="1032"/>
      <c r="K130" s="1032"/>
      <c r="L130" s="653" t="str">
        <f t="shared" si="67"/>
        <v>1534</v>
      </c>
      <c r="M130" s="654" t="str">
        <f t="shared" si="0"/>
        <v>FPA FOURNITURES LAVAGE</v>
      </c>
      <c r="N130" s="655">
        <f>+IF(OR($Q130=Parametres!$G$2,$Q130=Parametres!$G$3),I130,C130)</f>
        <v>-130</v>
      </c>
      <c r="O130" s="655">
        <f>+IF(OR($Q130=Parametres!$G$2,$Q130=Parametres!$G$3),J130,D130)</f>
        <v>0</v>
      </c>
      <c r="P130" s="655">
        <f>+IF(OR($Q130=Parametres!$G$2,$Q130=Parametres!$G$3),K130,E130)</f>
        <v>-130</v>
      </c>
      <c r="Q130" s="654" t="str">
        <f t="shared" ref="Q130:S130" si="131">+F130</f>
        <v>2-Actifs</v>
      </c>
      <c r="R130" s="653" t="str">
        <f t="shared" si="131"/>
        <v>1500</v>
      </c>
      <c r="S130" s="654">
        <f t="shared" si="131"/>
        <v>0</v>
      </c>
      <c r="T130" s="656" t="str">
        <f>+VLOOKUP($L130,Data_Validation!$A:$D,1,0)</f>
        <v>1534</v>
      </c>
      <c r="U130" s="656" t="str">
        <f>+VLOOKUP($L130,Data_Validation!$A:$D,3,0)</f>
        <v>Bilan</v>
      </c>
      <c r="V130" s="656" t="str">
        <f>+VLOOKUP($L130,Data_Validation!$A:$D,4,0)</f>
        <v>Frais Payés d'Avance</v>
      </c>
      <c r="W130" s="656" t="str">
        <f>+VLOOKUP($L130,Data_Validation!$A:$E,5,0)</f>
        <v>$</v>
      </c>
      <c r="X130" s="656">
        <f>+VLOOKUP($L130,Data_Validation!$A:$F,6,0)</f>
        <v>0</v>
      </c>
    </row>
    <row r="131" spans="1:24" ht="15.75" customHeight="1">
      <c r="A131" s="1052" t="s">
        <v>875</v>
      </c>
      <c r="B131" s="1052" t="s">
        <v>1552</v>
      </c>
      <c r="C131" s="1054">
        <v>125.21</v>
      </c>
      <c r="D131" s="1054">
        <v>0</v>
      </c>
      <c r="E131" s="1054">
        <v>125.21</v>
      </c>
      <c r="F131" s="1052" t="s">
        <v>816</v>
      </c>
      <c r="G131" s="1052" t="s">
        <v>868</v>
      </c>
      <c r="H131" s="1031"/>
      <c r="I131" s="1032"/>
      <c r="J131" s="1032"/>
      <c r="K131" s="1032"/>
      <c r="L131" s="653" t="str">
        <f t="shared" ref="L131:L194" si="132">TEXT(B131,0)</f>
        <v>1540</v>
      </c>
      <c r="M131" s="654" t="str">
        <f t="shared" si="0"/>
        <v>FPA CONTRATS DE SERVICES</v>
      </c>
      <c r="N131" s="655">
        <f>+IF(OR($Q131=Parametres!$G$2,$Q131=Parametres!$G$3),I131,C131)</f>
        <v>125.21</v>
      </c>
      <c r="O131" s="655">
        <f>+IF(OR($Q131=Parametres!$G$2,$Q131=Parametres!$G$3),J131,D131)</f>
        <v>0</v>
      </c>
      <c r="P131" s="655">
        <f>+IF(OR($Q131=Parametres!$G$2,$Q131=Parametres!$G$3),K131,E131)</f>
        <v>125.21</v>
      </c>
      <c r="Q131" s="654" t="str">
        <f t="shared" ref="Q131:S131" si="133">+F131</f>
        <v>2-Actifs</v>
      </c>
      <c r="R131" s="653" t="str">
        <f t="shared" si="133"/>
        <v>1500</v>
      </c>
      <c r="S131" s="654">
        <f t="shared" si="133"/>
        <v>0</v>
      </c>
      <c r="T131" s="656" t="str">
        <f>+VLOOKUP($L131,Data_Validation!$A:$D,1,0)</f>
        <v>1540</v>
      </c>
      <c r="U131" s="656" t="str">
        <f>+VLOOKUP($L131,Data_Validation!$A:$D,3,0)</f>
        <v>Bilan</v>
      </c>
      <c r="V131" s="656" t="str">
        <f>+VLOOKUP($L131,Data_Validation!$A:$D,4,0)</f>
        <v>Frais Payés d'Avance</v>
      </c>
      <c r="W131" s="656" t="str">
        <f>+VLOOKUP($L131,Data_Validation!$A:$E,5,0)</f>
        <v>$</v>
      </c>
      <c r="X131" s="656">
        <f>+VLOOKUP($L131,Data_Validation!$A:$F,6,0)</f>
        <v>0</v>
      </c>
    </row>
    <row r="132" spans="1:24" ht="15" customHeight="1">
      <c r="A132" s="1052" t="s">
        <v>876</v>
      </c>
      <c r="B132" s="1052" t="s">
        <v>1555</v>
      </c>
      <c r="C132" s="1054">
        <v>-13.56</v>
      </c>
      <c r="D132" s="1054">
        <v>13.56</v>
      </c>
      <c r="E132" s="1054">
        <v>0</v>
      </c>
      <c r="F132" s="1052" t="s">
        <v>816</v>
      </c>
      <c r="G132" s="1052" t="s">
        <v>868</v>
      </c>
      <c r="H132" s="1031"/>
      <c r="I132" s="1032"/>
      <c r="J132" s="1032"/>
      <c r="K132" s="1032"/>
      <c r="L132" s="653" t="str">
        <f t="shared" si="132"/>
        <v>1544</v>
      </c>
      <c r="M132" s="654" t="str">
        <f t="shared" si="0"/>
        <v>FPA GAZ METROPOLITAIN</v>
      </c>
      <c r="N132" s="655">
        <f>+IF(OR($Q132=Parametres!$G$2,$Q132=Parametres!$G$3),I132,C132)</f>
        <v>-13.56</v>
      </c>
      <c r="O132" s="655">
        <f>+IF(OR($Q132=Parametres!$G$2,$Q132=Parametres!$G$3),J132,D132)</f>
        <v>13.56</v>
      </c>
      <c r="P132" s="655">
        <f>+IF(OR($Q132=Parametres!$G$2,$Q132=Parametres!$G$3),K132,E132)</f>
        <v>0</v>
      </c>
      <c r="Q132" s="654" t="str">
        <f t="shared" ref="Q132:S132" si="134">+F132</f>
        <v>2-Actifs</v>
      </c>
      <c r="R132" s="653" t="str">
        <f t="shared" si="134"/>
        <v>1500</v>
      </c>
      <c r="S132" s="654">
        <f t="shared" si="134"/>
        <v>0</v>
      </c>
      <c r="T132" s="656" t="str">
        <f>+VLOOKUP($L132,Data_Validation!$A:$D,1,0)</f>
        <v>1544</v>
      </c>
      <c r="U132" s="656" t="str">
        <f>+VLOOKUP($L132,Data_Validation!$A:$D,3,0)</f>
        <v>Bilan</v>
      </c>
      <c r="V132" s="656" t="str">
        <f>+VLOOKUP($L132,Data_Validation!$A:$D,4,0)</f>
        <v>Autres Courus</v>
      </c>
      <c r="W132" s="656" t="str">
        <f>+VLOOKUP($L132,Data_Validation!$A:$E,5,0)</f>
        <v>$</v>
      </c>
      <c r="X132" s="656">
        <f>+VLOOKUP($L132,Data_Validation!$A:$F,6,0)</f>
        <v>0</v>
      </c>
    </row>
    <row r="133" spans="1:24" ht="15" customHeight="1">
      <c r="A133" s="1052" t="s">
        <v>877</v>
      </c>
      <c r="B133" s="1052" t="s">
        <v>1558</v>
      </c>
      <c r="C133" s="1054">
        <v>1834.58</v>
      </c>
      <c r="D133" s="1054">
        <v>0</v>
      </c>
      <c r="E133" s="1054">
        <v>1834.58</v>
      </c>
      <c r="F133" s="1052" t="s">
        <v>816</v>
      </c>
      <c r="G133" s="1052" t="s">
        <v>868</v>
      </c>
      <c r="H133" s="1031"/>
      <c r="I133" s="1032"/>
      <c r="J133" s="1032"/>
      <c r="K133" s="1032"/>
      <c r="L133" s="653" t="str">
        <f t="shared" si="132"/>
        <v>1546</v>
      </c>
      <c r="M133" s="654" t="str">
        <f t="shared" si="0"/>
        <v>FPA ELECTRICITE HYDRO-QUEBEC</v>
      </c>
      <c r="N133" s="655">
        <f>+IF(OR($Q133=Parametres!$G$2,$Q133=Parametres!$G$3),I133,C133)</f>
        <v>1834.58</v>
      </c>
      <c r="O133" s="655">
        <f>+IF(OR($Q133=Parametres!$G$2,$Q133=Parametres!$G$3),J133,D133)</f>
        <v>0</v>
      </c>
      <c r="P133" s="655">
        <f>+IF(OR($Q133=Parametres!$G$2,$Q133=Parametres!$G$3),K133,E133)</f>
        <v>1834.58</v>
      </c>
      <c r="Q133" s="654" t="str">
        <f t="shared" ref="Q133:S133" si="135">+F133</f>
        <v>2-Actifs</v>
      </c>
      <c r="R133" s="653" t="str">
        <f t="shared" si="135"/>
        <v>1500</v>
      </c>
      <c r="S133" s="654">
        <f t="shared" si="135"/>
        <v>0</v>
      </c>
      <c r="T133" s="656" t="str">
        <f>+VLOOKUP($L133,Data_Validation!$A:$D,1,0)</f>
        <v>1546</v>
      </c>
      <c r="U133" s="656" t="str">
        <f>+VLOOKUP($L133,Data_Validation!$A:$D,3,0)</f>
        <v>Bilan</v>
      </c>
      <c r="V133" s="656" t="str">
        <f>+VLOOKUP($L133,Data_Validation!$A:$D,4,0)</f>
        <v>Autres Courus</v>
      </c>
      <c r="W133" s="656" t="str">
        <f>+VLOOKUP($L133,Data_Validation!$A:$E,5,0)</f>
        <v>$</v>
      </c>
      <c r="X133" s="656">
        <f>+VLOOKUP($L133,Data_Validation!$A:$F,6,0)</f>
        <v>0</v>
      </c>
    </row>
    <row r="134" spans="1:24" ht="15" customHeight="1">
      <c r="A134" s="1052" t="s">
        <v>878</v>
      </c>
      <c r="B134" s="1052" t="s">
        <v>1561</v>
      </c>
      <c r="C134" s="1054">
        <v>8590.9599999999991</v>
      </c>
      <c r="D134" s="1054">
        <v>-20211.52</v>
      </c>
      <c r="E134" s="1054">
        <v>-11620.56</v>
      </c>
      <c r="F134" s="1052" t="s">
        <v>816</v>
      </c>
      <c r="G134" s="1052" t="s">
        <v>868</v>
      </c>
      <c r="H134" s="1031"/>
      <c r="I134" s="1032"/>
      <c r="J134" s="1032"/>
      <c r="K134" s="1032"/>
      <c r="L134" s="653" t="str">
        <f t="shared" si="132"/>
        <v>1552</v>
      </c>
      <c r="M134" s="654" t="str">
        <f t="shared" si="0"/>
        <v>FPA C.S.S.T.</v>
      </c>
      <c r="N134" s="655">
        <f>+IF(OR($Q134=Parametres!$G$2,$Q134=Parametres!$G$3),I134,C134)</f>
        <v>8590.9599999999991</v>
      </c>
      <c r="O134" s="655">
        <f>+IF(OR($Q134=Parametres!$G$2,$Q134=Parametres!$G$3),J134,D134)</f>
        <v>-20211.52</v>
      </c>
      <c r="P134" s="655">
        <f>+IF(OR($Q134=Parametres!$G$2,$Q134=Parametres!$G$3),K134,E134)</f>
        <v>-11620.56</v>
      </c>
      <c r="Q134" s="654" t="str">
        <f t="shared" ref="Q134:S134" si="136">+F134</f>
        <v>2-Actifs</v>
      </c>
      <c r="R134" s="653" t="str">
        <f t="shared" si="136"/>
        <v>1500</v>
      </c>
      <c r="S134" s="654">
        <f t="shared" si="136"/>
        <v>0</v>
      </c>
      <c r="T134" s="656" t="str">
        <f>+VLOOKUP($L134,Data_Validation!$A:$D,1,0)</f>
        <v>1552</v>
      </c>
      <c r="U134" s="656" t="str">
        <f>+VLOOKUP($L134,Data_Validation!$A:$D,3,0)</f>
        <v>Bilan</v>
      </c>
      <c r="V134" s="656" t="str">
        <f>+VLOOKUP($L134,Data_Validation!$A:$D,4,0)</f>
        <v>Frais Payés d'Avance</v>
      </c>
      <c r="W134" s="656" t="str">
        <f>+VLOOKUP($L134,Data_Validation!$A:$E,5,0)</f>
        <v>$</v>
      </c>
      <c r="X134" s="656">
        <f>+VLOOKUP($L134,Data_Validation!$A:$F,6,0)</f>
        <v>0</v>
      </c>
    </row>
    <row r="135" spans="1:24" ht="15.75" customHeight="1">
      <c r="A135" s="1052" t="s">
        <v>879</v>
      </c>
      <c r="B135" s="1052" t="s">
        <v>3370</v>
      </c>
      <c r="C135" s="1054">
        <v>-29952</v>
      </c>
      <c r="D135" s="1054">
        <v>0</v>
      </c>
      <c r="E135" s="1054">
        <v>-29952</v>
      </c>
      <c r="F135" s="1052" t="s">
        <v>816</v>
      </c>
      <c r="G135" s="1052" t="s">
        <v>868</v>
      </c>
      <c r="H135" s="1031"/>
      <c r="I135" s="1032"/>
      <c r="J135" s="1032"/>
      <c r="K135" s="1032"/>
      <c r="L135" s="653" t="str">
        <f t="shared" si="132"/>
        <v>1553</v>
      </c>
      <c r="M135" s="654" t="str">
        <f t="shared" si="0"/>
        <v>CSST A PAYER OU RECEVOIR</v>
      </c>
      <c r="N135" s="655">
        <f>+IF(OR($Q135=Parametres!$G$2,$Q135=Parametres!$G$3),I135,C135)</f>
        <v>-29952</v>
      </c>
      <c r="O135" s="655">
        <f>+IF(OR($Q135=Parametres!$G$2,$Q135=Parametres!$G$3),J135,D135)</f>
        <v>0</v>
      </c>
      <c r="P135" s="655">
        <f>+IF(OR($Q135=Parametres!$G$2,$Q135=Parametres!$G$3),K135,E135)</f>
        <v>-29952</v>
      </c>
      <c r="Q135" s="654" t="str">
        <f t="shared" ref="Q135:S135" si="137">+F135</f>
        <v>2-Actifs</v>
      </c>
      <c r="R135" s="653" t="str">
        <f t="shared" si="137"/>
        <v>1500</v>
      </c>
      <c r="S135" s="654">
        <f t="shared" si="137"/>
        <v>0</v>
      </c>
      <c r="T135" s="656" t="str">
        <f>+VLOOKUP($L135,Data_Validation!$A:$D,1,0)</f>
        <v>1553</v>
      </c>
      <c r="U135" s="656" t="str">
        <f>+VLOOKUP($L135,Data_Validation!$A:$D,3,0)</f>
        <v>Bilan</v>
      </c>
      <c r="V135" s="656" t="str">
        <f>+VLOOKUP($L135,Data_Validation!$A:$D,4,0)</f>
        <v>Frais Payés d'Avance</v>
      </c>
      <c r="W135" s="656" t="str">
        <f>+VLOOKUP($L135,Data_Validation!$A:$E,5,0)</f>
        <v>$</v>
      </c>
      <c r="X135" s="656">
        <f>+VLOOKUP($L135,Data_Validation!$A:$F,6,0)</f>
        <v>0</v>
      </c>
    </row>
    <row r="136" spans="1:24" ht="15" customHeight="1">
      <c r="A136" s="1052" t="s">
        <v>880</v>
      </c>
      <c r="B136" s="1052" t="s">
        <v>1564</v>
      </c>
      <c r="C136" s="1054">
        <v>4632.24</v>
      </c>
      <c r="D136" s="1054">
        <v>-4632.24</v>
      </c>
      <c r="E136" s="1054">
        <v>0</v>
      </c>
      <c r="F136" s="1052" t="s">
        <v>816</v>
      </c>
      <c r="G136" s="1052" t="s">
        <v>868</v>
      </c>
      <c r="H136" s="1031"/>
      <c r="I136" s="1032"/>
      <c r="J136" s="1032"/>
      <c r="K136" s="1032"/>
      <c r="L136" s="653" t="str">
        <f t="shared" si="132"/>
        <v>1582</v>
      </c>
      <c r="M136" s="654" t="str">
        <f t="shared" si="0"/>
        <v>FPA TAXES MUNICIPALES</v>
      </c>
      <c r="N136" s="655">
        <f>+IF(OR($Q136=Parametres!$G$2,$Q136=Parametres!$G$3),I136,C136)</f>
        <v>4632.24</v>
      </c>
      <c r="O136" s="655">
        <f>+IF(OR($Q136=Parametres!$G$2,$Q136=Parametres!$G$3),J136,D136)</f>
        <v>-4632.24</v>
      </c>
      <c r="P136" s="655">
        <f>+IF(OR($Q136=Parametres!$G$2,$Q136=Parametres!$G$3),K136,E136)</f>
        <v>0</v>
      </c>
      <c r="Q136" s="654" t="str">
        <f t="shared" ref="Q136:S136" si="138">+F136</f>
        <v>2-Actifs</v>
      </c>
      <c r="R136" s="653" t="str">
        <f t="shared" si="138"/>
        <v>1500</v>
      </c>
      <c r="S136" s="654">
        <f t="shared" si="138"/>
        <v>0</v>
      </c>
      <c r="T136" s="656" t="str">
        <f>+VLOOKUP($L136,Data_Validation!$A:$D,1,0)</f>
        <v>1582</v>
      </c>
      <c r="U136" s="656" t="str">
        <f>+VLOOKUP($L136,Data_Validation!$A:$D,3,0)</f>
        <v>Bilan</v>
      </c>
      <c r="V136" s="656" t="str">
        <f>+VLOOKUP($L136,Data_Validation!$A:$D,4,0)</f>
        <v>Frais Payés d'Avance</v>
      </c>
      <c r="W136" s="656" t="str">
        <f>+VLOOKUP($L136,Data_Validation!$A:$E,5,0)</f>
        <v>$</v>
      </c>
      <c r="X136" s="656">
        <f>+VLOOKUP($L136,Data_Validation!$A:$F,6,0)</f>
        <v>0</v>
      </c>
    </row>
    <row r="137" spans="1:24" ht="15" customHeight="1">
      <c r="A137" s="1052" t="s">
        <v>881</v>
      </c>
      <c r="B137" s="1052" t="s">
        <v>1570</v>
      </c>
      <c r="C137" s="1054">
        <v>2123.83</v>
      </c>
      <c r="D137" s="1054">
        <v>-303.79000000000002</v>
      </c>
      <c r="E137" s="1054">
        <v>1820.04</v>
      </c>
      <c r="F137" s="1052" t="s">
        <v>816</v>
      </c>
      <c r="G137" s="1052" t="s">
        <v>868</v>
      </c>
      <c r="H137" s="1031"/>
      <c r="I137" s="1032"/>
      <c r="J137" s="1032"/>
      <c r="K137" s="1032"/>
      <c r="L137" s="653" t="str">
        <f t="shared" si="132"/>
        <v>1586</v>
      </c>
      <c r="M137" s="654" t="str">
        <f t="shared" si="0"/>
        <v>FPA TAXES SCOLAIRES</v>
      </c>
      <c r="N137" s="655">
        <f>+IF(OR($Q137=Parametres!$G$2,$Q137=Parametres!$G$3),I137,C137)</f>
        <v>2123.83</v>
      </c>
      <c r="O137" s="655">
        <f>+IF(OR($Q137=Parametres!$G$2,$Q137=Parametres!$G$3),J137,D137)</f>
        <v>-303.79000000000002</v>
      </c>
      <c r="P137" s="655">
        <f>+IF(OR($Q137=Parametres!$G$2,$Q137=Parametres!$G$3),K137,E137)</f>
        <v>1820.04</v>
      </c>
      <c r="Q137" s="654" t="str">
        <f t="shared" ref="Q137:S137" si="139">+F137</f>
        <v>2-Actifs</v>
      </c>
      <c r="R137" s="653" t="str">
        <f t="shared" si="139"/>
        <v>1500</v>
      </c>
      <c r="S137" s="654">
        <f t="shared" si="139"/>
        <v>0</v>
      </c>
      <c r="T137" s="656" t="str">
        <f>+VLOOKUP($L137,Data_Validation!$A:$D,1,0)</f>
        <v>1586</v>
      </c>
      <c r="U137" s="656" t="str">
        <f>+VLOOKUP($L137,Data_Validation!$A:$D,3,0)</f>
        <v>Bilan</v>
      </c>
      <c r="V137" s="656" t="str">
        <f>+VLOOKUP($L137,Data_Validation!$A:$D,4,0)</f>
        <v>Frais Payés d'Avance</v>
      </c>
      <c r="W137" s="656" t="str">
        <f>+VLOOKUP($L137,Data_Validation!$A:$E,5,0)</f>
        <v>$</v>
      </c>
      <c r="X137" s="656">
        <f>+VLOOKUP($L137,Data_Validation!$A:$F,6,0)</f>
        <v>0</v>
      </c>
    </row>
    <row r="138" spans="1:24" ht="15" customHeight="1">
      <c r="A138" s="1052" t="s">
        <v>882</v>
      </c>
      <c r="B138" s="1052" t="s">
        <v>3371</v>
      </c>
      <c r="C138" s="1054">
        <v>2330</v>
      </c>
      <c r="D138" s="1054">
        <v>445</v>
      </c>
      <c r="E138" s="1054">
        <v>2775</v>
      </c>
      <c r="F138" s="1052" t="s">
        <v>816</v>
      </c>
      <c r="G138" s="1052" t="s">
        <v>868</v>
      </c>
      <c r="H138" s="1031"/>
      <c r="I138" s="1032"/>
      <c r="J138" s="1032"/>
      <c r="K138" s="1032"/>
      <c r="L138" s="653" t="str">
        <f t="shared" si="132"/>
        <v>1591</v>
      </c>
      <c r="M138" s="654" t="str">
        <f t="shared" si="0"/>
        <v>FPA PAYABLES</v>
      </c>
      <c r="N138" s="655">
        <f>+IF(OR($Q138=Parametres!$G$2,$Q138=Parametres!$G$3),I138,C138)</f>
        <v>2330</v>
      </c>
      <c r="O138" s="655">
        <f>+IF(OR($Q138=Parametres!$G$2,$Q138=Parametres!$G$3),J138,D138)</f>
        <v>445</v>
      </c>
      <c r="P138" s="655">
        <f>+IF(OR($Q138=Parametres!$G$2,$Q138=Parametres!$G$3),K138,E138)</f>
        <v>2775</v>
      </c>
      <c r="Q138" s="654" t="str">
        <f t="shared" ref="Q138:S138" si="140">+F138</f>
        <v>2-Actifs</v>
      </c>
      <c r="R138" s="653" t="str">
        <f t="shared" si="140"/>
        <v>1500</v>
      </c>
      <c r="S138" s="654">
        <f t="shared" si="140"/>
        <v>0</v>
      </c>
      <c r="T138" s="656" t="str">
        <f>+VLOOKUP($L138,Data_Validation!$A:$D,1,0)</f>
        <v>1591</v>
      </c>
      <c r="U138" s="656" t="str">
        <f>+VLOOKUP($L138,Data_Validation!$A:$D,3,0)</f>
        <v>Bilan</v>
      </c>
      <c r="V138" s="656" t="str">
        <f>+VLOOKUP($L138,Data_Validation!$A:$D,4,0)</f>
        <v>Frais Payés d'Avance</v>
      </c>
      <c r="W138" s="656" t="str">
        <f>+VLOOKUP($L138,Data_Validation!$A:$E,5,0)</f>
        <v>$</v>
      </c>
      <c r="X138" s="656">
        <f>+VLOOKUP($L138,Data_Validation!$A:$F,6,0)</f>
        <v>0</v>
      </c>
    </row>
    <row r="139" spans="1:24" ht="15.75" customHeight="1">
      <c r="A139" s="1052" t="s">
        <v>883</v>
      </c>
      <c r="B139" s="1052" t="s">
        <v>1573</v>
      </c>
      <c r="C139" s="1054">
        <v>9405.2900000000009</v>
      </c>
      <c r="D139" s="1054">
        <v>31299.62</v>
      </c>
      <c r="E139" s="1054">
        <v>40704.910000000003</v>
      </c>
      <c r="F139" s="1052" t="s">
        <v>816</v>
      </c>
      <c r="G139" s="1052" t="s">
        <v>868</v>
      </c>
      <c r="H139" s="1031"/>
      <c r="I139" s="1032"/>
      <c r="J139" s="1032"/>
      <c r="K139" s="1032"/>
      <c r="L139" s="653" t="str">
        <f t="shared" si="132"/>
        <v>1592</v>
      </c>
      <c r="M139" s="654" t="str">
        <f t="shared" si="0"/>
        <v>FPA AUTRES</v>
      </c>
      <c r="N139" s="655">
        <f>+IF(OR($Q139=Parametres!$G$2,$Q139=Parametres!$G$3),I139,C139)</f>
        <v>9405.2900000000009</v>
      </c>
      <c r="O139" s="655">
        <f>+IF(OR($Q139=Parametres!$G$2,$Q139=Parametres!$G$3),J139,D139)</f>
        <v>31299.62</v>
      </c>
      <c r="P139" s="655">
        <f>+IF(OR($Q139=Parametres!$G$2,$Q139=Parametres!$G$3),K139,E139)</f>
        <v>40704.910000000003</v>
      </c>
      <c r="Q139" s="654" t="str">
        <f t="shared" ref="Q139:S139" si="141">+F139</f>
        <v>2-Actifs</v>
      </c>
      <c r="R139" s="653" t="str">
        <f t="shared" si="141"/>
        <v>1500</v>
      </c>
      <c r="S139" s="654">
        <f t="shared" si="141"/>
        <v>0</v>
      </c>
      <c r="T139" s="656" t="str">
        <f>+VLOOKUP($L139,Data_Validation!$A:$D,1,0)</f>
        <v>1592</v>
      </c>
      <c r="U139" s="656" t="str">
        <f>+VLOOKUP($L139,Data_Validation!$A:$D,3,0)</f>
        <v>Bilan</v>
      </c>
      <c r="V139" s="656" t="str">
        <f>+VLOOKUP($L139,Data_Validation!$A:$D,4,0)</f>
        <v>Frais Payés d'Avance</v>
      </c>
      <c r="W139" s="656" t="str">
        <f>+VLOOKUP($L139,Data_Validation!$A:$E,5,0)</f>
        <v>$</v>
      </c>
      <c r="X139" s="656">
        <f>+VLOOKUP($L139,Data_Validation!$A:$F,6,0)</f>
        <v>0</v>
      </c>
    </row>
    <row r="140" spans="1:24" ht="15" customHeight="1">
      <c r="A140" s="1052" t="s">
        <v>884</v>
      </c>
      <c r="B140" s="1052" t="s">
        <v>1585</v>
      </c>
      <c r="C140" s="1054">
        <v>144370.28</v>
      </c>
      <c r="D140" s="1054">
        <v>0</v>
      </c>
      <c r="E140" s="1054">
        <v>144370.28</v>
      </c>
      <c r="F140" s="1052" t="s">
        <v>816</v>
      </c>
      <c r="G140" s="1052" t="s">
        <v>885</v>
      </c>
      <c r="H140" s="1031"/>
      <c r="I140" s="1032"/>
      <c r="J140" s="1032"/>
      <c r="K140" s="1032"/>
      <c r="L140" s="653" t="str">
        <f t="shared" si="132"/>
        <v>1732</v>
      </c>
      <c r="M140" s="654" t="str">
        <f t="shared" si="0"/>
        <v>AMELIOR. LOCATIVES</v>
      </c>
      <c r="N140" s="655">
        <f>+IF(OR($Q140=Parametres!$G$2,$Q140=Parametres!$G$3),I140,C140)</f>
        <v>144370.28</v>
      </c>
      <c r="O140" s="655">
        <f>+IF(OR($Q140=Parametres!$G$2,$Q140=Parametres!$G$3),J140,D140)</f>
        <v>0</v>
      </c>
      <c r="P140" s="655">
        <f>+IF(OR($Q140=Parametres!$G$2,$Q140=Parametres!$G$3),K140,E140)</f>
        <v>144370.28</v>
      </c>
      <c r="Q140" s="654" t="str">
        <f t="shared" ref="Q140:S140" si="142">+F140</f>
        <v>2-Actifs</v>
      </c>
      <c r="R140" s="653" t="str">
        <f t="shared" si="142"/>
        <v>1700</v>
      </c>
      <c r="S140" s="654">
        <f t="shared" si="142"/>
        <v>0</v>
      </c>
      <c r="T140" s="656" t="str">
        <f>+VLOOKUP($L140,Data_Validation!$A:$D,1,0)</f>
        <v>1732</v>
      </c>
      <c r="U140" s="656" t="str">
        <f>+VLOOKUP($L140,Data_Validation!$A:$D,3,0)</f>
        <v>Bilan</v>
      </c>
      <c r="V140" s="656" t="str">
        <f>+VLOOKUP($L140,Data_Validation!$A:$D,4,0)</f>
        <v>Améliorations Locatives</v>
      </c>
      <c r="W140" s="656" t="str">
        <f>+VLOOKUP($L140,Data_Validation!$A:$E,5,0)</f>
        <v>$</v>
      </c>
      <c r="X140" s="656">
        <f>+VLOOKUP($L140,Data_Validation!$A:$F,6,0)</f>
        <v>0</v>
      </c>
    </row>
    <row r="141" spans="1:24" ht="15" customHeight="1">
      <c r="A141" s="1052" t="s">
        <v>886</v>
      </c>
      <c r="B141" s="1052" t="s">
        <v>1588</v>
      </c>
      <c r="C141" s="1054">
        <v>-101575.02</v>
      </c>
      <c r="D141" s="1054">
        <v>-225</v>
      </c>
      <c r="E141" s="1054">
        <v>-101800.02</v>
      </c>
      <c r="F141" s="1052" t="s">
        <v>816</v>
      </c>
      <c r="G141" s="1052" t="s">
        <v>885</v>
      </c>
      <c r="H141" s="1031"/>
      <c r="I141" s="1032"/>
      <c r="J141" s="1032"/>
      <c r="K141" s="1032"/>
      <c r="L141" s="653" t="str">
        <f t="shared" si="132"/>
        <v>1733</v>
      </c>
      <c r="M141" s="654" t="str">
        <f t="shared" si="0"/>
        <v>AMORT. CUM. AMEL. LOCAT.</v>
      </c>
      <c r="N141" s="655">
        <f>+IF(OR($Q141=Parametres!$G$2,$Q141=Parametres!$G$3),I141,C141)</f>
        <v>-101575.02</v>
      </c>
      <c r="O141" s="655">
        <f>+IF(OR($Q141=Parametres!$G$2,$Q141=Parametres!$G$3),J141,D141)</f>
        <v>-225</v>
      </c>
      <c r="P141" s="655">
        <f>+IF(OR($Q141=Parametres!$G$2,$Q141=Parametres!$G$3),K141,E141)</f>
        <v>-101800.02</v>
      </c>
      <c r="Q141" s="654" t="str">
        <f t="shared" ref="Q141:S141" si="143">+F141</f>
        <v>2-Actifs</v>
      </c>
      <c r="R141" s="653" t="str">
        <f t="shared" si="143"/>
        <v>1700</v>
      </c>
      <c r="S141" s="654">
        <f t="shared" si="143"/>
        <v>0</v>
      </c>
      <c r="T141" s="656" t="str">
        <f>+VLOOKUP($L141,Data_Validation!$A:$D,1,0)</f>
        <v>1733</v>
      </c>
      <c r="U141" s="656" t="str">
        <f>+VLOOKUP($L141,Data_Validation!$A:$D,3,0)</f>
        <v>Bilan</v>
      </c>
      <c r="V141" s="656" t="str">
        <f>+VLOOKUP($L141,Data_Validation!$A:$D,4,0)</f>
        <v>Améliorations Locatives</v>
      </c>
      <c r="W141" s="656" t="str">
        <f>+VLOOKUP($L141,Data_Validation!$A:$E,5,0)</f>
        <v>$</v>
      </c>
      <c r="X141" s="656">
        <f>+VLOOKUP($L141,Data_Validation!$A:$F,6,0)</f>
        <v>0</v>
      </c>
    </row>
    <row r="142" spans="1:24" ht="15" customHeight="1">
      <c r="A142" s="1052" t="s">
        <v>887</v>
      </c>
      <c r="B142" s="1052" t="s">
        <v>1591</v>
      </c>
      <c r="C142" s="1054">
        <v>957607.11</v>
      </c>
      <c r="D142" s="1054">
        <v>5143.59</v>
      </c>
      <c r="E142" s="1054">
        <v>962750.7</v>
      </c>
      <c r="F142" s="1052" t="s">
        <v>816</v>
      </c>
      <c r="G142" s="1052" t="s">
        <v>885</v>
      </c>
      <c r="H142" s="1031"/>
      <c r="I142" s="1032"/>
      <c r="J142" s="1032"/>
      <c r="K142" s="1032"/>
      <c r="L142" s="653" t="str">
        <f t="shared" si="132"/>
        <v>1742</v>
      </c>
      <c r="M142" s="654" t="str">
        <f t="shared" si="0"/>
        <v>MACHINERIE &amp; EQUIPEMENT</v>
      </c>
      <c r="N142" s="655">
        <f>+IF(OR($Q142=Parametres!$G$2,$Q142=Parametres!$G$3),I142,C142)</f>
        <v>957607.11</v>
      </c>
      <c r="O142" s="655">
        <f>+IF(OR($Q142=Parametres!$G$2,$Q142=Parametres!$G$3),J142,D142)</f>
        <v>5143.59</v>
      </c>
      <c r="P142" s="655">
        <f>+IF(OR($Q142=Parametres!$G$2,$Q142=Parametres!$G$3),K142,E142)</f>
        <v>962750.7</v>
      </c>
      <c r="Q142" s="654" t="str">
        <f t="shared" ref="Q142:S142" si="144">+F142</f>
        <v>2-Actifs</v>
      </c>
      <c r="R142" s="653" t="str">
        <f t="shared" si="144"/>
        <v>1700</v>
      </c>
      <c r="S142" s="654">
        <f t="shared" si="144"/>
        <v>0</v>
      </c>
      <c r="T142" s="656" t="str">
        <f>+VLOOKUP($L142,Data_Validation!$A:$D,1,0)</f>
        <v>1742</v>
      </c>
      <c r="U142" s="656" t="str">
        <f>+VLOOKUP($L142,Data_Validation!$A:$D,3,0)</f>
        <v>Bilan</v>
      </c>
      <c r="V142" s="656" t="str">
        <f>+VLOOKUP($L142,Data_Validation!$A:$D,4,0)</f>
        <v>Équipements Service</v>
      </c>
      <c r="W142" s="656" t="str">
        <f>+VLOOKUP($L142,Data_Validation!$A:$E,5,0)</f>
        <v>$</v>
      </c>
      <c r="X142" s="656">
        <f>+VLOOKUP($L142,Data_Validation!$A:$F,6,0)</f>
        <v>0</v>
      </c>
    </row>
    <row r="143" spans="1:24" ht="15.75" customHeight="1">
      <c r="A143" s="1052" t="s">
        <v>888</v>
      </c>
      <c r="B143" s="1052" t="s">
        <v>1594</v>
      </c>
      <c r="C143" s="1054">
        <v>-813921.08</v>
      </c>
      <c r="D143" s="1054">
        <v>-2612</v>
      </c>
      <c r="E143" s="1054">
        <v>-816533.08</v>
      </c>
      <c r="F143" s="1052" t="s">
        <v>816</v>
      </c>
      <c r="G143" s="1052" t="s">
        <v>885</v>
      </c>
      <c r="H143" s="1031"/>
      <c r="I143" s="1032"/>
      <c r="J143" s="1032"/>
      <c r="K143" s="1032"/>
      <c r="L143" s="653" t="str">
        <f t="shared" si="132"/>
        <v>1743</v>
      </c>
      <c r="M143" s="654" t="str">
        <f t="shared" si="0"/>
        <v>AMORTISS.MACHINERIE &amp; EQUIP.</v>
      </c>
      <c r="N143" s="655">
        <f>+IF(OR($Q143=Parametres!$G$2,$Q143=Parametres!$G$3),I143,C143)</f>
        <v>-813921.08</v>
      </c>
      <c r="O143" s="655">
        <f>+IF(OR($Q143=Parametres!$G$2,$Q143=Parametres!$G$3),J143,D143)</f>
        <v>-2612</v>
      </c>
      <c r="P143" s="655">
        <f>+IF(OR($Q143=Parametres!$G$2,$Q143=Parametres!$G$3),K143,E143)</f>
        <v>-816533.08</v>
      </c>
      <c r="Q143" s="654" t="str">
        <f t="shared" ref="Q143:S143" si="145">+F143</f>
        <v>2-Actifs</v>
      </c>
      <c r="R143" s="653" t="str">
        <f t="shared" si="145"/>
        <v>1700</v>
      </c>
      <c r="S143" s="654">
        <f t="shared" si="145"/>
        <v>0</v>
      </c>
      <c r="T143" s="656" t="str">
        <f>+VLOOKUP($L143,Data_Validation!$A:$D,1,0)</f>
        <v>1743</v>
      </c>
      <c r="U143" s="656" t="str">
        <f>+VLOOKUP($L143,Data_Validation!$A:$D,3,0)</f>
        <v>Bilan</v>
      </c>
      <c r="V143" s="656" t="str">
        <f>+VLOOKUP($L143,Data_Validation!$A:$D,4,0)</f>
        <v>Équipements Service</v>
      </c>
      <c r="W143" s="656" t="str">
        <f>+VLOOKUP($L143,Data_Validation!$A:$E,5,0)</f>
        <v>$</v>
      </c>
      <c r="X143" s="656">
        <f>+VLOOKUP($L143,Data_Validation!$A:$F,6,0)</f>
        <v>0</v>
      </c>
    </row>
    <row r="144" spans="1:24" ht="15" customHeight="1">
      <c r="A144" s="1052" t="s">
        <v>889</v>
      </c>
      <c r="B144" s="1052" t="s">
        <v>1597</v>
      </c>
      <c r="C144" s="1054">
        <v>47461.59</v>
      </c>
      <c r="D144" s="1054">
        <v>0</v>
      </c>
      <c r="E144" s="1054">
        <v>47461.59</v>
      </c>
      <c r="F144" s="1052" t="s">
        <v>816</v>
      </c>
      <c r="G144" s="1052" t="s">
        <v>885</v>
      </c>
      <c r="H144" s="1031"/>
      <c r="I144" s="1032"/>
      <c r="J144" s="1032"/>
      <c r="K144" s="1032"/>
      <c r="L144" s="653" t="str">
        <f t="shared" si="132"/>
        <v>1744</v>
      </c>
      <c r="M144" s="654" t="str">
        <f t="shared" si="0"/>
        <v>EQUIPEMENT PIECES</v>
      </c>
      <c r="N144" s="655">
        <f>+IF(OR($Q144=Parametres!$G$2,$Q144=Parametres!$G$3),I144,C144)</f>
        <v>47461.59</v>
      </c>
      <c r="O144" s="655">
        <f>+IF(OR($Q144=Parametres!$G$2,$Q144=Parametres!$G$3),J144,D144)</f>
        <v>0</v>
      </c>
      <c r="P144" s="655">
        <f>+IF(OR($Q144=Parametres!$G$2,$Q144=Parametres!$G$3),K144,E144)</f>
        <v>47461.59</v>
      </c>
      <c r="Q144" s="654" t="str">
        <f t="shared" ref="Q144:S144" si="146">+F144</f>
        <v>2-Actifs</v>
      </c>
      <c r="R144" s="653" t="str">
        <f t="shared" si="146"/>
        <v>1700</v>
      </c>
      <c r="S144" s="654">
        <f t="shared" si="146"/>
        <v>0</v>
      </c>
      <c r="T144" s="656" t="str">
        <f>+VLOOKUP($L144,Data_Validation!$A:$D,1,0)</f>
        <v>1744</v>
      </c>
      <c r="U144" s="656" t="str">
        <f>+VLOOKUP($L144,Data_Validation!$A:$D,3,0)</f>
        <v>Bilan</v>
      </c>
      <c r="V144" s="656" t="str">
        <f>+VLOOKUP($L144,Data_Validation!$A:$D,4,0)</f>
        <v>Équipements Service</v>
      </c>
      <c r="W144" s="656" t="str">
        <f>+VLOOKUP($L144,Data_Validation!$A:$E,5,0)</f>
        <v>$</v>
      </c>
      <c r="X144" s="656">
        <f>+VLOOKUP($L144,Data_Validation!$A:$F,6,0)</f>
        <v>0</v>
      </c>
    </row>
    <row r="145" spans="1:24" ht="15" customHeight="1">
      <c r="A145" s="1052" t="s">
        <v>890</v>
      </c>
      <c r="B145" s="1052" t="s">
        <v>1600</v>
      </c>
      <c r="C145" s="1054">
        <v>-47494.51</v>
      </c>
      <c r="D145" s="1054">
        <v>-8.5</v>
      </c>
      <c r="E145" s="1054">
        <v>-47503.01</v>
      </c>
      <c r="F145" s="1052" t="s">
        <v>816</v>
      </c>
      <c r="G145" s="1052" t="s">
        <v>885</v>
      </c>
      <c r="H145" s="1031"/>
      <c r="I145" s="1031"/>
      <c r="J145" s="1031"/>
      <c r="K145" s="1031"/>
      <c r="L145" s="653" t="str">
        <f t="shared" si="132"/>
        <v>1745</v>
      </c>
      <c r="M145" s="654" t="str">
        <f t="shared" si="0"/>
        <v>AMORTISS.EQUIPEMENTS PIECES</v>
      </c>
      <c r="N145" s="655">
        <f>+IF(OR($Q145=Parametres!$G$2,$Q145=Parametres!$G$3),I145,C145)</f>
        <v>-47494.51</v>
      </c>
      <c r="O145" s="655">
        <f>+IF(OR($Q145=Parametres!$G$2,$Q145=Parametres!$G$3),J145,D145)</f>
        <v>-8.5</v>
      </c>
      <c r="P145" s="655">
        <f>+IF(OR($Q145=Parametres!$G$2,$Q145=Parametres!$G$3),K145,E145)</f>
        <v>-47503.01</v>
      </c>
      <c r="Q145" s="654" t="str">
        <f t="shared" ref="Q145:S145" si="147">+F145</f>
        <v>2-Actifs</v>
      </c>
      <c r="R145" s="653" t="str">
        <f t="shared" si="147"/>
        <v>1700</v>
      </c>
      <c r="S145" s="654">
        <f t="shared" si="147"/>
        <v>0</v>
      </c>
      <c r="T145" s="656" t="str">
        <f>+VLOOKUP($L145,Data_Validation!$A:$D,1,0)</f>
        <v>1745</v>
      </c>
      <c r="U145" s="656" t="str">
        <f>+VLOOKUP($L145,Data_Validation!$A:$D,3,0)</f>
        <v>Bilan</v>
      </c>
      <c r="V145" s="656" t="str">
        <f>+VLOOKUP($L145,Data_Validation!$A:$D,4,0)</f>
        <v>Équipements Service</v>
      </c>
      <c r="W145" s="656" t="str">
        <f>+VLOOKUP($L145,Data_Validation!$A:$E,5,0)</f>
        <v>$</v>
      </c>
      <c r="X145" s="656">
        <f>+VLOOKUP($L145,Data_Validation!$A:$F,6,0)</f>
        <v>0</v>
      </c>
    </row>
    <row r="146" spans="1:24" ht="15" customHeight="1">
      <c r="A146" s="1052" t="s">
        <v>891</v>
      </c>
      <c r="B146" s="1052" t="s">
        <v>1609</v>
      </c>
      <c r="C146" s="1054">
        <v>440156.49</v>
      </c>
      <c r="D146" s="1054">
        <v>0</v>
      </c>
      <c r="E146" s="1054">
        <v>440156.49</v>
      </c>
      <c r="F146" s="1052" t="s">
        <v>816</v>
      </c>
      <c r="G146" s="1052" t="s">
        <v>885</v>
      </c>
      <c r="H146" s="1031"/>
      <c r="I146" s="1031"/>
      <c r="J146" s="1031"/>
      <c r="K146" s="1031"/>
      <c r="L146" s="653" t="str">
        <f t="shared" si="132"/>
        <v>1762</v>
      </c>
      <c r="M146" s="654" t="str">
        <f t="shared" si="0"/>
        <v>AMEUBLEMENT &amp; INSTR.</v>
      </c>
      <c r="N146" s="655">
        <f>+IF(OR($Q146=Parametres!$G$2,$Q146=Parametres!$G$3),I146,C146)</f>
        <v>440156.49</v>
      </c>
      <c r="O146" s="655">
        <f>+IF(OR($Q146=Parametres!$G$2,$Q146=Parametres!$G$3),J146,D146)</f>
        <v>0</v>
      </c>
      <c r="P146" s="655">
        <f>+IF(OR($Q146=Parametres!$G$2,$Q146=Parametres!$G$3),K146,E146)</f>
        <v>440156.49</v>
      </c>
      <c r="Q146" s="654" t="str">
        <f t="shared" ref="Q146:S146" si="148">+F146</f>
        <v>2-Actifs</v>
      </c>
      <c r="R146" s="653" t="str">
        <f t="shared" si="148"/>
        <v>1700</v>
      </c>
      <c r="S146" s="654">
        <f t="shared" si="148"/>
        <v>0</v>
      </c>
      <c r="T146" s="656" t="str">
        <f>+VLOOKUP($L146,Data_Validation!$A:$D,1,0)</f>
        <v>1762</v>
      </c>
      <c r="U146" s="656" t="str">
        <f>+VLOOKUP($L146,Data_Validation!$A:$D,3,0)</f>
        <v>Bilan</v>
      </c>
      <c r="V146" s="656" t="str">
        <f>+VLOOKUP($L146,Data_Validation!$A:$D,4,0)</f>
        <v>Mobilier</v>
      </c>
      <c r="W146" s="656" t="str">
        <f>+VLOOKUP($L146,Data_Validation!$A:$E,5,0)</f>
        <v>$</v>
      </c>
      <c r="X146" s="656">
        <f>+VLOOKUP($L146,Data_Validation!$A:$F,6,0)</f>
        <v>0</v>
      </c>
    </row>
    <row r="147" spans="1:24" ht="15" customHeight="1">
      <c r="A147" s="1052" t="s">
        <v>892</v>
      </c>
      <c r="B147" s="1052" t="s">
        <v>1612</v>
      </c>
      <c r="C147" s="1054">
        <v>-407893.7</v>
      </c>
      <c r="D147" s="1054">
        <v>-497</v>
      </c>
      <c r="E147" s="1054">
        <v>-408390.7</v>
      </c>
      <c r="F147" s="1052" t="s">
        <v>816</v>
      </c>
      <c r="G147" s="1052" t="s">
        <v>885</v>
      </c>
      <c r="H147" s="1031"/>
      <c r="I147" s="1031"/>
      <c r="J147" s="1031"/>
      <c r="K147" s="1031"/>
      <c r="L147" s="653" t="str">
        <f t="shared" si="132"/>
        <v>1763</v>
      </c>
      <c r="M147" s="654" t="str">
        <f t="shared" si="0"/>
        <v>AMORTISS.AMEUBL.INSTR.</v>
      </c>
      <c r="N147" s="655">
        <f>+IF(OR($Q147=Parametres!$G$2,$Q147=Parametres!$G$3),I147,C147)</f>
        <v>-407893.7</v>
      </c>
      <c r="O147" s="655">
        <f>+IF(OR($Q147=Parametres!$G$2,$Q147=Parametres!$G$3),J147,D147)</f>
        <v>-497</v>
      </c>
      <c r="P147" s="655">
        <f>+IF(OR($Q147=Parametres!$G$2,$Q147=Parametres!$G$3),K147,E147)</f>
        <v>-408390.7</v>
      </c>
      <c r="Q147" s="654" t="str">
        <f t="shared" ref="Q147:S147" si="149">+F147</f>
        <v>2-Actifs</v>
      </c>
      <c r="R147" s="653" t="str">
        <f t="shared" si="149"/>
        <v>1700</v>
      </c>
      <c r="S147" s="654">
        <f t="shared" si="149"/>
        <v>0</v>
      </c>
      <c r="T147" s="656" t="str">
        <f>+VLOOKUP($L147,Data_Validation!$A:$D,1,0)</f>
        <v>1763</v>
      </c>
      <c r="U147" s="656" t="str">
        <f>+VLOOKUP($L147,Data_Validation!$A:$D,3,0)</f>
        <v>Bilan</v>
      </c>
      <c r="V147" s="656" t="str">
        <f>+VLOOKUP($L147,Data_Validation!$A:$D,4,0)</f>
        <v>Mobilier</v>
      </c>
      <c r="W147" s="656" t="str">
        <f>+VLOOKUP($L147,Data_Validation!$A:$E,5,0)</f>
        <v>$</v>
      </c>
      <c r="X147" s="656">
        <f>+VLOOKUP($L147,Data_Validation!$A:$F,6,0)</f>
        <v>0</v>
      </c>
    </row>
    <row r="148" spans="1:24" ht="15" customHeight="1">
      <c r="A148" s="1052" t="s">
        <v>893</v>
      </c>
      <c r="B148" s="1052" t="s">
        <v>1615</v>
      </c>
      <c r="C148" s="1054">
        <v>3987.88</v>
      </c>
      <c r="D148" s="1054">
        <v>0</v>
      </c>
      <c r="E148" s="1054">
        <v>3987.88</v>
      </c>
      <c r="F148" s="1052" t="s">
        <v>816</v>
      </c>
      <c r="G148" s="1052" t="s">
        <v>885</v>
      </c>
      <c r="H148" s="1031"/>
      <c r="I148" s="1031"/>
      <c r="J148" s="1031"/>
      <c r="K148" s="1031"/>
      <c r="L148" s="653" t="str">
        <f t="shared" si="132"/>
        <v>1772</v>
      </c>
      <c r="M148" s="654" t="str">
        <f t="shared" si="0"/>
        <v>VEHICULES DE CIE</v>
      </c>
      <c r="N148" s="655">
        <f>+IF(OR($Q148=Parametres!$G$2,$Q148=Parametres!$G$3),I148,C148)</f>
        <v>3987.88</v>
      </c>
      <c r="O148" s="655">
        <f>+IF(OR($Q148=Parametres!$G$2,$Q148=Parametres!$G$3),J148,D148)</f>
        <v>0</v>
      </c>
      <c r="P148" s="655">
        <f>+IF(OR($Q148=Parametres!$G$2,$Q148=Parametres!$G$3),K148,E148)</f>
        <v>3987.88</v>
      </c>
      <c r="Q148" s="654" t="str">
        <f t="shared" ref="Q148:S148" si="150">+F148</f>
        <v>2-Actifs</v>
      </c>
      <c r="R148" s="653" t="str">
        <f t="shared" si="150"/>
        <v>1700</v>
      </c>
      <c r="S148" s="654">
        <f t="shared" si="150"/>
        <v>0</v>
      </c>
      <c r="T148" s="656" t="str">
        <f>+VLOOKUP($L148,Data_Validation!$A:$D,1,0)</f>
        <v>1772</v>
      </c>
      <c r="U148" s="656" t="str">
        <f>+VLOOKUP($L148,Data_Validation!$A:$D,3,0)</f>
        <v>Bilan</v>
      </c>
      <c r="V148" s="656" t="str">
        <f>+VLOOKUP($L148,Data_Validation!$A:$D,4,0)</f>
        <v>Équipements Service</v>
      </c>
      <c r="W148" s="656" t="str">
        <f>+VLOOKUP($L148,Data_Validation!$A:$E,5,0)</f>
        <v>$</v>
      </c>
      <c r="X148" s="656">
        <f>+VLOOKUP($L148,Data_Validation!$A:$F,6,0)</f>
        <v>0</v>
      </c>
    </row>
    <row r="149" spans="1:24" ht="15" customHeight="1">
      <c r="A149" s="1052" t="s">
        <v>894</v>
      </c>
      <c r="B149" s="1052" t="s">
        <v>1618</v>
      </c>
      <c r="C149" s="1054">
        <v>-3987.88</v>
      </c>
      <c r="D149" s="1054">
        <v>0</v>
      </c>
      <c r="E149" s="1054">
        <v>-3987.88</v>
      </c>
      <c r="F149" s="1052" t="s">
        <v>816</v>
      </c>
      <c r="G149" s="1052" t="s">
        <v>885</v>
      </c>
      <c r="H149" s="1031"/>
      <c r="I149" s="1031"/>
      <c r="J149" s="1031"/>
      <c r="K149" s="1031"/>
      <c r="L149" s="653" t="str">
        <f t="shared" si="132"/>
        <v>1773</v>
      </c>
      <c r="M149" s="654" t="str">
        <f t="shared" si="0"/>
        <v>DEPRECIATION &amp; AMORT.</v>
      </c>
      <c r="N149" s="655">
        <f>+IF(OR($Q149=Parametres!$G$2,$Q149=Parametres!$G$3),I149,C149)</f>
        <v>-3987.88</v>
      </c>
      <c r="O149" s="655">
        <f>+IF(OR($Q149=Parametres!$G$2,$Q149=Parametres!$G$3),J149,D149)</f>
        <v>0</v>
      </c>
      <c r="P149" s="655">
        <f>+IF(OR($Q149=Parametres!$G$2,$Q149=Parametres!$G$3),K149,E149)</f>
        <v>-3987.88</v>
      </c>
      <c r="Q149" s="654" t="str">
        <f t="shared" ref="Q149:S149" si="151">+F149</f>
        <v>2-Actifs</v>
      </c>
      <c r="R149" s="653" t="str">
        <f t="shared" si="151"/>
        <v>1700</v>
      </c>
      <c r="S149" s="654">
        <f t="shared" si="151"/>
        <v>0</v>
      </c>
      <c r="T149" s="656" t="str">
        <f>+VLOOKUP($L149,Data_Validation!$A:$D,1,0)</f>
        <v>1773</v>
      </c>
      <c r="U149" s="656" t="str">
        <f>+VLOOKUP($L149,Data_Validation!$A:$D,3,0)</f>
        <v>Bilan</v>
      </c>
      <c r="V149" s="656" t="str">
        <f>+VLOOKUP($L149,Data_Validation!$A:$D,4,0)</f>
        <v>Équipements Service</v>
      </c>
      <c r="W149" s="656" t="str">
        <f>+VLOOKUP($L149,Data_Validation!$A:$E,5,0)</f>
        <v>$</v>
      </c>
      <c r="X149" s="656">
        <f>+VLOOKUP($L149,Data_Validation!$A:$F,6,0)</f>
        <v>0</v>
      </c>
    </row>
    <row r="150" spans="1:24" ht="15" customHeight="1">
      <c r="A150" s="1052" t="s">
        <v>895</v>
      </c>
      <c r="B150" s="1052" t="s">
        <v>1621</v>
      </c>
      <c r="C150" s="1054">
        <v>129416.15</v>
      </c>
      <c r="D150" s="1054">
        <v>0</v>
      </c>
      <c r="E150" s="1054">
        <v>129416.15</v>
      </c>
      <c r="F150" s="1052" t="s">
        <v>816</v>
      </c>
      <c r="G150" s="1052" t="s">
        <v>885</v>
      </c>
      <c r="H150" s="1031"/>
      <c r="I150" s="1031"/>
      <c r="J150" s="1031"/>
      <c r="K150" s="1031"/>
      <c r="L150" s="653" t="str">
        <f t="shared" si="132"/>
        <v>1786</v>
      </c>
      <c r="M150" s="654" t="str">
        <f t="shared" si="0"/>
        <v>EQUIPEMENT INFORMATIQUE</v>
      </c>
      <c r="N150" s="655">
        <f>+IF(OR($Q150=Parametres!$G$2,$Q150=Parametres!$G$3),I150,C150)</f>
        <v>129416.15</v>
      </c>
      <c r="O150" s="655">
        <f>+IF(OR($Q150=Parametres!$G$2,$Q150=Parametres!$G$3),J150,D150)</f>
        <v>0</v>
      </c>
      <c r="P150" s="655">
        <f>+IF(OR($Q150=Parametres!$G$2,$Q150=Parametres!$G$3),K150,E150)</f>
        <v>129416.15</v>
      </c>
      <c r="Q150" s="654" t="str">
        <f t="shared" ref="Q150:S150" si="152">+F150</f>
        <v>2-Actifs</v>
      </c>
      <c r="R150" s="653" t="str">
        <f t="shared" si="152"/>
        <v>1700</v>
      </c>
      <c r="S150" s="654">
        <f t="shared" si="152"/>
        <v>0</v>
      </c>
      <c r="T150" s="656" t="str">
        <f>+VLOOKUP($L150,Data_Validation!$A:$D,1,0)</f>
        <v>1786</v>
      </c>
      <c r="U150" s="656" t="str">
        <f>+VLOOKUP($L150,Data_Validation!$A:$D,3,0)</f>
        <v>Bilan</v>
      </c>
      <c r="V150" s="656" t="str">
        <f>+VLOOKUP($L150,Data_Validation!$A:$D,4,0)</f>
        <v>Équipements Informatique</v>
      </c>
      <c r="W150" s="656" t="str">
        <f>+VLOOKUP($L150,Data_Validation!$A:$E,5,0)</f>
        <v>$</v>
      </c>
      <c r="X150" s="656">
        <f>+VLOOKUP($L150,Data_Validation!$A:$F,6,0)</f>
        <v>0</v>
      </c>
    </row>
    <row r="151" spans="1:24" ht="15.75" customHeight="1">
      <c r="A151" s="1052" t="s">
        <v>896</v>
      </c>
      <c r="B151" s="1052" t="s">
        <v>1624</v>
      </c>
      <c r="C151" s="1054">
        <v>-112927.43</v>
      </c>
      <c r="D151" s="1054">
        <v>-972</v>
      </c>
      <c r="E151" s="1054">
        <v>-113899.43</v>
      </c>
      <c r="F151" s="1052" t="s">
        <v>816</v>
      </c>
      <c r="G151" s="1052" t="s">
        <v>885</v>
      </c>
      <c r="H151" s="1031"/>
      <c r="I151" s="1031"/>
      <c r="J151" s="1031"/>
      <c r="K151" s="1031"/>
      <c r="L151" s="653" t="str">
        <f t="shared" si="132"/>
        <v>1787</v>
      </c>
      <c r="M151" s="654" t="str">
        <f t="shared" si="0"/>
        <v>AMORTISS.EQUIP.INFORMATIQUES</v>
      </c>
      <c r="N151" s="655">
        <f>+IF(OR($Q151=Parametres!$G$2,$Q151=Parametres!$G$3),I151,C151)</f>
        <v>-112927.43</v>
      </c>
      <c r="O151" s="655">
        <f>+IF(OR($Q151=Parametres!$G$2,$Q151=Parametres!$G$3),J151,D151)</f>
        <v>-972</v>
      </c>
      <c r="P151" s="655">
        <f>+IF(OR($Q151=Parametres!$G$2,$Q151=Parametres!$G$3),K151,E151)</f>
        <v>-113899.43</v>
      </c>
      <c r="Q151" s="654" t="str">
        <f t="shared" ref="Q151:S151" si="153">+F151</f>
        <v>2-Actifs</v>
      </c>
      <c r="R151" s="653" t="str">
        <f t="shared" si="153"/>
        <v>1700</v>
      </c>
      <c r="S151" s="654">
        <f t="shared" si="153"/>
        <v>0</v>
      </c>
      <c r="T151" s="656" t="str">
        <f>+VLOOKUP($L151,Data_Validation!$A:$D,1,0)</f>
        <v>1787</v>
      </c>
      <c r="U151" s="656" t="str">
        <f>+VLOOKUP($L151,Data_Validation!$A:$D,3,0)</f>
        <v>Bilan</v>
      </c>
      <c r="V151" s="656" t="str">
        <f>+VLOOKUP($L151,Data_Validation!$A:$D,4,0)</f>
        <v>Équipements Informatique</v>
      </c>
      <c r="W151" s="656" t="str">
        <f>+VLOOKUP($L151,Data_Validation!$A:$E,5,0)</f>
        <v>$</v>
      </c>
      <c r="X151" s="656">
        <f>+VLOOKUP($L151,Data_Validation!$A:$F,6,0)</f>
        <v>0</v>
      </c>
    </row>
    <row r="152" spans="1:24" ht="15" customHeight="1">
      <c r="A152" s="1052" t="s">
        <v>897</v>
      </c>
      <c r="B152" s="1052" t="s">
        <v>1627</v>
      </c>
      <c r="C152" s="1054">
        <v>119393.66</v>
      </c>
      <c r="D152" s="1054">
        <v>0</v>
      </c>
      <c r="E152" s="1054">
        <v>119393.66</v>
      </c>
      <c r="F152" s="1052" t="s">
        <v>816</v>
      </c>
      <c r="G152" s="1052" t="s">
        <v>885</v>
      </c>
      <c r="H152" s="1031"/>
      <c r="I152" s="1031"/>
      <c r="J152" s="1031"/>
      <c r="K152" s="1031"/>
      <c r="L152" s="653" t="str">
        <f t="shared" si="132"/>
        <v>1792</v>
      </c>
      <c r="M152" s="654" t="str">
        <f t="shared" si="0"/>
        <v>ENSEIGNES</v>
      </c>
      <c r="N152" s="655">
        <f>+IF(OR($Q152=Parametres!$G$2,$Q152=Parametres!$G$3),I152,C152)</f>
        <v>119393.66</v>
      </c>
      <c r="O152" s="655">
        <f>+IF(OR($Q152=Parametres!$G$2,$Q152=Parametres!$G$3),J152,D152)</f>
        <v>0</v>
      </c>
      <c r="P152" s="655">
        <f>+IF(OR($Q152=Parametres!$G$2,$Q152=Parametres!$G$3),K152,E152)</f>
        <v>119393.66</v>
      </c>
      <c r="Q152" s="654" t="str">
        <f t="shared" ref="Q152:S152" si="154">+F152</f>
        <v>2-Actifs</v>
      </c>
      <c r="R152" s="653" t="str">
        <f t="shared" si="154"/>
        <v>1700</v>
      </c>
      <c r="S152" s="654">
        <f t="shared" si="154"/>
        <v>0</v>
      </c>
      <c r="T152" s="656" t="str">
        <f>+VLOOKUP($L152,Data_Validation!$A:$D,1,0)</f>
        <v>1792</v>
      </c>
      <c r="U152" s="656" t="str">
        <f>+VLOOKUP($L152,Data_Validation!$A:$D,3,0)</f>
        <v>Bilan</v>
      </c>
      <c r="V152" s="656" t="str">
        <f>+VLOOKUP($L152,Data_Validation!$A:$D,4,0)</f>
        <v>Enseigne</v>
      </c>
      <c r="W152" s="656" t="str">
        <f>+VLOOKUP($L152,Data_Validation!$A:$E,5,0)</f>
        <v>$</v>
      </c>
      <c r="X152" s="656">
        <f>+VLOOKUP($L152,Data_Validation!$A:$F,6,0)</f>
        <v>0</v>
      </c>
    </row>
    <row r="153" spans="1:24" ht="15" customHeight="1">
      <c r="A153" s="1052" t="s">
        <v>898</v>
      </c>
      <c r="B153" s="1052" t="s">
        <v>1630</v>
      </c>
      <c r="C153" s="1054">
        <v>-119393.65</v>
      </c>
      <c r="D153" s="1054">
        <v>0</v>
      </c>
      <c r="E153" s="1054">
        <v>-119393.65</v>
      </c>
      <c r="F153" s="1052" t="s">
        <v>816</v>
      </c>
      <c r="G153" s="1052" t="s">
        <v>885</v>
      </c>
      <c r="H153" s="1031"/>
      <c r="I153" s="1031"/>
      <c r="J153" s="1031"/>
      <c r="K153" s="1031"/>
      <c r="L153" s="653" t="str">
        <f t="shared" si="132"/>
        <v>1793</v>
      </c>
      <c r="M153" s="654" t="str">
        <f t="shared" si="0"/>
        <v>AMORT. CUM. ENSEIGNES</v>
      </c>
      <c r="N153" s="655">
        <f>+IF(OR($Q153=Parametres!$G$2,$Q153=Parametres!$G$3),I153,C153)</f>
        <v>-119393.65</v>
      </c>
      <c r="O153" s="655">
        <f>+IF(OR($Q153=Parametres!$G$2,$Q153=Parametres!$G$3),J153,D153)</f>
        <v>0</v>
      </c>
      <c r="P153" s="655">
        <f>+IF(OR($Q153=Parametres!$G$2,$Q153=Parametres!$G$3),K153,E153)</f>
        <v>-119393.65</v>
      </c>
      <c r="Q153" s="654" t="str">
        <f t="shared" ref="Q153:S153" si="155">+F153</f>
        <v>2-Actifs</v>
      </c>
      <c r="R153" s="653" t="str">
        <f t="shared" si="155"/>
        <v>1700</v>
      </c>
      <c r="S153" s="654">
        <f t="shared" si="155"/>
        <v>0</v>
      </c>
      <c r="T153" s="656" t="str">
        <f>+VLOOKUP($L153,Data_Validation!$A:$D,1,0)</f>
        <v>1793</v>
      </c>
      <c r="U153" s="656" t="str">
        <f>+VLOOKUP($L153,Data_Validation!$A:$D,3,0)</f>
        <v>Bilan</v>
      </c>
      <c r="V153" s="656" t="str">
        <f>+VLOOKUP($L153,Data_Validation!$A:$D,4,0)</f>
        <v>Enseigne</v>
      </c>
      <c r="W153" s="656" t="str">
        <f>+VLOOKUP($L153,Data_Validation!$A:$E,5,0)</f>
        <v>$</v>
      </c>
      <c r="X153" s="656">
        <f>+VLOOKUP($L153,Data_Validation!$A:$F,6,0)</f>
        <v>0</v>
      </c>
    </row>
    <row r="154" spans="1:24" ht="15" customHeight="1">
      <c r="A154" s="1052" t="s">
        <v>3335</v>
      </c>
      <c r="B154" s="1052" t="s">
        <v>899</v>
      </c>
      <c r="C154" s="1054">
        <v>7173600</v>
      </c>
      <c r="D154" s="1054">
        <v>0</v>
      </c>
      <c r="E154" s="1054">
        <v>7173600</v>
      </c>
      <c r="F154" s="1052" t="s">
        <v>816</v>
      </c>
      <c r="G154" s="1052" t="s">
        <v>899</v>
      </c>
      <c r="H154" s="1031"/>
      <c r="I154" s="1031"/>
      <c r="J154" s="1031"/>
      <c r="K154" s="1031"/>
      <c r="L154" s="653" t="str">
        <f t="shared" si="132"/>
        <v>1804</v>
      </c>
      <c r="M154" s="654" t="str">
        <f t="shared" si="0"/>
        <v>AVANCES COMPLEXE INTERCO</v>
      </c>
      <c r="N154" s="655">
        <f>+IF(OR($Q154=Parametres!$G$2,$Q154=Parametres!$G$3),I154,C154)</f>
        <v>7173600</v>
      </c>
      <c r="O154" s="655">
        <f>+IF(OR($Q154=Parametres!$G$2,$Q154=Parametres!$G$3),J154,D154)</f>
        <v>0</v>
      </c>
      <c r="P154" s="655">
        <f>+IF(OR($Q154=Parametres!$G$2,$Q154=Parametres!$G$3),K154,E154)</f>
        <v>7173600</v>
      </c>
      <c r="Q154" s="654" t="str">
        <f t="shared" ref="Q154:S154" si="156">+F154</f>
        <v>2-Actifs</v>
      </c>
      <c r="R154" s="653" t="str">
        <f t="shared" si="156"/>
        <v>1804</v>
      </c>
      <c r="S154" s="654">
        <f t="shared" si="156"/>
        <v>0</v>
      </c>
      <c r="T154" s="656" t="str">
        <f>+VLOOKUP($L154,Data_Validation!$A:$D,1,0)</f>
        <v>1804</v>
      </c>
      <c r="U154" s="656" t="str">
        <f>+VLOOKUP($L154,Data_Validation!$A:$D,3,0)</f>
        <v>Bilan</v>
      </c>
      <c r="V154" s="656" t="str">
        <f>+VLOOKUP($L154,Data_Validation!$A:$D,4,0)</f>
        <v>Avances à Recevoir Long Terme</v>
      </c>
      <c r="W154" s="656" t="str">
        <f>+VLOOKUP($L154,Data_Validation!$A:$E,5,0)</f>
        <v>$</v>
      </c>
      <c r="X154" s="656">
        <f>+VLOOKUP($L154,Data_Validation!$A:$F,6,0)</f>
        <v>0</v>
      </c>
    </row>
    <row r="155" spans="1:24" ht="15.75" customHeight="1">
      <c r="A155" s="1052" t="s">
        <v>900</v>
      </c>
      <c r="B155" s="1052" t="s">
        <v>1635</v>
      </c>
      <c r="C155" s="1054">
        <v>9036.09</v>
      </c>
      <c r="D155" s="1054">
        <v>-1372.33</v>
      </c>
      <c r="E155" s="1054">
        <v>7663.76</v>
      </c>
      <c r="F155" s="1052" t="s">
        <v>816</v>
      </c>
      <c r="G155" s="1052" t="s">
        <v>821</v>
      </c>
      <c r="H155" s="1031"/>
      <c r="I155" s="1031"/>
      <c r="J155" s="1031"/>
      <c r="K155" s="1031"/>
      <c r="L155" s="653" t="str">
        <f t="shared" si="132"/>
        <v>1806</v>
      </c>
      <c r="M155" s="654" t="str">
        <f t="shared" si="0"/>
        <v>FINANCEMENT RECEVABLE</v>
      </c>
      <c r="N155" s="655">
        <f>+IF(OR($Q155=Parametres!$G$2,$Q155=Parametres!$G$3),I155,C155)</f>
        <v>9036.09</v>
      </c>
      <c r="O155" s="655">
        <f>+IF(OR($Q155=Parametres!$G$2,$Q155=Parametres!$G$3),J155,D155)</f>
        <v>-1372.33</v>
      </c>
      <c r="P155" s="655">
        <f>+IF(OR($Q155=Parametres!$G$2,$Q155=Parametres!$G$3),K155,E155)</f>
        <v>7663.76</v>
      </c>
      <c r="Q155" s="654" t="str">
        <f t="shared" ref="Q155:S155" si="157">+F155</f>
        <v>2-Actifs</v>
      </c>
      <c r="R155" s="653" t="str">
        <f t="shared" si="157"/>
        <v>1382</v>
      </c>
      <c r="S155" s="654">
        <f t="shared" si="157"/>
        <v>0</v>
      </c>
      <c r="T155" s="656" t="str">
        <f>+VLOOKUP($L155,Data_Validation!$A:$D,1,0)</f>
        <v>1806</v>
      </c>
      <c r="U155" s="656" t="str">
        <f>+VLOOKUP($L155,Data_Validation!$A:$D,3,0)</f>
        <v>Bilan</v>
      </c>
      <c r="V155" s="656" t="str">
        <f>+VLOOKUP($L155,Data_Validation!$A:$D,4,0)</f>
        <v>Recevables Autres</v>
      </c>
      <c r="W155" s="656" t="str">
        <f>+VLOOKUP($L155,Data_Validation!$A:$E,5,0)</f>
        <v>$</v>
      </c>
      <c r="X155" s="656">
        <f>+VLOOKUP($L155,Data_Validation!$A:$F,6,0)</f>
        <v>0</v>
      </c>
    </row>
    <row r="156" spans="1:24" ht="15" customHeight="1">
      <c r="A156" s="1052" t="s">
        <v>901</v>
      </c>
      <c r="B156" s="1052" t="s">
        <v>903</v>
      </c>
      <c r="C156" s="1054">
        <v>-4255820.22</v>
      </c>
      <c r="D156" s="1054">
        <v>1431441.99</v>
      </c>
      <c r="E156" s="1054">
        <v>-2824378.23</v>
      </c>
      <c r="F156" s="1052" t="s">
        <v>902</v>
      </c>
      <c r="G156" s="1052" t="s">
        <v>903</v>
      </c>
      <c r="H156" s="1031"/>
      <c r="I156" s="1031"/>
      <c r="J156" s="1031"/>
      <c r="K156" s="1031"/>
      <c r="L156" s="653" t="str">
        <f t="shared" si="132"/>
        <v>2101</v>
      </c>
      <c r="M156" s="654" t="str">
        <f t="shared" si="0"/>
        <v>NOTE A PAYER VEH. NEUFS VOLKS</v>
      </c>
      <c r="N156" s="655">
        <f>+IF(OR($Q156=Parametres!$G$2,$Q156=Parametres!$G$3),I156,C156)</f>
        <v>-4255820.22</v>
      </c>
      <c r="O156" s="655">
        <f>+IF(OR($Q156=Parametres!$G$2,$Q156=Parametres!$G$3),J156,D156)</f>
        <v>1431441.99</v>
      </c>
      <c r="P156" s="655">
        <f>+IF(OR($Q156=Parametres!$G$2,$Q156=Parametres!$G$3),K156,E156)</f>
        <v>-2824378.23</v>
      </c>
      <c r="Q156" s="654" t="str">
        <f t="shared" ref="Q156:S156" si="158">+F156</f>
        <v>3-Passifs</v>
      </c>
      <c r="R156" s="653" t="str">
        <f t="shared" si="158"/>
        <v>2101</v>
      </c>
      <c r="S156" s="654">
        <f t="shared" si="158"/>
        <v>0</v>
      </c>
      <c r="T156" s="656" t="str">
        <f>+VLOOKUP($L156,Data_Validation!$A:$D,1,0)</f>
        <v>2101</v>
      </c>
      <c r="U156" s="656" t="str">
        <f>+VLOOKUP($L156,Data_Validation!$A:$D,3,0)</f>
        <v>Bilan</v>
      </c>
      <c r="V156" s="656" t="str">
        <f>+VLOOKUP($L156,Data_Validation!$A:$D,4,0)</f>
        <v>Effet à Payer Véhicules Neufs</v>
      </c>
      <c r="W156" s="656" t="str">
        <f>+VLOOKUP($L156,Data_Validation!$A:$E,5,0)</f>
        <v>$</v>
      </c>
      <c r="X156" s="656">
        <f>+VLOOKUP($L156,Data_Validation!$A:$F,6,0)</f>
        <v>0</v>
      </c>
    </row>
    <row r="157" spans="1:24" ht="15" customHeight="1">
      <c r="A157" s="1052" t="s">
        <v>904</v>
      </c>
      <c r="B157" s="1052" t="s">
        <v>905</v>
      </c>
      <c r="C157" s="1054">
        <v>-1434674.44</v>
      </c>
      <c r="D157" s="1054">
        <v>39066.93</v>
      </c>
      <c r="E157" s="1054">
        <v>-1395607.51</v>
      </c>
      <c r="F157" s="1052" t="s">
        <v>902</v>
      </c>
      <c r="G157" s="1052" t="s">
        <v>905</v>
      </c>
      <c r="H157" s="1031"/>
      <c r="I157" s="1031"/>
      <c r="J157" s="1031"/>
      <c r="K157" s="1031"/>
      <c r="L157" s="653" t="str">
        <f t="shared" si="132"/>
        <v>2103</v>
      </c>
      <c r="M157" s="654" t="str">
        <f t="shared" si="0"/>
        <v>NOTE PAYABLE-FIN. VEH. USAG.</v>
      </c>
      <c r="N157" s="655">
        <f>+IF(OR($Q157=Parametres!$G$2,$Q157=Parametres!$G$3),I157,C157)</f>
        <v>-1434674.44</v>
      </c>
      <c r="O157" s="655">
        <f>+IF(OR($Q157=Parametres!$G$2,$Q157=Parametres!$G$3),J157,D157)</f>
        <v>39066.93</v>
      </c>
      <c r="P157" s="655">
        <f>+IF(OR($Q157=Parametres!$G$2,$Q157=Parametres!$G$3),K157,E157)</f>
        <v>-1395607.51</v>
      </c>
      <c r="Q157" s="654" t="str">
        <f t="shared" ref="Q157:S157" si="159">+F157</f>
        <v>3-Passifs</v>
      </c>
      <c r="R157" s="653" t="str">
        <f t="shared" si="159"/>
        <v>2103</v>
      </c>
      <c r="S157" s="654">
        <f t="shared" si="159"/>
        <v>0</v>
      </c>
      <c r="T157" s="656" t="str">
        <f>+VLOOKUP($L157,Data_Validation!$A:$D,1,0)</f>
        <v>2103</v>
      </c>
      <c r="U157" s="656" t="str">
        <f>+VLOOKUP($L157,Data_Validation!$A:$D,3,0)</f>
        <v>Bilan</v>
      </c>
      <c r="V157" s="656" t="str">
        <f>+VLOOKUP($L157,Data_Validation!$A:$D,4,0)</f>
        <v>Effet à Payer Véhicules Usagés</v>
      </c>
      <c r="W157" s="656" t="str">
        <f>+VLOOKUP($L157,Data_Validation!$A:$E,5,0)</f>
        <v>$</v>
      </c>
      <c r="X157" s="656">
        <f>+VLOOKUP($L157,Data_Validation!$A:$F,6,0)</f>
        <v>0</v>
      </c>
    </row>
    <row r="158" spans="1:24" ht="15" customHeight="1">
      <c r="A158" s="1052" t="s">
        <v>3667</v>
      </c>
      <c r="B158" s="1052" t="s">
        <v>3374</v>
      </c>
      <c r="C158" s="1054">
        <v>0</v>
      </c>
      <c r="D158" s="1054">
        <v>-10831.38</v>
      </c>
      <c r="E158" s="1054">
        <v>-10831.38</v>
      </c>
      <c r="F158" s="1052" t="s">
        <v>902</v>
      </c>
      <c r="G158" s="1052" t="s">
        <v>3668</v>
      </c>
      <c r="H158" s="1031"/>
      <c r="I158" s="1031"/>
      <c r="J158" s="1031"/>
      <c r="K158" s="1031"/>
      <c r="L158" s="653" t="str">
        <f t="shared" si="132"/>
        <v>2105</v>
      </c>
      <c r="M158" s="654" t="str">
        <f t="shared" si="0"/>
        <v>INTERET FP A PAYER</v>
      </c>
      <c r="N158" s="655">
        <f>+IF(OR($Q158=Parametres!$G$2,$Q158=Parametres!$G$3),I158,C158)</f>
        <v>0</v>
      </c>
      <c r="O158" s="655">
        <f>+IF(OR($Q158=Parametres!$G$2,$Q158=Parametres!$G$3),J158,D158)</f>
        <v>-10831.38</v>
      </c>
      <c r="P158" s="655">
        <f>+IF(OR($Q158=Parametres!$G$2,$Q158=Parametres!$G$3),K158,E158)</f>
        <v>-10831.38</v>
      </c>
      <c r="Q158" s="654" t="str">
        <f t="shared" ref="Q158:S158" si="160">+F158</f>
        <v>3-Passifs</v>
      </c>
      <c r="R158" s="653" t="str">
        <f t="shared" si="160"/>
        <v>210</v>
      </c>
      <c r="S158" s="654">
        <f t="shared" si="160"/>
        <v>0</v>
      </c>
      <c r="T158" s="656" t="str">
        <f>+VLOOKUP($L158,Data_Validation!$A:$D,1,0)</f>
        <v>2105</v>
      </c>
      <c r="U158" s="656" t="str">
        <f>+VLOOKUP($L158,Data_Validation!$A:$D,3,0)</f>
        <v>Bilan</v>
      </c>
      <c r="V158" s="656" t="str">
        <f>+VLOOKUP($L158,Data_Validation!$A:$D,4,0)</f>
        <v>Autres Courus</v>
      </c>
      <c r="W158" s="656" t="str">
        <f>+VLOOKUP($L158,Data_Validation!$A:$E,5,0)</f>
        <v>$</v>
      </c>
      <c r="X158" s="656">
        <f>+VLOOKUP($L158,Data_Validation!$A:$F,6,0)</f>
        <v>0</v>
      </c>
    </row>
    <row r="159" spans="1:24" ht="15.75" customHeight="1">
      <c r="A159" s="1052" t="s">
        <v>3669</v>
      </c>
      <c r="B159" s="1052" t="s">
        <v>3375</v>
      </c>
      <c r="C159" s="1054">
        <v>0</v>
      </c>
      <c r="D159" s="1054">
        <v>-7073.76</v>
      </c>
      <c r="E159" s="1054">
        <v>-7073.76</v>
      </c>
      <c r="F159" s="1052" t="s">
        <v>902</v>
      </c>
      <c r="G159" s="1052" t="s">
        <v>3670</v>
      </c>
      <c r="H159" s="1031"/>
      <c r="I159" s="1031"/>
      <c r="J159" s="1031"/>
      <c r="K159" s="1031"/>
      <c r="L159" s="653" t="str">
        <f t="shared" si="132"/>
        <v>2113</v>
      </c>
      <c r="M159" s="654" t="str">
        <f t="shared" si="0"/>
        <v>FRAIS BANCAIRE A PAYER</v>
      </c>
      <c r="N159" s="655">
        <f>+IF(OR($Q159=Parametres!$G$2,$Q159=Parametres!$G$3),I159,C159)</f>
        <v>0</v>
      </c>
      <c r="O159" s="655">
        <f>+IF(OR($Q159=Parametres!$G$2,$Q159=Parametres!$G$3),J159,D159)</f>
        <v>-7073.76</v>
      </c>
      <c r="P159" s="655">
        <f>+IF(OR($Q159=Parametres!$G$2,$Q159=Parametres!$G$3),K159,E159)</f>
        <v>-7073.76</v>
      </c>
      <c r="Q159" s="654" t="str">
        <f t="shared" ref="Q159:S159" si="161">+F159</f>
        <v>3-Passifs</v>
      </c>
      <c r="R159" s="653" t="str">
        <f t="shared" si="161"/>
        <v>211</v>
      </c>
      <c r="S159" s="654">
        <f t="shared" si="161"/>
        <v>0</v>
      </c>
      <c r="T159" s="656" t="str">
        <f>+VLOOKUP($L159,Data_Validation!$A:$D,1,0)</f>
        <v>2113</v>
      </c>
      <c r="U159" s="656" t="str">
        <f>+VLOOKUP($L159,Data_Validation!$A:$D,3,0)</f>
        <v>Bilan</v>
      </c>
      <c r="V159" s="656" t="str">
        <f>+VLOOKUP($L159,Data_Validation!$A:$D,4,0)</f>
        <v>Autres Courus</v>
      </c>
      <c r="W159" s="656" t="str">
        <f>+VLOOKUP($L159,Data_Validation!$A:$E,5,0)</f>
        <v>$</v>
      </c>
      <c r="X159" s="656">
        <f>+VLOOKUP($L159,Data_Validation!$A:$F,6,0)</f>
        <v>0</v>
      </c>
    </row>
    <row r="160" spans="1:24" ht="15" customHeight="1">
      <c r="A160" s="1052" t="s">
        <v>906</v>
      </c>
      <c r="B160" s="1052" t="s">
        <v>907</v>
      </c>
      <c r="C160" s="1054">
        <v>-15810</v>
      </c>
      <c r="D160" s="1054">
        <v>0</v>
      </c>
      <c r="E160" s="1054">
        <v>-15810</v>
      </c>
      <c r="F160" s="1052" t="s">
        <v>902</v>
      </c>
      <c r="G160" s="1052" t="s">
        <v>907</v>
      </c>
      <c r="H160" s="1031"/>
      <c r="I160" s="1032"/>
      <c r="J160" s="1032"/>
      <c r="K160" s="1032"/>
      <c r="L160" s="653" t="str">
        <f t="shared" si="132"/>
        <v>2131</v>
      </c>
      <c r="M160" s="654" t="str">
        <f t="shared" si="0"/>
        <v>PORTION COURANTE PRET</v>
      </c>
      <c r="N160" s="655">
        <f>+IF(OR($Q160=Parametres!$G$2,$Q160=Parametres!$G$3),I160,C160)</f>
        <v>-15810</v>
      </c>
      <c r="O160" s="655">
        <f>+IF(OR($Q160=Parametres!$G$2,$Q160=Parametres!$G$3),J160,D160)</f>
        <v>0</v>
      </c>
      <c r="P160" s="655">
        <f>+IF(OR($Q160=Parametres!$G$2,$Q160=Parametres!$G$3),K160,E160)</f>
        <v>-15810</v>
      </c>
      <c r="Q160" s="654" t="str">
        <f t="shared" ref="Q160:S160" si="162">+F160</f>
        <v>3-Passifs</v>
      </c>
      <c r="R160" s="653" t="str">
        <f t="shared" si="162"/>
        <v>2131</v>
      </c>
      <c r="S160" s="654">
        <f t="shared" si="162"/>
        <v>0</v>
      </c>
      <c r="T160" s="656" t="str">
        <f>+VLOOKUP($L160,Data_Validation!$A:$D,1,0)</f>
        <v>2131</v>
      </c>
      <c r="U160" s="656" t="str">
        <f>+VLOOKUP($L160,Data_Validation!$A:$D,3,0)</f>
        <v>Bilan</v>
      </c>
      <c r="V160" s="656" t="str">
        <f>+VLOOKUP($L160,Data_Validation!$A:$D,4,0)</f>
        <v>Portion Court Terme de la Dette Long Terme</v>
      </c>
      <c r="W160" s="656" t="str">
        <f>+VLOOKUP($L160,Data_Validation!$A:$E,5,0)</f>
        <v>$</v>
      </c>
      <c r="X160" s="656">
        <f>+VLOOKUP($L160,Data_Validation!$A:$F,6,0)</f>
        <v>0</v>
      </c>
    </row>
    <row r="161" spans="1:24" ht="15" customHeight="1">
      <c r="A161" s="1052" t="s">
        <v>908</v>
      </c>
      <c r="B161" s="1052" t="s">
        <v>909</v>
      </c>
      <c r="C161" s="1054">
        <v>-143.55000000000001</v>
      </c>
      <c r="D161" s="1054">
        <v>-84.68</v>
      </c>
      <c r="E161" s="1054">
        <v>-228.23</v>
      </c>
      <c r="F161" s="1052" t="s">
        <v>902</v>
      </c>
      <c r="G161" s="1052" t="s">
        <v>909</v>
      </c>
      <c r="H161" s="651"/>
      <c r="I161" s="651"/>
      <c r="J161" s="651"/>
      <c r="K161" s="651"/>
      <c r="L161" s="653" t="str">
        <f t="shared" si="132"/>
        <v>2220</v>
      </c>
      <c r="M161" s="654" t="str">
        <f t="shared" si="0"/>
        <v>TPA A PAYER</v>
      </c>
      <c r="N161" s="655">
        <f>+IF(OR($Q161=Parametres!$G$2,$Q161=Parametres!$G$3),I161,C161)</f>
        <v>-143.55000000000001</v>
      </c>
      <c r="O161" s="655">
        <f>+IF(OR($Q161=Parametres!$G$2,$Q161=Parametres!$G$3),J161,D161)</f>
        <v>-84.68</v>
      </c>
      <c r="P161" s="655">
        <f>+IF(OR($Q161=Parametres!$G$2,$Q161=Parametres!$G$3),K161,E161)</f>
        <v>-228.23</v>
      </c>
      <c r="Q161" s="654" t="str">
        <f t="shared" ref="Q161:S161" si="163">+F161</f>
        <v>3-Passifs</v>
      </c>
      <c r="R161" s="653" t="str">
        <f t="shared" si="163"/>
        <v>2220</v>
      </c>
      <c r="S161" s="654">
        <f t="shared" si="163"/>
        <v>0</v>
      </c>
      <c r="T161" s="656" t="str">
        <f>+VLOOKUP($L161,Data_Validation!$A:$D,1,0)</f>
        <v>2220</v>
      </c>
      <c r="U161" s="656" t="str">
        <f>+VLOOKUP($L161,Data_Validation!$A:$D,3,0)</f>
        <v>Bilan</v>
      </c>
      <c r="V161" s="656" t="str">
        <f>+VLOOKUP($L161,Data_Validation!$A:$D,4,0)</f>
        <v>Taxes de Vente à Payer</v>
      </c>
      <c r="W161" s="656" t="str">
        <f>+VLOOKUP($L161,Data_Validation!$A:$E,5,0)</f>
        <v>$</v>
      </c>
      <c r="X161" s="656">
        <f>+VLOOKUP($L161,Data_Validation!$A:$F,6,0)</f>
        <v>0</v>
      </c>
    </row>
    <row r="162" spans="1:24" ht="15" customHeight="1">
      <c r="A162" s="1052" t="s">
        <v>910</v>
      </c>
      <c r="B162" s="1052" t="s">
        <v>911</v>
      </c>
      <c r="C162" s="1054">
        <v>-113015.09</v>
      </c>
      <c r="D162" s="1054">
        <v>34143.129999999997</v>
      </c>
      <c r="E162" s="1054">
        <v>-78871.960000000006</v>
      </c>
      <c r="F162" s="1052" t="s">
        <v>902</v>
      </c>
      <c r="G162" s="1052" t="s">
        <v>911</v>
      </c>
      <c r="H162" s="1031"/>
      <c r="I162" s="1031"/>
      <c r="J162" s="1031"/>
      <c r="K162" s="1031"/>
      <c r="L162" s="653" t="str">
        <f t="shared" si="132"/>
        <v>2221</v>
      </c>
      <c r="M162" s="654" t="str">
        <f t="shared" si="0"/>
        <v>TVQ A PAYER</v>
      </c>
      <c r="N162" s="655">
        <f>+IF(OR($Q162=Parametres!$G$2,$Q162=Parametres!$G$3),I162,C162)</f>
        <v>-113015.09</v>
      </c>
      <c r="O162" s="655">
        <f>+IF(OR($Q162=Parametres!$G$2,$Q162=Parametres!$G$3),J162,D162)</f>
        <v>34143.129999999997</v>
      </c>
      <c r="P162" s="655">
        <f>+IF(OR($Q162=Parametres!$G$2,$Q162=Parametres!$G$3),K162,E162)</f>
        <v>-78871.960000000006</v>
      </c>
      <c r="Q162" s="654" t="str">
        <f t="shared" ref="Q162:S162" si="164">+F162</f>
        <v>3-Passifs</v>
      </c>
      <c r="R162" s="653" t="str">
        <f t="shared" si="164"/>
        <v>2221</v>
      </c>
      <c r="S162" s="654">
        <f t="shared" si="164"/>
        <v>0</v>
      </c>
      <c r="T162" s="656" t="str">
        <f>+VLOOKUP($L162,Data_Validation!$A:$D,1,0)</f>
        <v>2221</v>
      </c>
      <c r="U162" s="656" t="str">
        <f>+VLOOKUP($L162,Data_Validation!$A:$D,3,0)</f>
        <v>Bilan</v>
      </c>
      <c r="V162" s="656" t="str">
        <f>+VLOOKUP($L162,Data_Validation!$A:$D,4,0)</f>
        <v>Taxes de Vente à Payer</v>
      </c>
      <c r="W162" s="656" t="str">
        <f>+VLOOKUP($L162,Data_Validation!$A:$E,5,0)</f>
        <v>$</v>
      </c>
      <c r="X162" s="656">
        <f>+VLOOKUP($L162,Data_Validation!$A:$F,6,0)</f>
        <v>0</v>
      </c>
    </row>
    <row r="163" spans="1:24" ht="15.75" customHeight="1">
      <c r="A163" s="1052" t="s">
        <v>912</v>
      </c>
      <c r="B163" s="1052" t="s">
        <v>1652</v>
      </c>
      <c r="C163" s="1054">
        <v>66563.850000000006</v>
      </c>
      <c r="D163" s="1054">
        <v>-11854.02</v>
      </c>
      <c r="E163" s="1054">
        <v>54709.83</v>
      </c>
      <c r="F163" s="1052" t="s">
        <v>902</v>
      </c>
      <c r="G163" s="1052" t="s">
        <v>911</v>
      </c>
      <c r="H163" s="651"/>
      <c r="I163" s="651"/>
      <c r="J163" s="651"/>
      <c r="K163" s="651"/>
      <c r="L163" s="653" t="str">
        <f t="shared" si="132"/>
        <v>2222</v>
      </c>
      <c r="M163" s="654" t="str">
        <f t="shared" si="0"/>
        <v>TVQ A RECEVOIR</v>
      </c>
      <c r="N163" s="655">
        <f>+IF(OR($Q163=Parametres!$G$2,$Q163=Parametres!$G$3),I163,C163)</f>
        <v>66563.850000000006</v>
      </c>
      <c r="O163" s="655">
        <f>+IF(OR($Q163=Parametres!$G$2,$Q163=Parametres!$G$3),J163,D163)</f>
        <v>-11854.02</v>
      </c>
      <c r="P163" s="655">
        <f>+IF(OR($Q163=Parametres!$G$2,$Q163=Parametres!$G$3),K163,E163)</f>
        <v>54709.83</v>
      </c>
      <c r="Q163" s="654" t="str">
        <f t="shared" ref="Q163:S163" si="165">+F163</f>
        <v>3-Passifs</v>
      </c>
      <c r="R163" s="653" t="str">
        <f t="shared" si="165"/>
        <v>2221</v>
      </c>
      <c r="S163" s="654">
        <f t="shared" si="165"/>
        <v>0</v>
      </c>
      <c r="T163" s="656" t="str">
        <f>+VLOOKUP($L163,Data_Validation!$A:$D,1,0)</f>
        <v>2222</v>
      </c>
      <c r="U163" s="656" t="str">
        <f>+VLOOKUP($L163,Data_Validation!$A:$D,3,0)</f>
        <v>Bilan</v>
      </c>
      <c r="V163" s="656" t="str">
        <f>+VLOOKUP($L163,Data_Validation!$A:$D,4,0)</f>
        <v>Taxes de Vente à Payer</v>
      </c>
      <c r="W163" s="656" t="str">
        <f>+VLOOKUP($L163,Data_Validation!$A:$E,5,0)</f>
        <v>$</v>
      </c>
      <c r="X163" s="656">
        <f>+VLOOKUP($L163,Data_Validation!$A:$F,6,0)</f>
        <v>0</v>
      </c>
    </row>
    <row r="164" spans="1:24" ht="15" customHeight="1">
      <c r="A164" s="1052" t="s">
        <v>913</v>
      </c>
      <c r="B164" s="1052" t="s">
        <v>914</v>
      </c>
      <c r="C164" s="1054">
        <v>-379218</v>
      </c>
      <c r="D164" s="1054">
        <v>203833.3</v>
      </c>
      <c r="E164" s="1054">
        <v>-175384.7</v>
      </c>
      <c r="F164" s="1052" t="s">
        <v>902</v>
      </c>
      <c r="G164" s="1052" t="s">
        <v>914</v>
      </c>
      <c r="H164" s="1031"/>
      <c r="I164" s="1031"/>
      <c r="J164" s="1031"/>
      <c r="K164" s="1031"/>
      <c r="L164" s="653" t="str">
        <f t="shared" si="132"/>
        <v>2223</v>
      </c>
      <c r="M164" s="654" t="str">
        <f t="shared" si="0"/>
        <v>TPS A PAYER</v>
      </c>
      <c r="N164" s="655">
        <f>+IF(OR($Q164=Parametres!$G$2,$Q164=Parametres!$G$3),I164,C164)</f>
        <v>-379218</v>
      </c>
      <c r="O164" s="655">
        <f>+IF(OR($Q164=Parametres!$G$2,$Q164=Parametres!$G$3),J164,D164)</f>
        <v>203833.3</v>
      </c>
      <c r="P164" s="655">
        <f>+IF(OR($Q164=Parametres!$G$2,$Q164=Parametres!$G$3),K164,E164)</f>
        <v>-175384.7</v>
      </c>
      <c r="Q164" s="654" t="str">
        <f t="shared" ref="Q164:S164" si="166">+F164</f>
        <v>3-Passifs</v>
      </c>
      <c r="R164" s="653" t="str">
        <f t="shared" si="166"/>
        <v>2223</v>
      </c>
      <c r="S164" s="654">
        <f t="shared" si="166"/>
        <v>0</v>
      </c>
      <c r="T164" s="656" t="str">
        <f>+VLOOKUP($L164,Data_Validation!$A:$D,1,0)</f>
        <v>2223</v>
      </c>
      <c r="U164" s="656" t="str">
        <f>+VLOOKUP($L164,Data_Validation!$A:$D,3,0)</f>
        <v>Bilan</v>
      </c>
      <c r="V164" s="656" t="str">
        <f>+VLOOKUP($L164,Data_Validation!$A:$D,4,0)</f>
        <v>Taxes de Vente à Payer</v>
      </c>
      <c r="W164" s="656" t="str">
        <f>+VLOOKUP($L164,Data_Validation!$A:$E,5,0)</f>
        <v>$</v>
      </c>
      <c r="X164" s="656">
        <f>+VLOOKUP($L164,Data_Validation!$A:$F,6,0)</f>
        <v>0</v>
      </c>
    </row>
    <row r="165" spans="1:24" ht="15" customHeight="1">
      <c r="A165" s="1052" t="s">
        <v>915</v>
      </c>
      <c r="B165" s="1052" t="s">
        <v>1657</v>
      </c>
      <c r="C165" s="1054">
        <v>232868.88</v>
      </c>
      <c r="D165" s="1054">
        <v>-124391.82</v>
      </c>
      <c r="E165" s="1054">
        <v>108477.06</v>
      </c>
      <c r="F165" s="1052" t="s">
        <v>902</v>
      </c>
      <c r="G165" s="1052" t="s">
        <v>914</v>
      </c>
      <c r="H165" s="651"/>
      <c r="I165" s="652"/>
      <c r="J165" s="652"/>
      <c r="K165" s="652"/>
      <c r="L165" s="653" t="str">
        <f t="shared" si="132"/>
        <v>2224</v>
      </c>
      <c r="M165" s="654" t="str">
        <f t="shared" si="0"/>
        <v>TPS A RECEVOIR</v>
      </c>
      <c r="N165" s="655">
        <f>+IF(OR($Q165=Parametres!$G$2,$Q165=Parametres!$G$3),I165,C165)</f>
        <v>232868.88</v>
      </c>
      <c r="O165" s="655">
        <f>+IF(OR($Q165=Parametres!$G$2,$Q165=Parametres!$G$3),J165,D165)</f>
        <v>-124391.82</v>
      </c>
      <c r="P165" s="655">
        <f>+IF(OR($Q165=Parametres!$G$2,$Q165=Parametres!$G$3),K165,E165)</f>
        <v>108477.06</v>
      </c>
      <c r="Q165" s="654" t="str">
        <f t="shared" ref="Q165:S165" si="167">+F165</f>
        <v>3-Passifs</v>
      </c>
      <c r="R165" s="653" t="str">
        <f t="shared" si="167"/>
        <v>2223</v>
      </c>
      <c r="S165" s="654">
        <f t="shared" si="167"/>
        <v>0</v>
      </c>
      <c r="T165" s="656" t="str">
        <f>+VLOOKUP($L165,Data_Validation!$A:$D,1,0)</f>
        <v>2224</v>
      </c>
      <c r="U165" s="656" t="str">
        <f>+VLOOKUP($L165,Data_Validation!$A:$D,3,0)</f>
        <v>Bilan</v>
      </c>
      <c r="V165" s="656" t="str">
        <f>+VLOOKUP($L165,Data_Validation!$A:$D,4,0)</f>
        <v>Taxes de Vente à Payer</v>
      </c>
      <c r="W165" s="656" t="str">
        <f>+VLOOKUP($L165,Data_Validation!$A:$E,5,0)</f>
        <v>$</v>
      </c>
      <c r="X165" s="656">
        <f>+VLOOKUP($L165,Data_Validation!$A:$F,6,0)</f>
        <v>0</v>
      </c>
    </row>
    <row r="166" spans="1:24" ht="15" customHeight="1">
      <c r="A166" s="1052" t="s">
        <v>916</v>
      </c>
      <c r="B166" s="1052" t="s">
        <v>1660</v>
      </c>
      <c r="C166" s="1054">
        <v>-1464</v>
      </c>
      <c r="D166" s="1054">
        <v>435</v>
      </c>
      <c r="E166" s="1054">
        <v>-1029</v>
      </c>
      <c r="F166" s="1052" t="s">
        <v>902</v>
      </c>
      <c r="G166" s="1052" t="s">
        <v>911</v>
      </c>
      <c r="H166" s="1031"/>
      <c r="I166" s="1031"/>
      <c r="J166" s="1031"/>
      <c r="K166" s="1031"/>
      <c r="L166" s="653" t="str">
        <f t="shared" si="132"/>
        <v>2225</v>
      </c>
      <c r="M166" s="654" t="str">
        <f t="shared" si="0"/>
        <v>DROIT SUR PNEUS</v>
      </c>
      <c r="N166" s="655">
        <f>+IF(OR($Q166=Parametres!$G$2,$Q166=Parametres!$G$3),I166,C166)</f>
        <v>-1464</v>
      </c>
      <c r="O166" s="655">
        <f>+IF(OR($Q166=Parametres!$G$2,$Q166=Parametres!$G$3),J166,D166)</f>
        <v>435</v>
      </c>
      <c r="P166" s="655">
        <f>+IF(OR($Q166=Parametres!$G$2,$Q166=Parametres!$G$3),K166,E166)</f>
        <v>-1029</v>
      </c>
      <c r="Q166" s="654" t="str">
        <f t="shared" ref="Q166:S166" si="168">+F166</f>
        <v>3-Passifs</v>
      </c>
      <c r="R166" s="653" t="str">
        <f t="shared" si="168"/>
        <v>2221</v>
      </c>
      <c r="S166" s="654">
        <f t="shared" si="168"/>
        <v>0</v>
      </c>
      <c r="T166" s="656" t="str">
        <f>+VLOOKUP($L166,Data_Validation!$A:$D,1,0)</f>
        <v>2225</v>
      </c>
      <c r="U166" s="656" t="str">
        <f>+VLOOKUP($L166,Data_Validation!$A:$D,3,0)</f>
        <v>Bilan</v>
      </c>
      <c r="V166" s="656" t="str">
        <f>+VLOOKUP($L166,Data_Validation!$A:$D,4,0)</f>
        <v>Taxes de Vente à Payer</v>
      </c>
      <c r="W166" s="656" t="str">
        <f>+VLOOKUP($L166,Data_Validation!$A:$E,5,0)</f>
        <v>$</v>
      </c>
      <c r="X166" s="656">
        <f>+VLOOKUP($L166,Data_Validation!$A:$F,6,0)</f>
        <v>0</v>
      </c>
    </row>
    <row r="167" spans="1:24" ht="15" customHeight="1">
      <c r="A167" s="1052" t="s">
        <v>917</v>
      </c>
      <c r="B167" s="1052" t="s">
        <v>1663</v>
      </c>
      <c r="C167" s="1054">
        <v>-116317.14</v>
      </c>
      <c r="D167" s="1054">
        <v>49076.67</v>
      </c>
      <c r="E167" s="1054">
        <v>-67240.47</v>
      </c>
      <c r="F167" s="1052" t="s">
        <v>902</v>
      </c>
      <c r="G167" s="1052" t="s">
        <v>918</v>
      </c>
      <c r="H167" s="651"/>
      <c r="I167" s="652"/>
      <c r="J167" s="652"/>
      <c r="K167" s="652"/>
      <c r="L167" s="653" t="str">
        <f t="shared" si="132"/>
        <v>2281</v>
      </c>
      <c r="M167" s="654" t="str">
        <f t="shared" si="0"/>
        <v>LIEN A PAYER</v>
      </c>
      <c r="N167" s="655">
        <f>+IF(OR($Q167=Parametres!$G$2,$Q167=Parametres!$G$3),I167,C167)</f>
        <v>-116317.14</v>
      </c>
      <c r="O167" s="655">
        <f>+IF(OR($Q167=Parametres!$G$2,$Q167=Parametres!$G$3),J167,D167)</f>
        <v>49076.67</v>
      </c>
      <c r="P167" s="655">
        <f>+IF(OR($Q167=Parametres!$G$2,$Q167=Parametres!$G$3),K167,E167)</f>
        <v>-67240.47</v>
      </c>
      <c r="Q167" s="654" t="str">
        <f t="shared" ref="Q167:S167" si="169">+F167</f>
        <v>3-Passifs</v>
      </c>
      <c r="R167" s="653" t="str">
        <f t="shared" si="169"/>
        <v>2283</v>
      </c>
      <c r="S167" s="654">
        <f t="shared" si="169"/>
        <v>0</v>
      </c>
      <c r="T167" s="656" t="str">
        <f>+VLOOKUP($L167,Data_Validation!$A:$D,1,0)</f>
        <v>2281</v>
      </c>
      <c r="U167" s="656" t="str">
        <f>+VLOOKUP($L167,Data_Validation!$A:$D,3,0)</f>
        <v>Bilan</v>
      </c>
      <c r="V167" s="656" t="str">
        <f>+VLOOKUP($L167,Data_Validation!$A:$D,4,0)</f>
        <v>Autres Comptes à Payer</v>
      </c>
      <c r="W167" s="656" t="str">
        <f>+VLOOKUP($L167,Data_Validation!$A:$E,5,0)</f>
        <v>$</v>
      </c>
      <c r="X167" s="656">
        <f>+VLOOKUP($L167,Data_Validation!$A:$F,6,0)</f>
        <v>0</v>
      </c>
    </row>
    <row r="168" spans="1:24" ht="15.75" customHeight="1">
      <c r="A168" s="1052" t="s">
        <v>919</v>
      </c>
      <c r="B168" s="1052" t="s">
        <v>918</v>
      </c>
      <c r="C168" s="1054">
        <v>-7750</v>
      </c>
      <c r="D168" s="1054">
        <v>-610</v>
      </c>
      <c r="E168" s="1054">
        <v>-8360</v>
      </c>
      <c r="F168" s="1052" t="s">
        <v>902</v>
      </c>
      <c r="G168" s="1052" t="s">
        <v>918</v>
      </c>
      <c r="H168" s="1031"/>
      <c r="I168" s="1031"/>
      <c r="J168" s="1031"/>
      <c r="K168" s="1031"/>
      <c r="L168" s="653" t="str">
        <f t="shared" si="132"/>
        <v>2283</v>
      </c>
      <c r="M168" s="654" t="str">
        <f t="shared" si="0"/>
        <v>PLAQUE A PAYER</v>
      </c>
      <c r="N168" s="655">
        <f>+IF(OR($Q168=Parametres!$G$2,$Q168=Parametres!$G$3),I168,C168)</f>
        <v>-7750</v>
      </c>
      <c r="O168" s="655">
        <f>+IF(OR($Q168=Parametres!$G$2,$Q168=Parametres!$G$3),J168,D168)</f>
        <v>-610</v>
      </c>
      <c r="P168" s="655">
        <f>+IF(OR($Q168=Parametres!$G$2,$Q168=Parametres!$G$3),K168,E168)</f>
        <v>-8360</v>
      </c>
      <c r="Q168" s="654" t="str">
        <f t="shared" ref="Q168:S168" si="170">+F168</f>
        <v>3-Passifs</v>
      </c>
      <c r="R168" s="653" t="str">
        <f t="shared" si="170"/>
        <v>2283</v>
      </c>
      <c r="S168" s="654">
        <f t="shared" si="170"/>
        <v>0</v>
      </c>
      <c r="T168" s="656" t="str">
        <f>+VLOOKUP($L168,Data_Validation!$A:$D,1,0)</f>
        <v>2283</v>
      </c>
      <c r="U168" s="656" t="str">
        <f>+VLOOKUP($L168,Data_Validation!$A:$D,3,0)</f>
        <v>Bilan</v>
      </c>
      <c r="V168" s="656" t="str">
        <f>+VLOOKUP($L168,Data_Validation!$A:$D,4,0)</f>
        <v>Autres Comptes à Payer</v>
      </c>
      <c r="W168" s="656" t="str">
        <f>+VLOOKUP($L168,Data_Validation!$A:$E,5,0)</f>
        <v>$</v>
      </c>
      <c r="X168" s="656">
        <f>+VLOOKUP($L168,Data_Validation!$A:$F,6,0)</f>
        <v>0</v>
      </c>
    </row>
    <row r="169" spans="1:24" ht="15" customHeight="1">
      <c r="A169" s="1052" t="s">
        <v>920</v>
      </c>
      <c r="B169" s="1052" t="s">
        <v>1668</v>
      </c>
      <c r="C169" s="1054">
        <v>-45115.67</v>
      </c>
      <c r="D169" s="1054">
        <v>-6864.5</v>
      </c>
      <c r="E169" s="1054">
        <v>-51980.17</v>
      </c>
      <c r="F169" s="1052" t="s">
        <v>902</v>
      </c>
      <c r="G169" s="1052" t="s">
        <v>918</v>
      </c>
      <c r="H169" s="651"/>
      <c r="I169" s="652"/>
      <c r="J169" s="652"/>
      <c r="K169" s="652"/>
      <c r="L169" s="653" t="str">
        <f t="shared" si="132"/>
        <v>2285</v>
      </c>
      <c r="M169" s="654" t="str">
        <f t="shared" si="0"/>
        <v>PROTECTIONS A PAYER</v>
      </c>
      <c r="N169" s="655">
        <f>+IF(OR($Q169=Parametres!$G$2,$Q169=Parametres!$G$3),I169,C169)</f>
        <v>-45115.67</v>
      </c>
      <c r="O169" s="655">
        <f>+IF(OR($Q169=Parametres!$G$2,$Q169=Parametres!$G$3),J169,D169)</f>
        <v>-6864.5</v>
      </c>
      <c r="P169" s="655">
        <f>+IF(OR($Q169=Parametres!$G$2,$Q169=Parametres!$G$3),K169,E169)</f>
        <v>-51980.17</v>
      </c>
      <c r="Q169" s="654" t="str">
        <f t="shared" ref="Q169:S169" si="171">+F169</f>
        <v>3-Passifs</v>
      </c>
      <c r="R169" s="653" t="str">
        <f t="shared" si="171"/>
        <v>2283</v>
      </c>
      <c r="S169" s="654">
        <f t="shared" si="171"/>
        <v>0</v>
      </c>
      <c r="T169" s="656" t="str">
        <f>+VLOOKUP($L169,Data_Validation!$A:$D,1,0)</f>
        <v>2285</v>
      </c>
      <c r="U169" s="656" t="str">
        <f>+VLOOKUP($L169,Data_Validation!$A:$D,3,0)</f>
        <v>Bilan</v>
      </c>
      <c r="V169" s="656" t="str">
        <f>+VLOOKUP($L169,Data_Validation!$A:$D,4,0)</f>
        <v>Autres Comptes à Payer</v>
      </c>
      <c r="W169" s="656" t="str">
        <f>+VLOOKUP($L169,Data_Validation!$A:$E,5,0)</f>
        <v>$</v>
      </c>
      <c r="X169" s="656">
        <f>+VLOOKUP($L169,Data_Validation!$A:$F,6,0)</f>
        <v>0</v>
      </c>
    </row>
    <row r="170" spans="1:24" ht="15" customHeight="1">
      <c r="A170" s="1052" t="s">
        <v>921</v>
      </c>
      <c r="B170" s="1052" t="s">
        <v>1671</v>
      </c>
      <c r="C170" s="1054">
        <v>-4058.7</v>
      </c>
      <c r="D170" s="1054">
        <v>-2098.25</v>
      </c>
      <c r="E170" s="1054">
        <v>-6156.95</v>
      </c>
      <c r="F170" s="1052" t="s">
        <v>902</v>
      </c>
      <c r="G170" s="1052" t="s">
        <v>918</v>
      </c>
      <c r="H170" s="1031"/>
      <c r="I170" s="1031"/>
      <c r="J170" s="1031"/>
      <c r="K170" s="1031"/>
      <c r="L170" s="653" t="str">
        <f t="shared" si="132"/>
        <v>2287</v>
      </c>
      <c r="M170" s="654" t="str">
        <f t="shared" si="0"/>
        <v>A PAYER INVAPLAN</v>
      </c>
      <c r="N170" s="655">
        <f>+IF(OR($Q170=Parametres!$G$2,$Q170=Parametres!$G$3),I170,C170)</f>
        <v>-4058.7</v>
      </c>
      <c r="O170" s="655">
        <f>+IF(OR($Q170=Parametres!$G$2,$Q170=Parametres!$G$3),J170,D170)</f>
        <v>-2098.25</v>
      </c>
      <c r="P170" s="655">
        <f>+IF(OR($Q170=Parametres!$G$2,$Q170=Parametres!$G$3),K170,E170)</f>
        <v>-6156.95</v>
      </c>
      <c r="Q170" s="654" t="str">
        <f t="shared" ref="Q170:S170" si="172">+F170</f>
        <v>3-Passifs</v>
      </c>
      <c r="R170" s="653" t="str">
        <f t="shared" si="172"/>
        <v>2283</v>
      </c>
      <c r="S170" s="654">
        <f t="shared" si="172"/>
        <v>0</v>
      </c>
      <c r="T170" s="656" t="str">
        <f>+VLOOKUP($L170,Data_Validation!$A:$D,1,0)</f>
        <v>2287</v>
      </c>
      <c r="U170" s="656" t="str">
        <f>+VLOOKUP($L170,Data_Validation!$A:$D,3,0)</f>
        <v>Bilan</v>
      </c>
      <c r="V170" s="656" t="str">
        <f>+VLOOKUP($L170,Data_Validation!$A:$D,4,0)</f>
        <v>Autres Comptes à Payer</v>
      </c>
      <c r="W170" s="656" t="str">
        <f>+VLOOKUP($L170,Data_Validation!$A:$E,5,0)</f>
        <v>$</v>
      </c>
      <c r="X170" s="656">
        <f>+VLOOKUP($L170,Data_Validation!$A:$F,6,0)</f>
        <v>0</v>
      </c>
    </row>
    <row r="171" spans="1:24" ht="15" customHeight="1">
      <c r="A171" s="1052" t="s">
        <v>922</v>
      </c>
      <c r="B171" s="1052" t="s">
        <v>923</v>
      </c>
      <c r="C171" s="1054">
        <v>-236298.28</v>
      </c>
      <c r="D171" s="1054">
        <v>230775.03</v>
      </c>
      <c r="E171" s="1054">
        <v>-5523.25</v>
      </c>
      <c r="F171" s="1052" t="s">
        <v>902</v>
      </c>
      <c r="G171" s="1052" t="s">
        <v>923</v>
      </c>
      <c r="H171" s="651"/>
      <c r="I171" s="652"/>
      <c r="J171" s="652"/>
      <c r="K171" s="652"/>
      <c r="L171" s="653" t="str">
        <f t="shared" si="132"/>
        <v>2291</v>
      </c>
      <c r="M171" s="654" t="str">
        <f t="shared" si="0"/>
        <v>COMPTES FOURNISSEURS</v>
      </c>
      <c r="N171" s="655">
        <f>+IF(OR($Q171=Parametres!$G$2,$Q171=Parametres!$G$3),I171,C171)</f>
        <v>-236298.28</v>
      </c>
      <c r="O171" s="655">
        <f>+IF(OR($Q171=Parametres!$G$2,$Q171=Parametres!$G$3),J171,D171)</f>
        <v>230775.03</v>
      </c>
      <c r="P171" s="655">
        <f>+IF(OR($Q171=Parametres!$G$2,$Q171=Parametres!$G$3),K171,E171)</f>
        <v>-5523.25</v>
      </c>
      <c r="Q171" s="654" t="str">
        <f t="shared" ref="Q171:S171" si="173">+F171</f>
        <v>3-Passifs</v>
      </c>
      <c r="R171" s="653" t="str">
        <f t="shared" si="173"/>
        <v>2291</v>
      </c>
      <c r="S171" s="654">
        <f t="shared" si="173"/>
        <v>0</v>
      </c>
      <c r="T171" s="656" t="str">
        <f>+VLOOKUP($L171,Data_Validation!$A:$D,1,0)</f>
        <v>2291</v>
      </c>
      <c r="U171" s="656" t="str">
        <f>+VLOOKUP($L171,Data_Validation!$A:$D,3,0)</f>
        <v>Bilan</v>
      </c>
      <c r="V171" s="656" t="str">
        <f>+VLOOKUP($L171,Data_Validation!$A:$D,4,0)</f>
        <v>Comptes à Payer Fournisseurs</v>
      </c>
      <c r="W171" s="656" t="str">
        <f>+VLOOKUP($L171,Data_Validation!$A:$E,5,0)</f>
        <v>$</v>
      </c>
      <c r="X171" s="656">
        <f>+VLOOKUP($L171,Data_Validation!$A:$F,6,0)</f>
        <v>0</v>
      </c>
    </row>
    <row r="172" spans="1:24" ht="15.75" customHeight="1">
      <c r="A172" s="1052" t="s">
        <v>924</v>
      </c>
      <c r="B172" s="1052" t="s">
        <v>1679</v>
      </c>
      <c r="C172" s="1054">
        <v>0</v>
      </c>
      <c r="D172" s="1054">
        <v>-28500</v>
      </c>
      <c r="E172" s="1054">
        <v>-28500</v>
      </c>
      <c r="F172" s="1052" t="s">
        <v>902</v>
      </c>
      <c r="G172" s="1052" t="s">
        <v>923</v>
      </c>
      <c r="H172" s="1031"/>
      <c r="I172" s="1031"/>
      <c r="J172" s="1031"/>
      <c r="K172" s="1031"/>
      <c r="L172" s="653" t="str">
        <f t="shared" si="132"/>
        <v>2292</v>
      </c>
      <c r="M172" s="654" t="str">
        <f t="shared" si="0"/>
        <v>ECHANGE ENTRE CONCESSIONNAIRES</v>
      </c>
      <c r="N172" s="655">
        <f>+IF(OR($Q172=Parametres!$G$2,$Q172=Parametres!$G$3),I172,C172)</f>
        <v>0</v>
      </c>
      <c r="O172" s="655">
        <f>+IF(OR($Q172=Parametres!$G$2,$Q172=Parametres!$G$3),J172,D172)</f>
        <v>-28500</v>
      </c>
      <c r="P172" s="655">
        <f>+IF(OR($Q172=Parametres!$G$2,$Q172=Parametres!$G$3),K172,E172)</f>
        <v>-28500</v>
      </c>
      <c r="Q172" s="654" t="str">
        <f t="shared" ref="Q172:S172" si="174">+F172</f>
        <v>3-Passifs</v>
      </c>
      <c r="R172" s="653" t="str">
        <f t="shared" si="174"/>
        <v>2291</v>
      </c>
      <c r="S172" s="654">
        <f t="shared" si="174"/>
        <v>0</v>
      </c>
      <c r="T172" s="656" t="str">
        <f>+VLOOKUP($L172,Data_Validation!$A:$D,1,0)</f>
        <v>2292</v>
      </c>
      <c r="U172" s="656" t="str">
        <f>+VLOOKUP($L172,Data_Validation!$A:$D,3,0)</f>
        <v>Bilan</v>
      </c>
      <c r="V172" s="656" t="str">
        <f>+VLOOKUP($L172,Data_Validation!$A:$D,4,0)</f>
        <v>Autres Comptes à Payer</v>
      </c>
      <c r="W172" s="656" t="str">
        <f>+VLOOKUP($L172,Data_Validation!$A:$E,5,0)</f>
        <v>$</v>
      </c>
      <c r="X172" s="656">
        <f>+VLOOKUP($L172,Data_Validation!$A:$F,6,0)</f>
        <v>0</v>
      </c>
    </row>
    <row r="173" spans="1:24" ht="15" customHeight="1">
      <c r="A173" s="1052" t="s">
        <v>925</v>
      </c>
      <c r="B173" s="1052" t="s">
        <v>928</v>
      </c>
      <c r="C173" s="1054">
        <v>-17639.5</v>
      </c>
      <c r="D173" s="1054">
        <v>1793.38</v>
      </c>
      <c r="E173" s="1054">
        <v>-15846.12</v>
      </c>
      <c r="F173" s="1052" t="s">
        <v>902</v>
      </c>
      <c r="G173" s="1052" t="s">
        <v>918</v>
      </c>
      <c r="H173" s="651"/>
      <c r="I173" s="652"/>
      <c r="J173" s="652"/>
      <c r="K173" s="652"/>
      <c r="L173" s="653" t="str">
        <f t="shared" si="132"/>
        <v>2293</v>
      </c>
      <c r="M173" s="654" t="str">
        <f t="shared" si="0"/>
        <v>PROVISIONS GARANTIES USAGEES</v>
      </c>
      <c r="N173" s="655">
        <f>+IF(OR($Q173=Parametres!$G$2,$Q173=Parametres!$G$3),I173,C173)</f>
        <v>-17639.5</v>
      </c>
      <c r="O173" s="655">
        <f>+IF(OR($Q173=Parametres!$G$2,$Q173=Parametres!$G$3),J173,D173)</f>
        <v>1793.38</v>
      </c>
      <c r="P173" s="655">
        <f>+IF(OR($Q173=Parametres!$G$2,$Q173=Parametres!$G$3),K173,E173)</f>
        <v>-15846.12</v>
      </c>
      <c r="Q173" s="654" t="str">
        <f t="shared" ref="Q173:S173" si="175">+F173</f>
        <v>3-Passifs</v>
      </c>
      <c r="R173" s="653" t="str">
        <f t="shared" si="175"/>
        <v>2283</v>
      </c>
      <c r="S173" s="654">
        <f t="shared" si="175"/>
        <v>0</v>
      </c>
      <c r="T173" s="656" t="str">
        <f>+VLOOKUP($L173,Data_Validation!$A:$D,1,0)</f>
        <v>2293</v>
      </c>
      <c r="U173" s="656" t="str">
        <f>+VLOOKUP($L173,Data_Validation!$A:$D,3,0)</f>
        <v>Bilan</v>
      </c>
      <c r="V173" s="656" t="str">
        <f>+VLOOKUP($L173,Data_Validation!$A:$D,4,0)</f>
        <v>Autres Courus</v>
      </c>
      <c r="W173" s="656" t="str">
        <f>+VLOOKUP($L173,Data_Validation!$A:$E,5,0)</f>
        <v>$</v>
      </c>
      <c r="X173" s="656">
        <f>+VLOOKUP($L173,Data_Validation!$A:$F,6,0)</f>
        <v>0</v>
      </c>
    </row>
    <row r="174" spans="1:24" ht="15" customHeight="1">
      <c r="A174" s="1052" t="s">
        <v>926</v>
      </c>
      <c r="B174" s="1052" t="s">
        <v>3376</v>
      </c>
      <c r="C174" s="1054">
        <v>-4911.46</v>
      </c>
      <c r="D174" s="1054">
        <v>112.57</v>
      </c>
      <c r="E174" s="1054">
        <v>-4798.8900000000003</v>
      </c>
      <c r="F174" s="1052" t="s">
        <v>902</v>
      </c>
      <c r="G174" s="1052" t="s">
        <v>918</v>
      </c>
      <c r="H174" s="1031"/>
      <c r="I174" s="1031"/>
      <c r="J174" s="1031"/>
      <c r="K174" s="1031"/>
      <c r="L174" s="653" t="str">
        <f t="shared" si="132"/>
        <v>2294</v>
      </c>
      <c r="M174" s="654" t="str">
        <f t="shared" si="0"/>
        <v>Volks RESERVE PROMO SAISONNIERE</v>
      </c>
      <c r="N174" s="655">
        <f>+IF(OR($Q174=Parametres!$G$2,$Q174=Parametres!$G$3),I174,C174)</f>
        <v>-4911.46</v>
      </c>
      <c r="O174" s="655">
        <f>+IF(OR($Q174=Parametres!$G$2,$Q174=Parametres!$G$3),J174,D174)</f>
        <v>112.57</v>
      </c>
      <c r="P174" s="655">
        <f>+IF(OR($Q174=Parametres!$G$2,$Q174=Parametres!$G$3),K174,E174)</f>
        <v>-4798.8900000000003</v>
      </c>
      <c r="Q174" s="654" t="str">
        <f t="shared" ref="Q174:S174" si="176">+F174</f>
        <v>3-Passifs</v>
      </c>
      <c r="R174" s="653" t="str">
        <f t="shared" si="176"/>
        <v>2283</v>
      </c>
      <c r="S174" s="654">
        <f t="shared" si="176"/>
        <v>0</v>
      </c>
      <c r="T174" s="656" t="str">
        <f>+VLOOKUP($L174,Data_Validation!$A:$D,1,0)</f>
        <v>2294</v>
      </c>
      <c r="U174" s="656" t="str">
        <f>+VLOOKUP($L174,Data_Validation!$A:$D,3,0)</f>
        <v>Bilan</v>
      </c>
      <c r="V174" s="656" t="str">
        <f>+VLOOKUP($L174,Data_Validation!$A:$D,4,0)</f>
        <v>Autres Courus</v>
      </c>
      <c r="W174" s="656" t="str">
        <f>+VLOOKUP($L174,Data_Validation!$A:$E,5,0)</f>
        <v>$</v>
      </c>
      <c r="X174" s="656">
        <f>+VLOOKUP($L174,Data_Validation!$A:$F,6,0)</f>
        <v>0</v>
      </c>
    </row>
    <row r="175" spans="1:24" ht="15" customHeight="1">
      <c r="A175" s="1052" t="s">
        <v>927</v>
      </c>
      <c r="B175" s="1052" t="s">
        <v>1684</v>
      </c>
      <c r="C175" s="1054">
        <v>-536.32000000000005</v>
      </c>
      <c r="D175" s="1054">
        <v>-163.53</v>
      </c>
      <c r="E175" s="1054">
        <v>-699.85</v>
      </c>
      <c r="F175" s="1052" t="s">
        <v>902</v>
      </c>
      <c r="G175" s="1052" t="s">
        <v>928</v>
      </c>
      <c r="H175" s="651"/>
      <c r="I175" s="652"/>
      <c r="J175" s="652"/>
      <c r="K175" s="652"/>
      <c r="L175" s="653" t="str">
        <f t="shared" si="132"/>
        <v>2295</v>
      </c>
      <c r="M175" s="654" t="str">
        <f t="shared" si="0"/>
        <v>RESERVE ESSENCE</v>
      </c>
      <c r="N175" s="655">
        <f>+IF(OR($Q175=Parametres!$G$2,$Q175=Parametres!$G$3),I175,C175)</f>
        <v>-536.32000000000005</v>
      </c>
      <c r="O175" s="655">
        <f>+IF(OR($Q175=Parametres!$G$2,$Q175=Parametres!$G$3),J175,D175)</f>
        <v>-163.53</v>
      </c>
      <c r="P175" s="655">
        <f>+IF(OR($Q175=Parametres!$G$2,$Q175=Parametres!$G$3),K175,E175)</f>
        <v>-699.85</v>
      </c>
      <c r="Q175" s="654" t="str">
        <f t="shared" ref="Q175:S175" si="177">+F175</f>
        <v>3-Passifs</v>
      </c>
      <c r="R175" s="653" t="str">
        <f t="shared" si="177"/>
        <v>2293</v>
      </c>
      <c r="S175" s="654">
        <f t="shared" si="177"/>
        <v>0</v>
      </c>
      <c r="T175" s="656" t="str">
        <f>+VLOOKUP($L175,Data_Validation!$A:$D,1,0)</f>
        <v>2295</v>
      </c>
      <c r="U175" s="656" t="str">
        <f>+VLOOKUP($L175,Data_Validation!$A:$D,3,0)</f>
        <v>Bilan</v>
      </c>
      <c r="V175" s="656" t="str">
        <f>+VLOOKUP($L175,Data_Validation!$A:$D,4,0)</f>
        <v>Autres Courus</v>
      </c>
      <c r="W175" s="656" t="str">
        <f>+VLOOKUP($L175,Data_Validation!$A:$E,5,0)</f>
        <v>$</v>
      </c>
      <c r="X175" s="656">
        <f>+VLOOKUP($L175,Data_Validation!$A:$F,6,0)</f>
        <v>0</v>
      </c>
    </row>
    <row r="176" spans="1:24" ht="15.75" customHeight="1">
      <c r="A176" s="1052" t="s">
        <v>929</v>
      </c>
      <c r="B176" s="1052" t="s">
        <v>3377</v>
      </c>
      <c r="C176" s="1054">
        <v>-102214.71</v>
      </c>
      <c r="D176" s="1054">
        <v>9405.65</v>
      </c>
      <c r="E176" s="1054">
        <v>-92809.06</v>
      </c>
      <c r="F176" s="1052" t="s">
        <v>902</v>
      </c>
      <c r="G176" s="1052" t="s">
        <v>923</v>
      </c>
      <c r="H176" s="1031"/>
      <c r="I176" s="1031"/>
      <c r="J176" s="1031"/>
      <c r="K176" s="1031"/>
      <c r="L176" s="653" t="str">
        <f t="shared" si="132"/>
        <v>2296</v>
      </c>
      <c r="M176" s="654" t="str">
        <f t="shared" si="0"/>
        <v>COMPTE FOURNISSEURS INTERCO</v>
      </c>
      <c r="N176" s="655">
        <f>+IF(OR($Q176=Parametres!$G$2,$Q176=Parametres!$G$3),I176,C176)</f>
        <v>-102214.71</v>
      </c>
      <c r="O176" s="655">
        <f>+IF(OR($Q176=Parametres!$G$2,$Q176=Parametres!$G$3),J176,D176)</f>
        <v>9405.65</v>
      </c>
      <c r="P176" s="655">
        <f>+IF(OR($Q176=Parametres!$G$2,$Q176=Parametres!$G$3),K176,E176)</f>
        <v>-92809.06</v>
      </c>
      <c r="Q176" s="654" t="str">
        <f t="shared" ref="Q176:S176" si="178">+F176</f>
        <v>3-Passifs</v>
      </c>
      <c r="R176" s="653" t="str">
        <f t="shared" si="178"/>
        <v>2291</v>
      </c>
      <c r="S176" s="654">
        <f t="shared" si="178"/>
        <v>0</v>
      </c>
      <c r="T176" s="656" t="str">
        <f>+VLOOKUP($L176,Data_Validation!$A:$D,1,0)</f>
        <v>2296</v>
      </c>
      <c r="U176" s="656" t="str">
        <f>+VLOOKUP($L176,Data_Validation!$A:$D,3,0)</f>
        <v>Bilan</v>
      </c>
      <c r="V176" s="656" t="str">
        <f>+VLOOKUP($L176,Data_Validation!$A:$D,4,0)</f>
        <v>Payables Intercos</v>
      </c>
      <c r="W176" s="656" t="str">
        <f>+VLOOKUP($L176,Data_Validation!$A:$E,5,0)</f>
        <v>$</v>
      </c>
      <c r="X176" s="656">
        <f>+VLOOKUP($L176,Data_Validation!$A:$F,6,0)</f>
        <v>0</v>
      </c>
    </row>
    <row r="177" spans="1:24" ht="15" customHeight="1">
      <c r="A177" s="1052" t="s">
        <v>930</v>
      </c>
      <c r="B177" s="1052" t="s">
        <v>1687</v>
      </c>
      <c r="C177" s="1054">
        <v>-29950</v>
      </c>
      <c r="D177" s="1054">
        <v>-1250</v>
      </c>
      <c r="E177" s="1054">
        <v>-31200</v>
      </c>
      <c r="F177" s="1052" t="s">
        <v>902</v>
      </c>
      <c r="G177" s="1052" t="s">
        <v>918</v>
      </c>
      <c r="H177" s="651"/>
      <c r="I177" s="652"/>
      <c r="J177" s="652"/>
      <c r="K177" s="652"/>
      <c r="L177" s="653" t="str">
        <f t="shared" si="132"/>
        <v>2297</v>
      </c>
      <c r="M177" s="654" t="str">
        <f t="shared" si="0"/>
        <v>RESERVE RENOUVELLEMENT</v>
      </c>
      <c r="N177" s="655">
        <f>+IF(OR($Q177=Parametres!$G$2,$Q177=Parametres!$G$3),I177,C177)</f>
        <v>-29950</v>
      </c>
      <c r="O177" s="655">
        <f>+IF(OR($Q177=Parametres!$G$2,$Q177=Parametres!$G$3),J177,D177)</f>
        <v>-1250</v>
      </c>
      <c r="P177" s="655">
        <f>+IF(OR($Q177=Parametres!$G$2,$Q177=Parametres!$G$3),K177,E177)</f>
        <v>-31200</v>
      </c>
      <c r="Q177" s="654" t="str">
        <f t="shared" ref="Q177:S177" si="179">+F177</f>
        <v>3-Passifs</v>
      </c>
      <c r="R177" s="653" t="str">
        <f t="shared" si="179"/>
        <v>2283</v>
      </c>
      <c r="S177" s="654">
        <f t="shared" si="179"/>
        <v>0</v>
      </c>
      <c r="T177" s="656" t="str">
        <f>+VLOOKUP($L177,Data_Validation!$A:$D,1,0)</f>
        <v>2297</v>
      </c>
      <c r="U177" s="656" t="str">
        <f>+VLOOKUP($L177,Data_Validation!$A:$D,3,0)</f>
        <v>Bilan</v>
      </c>
      <c r="V177" s="656" t="str">
        <f>+VLOOKUP($L177,Data_Validation!$A:$D,4,0)</f>
        <v>Autres Courus</v>
      </c>
      <c r="W177" s="656" t="str">
        <f>+VLOOKUP($L177,Data_Validation!$A:$E,5,0)</f>
        <v>$</v>
      </c>
      <c r="X177" s="656">
        <f>+VLOOKUP($L177,Data_Validation!$A:$F,6,0)</f>
        <v>0</v>
      </c>
    </row>
    <row r="178" spans="1:24" ht="15" customHeight="1">
      <c r="A178" s="1052" t="s">
        <v>931</v>
      </c>
      <c r="B178" s="1052" t="s">
        <v>932</v>
      </c>
      <c r="C178" s="1054">
        <v>11626.69</v>
      </c>
      <c r="D178" s="1054">
        <v>-796.17</v>
      </c>
      <c r="E178" s="1054">
        <v>10830.52</v>
      </c>
      <c r="F178" s="1052" t="s">
        <v>902</v>
      </c>
      <c r="G178" s="1052" t="s">
        <v>932</v>
      </c>
      <c r="H178" s="1031"/>
      <c r="I178" s="1031"/>
      <c r="J178" s="1031"/>
      <c r="K178" s="1031"/>
      <c r="L178" s="653" t="str">
        <f t="shared" si="132"/>
        <v>2315</v>
      </c>
      <c r="M178" s="654" t="str">
        <f t="shared" si="0"/>
        <v>PRIME ASSURANCE GROUPE</v>
      </c>
      <c r="N178" s="655">
        <f>+IF(OR($Q178=Parametres!$G$2,$Q178=Parametres!$G$3),I178,C178)</f>
        <v>11626.69</v>
      </c>
      <c r="O178" s="655">
        <f>+IF(OR($Q178=Parametres!$G$2,$Q178=Parametres!$G$3),J178,D178)</f>
        <v>-796.17</v>
      </c>
      <c r="P178" s="655">
        <f>+IF(OR($Q178=Parametres!$G$2,$Q178=Parametres!$G$3),K178,E178)</f>
        <v>10830.52</v>
      </c>
      <c r="Q178" s="654" t="str">
        <f t="shared" ref="Q178:S178" si="180">+F178</f>
        <v>3-Passifs</v>
      </c>
      <c r="R178" s="653" t="str">
        <f t="shared" si="180"/>
        <v>2315</v>
      </c>
      <c r="S178" s="654">
        <f t="shared" si="180"/>
        <v>0</v>
      </c>
      <c r="T178" s="656" t="str">
        <f>+VLOOKUP($L178,Data_Validation!$A:$D,1,0)</f>
        <v>2315</v>
      </c>
      <c r="U178" s="656" t="str">
        <f>+VLOOKUP($L178,Data_Validation!$A:$D,3,0)</f>
        <v>Bilan</v>
      </c>
      <c r="V178" s="656" t="str">
        <f>+VLOOKUP($L178,Data_Validation!$A:$D,4,0)</f>
        <v>DAS à Payer</v>
      </c>
      <c r="W178" s="656" t="str">
        <f>+VLOOKUP($L178,Data_Validation!$A:$E,5,0)</f>
        <v>$</v>
      </c>
      <c r="X178" s="656">
        <f>+VLOOKUP($L178,Data_Validation!$A:$F,6,0)</f>
        <v>0</v>
      </c>
    </row>
    <row r="179" spans="1:24" ht="15" customHeight="1">
      <c r="A179" s="1052" t="s">
        <v>933</v>
      </c>
      <c r="B179" s="1052" t="s">
        <v>1695</v>
      </c>
      <c r="C179" s="1054">
        <v>52.35</v>
      </c>
      <c r="D179" s="1054">
        <v>0</v>
      </c>
      <c r="E179" s="1054">
        <v>52.35</v>
      </c>
      <c r="F179" s="1052" t="s">
        <v>902</v>
      </c>
      <c r="G179" s="1052" t="s">
        <v>932</v>
      </c>
      <c r="H179" s="651"/>
      <c r="I179" s="652"/>
      <c r="J179" s="652"/>
      <c r="K179" s="652"/>
      <c r="L179" s="653" t="str">
        <f t="shared" si="132"/>
        <v>2335</v>
      </c>
      <c r="M179" s="654" t="str">
        <f t="shared" si="0"/>
        <v>COMITE SOCIAL</v>
      </c>
      <c r="N179" s="655">
        <f>+IF(OR($Q179=Parametres!$G$2,$Q179=Parametres!$G$3),I179,C179)</f>
        <v>52.35</v>
      </c>
      <c r="O179" s="655">
        <f>+IF(OR($Q179=Parametres!$G$2,$Q179=Parametres!$G$3),J179,D179)</f>
        <v>0</v>
      </c>
      <c r="P179" s="655">
        <f>+IF(OR($Q179=Parametres!$G$2,$Q179=Parametres!$G$3),K179,E179)</f>
        <v>52.35</v>
      </c>
      <c r="Q179" s="654" t="str">
        <f t="shared" ref="Q179:S179" si="181">+F179</f>
        <v>3-Passifs</v>
      </c>
      <c r="R179" s="653" t="str">
        <f t="shared" si="181"/>
        <v>2315</v>
      </c>
      <c r="S179" s="654">
        <f t="shared" si="181"/>
        <v>0</v>
      </c>
      <c r="T179" s="656" t="str">
        <f>+VLOOKUP($L179,Data_Validation!$A:$D,1,0)</f>
        <v>2335</v>
      </c>
      <c r="U179" s="656" t="str">
        <f>+VLOOKUP($L179,Data_Validation!$A:$D,3,0)</f>
        <v>Bilan</v>
      </c>
      <c r="V179" s="656" t="str">
        <f>+VLOOKUP($L179,Data_Validation!$A:$D,4,0)</f>
        <v>DAS à Payer</v>
      </c>
      <c r="W179" s="656" t="str">
        <f>+VLOOKUP($L179,Data_Validation!$A:$E,5,0)</f>
        <v>$</v>
      </c>
      <c r="X179" s="656">
        <f>+VLOOKUP($L179,Data_Validation!$A:$F,6,0)</f>
        <v>0</v>
      </c>
    </row>
    <row r="180" spans="1:24" ht="15" customHeight="1">
      <c r="A180" s="1052" t="s">
        <v>934</v>
      </c>
      <c r="B180" s="1052" t="s">
        <v>1701</v>
      </c>
      <c r="C180" s="1054">
        <v>-25186.91</v>
      </c>
      <c r="D180" s="1054">
        <v>-8075.32</v>
      </c>
      <c r="E180" s="1054">
        <v>-33262.230000000003</v>
      </c>
      <c r="F180" s="1052" t="s">
        <v>902</v>
      </c>
      <c r="G180" s="1052" t="s">
        <v>932</v>
      </c>
      <c r="H180" s="1031"/>
      <c r="I180" s="1031"/>
      <c r="J180" s="1031"/>
      <c r="K180" s="1031"/>
      <c r="L180" s="653" t="str">
        <f t="shared" si="132"/>
        <v>2342</v>
      </c>
      <c r="M180" s="654" t="str">
        <f t="shared" si="0"/>
        <v>REER STANDARD LIFE</v>
      </c>
      <c r="N180" s="655">
        <f>+IF(OR($Q180=Parametres!$G$2,$Q180=Parametres!$G$3),I180,C180)</f>
        <v>-25186.91</v>
      </c>
      <c r="O180" s="655">
        <f>+IF(OR($Q180=Parametres!$G$2,$Q180=Parametres!$G$3),J180,D180)</f>
        <v>-8075.32</v>
      </c>
      <c r="P180" s="655">
        <f>+IF(OR($Q180=Parametres!$G$2,$Q180=Parametres!$G$3),K180,E180)</f>
        <v>-33262.230000000003</v>
      </c>
      <c r="Q180" s="654" t="str">
        <f t="shared" ref="Q180:S180" si="182">+F180</f>
        <v>3-Passifs</v>
      </c>
      <c r="R180" s="653" t="str">
        <f t="shared" si="182"/>
        <v>2315</v>
      </c>
      <c r="S180" s="654">
        <f t="shared" si="182"/>
        <v>0</v>
      </c>
      <c r="T180" s="656" t="str">
        <f>+VLOOKUP($L180,Data_Validation!$A:$D,1,0)</f>
        <v>2342</v>
      </c>
      <c r="U180" s="656" t="str">
        <f>+VLOOKUP($L180,Data_Validation!$A:$D,3,0)</f>
        <v>Bilan</v>
      </c>
      <c r="V180" s="656" t="str">
        <f>+VLOOKUP($L180,Data_Validation!$A:$D,4,0)</f>
        <v>DAS à Payer</v>
      </c>
      <c r="W180" s="656" t="str">
        <f>+VLOOKUP($L180,Data_Validation!$A:$E,5,0)</f>
        <v>$</v>
      </c>
      <c r="X180" s="656">
        <f>+VLOOKUP($L180,Data_Validation!$A:$F,6,0)</f>
        <v>0</v>
      </c>
    </row>
    <row r="181" spans="1:24" ht="15.75" customHeight="1">
      <c r="A181" s="1052" t="s">
        <v>935</v>
      </c>
      <c r="B181" s="1052" t="s">
        <v>1704</v>
      </c>
      <c r="C181" s="1054">
        <v>-609.5</v>
      </c>
      <c r="D181" s="1054">
        <v>-86.82</v>
      </c>
      <c r="E181" s="1054">
        <v>-696.32</v>
      </c>
      <c r="F181" s="1052" t="s">
        <v>902</v>
      </c>
      <c r="G181" s="1052" t="s">
        <v>932</v>
      </c>
      <c r="H181" s="651"/>
      <c r="I181" s="652"/>
      <c r="J181" s="652"/>
      <c r="K181" s="652"/>
      <c r="L181" s="653" t="str">
        <f t="shared" si="132"/>
        <v>2343</v>
      </c>
      <c r="M181" s="654" t="str">
        <f t="shared" si="0"/>
        <v>COMITE PARITAIRE</v>
      </c>
      <c r="N181" s="655">
        <f>+IF(OR($Q181=Parametres!$G$2,$Q181=Parametres!$G$3),I181,C181)</f>
        <v>-609.5</v>
      </c>
      <c r="O181" s="655">
        <f>+IF(OR($Q181=Parametres!$G$2,$Q181=Parametres!$G$3),J181,D181)</f>
        <v>-86.82</v>
      </c>
      <c r="P181" s="655">
        <f>+IF(OR($Q181=Parametres!$G$2,$Q181=Parametres!$G$3),K181,E181)</f>
        <v>-696.32</v>
      </c>
      <c r="Q181" s="654" t="str">
        <f t="shared" ref="Q181:S181" si="183">+F181</f>
        <v>3-Passifs</v>
      </c>
      <c r="R181" s="653" t="str">
        <f t="shared" si="183"/>
        <v>2315</v>
      </c>
      <c r="S181" s="654">
        <f t="shared" si="183"/>
        <v>0</v>
      </c>
      <c r="T181" s="656" t="str">
        <f>+VLOOKUP($L181,Data_Validation!$A:$D,1,0)</f>
        <v>2343</v>
      </c>
      <c r="U181" s="656" t="str">
        <f>+VLOOKUP($L181,Data_Validation!$A:$D,3,0)</f>
        <v>Bilan</v>
      </c>
      <c r="V181" s="656" t="str">
        <f>+VLOOKUP($L181,Data_Validation!$A:$D,4,0)</f>
        <v>DAS à Payer</v>
      </c>
      <c r="W181" s="656" t="str">
        <f>+VLOOKUP($L181,Data_Validation!$A:$E,5,0)</f>
        <v>$</v>
      </c>
      <c r="X181" s="656">
        <f>+VLOOKUP($L181,Data_Validation!$A:$F,6,0)</f>
        <v>0</v>
      </c>
    </row>
    <row r="182" spans="1:24" ht="15.75" customHeight="1">
      <c r="A182" s="1052" t="s">
        <v>936</v>
      </c>
      <c r="B182" s="1052" t="s">
        <v>1707</v>
      </c>
      <c r="C182" s="1054">
        <v>-1111.3800000000001</v>
      </c>
      <c r="D182" s="1054">
        <v>-739.44</v>
      </c>
      <c r="E182" s="1054">
        <v>-1850.82</v>
      </c>
      <c r="F182" s="1052" t="s">
        <v>902</v>
      </c>
      <c r="G182" s="1052" t="s">
        <v>932</v>
      </c>
      <c r="H182" s="1031"/>
      <c r="I182" s="1031"/>
      <c r="J182" s="1031"/>
      <c r="K182" s="1031"/>
      <c r="L182" s="653" t="str">
        <f t="shared" si="132"/>
        <v>2344</v>
      </c>
      <c r="M182" s="654" t="str">
        <f t="shared" si="0"/>
        <v>CENTRAIDE</v>
      </c>
      <c r="N182" s="655">
        <f>+IF(OR($Q182=Parametres!$G$2,$Q182=Parametres!$G$3),I182,C182)</f>
        <v>-1111.3800000000001</v>
      </c>
      <c r="O182" s="655">
        <f>+IF(OR($Q182=Parametres!$G$2,$Q182=Parametres!$G$3),J182,D182)</f>
        <v>-739.44</v>
      </c>
      <c r="P182" s="655">
        <f>+IF(OR($Q182=Parametres!$G$2,$Q182=Parametres!$G$3),K182,E182)</f>
        <v>-1850.82</v>
      </c>
      <c r="Q182" s="654" t="str">
        <f t="shared" ref="Q182:S182" si="184">+F182</f>
        <v>3-Passifs</v>
      </c>
      <c r="R182" s="653" t="str">
        <f t="shared" si="184"/>
        <v>2315</v>
      </c>
      <c r="S182" s="654">
        <f t="shared" si="184"/>
        <v>0</v>
      </c>
      <c r="T182" s="656" t="str">
        <f>+VLOOKUP($L182,Data_Validation!$A:$D,1,0)</f>
        <v>2344</v>
      </c>
      <c r="U182" s="656" t="str">
        <f>+VLOOKUP($L182,Data_Validation!$A:$D,3,0)</f>
        <v>Bilan</v>
      </c>
      <c r="V182" s="656" t="str">
        <f>+VLOOKUP($L182,Data_Validation!$A:$D,4,0)</f>
        <v>DAS à Payer</v>
      </c>
      <c r="W182" s="656" t="str">
        <f>+VLOOKUP($L182,Data_Validation!$A:$E,5,0)</f>
        <v>$</v>
      </c>
      <c r="X182" s="656">
        <f>+VLOOKUP($L182,Data_Validation!$A:$F,6,0)</f>
        <v>0</v>
      </c>
    </row>
    <row r="183" spans="1:24" ht="15.75" customHeight="1">
      <c r="A183" s="1052" t="s">
        <v>937</v>
      </c>
      <c r="B183" s="1052" t="s">
        <v>938</v>
      </c>
      <c r="C183" s="1054">
        <v>-17020</v>
      </c>
      <c r="D183" s="1054">
        <v>-11230</v>
      </c>
      <c r="E183" s="1054">
        <v>-28250</v>
      </c>
      <c r="F183" s="1052" t="s">
        <v>902</v>
      </c>
      <c r="G183" s="1052" t="s">
        <v>938</v>
      </c>
      <c r="H183" s="651"/>
      <c r="I183" s="652"/>
      <c r="J183" s="652"/>
      <c r="K183" s="652"/>
      <c r="L183" s="653" t="str">
        <f t="shared" si="132"/>
        <v>2401</v>
      </c>
      <c r="M183" s="654" t="str">
        <f t="shared" si="0"/>
        <v>DEPOTS FIDUCIE-VENTE CLIENTS</v>
      </c>
      <c r="N183" s="655">
        <f>+IF(OR($Q183=Parametres!$G$2,$Q183=Parametres!$G$3),I183,C183)</f>
        <v>-17020</v>
      </c>
      <c r="O183" s="655">
        <f>+IF(OR($Q183=Parametres!$G$2,$Q183=Parametres!$G$3),J183,D183)</f>
        <v>-11230</v>
      </c>
      <c r="P183" s="655">
        <f>+IF(OR($Q183=Parametres!$G$2,$Q183=Parametres!$G$3),K183,E183)</f>
        <v>-28250</v>
      </c>
      <c r="Q183" s="654" t="str">
        <f t="shared" ref="Q183:S183" si="185">+F183</f>
        <v>3-Passifs</v>
      </c>
      <c r="R183" s="653" t="str">
        <f t="shared" si="185"/>
        <v>2401</v>
      </c>
      <c r="S183" s="654">
        <f t="shared" si="185"/>
        <v>0</v>
      </c>
      <c r="T183" s="656" t="str">
        <f>+VLOOKUP($L183,Data_Validation!$A:$D,1,0)</f>
        <v>2401</v>
      </c>
      <c r="U183" s="656" t="str">
        <f>+VLOOKUP($L183,Data_Validation!$A:$D,3,0)</f>
        <v>Bilan</v>
      </c>
      <c r="V183" s="656" t="str">
        <f>+VLOOKUP($L183,Data_Validation!$A:$D,4,0)</f>
        <v>Dépôts de Client</v>
      </c>
      <c r="W183" s="656" t="str">
        <f>+VLOOKUP($L183,Data_Validation!$A:$E,5,0)</f>
        <v>$</v>
      </c>
      <c r="X183" s="656">
        <f>+VLOOKUP($L183,Data_Validation!$A:$F,6,0)</f>
        <v>0</v>
      </c>
    </row>
    <row r="184" spans="1:24" ht="15.75" customHeight="1">
      <c r="A184" s="1052" t="s">
        <v>939</v>
      </c>
      <c r="B184" s="1052" t="s">
        <v>940</v>
      </c>
      <c r="C184" s="1054">
        <v>-25676</v>
      </c>
      <c r="D184" s="1054">
        <v>11626.25</v>
      </c>
      <c r="E184" s="1054">
        <v>-14049.75</v>
      </c>
      <c r="F184" s="1052" t="s">
        <v>902</v>
      </c>
      <c r="G184" s="1052" t="s">
        <v>940</v>
      </c>
      <c r="H184" s="1031"/>
      <c r="I184" s="1031"/>
      <c r="J184" s="1031"/>
      <c r="K184" s="1031"/>
      <c r="L184" s="653" t="str">
        <f t="shared" si="132"/>
        <v>2501</v>
      </c>
      <c r="M184" s="654" t="str">
        <f t="shared" si="0"/>
        <v>COMMISSION A PAYER</v>
      </c>
      <c r="N184" s="655">
        <f>+IF(OR($Q184=Parametres!$G$2,$Q184=Parametres!$G$3),I184,C184)</f>
        <v>-25676</v>
      </c>
      <c r="O184" s="655">
        <f>+IF(OR($Q184=Parametres!$G$2,$Q184=Parametres!$G$3),J184,D184)</f>
        <v>11626.25</v>
      </c>
      <c r="P184" s="655">
        <f>+IF(OR($Q184=Parametres!$G$2,$Q184=Parametres!$G$3),K184,E184)</f>
        <v>-14049.75</v>
      </c>
      <c r="Q184" s="654" t="str">
        <f t="shared" ref="Q184:S184" si="186">+F184</f>
        <v>3-Passifs</v>
      </c>
      <c r="R184" s="653" t="str">
        <f t="shared" si="186"/>
        <v>2501</v>
      </c>
      <c r="S184" s="654">
        <f t="shared" si="186"/>
        <v>0</v>
      </c>
      <c r="T184" s="656" t="str">
        <f>+VLOOKUP($L184,Data_Validation!$A:$D,1,0)</f>
        <v>2501</v>
      </c>
      <c r="U184" s="656" t="str">
        <f>+VLOOKUP($L184,Data_Validation!$A:$D,3,0)</f>
        <v>Bilan</v>
      </c>
      <c r="V184" s="656" t="str">
        <f>+VLOOKUP($L184,Data_Validation!$A:$D,4,0)</f>
        <v>Salaires à Payer</v>
      </c>
      <c r="W184" s="656" t="str">
        <f>+VLOOKUP($L184,Data_Validation!$A:$E,5,0)</f>
        <v>$</v>
      </c>
      <c r="X184" s="656">
        <f>+VLOOKUP($L184,Data_Validation!$A:$F,6,0)</f>
        <v>0</v>
      </c>
    </row>
    <row r="185" spans="1:24" ht="15.75" customHeight="1">
      <c r="A185" s="1052" t="s">
        <v>941</v>
      </c>
      <c r="B185" s="1052" t="s">
        <v>3378</v>
      </c>
      <c r="C185" s="1054">
        <v>-604.98</v>
      </c>
      <c r="D185" s="1054">
        <v>781.92</v>
      </c>
      <c r="E185" s="1054">
        <v>176.94</v>
      </c>
      <c r="F185" s="1052" t="s">
        <v>902</v>
      </c>
      <c r="G185" s="1052" t="s">
        <v>942</v>
      </c>
      <c r="H185" s="651"/>
      <c r="I185" s="652"/>
      <c r="J185" s="652"/>
      <c r="K185" s="652"/>
      <c r="L185" s="653" t="str">
        <f t="shared" si="132"/>
        <v>2502</v>
      </c>
      <c r="M185" s="654" t="str">
        <f t="shared" si="0"/>
        <v>Compte de depense a payer</v>
      </c>
      <c r="N185" s="655">
        <f>+IF(OR($Q185=Parametres!$G$2,$Q185=Parametres!$G$3),I185,C185)</f>
        <v>-604.98</v>
      </c>
      <c r="O185" s="655">
        <f>+IF(OR($Q185=Parametres!$G$2,$Q185=Parametres!$G$3),J185,D185)</f>
        <v>781.92</v>
      </c>
      <c r="P185" s="655">
        <f>+IF(OR($Q185=Parametres!$G$2,$Q185=Parametres!$G$3),K185,E185)</f>
        <v>176.94</v>
      </c>
      <c r="Q185" s="654" t="str">
        <f t="shared" ref="Q185:S185" si="187">+F185</f>
        <v>3-Passifs</v>
      </c>
      <c r="R185" s="653" t="str">
        <f t="shared" si="187"/>
        <v>250</v>
      </c>
      <c r="S185" s="654">
        <f t="shared" si="187"/>
        <v>0</v>
      </c>
      <c r="T185" s="656" t="str">
        <f>+VLOOKUP($L185,Data_Validation!$A:$D,1,0)</f>
        <v>2502</v>
      </c>
      <c r="U185" s="656" t="str">
        <f>+VLOOKUP($L185,Data_Validation!$A:$D,3,0)</f>
        <v>Bilan</v>
      </c>
      <c r="V185" s="656" t="str">
        <f>+VLOOKUP($L185,Data_Validation!$A:$D,4,0)</f>
        <v>Salaires à Payer</v>
      </c>
      <c r="W185" s="656" t="str">
        <f>+VLOOKUP($L185,Data_Validation!$A:$E,5,0)</f>
        <v>$</v>
      </c>
      <c r="X185" s="656">
        <f>+VLOOKUP($L185,Data_Validation!$A:$F,6,0)</f>
        <v>0</v>
      </c>
    </row>
    <row r="186" spans="1:24" ht="15.75" customHeight="1">
      <c r="A186" s="1052" t="s">
        <v>943</v>
      </c>
      <c r="B186" s="1052" t="s">
        <v>944</v>
      </c>
      <c r="C186" s="1054">
        <v>-285463.46000000002</v>
      </c>
      <c r="D186" s="1054">
        <v>-79669.59</v>
      </c>
      <c r="E186" s="1054">
        <v>-365133.05</v>
      </c>
      <c r="F186" s="1052" t="s">
        <v>902</v>
      </c>
      <c r="G186" s="1052" t="s">
        <v>944</v>
      </c>
      <c r="H186" s="1031"/>
      <c r="I186" s="1031"/>
      <c r="J186" s="1031"/>
      <c r="K186" s="1031"/>
      <c r="L186" s="653" t="str">
        <f t="shared" si="132"/>
        <v>2503</v>
      </c>
      <c r="M186" s="654" t="str">
        <f t="shared" si="0"/>
        <v>SALAIRES DES EMPLOYES</v>
      </c>
      <c r="N186" s="655">
        <f>+IF(OR($Q186=Parametres!$G$2,$Q186=Parametres!$G$3),I186,C186)</f>
        <v>-285463.46000000002</v>
      </c>
      <c r="O186" s="655">
        <f>+IF(OR($Q186=Parametres!$G$2,$Q186=Parametres!$G$3),J186,D186)</f>
        <v>-79669.59</v>
      </c>
      <c r="P186" s="655">
        <f>+IF(OR($Q186=Parametres!$G$2,$Q186=Parametres!$G$3),K186,E186)</f>
        <v>-365133.05</v>
      </c>
      <c r="Q186" s="654" t="str">
        <f t="shared" ref="Q186:S186" si="188">+F186</f>
        <v>3-Passifs</v>
      </c>
      <c r="R186" s="653" t="str">
        <f t="shared" si="188"/>
        <v>2503</v>
      </c>
      <c r="S186" s="654">
        <f t="shared" si="188"/>
        <v>0</v>
      </c>
      <c r="T186" s="656" t="str">
        <f>+VLOOKUP($L186,Data_Validation!$A:$D,1,0)</f>
        <v>2503</v>
      </c>
      <c r="U186" s="656" t="str">
        <f>+VLOOKUP($L186,Data_Validation!$A:$D,3,0)</f>
        <v>Bilan</v>
      </c>
      <c r="V186" s="656" t="str">
        <f>+VLOOKUP($L186,Data_Validation!$A:$D,4,0)</f>
        <v>Salaires à Payer</v>
      </c>
      <c r="W186" s="656" t="str">
        <f>+VLOOKUP($L186,Data_Validation!$A:$E,5,0)</f>
        <v>$</v>
      </c>
      <c r="X186" s="656">
        <f>+VLOOKUP($L186,Data_Validation!$A:$F,6,0)</f>
        <v>0</v>
      </c>
    </row>
    <row r="187" spans="1:24" ht="15" customHeight="1">
      <c r="A187" s="1052" t="s">
        <v>945</v>
      </c>
      <c r="B187" s="1052" t="s">
        <v>1734</v>
      </c>
      <c r="C187" s="1054">
        <v>-22211.24</v>
      </c>
      <c r="D187" s="1054">
        <v>-8091.09</v>
      </c>
      <c r="E187" s="1054">
        <v>-30302.33</v>
      </c>
      <c r="F187" s="1052" t="s">
        <v>902</v>
      </c>
      <c r="G187" s="1052" t="s">
        <v>944</v>
      </c>
      <c r="H187" s="651"/>
      <c r="I187" s="652"/>
      <c r="J187" s="652"/>
      <c r="K187" s="652"/>
      <c r="L187" s="653" t="str">
        <f t="shared" si="132"/>
        <v>2505</v>
      </c>
      <c r="M187" s="654" t="str">
        <f t="shared" si="0"/>
        <v>JOURS FERIES</v>
      </c>
      <c r="N187" s="655">
        <f>+IF(OR($Q187=Parametres!$G$2,$Q187=Parametres!$G$3),I187,C187)</f>
        <v>-22211.24</v>
      </c>
      <c r="O187" s="655">
        <f>+IF(OR($Q187=Parametres!$G$2,$Q187=Parametres!$G$3),J187,D187)</f>
        <v>-8091.09</v>
      </c>
      <c r="P187" s="655">
        <f>+IF(OR($Q187=Parametres!$G$2,$Q187=Parametres!$G$3),K187,E187)</f>
        <v>-30302.33</v>
      </c>
      <c r="Q187" s="654" t="str">
        <f t="shared" ref="Q187:S187" si="189">+F187</f>
        <v>3-Passifs</v>
      </c>
      <c r="R187" s="653" t="str">
        <f t="shared" si="189"/>
        <v>2503</v>
      </c>
      <c r="S187" s="654">
        <f t="shared" si="189"/>
        <v>0</v>
      </c>
      <c r="T187" s="656" t="str">
        <f>+VLOOKUP($L187,Data_Validation!$A:$D,1,0)</f>
        <v>2505</v>
      </c>
      <c r="U187" s="656" t="str">
        <f>+VLOOKUP($L187,Data_Validation!$A:$D,3,0)</f>
        <v>Bilan</v>
      </c>
      <c r="V187" s="656" t="str">
        <f>+VLOOKUP($L187,Data_Validation!$A:$D,4,0)</f>
        <v>Salaires à Payer</v>
      </c>
      <c r="W187" s="656" t="str">
        <f>+VLOOKUP($L187,Data_Validation!$A:$E,5,0)</f>
        <v>$</v>
      </c>
      <c r="X187" s="656">
        <f>+VLOOKUP($L187,Data_Validation!$A:$F,6,0)</f>
        <v>0</v>
      </c>
    </row>
    <row r="188" spans="1:24" ht="15" customHeight="1">
      <c r="A188" s="1052" t="s">
        <v>946</v>
      </c>
      <c r="B188" s="1052" t="s">
        <v>1740</v>
      </c>
      <c r="C188" s="1054">
        <v>-203900.22</v>
      </c>
      <c r="D188" s="1054">
        <v>-32741.200000000001</v>
      </c>
      <c r="E188" s="1054">
        <v>-236641.42</v>
      </c>
      <c r="F188" s="1052" t="s">
        <v>902</v>
      </c>
      <c r="G188" s="1052" t="s">
        <v>944</v>
      </c>
      <c r="H188" s="1031"/>
      <c r="I188" s="1031"/>
      <c r="J188" s="1031"/>
      <c r="K188" s="1031"/>
      <c r="L188" s="653" t="str">
        <f t="shared" si="132"/>
        <v>2509</v>
      </c>
      <c r="M188" s="654" t="str">
        <f t="shared" si="0"/>
        <v>SALAIRES DE VACANCES</v>
      </c>
      <c r="N188" s="655">
        <f>+IF(OR($Q188=Parametres!$G$2,$Q188=Parametres!$G$3),I188,C188)</f>
        <v>-203900.22</v>
      </c>
      <c r="O188" s="655">
        <f>+IF(OR($Q188=Parametres!$G$2,$Q188=Parametres!$G$3),J188,D188)</f>
        <v>-32741.200000000001</v>
      </c>
      <c r="P188" s="655">
        <f>+IF(OR($Q188=Parametres!$G$2,$Q188=Parametres!$G$3),K188,E188)</f>
        <v>-236641.42</v>
      </c>
      <c r="Q188" s="654" t="str">
        <f t="shared" ref="Q188:S188" si="190">+F188</f>
        <v>3-Passifs</v>
      </c>
      <c r="R188" s="653" t="str">
        <f t="shared" si="190"/>
        <v>2503</v>
      </c>
      <c r="S188" s="654">
        <f t="shared" si="190"/>
        <v>0</v>
      </c>
      <c r="T188" s="656" t="str">
        <f>+VLOOKUP($L188,Data_Validation!$A:$D,1,0)</f>
        <v>2509</v>
      </c>
      <c r="U188" s="656" t="str">
        <f>+VLOOKUP($L188,Data_Validation!$A:$D,3,0)</f>
        <v>Bilan</v>
      </c>
      <c r="V188" s="656" t="str">
        <f>+VLOOKUP($L188,Data_Validation!$A:$D,4,0)</f>
        <v>Salaires à Payer</v>
      </c>
      <c r="W188" s="656" t="str">
        <f>+VLOOKUP($L188,Data_Validation!$A:$E,5,0)</f>
        <v>$</v>
      </c>
      <c r="X188" s="656">
        <f>+VLOOKUP($L188,Data_Validation!$A:$F,6,0)</f>
        <v>0</v>
      </c>
    </row>
    <row r="189" spans="1:24" ht="15" customHeight="1">
      <c r="A189" s="1052" t="s">
        <v>947</v>
      </c>
      <c r="B189" s="1052" t="s">
        <v>1743</v>
      </c>
      <c r="C189" s="1054">
        <v>10294.98</v>
      </c>
      <c r="D189" s="1054">
        <v>14306.85</v>
      </c>
      <c r="E189" s="1054">
        <v>24601.83</v>
      </c>
      <c r="F189" s="1052" t="s">
        <v>902</v>
      </c>
      <c r="G189" s="1052" t="s">
        <v>944</v>
      </c>
      <c r="H189" s="1031"/>
      <c r="I189" s="1032"/>
      <c r="J189" s="1032"/>
      <c r="K189" s="1032"/>
      <c r="L189" s="653" t="str">
        <f t="shared" si="132"/>
        <v>2511</v>
      </c>
      <c r="M189" s="654" t="str">
        <f t="shared" si="0"/>
        <v>JOURNEE MALADIE</v>
      </c>
      <c r="N189" s="655">
        <f>+IF(OR($Q189=Parametres!$G$2,$Q189=Parametres!$G$3),I189,C189)</f>
        <v>10294.98</v>
      </c>
      <c r="O189" s="655">
        <f>+IF(OR($Q189=Parametres!$G$2,$Q189=Parametres!$G$3),J189,D189)</f>
        <v>14306.85</v>
      </c>
      <c r="P189" s="655">
        <f>+IF(OR($Q189=Parametres!$G$2,$Q189=Parametres!$G$3),K189,E189)</f>
        <v>24601.83</v>
      </c>
      <c r="Q189" s="654" t="str">
        <f t="shared" ref="Q189:S189" si="191">+F189</f>
        <v>3-Passifs</v>
      </c>
      <c r="R189" s="653" t="str">
        <f t="shared" si="191"/>
        <v>2503</v>
      </c>
      <c r="S189" s="654">
        <f t="shared" si="191"/>
        <v>0</v>
      </c>
      <c r="T189" s="656" t="str">
        <f>+VLOOKUP($L189,Data_Validation!$A:$D,1,0)</f>
        <v>2511</v>
      </c>
      <c r="U189" s="656" t="str">
        <f>+VLOOKUP($L189,Data_Validation!$A:$D,3,0)</f>
        <v>Bilan</v>
      </c>
      <c r="V189" s="656" t="str">
        <f>+VLOOKUP($L189,Data_Validation!$A:$D,4,0)</f>
        <v>Salaires à Payer</v>
      </c>
      <c r="W189" s="656" t="str">
        <f>+VLOOKUP($L189,Data_Validation!$A:$E,5,0)</f>
        <v>$</v>
      </c>
      <c r="X189" s="656">
        <f>+VLOOKUP($L189,Data_Validation!$A:$F,6,0)</f>
        <v>0</v>
      </c>
    </row>
    <row r="190" spans="1:24" ht="15" customHeight="1">
      <c r="A190" s="1052" t="s">
        <v>948</v>
      </c>
      <c r="B190" s="1052" t="s">
        <v>949</v>
      </c>
      <c r="C190" s="1054">
        <v>-80283</v>
      </c>
      <c r="D190" s="1054">
        <v>18048</v>
      </c>
      <c r="E190" s="1054">
        <v>-62235</v>
      </c>
      <c r="F190" s="1052" t="s">
        <v>902</v>
      </c>
      <c r="G190" s="1052" t="s">
        <v>949</v>
      </c>
      <c r="H190" s="651"/>
      <c r="I190" s="651"/>
      <c r="J190" s="651"/>
      <c r="K190" s="651"/>
      <c r="L190" s="653" t="str">
        <f t="shared" si="132"/>
        <v>2561</v>
      </c>
      <c r="M190" s="654" t="str">
        <f t="shared" si="0"/>
        <v>REVENUE HOLDBACK DIFFERE</v>
      </c>
      <c r="N190" s="655">
        <f>+IF(OR($Q190=Parametres!$G$2,$Q190=Parametres!$G$3),I190,C190)</f>
        <v>-80283</v>
      </c>
      <c r="O190" s="655">
        <f>+IF(OR($Q190=Parametres!$G$2,$Q190=Parametres!$G$3),J190,D190)</f>
        <v>18048</v>
      </c>
      <c r="P190" s="655">
        <f>+IF(OR($Q190=Parametres!$G$2,$Q190=Parametres!$G$3),K190,E190)</f>
        <v>-62235</v>
      </c>
      <c r="Q190" s="654" t="str">
        <f t="shared" ref="Q190:S190" si="192">+F190</f>
        <v>3-Passifs</v>
      </c>
      <c r="R190" s="653" t="str">
        <f t="shared" si="192"/>
        <v>2561</v>
      </c>
      <c r="S190" s="654">
        <f t="shared" si="192"/>
        <v>0</v>
      </c>
      <c r="T190" s="656" t="str">
        <f>+VLOOKUP($L190,Data_Validation!$A:$D,1,0)</f>
        <v>2561</v>
      </c>
      <c r="U190" s="656" t="str">
        <f>+VLOOKUP($L190,Data_Validation!$A:$D,3,0)</f>
        <v>Bilan</v>
      </c>
      <c r="V190" s="656" t="str">
        <f>+VLOOKUP($L190,Data_Validation!$A:$D,4,0)</f>
        <v>Autres Courus</v>
      </c>
      <c r="W190" s="656" t="str">
        <f>+VLOOKUP($L190,Data_Validation!$A:$E,5,0)</f>
        <v>$</v>
      </c>
      <c r="X190" s="656">
        <f>+VLOOKUP($L190,Data_Validation!$A:$F,6,0)</f>
        <v>0</v>
      </c>
    </row>
    <row r="191" spans="1:24" ht="15" customHeight="1">
      <c r="A191" s="1052" t="s">
        <v>950</v>
      </c>
      <c r="B191" s="1052" t="s">
        <v>3379</v>
      </c>
      <c r="C191" s="1054">
        <v>-242566.15</v>
      </c>
      <c r="D191" s="1054">
        <v>0</v>
      </c>
      <c r="E191" s="1054">
        <v>-242566.15</v>
      </c>
      <c r="F191" s="1052" t="s">
        <v>902</v>
      </c>
      <c r="G191" s="1052" t="s">
        <v>951</v>
      </c>
      <c r="H191" s="1031"/>
      <c r="I191" s="1032"/>
      <c r="J191" s="1032"/>
      <c r="K191" s="1032"/>
      <c r="L191" s="653" t="str">
        <f t="shared" si="132"/>
        <v>2562</v>
      </c>
      <c r="M191" s="654" t="str">
        <f t="shared" si="0"/>
        <v>PROVISIONS QG</v>
      </c>
      <c r="N191" s="655">
        <f>+IF(OR($Q191=Parametres!$G$2,$Q191=Parametres!$G$3),I191,C191)</f>
        <v>-242566.15</v>
      </c>
      <c r="O191" s="655">
        <f>+IF(OR($Q191=Parametres!$G$2,$Q191=Parametres!$G$3),J191,D191)</f>
        <v>0</v>
      </c>
      <c r="P191" s="655">
        <f>+IF(OR($Q191=Parametres!$G$2,$Q191=Parametres!$G$3),K191,E191)</f>
        <v>-242566.15</v>
      </c>
      <c r="Q191" s="654" t="str">
        <f t="shared" ref="Q191:S191" si="193">+F191</f>
        <v>3-Passifs</v>
      </c>
      <c r="R191" s="653" t="str">
        <f t="shared" si="193"/>
        <v>256</v>
      </c>
      <c r="S191" s="654">
        <f t="shared" si="193"/>
        <v>0</v>
      </c>
      <c r="T191" s="656" t="str">
        <f>+VLOOKUP($L191,Data_Validation!$A:$D,1,0)</f>
        <v>2562</v>
      </c>
      <c r="U191" s="656" t="str">
        <f>+VLOOKUP($L191,Data_Validation!$A:$D,3,0)</f>
        <v>Bilan</v>
      </c>
      <c r="V191" s="656" t="str">
        <f>+VLOOKUP($L191,Data_Validation!$A:$D,4,0)</f>
        <v>Autres Courus</v>
      </c>
      <c r="W191" s="656" t="str">
        <f>+VLOOKUP($L191,Data_Validation!$A:$E,5,0)</f>
        <v>$</v>
      </c>
      <c r="X191" s="656">
        <f>+VLOOKUP($L191,Data_Validation!$A:$F,6,0)</f>
        <v>0</v>
      </c>
    </row>
    <row r="192" spans="1:24" ht="15" customHeight="1">
      <c r="A192" s="1052" t="s">
        <v>952</v>
      </c>
      <c r="B192" s="1052" t="s">
        <v>953</v>
      </c>
      <c r="C192" s="1054">
        <v>2143.75</v>
      </c>
      <c r="D192" s="1054">
        <v>1317.5</v>
      </c>
      <c r="E192" s="1054">
        <v>3461.25</v>
      </c>
      <c r="F192" s="1052" t="s">
        <v>902</v>
      </c>
      <c r="G192" s="1052" t="s">
        <v>953</v>
      </c>
      <c r="H192" s="651"/>
      <c r="I192" s="651"/>
      <c r="J192" s="651"/>
      <c r="K192" s="651"/>
      <c r="L192" s="653" t="str">
        <f t="shared" si="132"/>
        <v>2801</v>
      </c>
      <c r="M192" s="654" t="str">
        <f t="shared" si="0"/>
        <v>PRET CIBC</v>
      </c>
      <c r="N192" s="655">
        <f>+IF(OR($Q192=Parametres!$G$2,$Q192=Parametres!$G$3),I192,C192)</f>
        <v>2143.75</v>
      </c>
      <c r="O192" s="655">
        <f>+IF(OR($Q192=Parametres!$G$2,$Q192=Parametres!$G$3),J192,D192)</f>
        <v>1317.5</v>
      </c>
      <c r="P192" s="655">
        <f>+IF(OR($Q192=Parametres!$G$2,$Q192=Parametres!$G$3),K192,E192)</f>
        <v>3461.25</v>
      </c>
      <c r="Q192" s="654" t="str">
        <f t="shared" ref="Q192:S192" si="194">+F192</f>
        <v>3-Passifs</v>
      </c>
      <c r="R192" s="653" t="str">
        <f t="shared" si="194"/>
        <v>2801</v>
      </c>
      <c r="S192" s="654">
        <f t="shared" si="194"/>
        <v>0</v>
      </c>
      <c r="T192" s="656" t="str">
        <f>+VLOOKUP($L192,Data_Validation!$A:$D,1,0)</f>
        <v>2801</v>
      </c>
      <c r="U192" s="656" t="str">
        <f>+VLOOKUP($L192,Data_Validation!$A:$D,3,0)</f>
        <v>Bilan</v>
      </c>
      <c r="V192" s="656" t="str">
        <f>+VLOOKUP($L192,Data_Validation!$A:$D,4,0)</f>
        <v>Dette à Long Terme</v>
      </c>
      <c r="W192" s="656" t="str">
        <f>+VLOOKUP($L192,Data_Validation!$A:$E,5,0)</f>
        <v>$</v>
      </c>
      <c r="X192" s="656">
        <f>+VLOOKUP($L192,Data_Validation!$A:$F,6,0)</f>
        <v>0</v>
      </c>
    </row>
    <row r="193" spans="1:24" ht="15" customHeight="1">
      <c r="A193" s="1052" t="s">
        <v>954</v>
      </c>
      <c r="B193" s="1052" t="s">
        <v>955</v>
      </c>
      <c r="C193" s="1054">
        <v>-19122.599999999999</v>
      </c>
      <c r="D193" s="1054">
        <v>0</v>
      </c>
      <c r="E193" s="1054">
        <v>-19122.599999999999</v>
      </c>
      <c r="F193" s="1052" t="s">
        <v>902</v>
      </c>
      <c r="G193" s="1052" t="s">
        <v>955</v>
      </c>
      <c r="H193" s="1031"/>
      <c r="I193" s="1032"/>
      <c r="J193" s="1032"/>
      <c r="K193" s="1032"/>
      <c r="L193" s="653" t="str">
        <f t="shared" si="132"/>
        <v>2901</v>
      </c>
      <c r="M193" s="654" t="str">
        <f t="shared" si="0"/>
        <v>RESERVE CARTES PRIVILEGE</v>
      </c>
      <c r="N193" s="655">
        <f>+IF(OR($Q193=Parametres!$G$2,$Q193=Parametres!$G$3),I193,C193)</f>
        <v>-19122.599999999999</v>
      </c>
      <c r="O193" s="655">
        <f>+IF(OR($Q193=Parametres!$G$2,$Q193=Parametres!$G$3),J193,D193)</f>
        <v>0</v>
      </c>
      <c r="P193" s="655">
        <f>+IF(OR($Q193=Parametres!$G$2,$Q193=Parametres!$G$3),K193,E193)</f>
        <v>-19122.599999999999</v>
      </c>
      <c r="Q193" s="654" t="str">
        <f t="shared" ref="Q193:S193" si="195">+F193</f>
        <v>3-Passifs</v>
      </c>
      <c r="R193" s="653" t="str">
        <f t="shared" si="195"/>
        <v>2901</v>
      </c>
      <c r="S193" s="654">
        <f t="shared" si="195"/>
        <v>0</v>
      </c>
      <c r="T193" s="656" t="str">
        <f>+VLOOKUP($L193,Data_Validation!$A:$D,1,0)</f>
        <v>2901</v>
      </c>
      <c r="U193" s="656" t="str">
        <f>+VLOOKUP($L193,Data_Validation!$A:$D,3,0)</f>
        <v>Bilan</v>
      </c>
      <c r="V193" s="656" t="str">
        <f>+VLOOKUP($L193,Data_Validation!$A:$D,4,0)</f>
        <v>Autres Courus</v>
      </c>
      <c r="W193" s="656" t="str">
        <f>+VLOOKUP($L193,Data_Validation!$A:$E,5,0)</f>
        <v>$</v>
      </c>
      <c r="X193" s="656">
        <f>+VLOOKUP($L193,Data_Validation!$A:$F,6,0)</f>
        <v>0</v>
      </c>
    </row>
    <row r="194" spans="1:24" ht="15.75" customHeight="1">
      <c r="A194" s="1052" t="s">
        <v>956</v>
      </c>
      <c r="B194" s="1052" t="s">
        <v>958</v>
      </c>
      <c r="C194" s="1054">
        <v>-2350000</v>
      </c>
      <c r="D194" s="1054">
        <v>0</v>
      </c>
      <c r="E194" s="1054">
        <v>-2350000</v>
      </c>
      <c r="F194" s="1052" t="s">
        <v>957</v>
      </c>
      <c r="G194" s="1052" t="s">
        <v>958</v>
      </c>
      <c r="H194" s="651"/>
      <c r="I194" s="651"/>
      <c r="J194" s="651"/>
      <c r="K194" s="651"/>
      <c r="L194" s="653" t="str">
        <f t="shared" si="132"/>
        <v>3001</v>
      </c>
      <c r="M194" s="654" t="str">
        <f t="shared" si="0"/>
        <v>ACTIONS CATEGORIE 1</v>
      </c>
      <c r="N194" s="655">
        <f>+IF(OR($Q194=Parametres!$G$2,$Q194=Parametres!$G$3),I194,C194)</f>
        <v>-2350000</v>
      </c>
      <c r="O194" s="655">
        <f>+IF(OR($Q194=Parametres!$G$2,$Q194=Parametres!$G$3),J194,D194)</f>
        <v>0</v>
      </c>
      <c r="P194" s="655">
        <f>+IF(OR($Q194=Parametres!$G$2,$Q194=Parametres!$G$3),K194,E194)</f>
        <v>-2350000</v>
      </c>
      <c r="Q194" s="654" t="str">
        <f t="shared" ref="Q194:S194" si="196">+F194</f>
        <v>4-Valeur nette</v>
      </c>
      <c r="R194" s="653" t="str">
        <f t="shared" si="196"/>
        <v>3001</v>
      </c>
      <c r="S194" s="654">
        <f t="shared" si="196"/>
        <v>0</v>
      </c>
      <c r="T194" s="656" t="str">
        <f>+VLOOKUP($L194,Data_Validation!$A:$D,1,0)</f>
        <v>3001</v>
      </c>
      <c r="U194" s="656" t="str">
        <f>+VLOOKUP($L194,Data_Validation!$A:$D,3,0)</f>
        <v>Bilan</v>
      </c>
      <c r="V194" s="656" t="str">
        <f>+VLOOKUP($L194,Data_Validation!$A:$D,4,0)</f>
        <v>Capital Actions</v>
      </c>
      <c r="W194" s="656" t="str">
        <f>+VLOOKUP($L194,Data_Validation!$A:$E,5,0)</f>
        <v>$</v>
      </c>
      <c r="X194" s="656">
        <f>+VLOOKUP($L194,Data_Validation!$A:$F,6,0)</f>
        <v>0</v>
      </c>
    </row>
    <row r="195" spans="1:24" ht="15" customHeight="1">
      <c r="A195" s="1052" t="s">
        <v>959</v>
      </c>
      <c r="B195" s="1052" t="s">
        <v>1768</v>
      </c>
      <c r="C195" s="1054">
        <v>-1723617</v>
      </c>
      <c r="D195" s="1054">
        <v>0</v>
      </c>
      <c r="E195" s="1054">
        <v>-1723617</v>
      </c>
      <c r="F195" s="1052" t="s">
        <v>957</v>
      </c>
      <c r="G195" s="1052" t="s">
        <v>958</v>
      </c>
      <c r="H195" s="1031"/>
      <c r="I195" s="1032"/>
      <c r="J195" s="1032"/>
      <c r="K195" s="1032"/>
      <c r="L195" s="653" t="str">
        <f t="shared" ref="L195:L258" si="197">TEXT(B195,0)</f>
        <v>3003</v>
      </c>
      <c r="M195" s="654" t="str">
        <f t="shared" si="0"/>
        <v>APPORT / RETRAIT</v>
      </c>
      <c r="N195" s="655">
        <f>+IF(OR($Q195=Parametres!$G$2,$Q195=Parametres!$G$3),I195,C195)</f>
        <v>-1723617</v>
      </c>
      <c r="O195" s="655">
        <f>+IF(OR($Q195=Parametres!$G$2,$Q195=Parametres!$G$3),J195,D195)</f>
        <v>0</v>
      </c>
      <c r="P195" s="655">
        <f>+IF(OR($Q195=Parametres!$G$2,$Q195=Parametres!$G$3),K195,E195)</f>
        <v>-1723617</v>
      </c>
      <c r="Q195" s="654" t="str">
        <f t="shared" ref="Q195:S195" si="198">+F195</f>
        <v>4-Valeur nette</v>
      </c>
      <c r="R195" s="653" t="str">
        <f t="shared" si="198"/>
        <v>3001</v>
      </c>
      <c r="S195" s="654">
        <f t="shared" si="198"/>
        <v>0</v>
      </c>
      <c r="T195" s="656" t="str">
        <f>+VLOOKUP($L195,Data_Validation!$A:$D,1,0)</f>
        <v>3003</v>
      </c>
      <c r="U195" s="656" t="str">
        <f>+VLOOKUP($L195,Data_Validation!$A:$D,3,0)</f>
        <v>Bilan</v>
      </c>
      <c r="V195" s="656" t="str">
        <f>+VLOOKUP($L195,Data_Validation!$A:$D,4,0)</f>
        <v>Apport</v>
      </c>
      <c r="W195" s="656" t="str">
        <f>+VLOOKUP($L195,Data_Validation!$A:$E,5,0)</f>
        <v>$</v>
      </c>
      <c r="X195" s="656">
        <f>+VLOOKUP($L195,Data_Validation!$A:$F,6,0)</f>
        <v>0</v>
      </c>
    </row>
    <row r="196" spans="1:24" ht="15" customHeight="1">
      <c r="A196" s="1052" t="s">
        <v>960</v>
      </c>
      <c r="B196" s="1052" t="s">
        <v>1771</v>
      </c>
      <c r="C196" s="1054">
        <v>-347547.5</v>
      </c>
      <c r="D196" s="1054">
        <v>0</v>
      </c>
      <c r="E196" s="1054">
        <v>-347547.5</v>
      </c>
      <c r="F196" s="1052" t="s">
        <v>957</v>
      </c>
      <c r="G196" s="1052" t="s">
        <v>958</v>
      </c>
      <c r="H196" s="651"/>
      <c r="I196" s="651"/>
      <c r="J196" s="651"/>
      <c r="K196" s="651"/>
      <c r="L196" s="653" t="str">
        <f t="shared" si="197"/>
        <v>3007</v>
      </c>
      <c r="M196" s="654" t="str">
        <f t="shared" si="0"/>
        <v>ACTIONS PARTICIPANTES</v>
      </c>
      <c r="N196" s="655">
        <f>+IF(OR($Q196=Parametres!$G$2,$Q196=Parametres!$G$3),I196,C196)</f>
        <v>-347547.5</v>
      </c>
      <c r="O196" s="655">
        <f>+IF(OR($Q196=Parametres!$G$2,$Q196=Parametres!$G$3),J196,D196)</f>
        <v>0</v>
      </c>
      <c r="P196" s="655">
        <f>+IF(OR($Q196=Parametres!$G$2,$Q196=Parametres!$G$3),K196,E196)</f>
        <v>-347547.5</v>
      </c>
      <c r="Q196" s="654" t="str">
        <f t="shared" ref="Q196:S196" si="199">+F196</f>
        <v>4-Valeur nette</v>
      </c>
      <c r="R196" s="653" t="str">
        <f t="shared" si="199"/>
        <v>3001</v>
      </c>
      <c r="S196" s="654">
        <f t="shared" si="199"/>
        <v>0</v>
      </c>
      <c r="T196" s="656" t="str">
        <f>+VLOOKUP($L196,Data_Validation!$A:$D,1,0)</f>
        <v>3007</v>
      </c>
      <c r="U196" s="656" t="str">
        <f>+VLOOKUP($L196,Data_Validation!$A:$D,3,0)</f>
        <v>Bilan</v>
      </c>
      <c r="V196" s="656" t="str">
        <f>+VLOOKUP($L196,Data_Validation!$A:$D,4,0)</f>
        <v>Capital Actions</v>
      </c>
      <c r="W196" s="656">
        <f>+VLOOKUP($L196,Data_Validation!$A:$E,5,0)</f>
        <v>0</v>
      </c>
      <c r="X196" s="656">
        <f>+VLOOKUP($L196,Data_Validation!$A:$F,6,0)</f>
        <v>0</v>
      </c>
    </row>
    <row r="197" spans="1:24" ht="15" customHeight="1">
      <c r="A197" s="1052" t="s">
        <v>961</v>
      </c>
      <c r="B197" s="1052" t="s">
        <v>1795</v>
      </c>
      <c r="C197" s="1054">
        <v>-3068758.8</v>
      </c>
      <c r="D197" s="1054">
        <v>0</v>
      </c>
      <c r="E197" s="1054">
        <v>-3068758.8</v>
      </c>
      <c r="F197" s="1052" t="s">
        <v>957</v>
      </c>
      <c r="G197" s="1052" t="s">
        <v>958</v>
      </c>
      <c r="H197" s="1031"/>
      <c r="I197" s="1032"/>
      <c r="J197" s="1032"/>
      <c r="K197" s="1032"/>
      <c r="L197" s="653" t="str">
        <f t="shared" si="197"/>
        <v>3201</v>
      </c>
      <c r="M197" s="654" t="str">
        <f t="shared" si="0"/>
        <v>BENEFICES NON-REPARTIS</v>
      </c>
      <c r="N197" s="655">
        <f>+IF(OR($Q197=Parametres!$G$2,$Q197=Parametres!$G$3),I197,C197)</f>
        <v>-3068758.8</v>
      </c>
      <c r="O197" s="655">
        <f>+IF(OR($Q197=Parametres!$G$2,$Q197=Parametres!$G$3),J197,D197)</f>
        <v>0</v>
      </c>
      <c r="P197" s="655">
        <f>+IF(OR($Q197=Parametres!$G$2,$Q197=Parametres!$G$3),K197,E197)</f>
        <v>-3068758.8</v>
      </c>
      <c r="Q197" s="654" t="str">
        <f t="shared" ref="Q197:S197" si="200">+F197</f>
        <v>4-Valeur nette</v>
      </c>
      <c r="R197" s="653" t="str">
        <f t="shared" si="200"/>
        <v>3001</v>
      </c>
      <c r="S197" s="654">
        <f t="shared" si="200"/>
        <v>0</v>
      </c>
      <c r="T197" s="656" t="str">
        <f>+VLOOKUP($L197,Data_Validation!$A:$D,1,0)</f>
        <v>3201</v>
      </c>
      <c r="U197" s="656" t="str">
        <f>+VLOOKUP($L197,Data_Validation!$A:$D,3,0)</f>
        <v>Bilan</v>
      </c>
      <c r="V197" s="656" t="str">
        <f>+VLOOKUP($L197,Data_Validation!$A:$D,4,0)</f>
        <v>Bénéfices non répartis</v>
      </c>
      <c r="W197" s="656" t="str">
        <f>+VLOOKUP($L197,Data_Validation!$A:$E,5,0)</f>
        <v>$</v>
      </c>
      <c r="X197" s="656">
        <f>+VLOOKUP($L197,Data_Validation!$A:$F,6,0)</f>
        <v>0</v>
      </c>
    </row>
    <row r="198" spans="1:24" ht="15" customHeight="1">
      <c r="A198" s="1052" t="s">
        <v>962</v>
      </c>
      <c r="B198" s="1052" t="s">
        <v>964</v>
      </c>
      <c r="C198" s="1054">
        <v>-4072416.36</v>
      </c>
      <c r="D198" s="1054">
        <v>-157823.97</v>
      </c>
      <c r="E198" s="1054">
        <v>-4230240.33</v>
      </c>
      <c r="F198" s="1052" t="s">
        <v>963</v>
      </c>
      <c r="G198" s="1052" t="s">
        <v>964</v>
      </c>
      <c r="H198" s="651"/>
      <c r="I198" s="651"/>
      <c r="J198" s="651"/>
      <c r="K198" s="651"/>
      <c r="L198" s="653" t="str">
        <f t="shared" si="197"/>
        <v>4100</v>
      </c>
      <c r="M198" s="654" t="str">
        <f t="shared" si="0"/>
        <v>VTE - RACHAT BAIL VW</v>
      </c>
      <c r="N198" s="655">
        <f>+IF(OR($Q198=Parametres!$G$2,$Q198=Parametres!$G$3),I198,C198)</f>
        <v>-4072416.36</v>
      </c>
      <c r="O198" s="655">
        <f>+IF(OR($Q198=Parametres!$G$2,$Q198=Parametres!$G$3),J198,D198)</f>
        <v>-157823.97</v>
      </c>
      <c r="P198" s="655">
        <f>+IF(OR($Q198=Parametres!$G$2,$Q198=Parametres!$G$3),K198,E198)</f>
        <v>-4230240.33</v>
      </c>
      <c r="Q198" s="654" t="str">
        <f t="shared" ref="Q198:S198" si="201">+F198</f>
        <v>5-Ventes</v>
      </c>
      <c r="R198" s="653" t="str">
        <f t="shared" si="201"/>
        <v>4100</v>
      </c>
      <c r="S198" s="654">
        <f t="shared" si="201"/>
        <v>0</v>
      </c>
      <c r="T198" s="656" t="str">
        <f>+VLOOKUP($L198,Data_Validation!$A:$D,1,0)</f>
        <v>4100</v>
      </c>
      <c r="U198" s="656" t="str">
        <f>+VLOOKUP($L198,Data_Validation!$A:$D,3,0)</f>
        <v>Véhicules neufs</v>
      </c>
      <c r="V198" s="656" t="str">
        <f>+VLOOKUP($L198,Data_Validation!$A:$D,4,0)</f>
        <v>Rachat bail</v>
      </c>
      <c r="W198" s="656" t="str">
        <f>+VLOOKUP($L198,Data_Validation!$A:$E,5,0)</f>
        <v>$</v>
      </c>
      <c r="X198" s="656" t="str">
        <f>+VLOOKUP($L198,Data_Validation!$A:$F,6,0)</f>
        <v>Oui</v>
      </c>
    </row>
    <row r="199" spans="1:24" ht="15.75" customHeight="1">
      <c r="A199" s="1052" t="s">
        <v>967</v>
      </c>
      <c r="B199" s="1052" t="s">
        <v>968</v>
      </c>
      <c r="C199" s="1054">
        <v>-343139.26</v>
      </c>
      <c r="D199" s="1054">
        <v>0</v>
      </c>
      <c r="E199" s="1054">
        <v>-343139.26</v>
      </c>
      <c r="F199" s="1052" t="s">
        <v>963</v>
      </c>
      <c r="G199" s="1052" t="s">
        <v>968</v>
      </c>
      <c r="H199" s="1031"/>
      <c r="I199" s="1032"/>
      <c r="J199" s="1032"/>
      <c r="K199" s="1032"/>
      <c r="L199" s="653" t="str">
        <f t="shared" si="197"/>
        <v>4109</v>
      </c>
      <c r="M199" s="654" t="str">
        <f t="shared" si="0"/>
        <v>VTE - GOLF R</v>
      </c>
      <c r="N199" s="655">
        <f>+IF(OR($Q199=Parametres!$G$2,$Q199=Parametres!$G$3),I199,C199)</f>
        <v>-343139.26</v>
      </c>
      <c r="O199" s="655">
        <f>+IF(OR($Q199=Parametres!$G$2,$Q199=Parametres!$G$3),J199,D199)</f>
        <v>0</v>
      </c>
      <c r="P199" s="655">
        <f>+IF(OR($Q199=Parametres!$G$2,$Q199=Parametres!$G$3),K199,E199)</f>
        <v>-343139.26</v>
      </c>
      <c r="Q199" s="654" t="str">
        <f t="shared" ref="Q199:S199" si="202">+F199</f>
        <v>5-Ventes</v>
      </c>
      <c r="R199" s="653" t="str">
        <f t="shared" si="202"/>
        <v>4109</v>
      </c>
      <c r="S199" s="654">
        <f t="shared" si="202"/>
        <v>0</v>
      </c>
      <c r="T199" s="671" t="str">
        <f>+VLOOKUP($L199,Data_Validation!$A:$D,1,0)</f>
        <v>4109</v>
      </c>
      <c r="U199" s="656" t="str">
        <f>+VLOOKUP($L199,Data_Validation!$A:$D,3,0)</f>
        <v>Véhicules neufs</v>
      </c>
      <c r="V199" s="656" t="str">
        <f>+VLOOKUP($L199,Data_Validation!$A:$D,4,0)</f>
        <v>Autos détail</v>
      </c>
      <c r="W199" s="656" t="str">
        <f>+VLOOKUP($L199,Data_Validation!$A:$E,5,0)</f>
        <v>$</v>
      </c>
      <c r="X199" s="656" t="str">
        <f>+VLOOKUP($L199,Data_Validation!$A:$F,6,0)</f>
        <v>Oui</v>
      </c>
    </row>
    <row r="200" spans="1:24" ht="15" customHeight="1">
      <c r="A200" s="1052" t="s">
        <v>971</v>
      </c>
      <c r="B200" s="1052" t="s">
        <v>972</v>
      </c>
      <c r="C200" s="1054">
        <v>-1504563.89</v>
      </c>
      <c r="D200" s="1054">
        <v>-209692.07</v>
      </c>
      <c r="E200" s="1054">
        <v>-1714255.96</v>
      </c>
      <c r="F200" s="1052" t="s">
        <v>963</v>
      </c>
      <c r="G200" s="1052" t="s">
        <v>972</v>
      </c>
      <c r="H200" s="651"/>
      <c r="I200" s="651"/>
      <c r="J200" s="651"/>
      <c r="K200" s="670"/>
      <c r="L200" s="653" t="str">
        <f t="shared" si="197"/>
        <v>4111</v>
      </c>
      <c r="M200" s="654" t="str">
        <f t="shared" si="0"/>
        <v>JETTA/ JETTA GLI</v>
      </c>
      <c r="N200" s="655">
        <f>+IF(OR($Q200=Parametres!$G$2,$Q200=Parametres!$G$3),I200,C200)</f>
        <v>-1504563.89</v>
      </c>
      <c r="O200" s="655">
        <f>+IF(OR($Q200=Parametres!$G$2,$Q200=Parametres!$G$3),J200,D200)</f>
        <v>-209692.07</v>
      </c>
      <c r="P200" s="655">
        <f>+IF(OR($Q200=Parametres!$G$2,$Q200=Parametres!$G$3),K200,E200)</f>
        <v>-1714255.96</v>
      </c>
      <c r="Q200" s="654" t="str">
        <f t="shared" ref="Q200:S200" si="203">+F200</f>
        <v>5-Ventes</v>
      </c>
      <c r="R200" s="653" t="str">
        <f t="shared" si="203"/>
        <v>4111</v>
      </c>
      <c r="S200" s="654">
        <f t="shared" si="203"/>
        <v>0</v>
      </c>
      <c r="T200" s="656" t="str">
        <f>+VLOOKUP($L200,Data_Validation!$A:$D,1,0)</f>
        <v>4111</v>
      </c>
      <c r="U200" s="656" t="str">
        <f>+VLOOKUP($L200,Data_Validation!$A:$D,3,0)</f>
        <v>Véhicules neufs</v>
      </c>
      <c r="V200" s="656" t="str">
        <f>+VLOOKUP($L200,Data_Validation!$A:$D,4,0)</f>
        <v>Autos détail</v>
      </c>
      <c r="W200" s="656" t="str">
        <f>+VLOOKUP($L200,Data_Validation!$A:$E,5,0)</f>
        <v>$</v>
      </c>
      <c r="X200" s="656" t="str">
        <f>+VLOOKUP($L200,Data_Validation!$A:$F,6,0)</f>
        <v>Oui</v>
      </c>
    </row>
    <row r="201" spans="1:24" ht="15" customHeight="1">
      <c r="A201" s="1052" t="s">
        <v>974</v>
      </c>
      <c r="B201" s="1052" t="s">
        <v>3380</v>
      </c>
      <c r="C201" s="1054">
        <v>-3841289.47</v>
      </c>
      <c r="D201" s="1054">
        <v>-76944.42</v>
      </c>
      <c r="E201" s="1054">
        <v>-3918233.89</v>
      </c>
      <c r="F201" s="1052" t="s">
        <v>963</v>
      </c>
      <c r="G201" s="1052" t="s">
        <v>975</v>
      </c>
      <c r="H201" s="1031"/>
      <c r="I201" s="1032"/>
      <c r="J201" s="1032"/>
      <c r="K201" s="1032"/>
      <c r="L201" s="653" t="str">
        <f t="shared" si="197"/>
        <v>4118</v>
      </c>
      <c r="M201" s="654" t="str">
        <f t="shared" si="0"/>
        <v>VTES -TAOS</v>
      </c>
      <c r="N201" s="655">
        <f>+IF(OR($Q201=Parametres!$G$2,$Q201=Parametres!$G$3),I201,C201)</f>
        <v>-3841289.47</v>
      </c>
      <c r="O201" s="655">
        <f>+IF(OR($Q201=Parametres!$G$2,$Q201=Parametres!$G$3),J201,D201)</f>
        <v>-76944.42</v>
      </c>
      <c r="P201" s="655">
        <f>+IF(OR($Q201=Parametres!$G$2,$Q201=Parametres!$G$3),K201,E201)</f>
        <v>-3918233.89</v>
      </c>
      <c r="Q201" s="654" t="str">
        <f t="shared" ref="Q201:S201" si="204">+F201</f>
        <v>5-Ventes</v>
      </c>
      <c r="R201" s="653" t="str">
        <f t="shared" si="204"/>
        <v>4117</v>
      </c>
      <c r="S201" s="654">
        <f t="shared" si="204"/>
        <v>0</v>
      </c>
      <c r="T201" s="656" t="str">
        <f>+VLOOKUP($L201,Data_Validation!$A:$D,1,0)</f>
        <v>4118</v>
      </c>
      <c r="U201" s="656" t="str">
        <f>+VLOOKUP($L201,Data_Validation!$A:$D,3,0)</f>
        <v>Véhicules neufs</v>
      </c>
      <c r="V201" s="656" t="str">
        <f>+VLOOKUP($L201,Data_Validation!$A:$D,4,0)</f>
        <v>Camions détail</v>
      </c>
      <c r="W201" s="656" t="str">
        <f>+VLOOKUP($L201,Data_Validation!$A:$E,5,0)</f>
        <v>$</v>
      </c>
      <c r="X201" s="656" t="str">
        <f>+VLOOKUP($L201,Data_Validation!$A:$F,6,0)</f>
        <v>Oui</v>
      </c>
    </row>
    <row r="202" spans="1:24" ht="15" customHeight="1">
      <c r="A202" s="1052" t="s">
        <v>979</v>
      </c>
      <c r="B202" s="1052" t="s">
        <v>980</v>
      </c>
      <c r="C202" s="1054">
        <v>-3882401.56</v>
      </c>
      <c r="D202" s="1054">
        <v>-120161.91</v>
      </c>
      <c r="E202" s="1054">
        <v>-4002563.47</v>
      </c>
      <c r="F202" s="1052" t="s">
        <v>963</v>
      </c>
      <c r="G202" s="1052" t="s">
        <v>980</v>
      </c>
      <c r="H202" s="651"/>
      <c r="I202" s="651"/>
      <c r="J202" s="651"/>
      <c r="K202" s="670"/>
      <c r="L202" s="653" t="str">
        <f t="shared" si="197"/>
        <v>4119</v>
      </c>
      <c r="M202" s="654" t="str">
        <f t="shared" si="0"/>
        <v>VTE - ATLAS</v>
      </c>
      <c r="N202" s="655">
        <f>+IF(OR($Q202=Parametres!$G$2,$Q202=Parametres!$G$3),I202,C202)</f>
        <v>-3882401.56</v>
      </c>
      <c r="O202" s="655">
        <f>+IF(OR($Q202=Parametres!$G$2,$Q202=Parametres!$G$3),J202,D202)</f>
        <v>-120161.91</v>
      </c>
      <c r="P202" s="655">
        <f>+IF(OR($Q202=Parametres!$G$2,$Q202=Parametres!$G$3),K202,E202)</f>
        <v>-4002563.47</v>
      </c>
      <c r="Q202" s="654" t="str">
        <f t="shared" ref="Q202:S202" si="205">+F202</f>
        <v>5-Ventes</v>
      </c>
      <c r="R202" s="653" t="str">
        <f t="shared" si="205"/>
        <v>4119</v>
      </c>
      <c r="S202" s="654">
        <f t="shared" si="205"/>
        <v>0</v>
      </c>
      <c r="T202" s="656" t="str">
        <f>+VLOOKUP($L202,Data_Validation!$A:$D,1,0)</f>
        <v>4119</v>
      </c>
      <c r="U202" s="656" t="str">
        <f>+VLOOKUP($L202,Data_Validation!$A:$D,3,0)</f>
        <v>Véhicules neufs</v>
      </c>
      <c r="V202" s="656" t="str">
        <f>+VLOOKUP($L202,Data_Validation!$A:$D,4,0)</f>
        <v>Camions détail</v>
      </c>
      <c r="W202" s="656" t="str">
        <f>+VLOOKUP($L202,Data_Validation!$A:$E,5,0)</f>
        <v>$</v>
      </c>
      <c r="X202" s="656" t="str">
        <f>+VLOOKUP($L202,Data_Validation!$A:$F,6,0)</f>
        <v>Oui</v>
      </c>
    </row>
    <row r="203" spans="1:24" ht="15" customHeight="1">
      <c r="A203" s="1052" t="s">
        <v>983</v>
      </c>
      <c r="B203" s="1052" t="s">
        <v>3349</v>
      </c>
      <c r="C203" s="1054">
        <v>-136159.35</v>
      </c>
      <c r="D203" s="1054">
        <v>0</v>
      </c>
      <c r="E203" s="1054">
        <v>-136159.35</v>
      </c>
      <c r="F203" s="1052" t="s">
        <v>963</v>
      </c>
      <c r="G203" s="1052" t="s">
        <v>3349</v>
      </c>
      <c r="H203" s="1031"/>
      <c r="I203" s="1032"/>
      <c r="J203" s="1032"/>
      <c r="K203" s="1032"/>
      <c r="L203" s="653" t="str">
        <f t="shared" si="197"/>
        <v>4121</v>
      </c>
      <c r="M203" s="654" t="str">
        <f t="shared" si="0"/>
        <v>VTES -VTE - ATLAS CROSS SPORT</v>
      </c>
      <c r="N203" s="655">
        <f>+IF(OR($Q203=Parametres!$G$2,$Q203=Parametres!$G$3),I203,C203)</f>
        <v>-136159.35</v>
      </c>
      <c r="O203" s="655">
        <f>+IF(OR($Q203=Parametres!$G$2,$Q203=Parametres!$G$3),J203,D203)</f>
        <v>0</v>
      </c>
      <c r="P203" s="655">
        <f>+IF(OR($Q203=Parametres!$G$2,$Q203=Parametres!$G$3),K203,E203)</f>
        <v>-136159.35</v>
      </c>
      <c r="Q203" s="654" t="str">
        <f t="shared" ref="Q203:S203" si="206">+F203</f>
        <v>5-Ventes</v>
      </c>
      <c r="R203" s="653" t="str">
        <f t="shared" si="206"/>
        <v>4121</v>
      </c>
      <c r="S203" s="654">
        <f t="shared" si="206"/>
        <v>0</v>
      </c>
      <c r="T203" s="671" t="str">
        <f>+VLOOKUP($L203,Data_Validation!$A:$D,1,0)</f>
        <v>4121</v>
      </c>
      <c r="U203" s="656" t="str">
        <f>+VLOOKUP($L203,Data_Validation!$A:$D,3,0)</f>
        <v>Véhicules neufs</v>
      </c>
      <c r="V203" s="656" t="str">
        <f>+VLOOKUP($L203,Data_Validation!$A:$D,4,0)</f>
        <v>Camions détail</v>
      </c>
      <c r="W203" s="656" t="str">
        <f>+VLOOKUP($L203,Data_Validation!$A:$E,5,0)</f>
        <v>$</v>
      </c>
      <c r="X203" s="656" t="str">
        <f>+VLOOKUP($L203,Data_Validation!$A:$F,6,0)</f>
        <v>oui</v>
      </c>
    </row>
    <row r="204" spans="1:24" ht="15" customHeight="1">
      <c r="A204" s="1052" t="s">
        <v>986</v>
      </c>
      <c r="B204" s="1052" t="s">
        <v>987</v>
      </c>
      <c r="C204" s="1054">
        <v>-745869.72</v>
      </c>
      <c r="D204" s="1054">
        <v>0</v>
      </c>
      <c r="E204" s="1054">
        <v>-745869.72</v>
      </c>
      <c r="F204" s="1052" t="s">
        <v>963</v>
      </c>
      <c r="G204" s="1052" t="s">
        <v>987</v>
      </c>
      <c r="H204" s="651"/>
      <c r="I204" s="651"/>
      <c r="J204" s="651"/>
      <c r="K204" s="651"/>
      <c r="L204" s="653" t="str">
        <f t="shared" si="197"/>
        <v>4127</v>
      </c>
      <c r="M204" s="654" t="str">
        <f t="shared" si="0"/>
        <v>VTE - GOLF GTI</v>
      </c>
      <c r="N204" s="655">
        <f>+IF(OR($Q204=Parametres!$G$2,$Q204=Parametres!$G$3),I204,C204)</f>
        <v>-745869.72</v>
      </c>
      <c r="O204" s="655">
        <f>+IF(OR($Q204=Parametres!$G$2,$Q204=Parametres!$G$3),J204,D204)</f>
        <v>0</v>
      </c>
      <c r="P204" s="655">
        <f>+IF(OR($Q204=Parametres!$G$2,$Q204=Parametres!$G$3),K204,E204)</f>
        <v>-745869.72</v>
      </c>
      <c r="Q204" s="654" t="str">
        <f t="shared" ref="Q204:S204" si="207">+F204</f>
        <v>5-Ventes</v>
      </c>
      <c r="R204" s="653" t="str">
        <f t="shared" si="207"/>
        <v>4127</v>
      </c>
      <c r="S204" s="654">
        <f t="shared" si="207"/>
        <v>0</v>
      </c>
      <c r="T204" s="656" t="str">
        <f>+VLOOKUP($L204,Data_Validation!$A:$D,1,0)</f>
        <v>4127</v>
      </c>
      <c r="U204" s="656" t="str">
        <f>+VLOOKUP($L204,Data_Validation!$A:$D,3,0)</f>
        <v>Véhicules neufs</v>
      </c>
      <c r="V204" s="656" t="str">
        <f>+VLOOKUP($L204,Data_Validation!$A:$D,4,0)</f>
        <v>Autos détail</v>
      </c>
      <c r="W204" s="656" t="str">
        <f>+VLOOKUP($L204,Data_Validation!$A:$E,5,0)</f>
        <v>$</v>
      </c>
      <c r="X204" s="656" t="str">
        <f>+VLOOKUP($L204,Data_Validation!$A:$F,6,0)</f>
        <v>Oui</v>
      </c>
    </row>
    <row r="205" spans="1:24" ht="15" customHeight="1">
      <c r="A205" s="1052" t="s">
        <v>990</v>
      </c>
      <c r="B205" s="1052" t="s">
        <v>991</v>
      </c>
      <c r="C205" s="1054">
        <v>-7675601.3700000001</v>
      </c>
      <c r="D205" s="1054">
        <v>-1052891.29</v>
      </c>
      <c r="E205" s="1054">
        <v>-8728492.6600000001</v>
      </c>
      <c r="F205" s="1052" t="s">
        <v>963</v>
      </c>
      <c r="G205" s="1052" t="s">
        <v>991</v>
      </c>
      <c r="H205" s="1031"/>
      <c r="I205" s="1032"/>
      <c r="J205" s="1032"/>
      <c r="K205" s="1032"/>
      <c r="L205" s="653" t="str">
        <f t="shared" si="197"/>
        <v>4131</v>
      </c>
      <c r="M205" s="654" t="str">
        <f t="shared" si="0"/>
        <v>VTE - TIGUAN LWB</v>
      </c>
      <c r="N205" s="655">
        <f>+IF(OR($Q205=Parametres!$G$2,$Q205=Parametres!$G$3),I205,C205)</f>
        <v>-7675601.3700000001</v>
      </c>
      <c r="O205" s="655">
        <f>+IF(OR($Q205=Parametres!$G$2,$Q205=Parametres!$G$3),J205,D205)</f>
        <v>-1052891.29</v>
      </c>
      <c r="P205" s="655">
        <f>+IF(OR($Q205=Parametres!$G$2,$Q205=Parametres!$G$3),K205,E205)</f>
        <v>-8728492.6600000001</v>
      </c>
      <c r="Q205" s="654" t="str">
        <f t="shared" ref="Q205:S205" si="208">+F205</f>
        <v>5-Ventes</v>
      </c>
      <c r="R205" s="653" t="str">
        <f t="shared" si="208"/>
        <v>4131</v>
      </c>
      <c r="S205" s="654">
        <f t="shared" si="208"/>
        <v>0</v>
      </c>
      <c r="T205" s="656" t="str">
        <f>+VLOOKUP($L205,Data_Validation!$A:$D,1,0)</f>
        <v>4131</v>
      </c>
      <c r="U205" s="656" t="str">
        <f>+VLOOKUP($L205,Data_Validation!$A:$D,3,0)</f>
        <v>Véhicules neufs</v>
      </c>
      <c r="V205" s="656" t="str">
        <f>+VLOOKUP($L205,Data_Validation!$A:$D,4,0)</f>
        <v>Camions détail</v>
      </c>
      <c r="W205" s="656" t="str">
        <f>+VLOOKUP($L205,Data_Validation!$A:$E,5,0)</f>
        <v>$</v>
      </c>
      <c r="X205" s="656" t="str">
        <f>+VLOOKUP($L205,Data_Validation!$A:$F,6,0)</f>
        <v>Oui</v>
      </c>
    </row>
    <row r="206" spans="1:24" ht="15.75" customHeight="1">
      <c r="A206" s="1052" t="s">
        <v>994</v>
      </c>
      <c r="B206" s="1052" t="s">
        <v>995</v>
      </c>
      <c r="C206" s="1054">
        <v>-648565.75</v>
      </c>
      <c r="D206" s="1054">
        <v>0</v>
      </c>
      <c r="E206" s="1054">
        <v>-648565.75</v>
      </c>
      <c r="F206" s="1052" t="s">
        <v>963</v>
      </c>
      <c r="G206" s="1052" t="s">
        <v>995</v>
      </c>
      <c r="H206" s="651"/>
      <c r="I206" s="651"/>
      <c r="J206" s="651"/>
      <c r="K206" s="651"/>
      <c r="L206" s="653" t="str">
        <f t="shared" si="197"/>
        <v>4137</v>
      </c>
      <c r="M206" s="654" t="str">
        <f t="shared" si="0"/>
        <v>VTE - VW-FLOTTE/VENTES ENTR/EMPLOYE/VEH DEMON</v>
      </c>
      <c r="N206" s="655">
        <f>+IF(OR($Q206=Parametres!$G$2,$Q206=Parametres!$G$3),I206,C206)</f>
        <v>-648565.75</v>
      </c>
      <c r="O206" s="655">
        <f>+IF(OR($Q206=Parametres!$G$2,$Q206=Parametres!$G$3),J206,D206)</f>
        <v>0</v>
      </c>
      <c r="P206" s="655">
        <f>+IF(OR($Q206=Parametres!$G$2,$Q206=Parametres!$G$3),K206,E206)</f>
        <v>-648565.75</v>
      </c>
      <c r="Q206" s="654" t="str">
        <f t="shared" ref="Q206:S206" si="209">+F206</f>
        <v>5-Ventes</v>
      </c>
      <c r="R206" s="653" t="str">
        <f t="shared" si="209"/>
        <v>4137</v>
      </c>
      <c r="S206" s="654">
        <f t="shared" si="209"/>
        <v>0</v>
      </c>
      <c r="T206" s="656" t="str">
        <f>+VLOOKUP($L206,Data_Validation!$A:$D,1,0)</f>
        <v>4137</v>
      </c>
      <c r="U206" s="656" t="str">
        <f>+VLOOKUP($L206,Data_Validation!$A:$D,3,0)</f>
        <v>Véhicules neufs</v>
      </c>
      <c r="V206" s="656" t="str">
        <f>+VLOOKUP($L206,Data_Validation!$A:$D,4,0)</f>
        <v>Flottes</v>
      </c>
      <c r="W206" s="656" t="str">
        <f>+VLOOKUP($L206,Data_Validation!$A:$E,5,0)</f>
        <v>$</v>
      </c>
      <c r="X206" s="656" t="str">
        <f>+VLOOKUP($L206,Data_Validation!$A:$F,6,0)</f>
        <v>Oui</v>
      </c>
    </row>
    <row r="207" spans="1:24" ht="15" customHeight="1">
      <c r="A207" s="1052" t="s">
        <v>998</v>
      </c>
      <c r="B207" s="1052" t="s">
        <v>999</v>
      </c>
      <c r="C207" s="1054">
        <v>-1634702.63</v>
      </c>
      <c r="D207" s="1054">
        <v>-100957.09</v>
      </c>
      <c r="E207" s="1054">
        <v>-1735659.72</v>
      </c>
      <c r="F207" s="1052" t="s">
        <v>963</v>
      </c>
      <c r="G207" s="1052" t="s">
        <v>999</v>
      </c>
      <c r="H207" s="1031"/>
      <c r="I207" s="1032"/>
      <c r="J207" s="1032"/>
      <c r="K207" s="1032"/>
      <c r="L207" s="653" t="str">
        <f t="shared" si="197"/>
        <v>4139</v>
      </c>
      <c r="M207" s="654" t="str">
        <f t="shared" si="0"/>
        <v>VTE - VW FLOTTE/VENTE ENTR/EMPLOYE/VEH DEMONS</v>
      </c>
      <c r="N207" s="655">
        <f>+IF(OR($Q207=Parametres!$G$2,$Q207=Parametres!$G$3),I207,C207)</f>
        <v>-1634702.63</v>
      </c>
      <c r="O207" s="655">
        <f>+IF(OR($Q207=Parametres!$G$2,$Q207=Parametres!$G$3),J207,D207)</f>
        <v>-100957.09</v>
      </c>
      <c r="P207" s="655">
        <f>+IF(OR($Q207=Parametres!$G$2,$Q207=Parametres!$G$3),K207,E207)</f>
        <v>-1735659.72</v>
      </c>
      <c r="Q207" s="654" t="str">
        <f t="shared" ref="Q207:S207" si="210">+F207</f>
        <v>5-Ventes</v>
      </c>
      <c r="R207" s="653" t="str">
        <f t="shared" si="210"/>
        <v>4139</v>
      </c>
      <c r="S207" s="654">
        <f t="shared" si="210"/>
        <v>0</v>
      </c>
      <c r="T207" s="656" t="str">
        <f>+VLOOKUP($L207,Data_Validation!$A:$D,1,0)</f>
        <v>4139</v>
      </c>
      <c r="U207" s="656" t="str">
        <f>+VLOOKUP($L207,Data_Validation!$A:$D,3,0)</f>
        <v>Véhicules neufs</v>
      </c>
      <c r="V207" s="656" t="str">
        <f>+VLOOKUP($L207,Data_Validation!$A:$D,4,0)</f>
        <v>Ex-Démos et courtoisies</v>
      </c>
      <c r="W207" s="656" t="str">
        <f>+VLOOKUP($L207,Data_Validation!$A:$E,5,0)</f>
        <v>$</v>
      </c>
      <c r="X207" s="656" t="str">
        <f>+VLOOKUP($L207,Data_Validation!$A:$F,6,0)</f>
        <v>Oui</v>
      </c>
    </row>
    <row r="208" spans="1:24" ht="15" customHeight="1">
      <c r="A208" s="1052" t="s">
        <v>1002</v>
      </c>
      <c r="B208" s="1052" t="s">
        <v>3381</v>
      </c>
      <c r="C208" s="1054">
        <v>-696802.81</v>
      </c>
      <c r="D208" s="1054">
        <v>0</v>
      </c>
      <c r="E208" s="1054">
        <v>-696802.81</v>
      </c>
      <c r="F208" s="1052" t="s">
        <v>963</v>
      </c>
      <c r="G208" s="1052" t="s">
        <v>1003</v>
      </c>
      <c r="H208" s="651"/>
      <c r="I208" s="651"/>
      <c r="J208" s="651"/>
      <c r="K208" s="670"/>
      <c r="L208" s="653" t="str">
        <f t="shared" si="197"/>
        <v>4144</v>
      </c>
      <c r="M208" s="654" t="str">
        <f t="shared" si="0"/>
        <v>VTES -JETTA GLI</v>
      </c>
      <c r="N208" s="655">
        <f>+IF(OR($Q208=Parametres!$G$2,$Q208=Parametres!$G$3),I208,C208)</f>
        <v>-696802.81</v>
      </c>
      <c r="O208" s="655">
        <f>+IF(OR($Q208=Parametres!$G$2,$Q208=Parametres!$G$3),J208,D208)</f>
        <v>0</v>
      </c>
      <c r="P208" s="655">
        <f>+IF(OR($Q208=Parametres!$G$2,$Q208=Parametres!$G$3),K208,E208)</f>
        <v>-696802.81</v>
      </c>
      <c r="Q208" s="654" t="str">
        <f t="shared" ref="Q208:S208" si="211">+F208</f>
        <v>5-Ventes</v>
      </c>
      <c r="R208" s="653" t="str">
        <f t="shared" si="211"/>
        <v>414</v>
      </c>
      <c r="S208" s="654">
        <f t="shared" si="211"/>
        <v>0</v>
      </c>
      <c r="T208" s="656" t="str">
        <f>+VLOOKUP($L208,Data_Validation!$A:$D,1,0)</f>
        <v>4144</v>
      </c>
      <c r="U208" s="656" t="str">
        <f>+VLOOKUP($L208,Data_Validation!$A:$D,3,0)</f>
        <v>Véhicules neufs</v>
      </c>
      <c r="V208" s="656" t="str">
        <f>+VLOOKUP($L208,Data_Validation!$A:$D,4,0)</f>
        <v>Autos détail</v>
      </c>
      <c r="W208" s="656" t="str">
        <f>+VLOOKUP($L208,Data_Validation!$A:$E,5,0)</f>
        <v>$</v>
      </c>
      <c r="X208" s="656" t="str">
        <f>+VLOOKUP($L208,Data_Validation!$A:$F,6,0)</f>
        <v>Oui</v>
      </c>
    </row>
    <row r="209" spans="1:24" ht="15" customHeight="1">
      <c r="A209" s="1052" t="s">
        <v>1006</v>
      </c>
      <c r="B209" s="1052" t="s">
        <v>1007</v>
      </c>
      <c r="C209" s="1054">
        <v>-9637209.8800000008</v>
      </c>
      <c r="D209" s="1054">
        <v>-594776</v>
      </c>
      <c r="E209" s="1054">
        <v>-10231985.880000001</v>
      </c>
      <c r="F209" s="1052" t="s">
        <v>963</v>
      </c>
      <c r="G209" s="1052" t="s">
        <v>1007</v>
      </c>
      <c r="H209" s="1031"/>
      <c r="I209" s="1032"/>
      <c r="J209" s="1032"/>
      <c r="K209" s="1032"/>
      <c r="L209" s="653" t="str">
        <f t="shared" si="197"/>
        <v>4201</v>
      </c>
      <c r="M209" s="654" t="str">
        <f t="shared" si="0"/>
        <v>VTE - VEH.USAGE VW DETAIL CERTIFIE</v>
      </c>
      <c r="N209" s="655">
        <f>+IF(OR($Q209=Parametres!$G$2,$Q209=Parametres!$G$3),I209,C209)</f>
        <v>-9637209.8800000008</v>
      </c>
      <c r="O209" s="655">
        <f>+IF(OR($Q209=Parametres!$G$2,$Q209=Parametres!$G$3),J209,D209)</f>
        <v>-594776</v>
      </c>
      <c r="P209" s="655">
        <f>+IF(OR($Q209=Parametres!$G$2,$Q209=Parametres!$G$3),K209,E209)</f>
        <v>-10231985.880000001</v>
      </c>
      <c r="Q209" s="654" t="str">
        <f t="shared" ref="Q209:S209" si="212">+F209</f>
        <v>5-Ventes</v>
      </c>
      <c r="R209" s="653" t="str">
        <f t="shared" si="212"/>
        <v>4201</v>
      </c>
      <c r="S209" s="654">
        <f t="shared" si="212"/>
        <v>0</v>
      </c>
      <c r="T209" s="656" t="str">
        <f>+VLOOKUP($L209,Data_Validation!$A:$D,1,0)</f>
        <v>4201</v>
      </c>
      <c r="U209" s="656" t="str">
        <f>+VLOOKUP($L209,Data_Validation!$A:$D,3,0)</f>
        <v>Véhicules usagés</v>
      </c>
      <c r="V209" s="656" t="str">
        <f>+VLOOKUP($L209,Data_Validation!$A:$D,4,0)</f>
        <v>Certifié</v>
      </c>
      <c r="W209" s="656" t="str">
        <f>+VLOOKUP($L209,Data_Validation!$A:$E,5,0)</f>
        <v>$</v>
      </c>
      <c r="X209" s="656" t="str">
        <f>+VLOOKUP($L209,Data_Validation!$A:$F,6,0)</f>
        <v>Oui</v>
      </c>
    </row>
    <row r="210" spans="1:24" ht="15" customHeight="1">
      <c r="A210" s="1052" t="s">
        <v>1010</v>
      </c>
      <c r="B210" s="1052" t="s">
        <v>1011</v>
      </c>
      <c r="C210" s="1054">
        <v>0</v>
      </c>
      <c r="D210" s="1054">
        <v>-22197</v>
      </c>
      <c r="E210" s="1054">
        <v>-22197</v>
      </c>
      <c r="F210" s="1052" t="s">
        <v>963</v>
      </c>
      <c r="G210" s="1052" t="s">
        <v>1011</v>
      </c>
      <c r="H210" s="1031"/>
      <c r="I210" s="1033"/>
      <c r="J210" s="1031"/>
      <c r="K210" s="1033"/>
      <c r="L210" s="653" t="str">
        <f t="shared" si="197"/>
        <v>4211</v>
      </c>
      <c r="M210" s="654" t="str">
        <f t="shared" si="0"/>
        <v>VTE - VW USAGES DETAIL</v>
      </c>
      <c r="N210" s="655">
        <f>+IF(OR($Q210=Parametres!$G$2,$Q210=Parametres!$G$3),I210,C210)</f>
        <v>0</v>
      </c>
      <c r="O210" s="655">
        <f>+IF(OR($Q210=Parametres!$G$2,$Q210=Parametres!$G$3),J210,D210)</f>
        <v>-22197</v>
      </c>
      <c r="P210" s="655">
        <f>+IF(OR($Q210=Parametres!$G$2,$Q210=Parametres!$G$3),K210,E210)</f>
        <v>-22197</v>
      </c>
      <c r="Q210" s="654" t="str">
        <f t="shared" ref="Q210:S210" si="213">+F210</f>
        <v>5-Ventes</v>
      </c>
      <c r="R210" s="653" t="str">
        <f t="shared" si="213"/>
        <v>4211</v>
      </c>
      <c r="S210" s="654">
        <f t="shared" si="213"/>
        <v>0</v>
      </c>
      <c r="T210" s="656" t="str">
        <f>+VLOOKUP($L210,Data_Validation!$A:$D,1,0)</f>
        <v>4211</v>
      </c>
      <c r="U210" s="656" t="str">
        <f>+VLOOKUP($L210,Data_Validation!$A:$D,3,0)</f>
        <v>Véhicules usagés</v>
      </c>
      <c r="V210" s="656" t="str">
        <f>+VLOOKUP($L210,Data_Validation!$A:$D,4,0)</f>
        <v>Non Certifié</v>
      </c>
      <c r="W210" s="656" t="str">
        <f>+VLOOKUP($L210,Data_Validation!$A:$E,5,0)</f>
        <v>$</v>
      </c>
      <c r="X210" s="656" t="str">
        <f>+VLOOKUP($L210,Data_Validation!$A:$F,6,0)</f>
        <v>Oui</v>
      </c>
    </row>
    <row r="211" spans="1:24" ht="15.75" customHeight="1">
      <c r="A211" s="1052" t="s">
        <v>1014</v>
      </c>
      <c r="B211" s="1052" t="s">
        <v>1933</v>
      </c>
      <c r="C211" s="1054">
        <v>-184645</v>
      </c>
      <c r="D211" s="1054">
        <v>0</v>
      </c>
      <c r="E211" s="1054">
        <v>-184645</v>
      </c>
      <c r="F211" s="1052" t="s">
        <v>963</v>
      </c>
      <c r="G211" s="1052" t="s">
        <v>1015</v>
      </c>
      <c r="H211" s="651"/>
      <c r="I211" s="652"/>
      <c r="J211" s="652"/>
      <c r="K211" s="652"/>
      <c r="L211" s="653" t="str">
        <f t="shared" si="197"/>
        <v>4285</v>
      </c>
      <c r="M211" s="654" t="str">
        <f t="shared" si="0"/>
        <v>VEH. D'OCC. AUTRE DETAIL</v>
      </c>
      <c r="N211" s="655">
        <f>+IF(OR($Q211=Parametres!$G$2,$Q211=Parametres!$G$3),I211,C211)</f>
        <v>-184645</v>
      </c>
      <c r="O211" s="655">
        <f>+IF(OR($Q211=Parametres!$G$2,$Q211=Parametres!$G$3),J211,D211)</f>
        <v>0</v>
      </c>
      <c r="P211" s="655">
        <f>+IF(OR($Q211=Parametres!$G$2,$Q211=Parametres!$G$3),K211,E211)</f>
        <v>-184645</v>
      </c>
      <c r="Q211" s="654" t="str">
        <f t="shared" ref="Q211:S211" si="214">+F211</f>
        <v>5-Ventes</v>
      </c>
      <c r="R211" s="653" t="str">
        <f t="shared" si="214"/>
        <v>4261</v>
      </c>
      <c r="S211" s="654">
        <f t="shared" si="214"/>
        <v>0</v>
      </c>
      <c r="T211" s="656" t="str">
        <f>+VLOOKUP($L211,Data_Validation!$A:$D,1,0)</f>
        <v>4285</v>
      </c>
      <c r="U211" s="656" t="str">
        <f>+VLOOKUP($L211,Data_Validation!$A:$D,3,0)</f>
        <v>Véhicules usagés</v>
      </c>
      <c r="V211" s="656" t="str">
        <f>+VLOOKUP($L211,Data_Validation!$A:$D,4,0)</f>
        <v>Autres Marques</v>
      </c>
      <c r="W211" s="656" t="str">
        <f>+VLOOKUP($L211,Data_Validation!$A:$E,5,0)</f>
        <v>$</v>
      </c>
      <c r="X211" s="656" t="str">
        <f>+VLOOKUP($L211,Data_Validation!$A:$F,6,0)</f>
        <v>Oui</v>
      </c>
    </row>
    <row r="212" spans="1:24" ht="15" customHeight="1">
      <c r="A212" s="1052" t="s">
        <v>1018</v>
      </c>
      <c r="B212" s="1052" t="s">
        <v>1942</v>
      </c>
      <c r="C212" s="1054">
        <v>-5759812</v>
      </c>
      <c r="D212" s="1054">
        <v>-557925</v>
      </c>
      <c r="E212" s="1054">
        <v>-6317737</v>
      </c>
      <c r="F212" s="1052" t="s">
        <v>963</v>
      </c>
      <c r="G212" s="1052" t="s">
        <v>1019</v>
      </c>
      <c r="H212" s="1031"/>
      <c r="I212" s="1031"/>
      <c r="J212" s="1031"/>
      <c r="K212" s="1031"/>
      <c r="L212" s="653" t="str">
        <f t="shared" si="197"/>
        <v>4291</v>
      </c>
      <c r="M212" s="654" t="str">
        <f t="shared" si="0"/>
        <v>VEH. D'OCC. AU GROS</v>
      </c>
      <c r="N212" s="655">
        <f>+IF(OR($Q212=Parametres!$G$2,$Q212=Parametres!$G$3),I212,C212)</f>
        <v>-5759812</v>
      </c>
      <c r="O212" s="655">
        <f>+IF(OR($Q212=Parametres!$G$2,$Q212=Parametres!$G$3),J212,D212)</f>
        <v>-557925</v>
      </c>
      <c r="P212" s="655">
        <f>+IF(OR($Q212=Parametres!$G$2,$Q212=Parametres!$G$3),K212,E212)</f>
        <v>-6317737</v>
      </c>
      <c r="Q212" s="654" t="str">
        <f t="shared" ref="Q212:S212" si="215">+F212</f>
        <v>5-Ventes</v>
      </c>
      <c r="R212" s="653" t="str">
        <f t="shared" si="215"/>
        <v>4281</v>
      </c>
      <c r="S212" s="654">
        <f t="shared" si="215"/>
        <v>0</v>
      </c>
      <c r="T212" s="656" t="str">
        <f>+VLOOKUP($L212,Data_Validation!$A:$D,1,0)</f>
        <v>4291</v>
      </c>
      <c r="U212" s="656" t="str">
        <f>+VLOOKUP($L212,Data_Validation!$A:$D,3,0)</f>
        <v>Véhicules usagés</v>
      </c>
      <c r="V212" s="656" t="str">
        <f>+VLOOKUP($L212,Data_Validation!$A:$D,4,0)</f>
        <v>Ventes au Gros</v>
      </c>
      <c r="W212" s="656" t="str">
        <f>+VLOOKUP($L212,Data_Validation!$A:$E,5,0)</f>
        <v>$</v>
      </c>
      <c r="X212" s="656" t="str">
        <f>+VLOOKUP($L212,Data_Validation!$A:$F,6,0)</f>
        <v>Oui</v>
      </c>
    </row>
    <row r="213" spans="1:24" ht="15" customHeight="1">
      <c r="A213" s="1052" t="s">
        <v>3671</v>
      </c>
      <c r="B213" s="1052" t="s">
        <v>1023</v>
      </c>
      <c r="C213" s="1054">
        <v>-1507998.11</v>
      </c>
      <c r="D213" s="1054">
        <v>-117635.87</v>
      </c>
      <c r="E213" s="1054">
        <v>-1625633.98</v>
      </c>
      <c r="F213" s="1052" t="s">
        <v>963</v>
      </c>
      <c r="G213" s="1052" t="s">
        <v>1023</v>
      </c>
      <c r="H213" s="651"/>
      <c r="I213" s="652"/>
      <c r="J213" s="652"/>
      <c r="K213" s="652"/>
      <c r="L213" s="653" t="str">
        <f t="shared" si="197"/>
        <v>4401</v>
      </c>
      <c r="M213" s="654" t="str">
        <f t="shared" si="0"/>
        <v>MAIN-D'OEUVRE - CLIENT VW - MCI</v>
      </c>
      <c r="N213" s="655">
        <f>+IF(OR($Q213=Parametres!$G$2,$Q213=Parametres!$G$3),I213,C213)</f>
        <v>-1507998.11</v>
      </c>
      <c r="O213" s="655">
        <f>+IF(OR($Q213=Parametres!$G$2,$Q213=Parametres!$G$3),J213,D213)</f>
        <v>-117635.87</v>
      </c>
      <c r="P213" s="655">
        <f>+IF(OR($Q213=Parametres!$G$2,$Q213=Parametres!$G$3),K213,E213)</f>
        <v>-1625633.98</v>
      </c>
      <c r="Q213" s="654" t="str">
        <f t="shared" ref="Q213:S213" si="216">+F213</f>
        <v>5-Ventes</v>
      </c>
      <c r="R213" s="653" t="str">
        <f t="shared" si="216"/>
        <v>4401</v>
      </c>
      <c r="S213" s="654">
        <f t="shared" si="216"/>
        <v>0</v>
      </c>
      <c r="T213" s="656" t="str">
        <f>+VLOOKUP($L213,Data_Validation!$A:$D,1,0)</f>
        <v>4401</v>
      </c>
      <c r="U213" s="656" t="str">
        <f>+VLOOKUP($L213,Data_Validation!$A:$D,3,0)</f>
        <v>Service</v>
      </c>
      <c r="V213" s="656" t="str">
        <f>+VLOOKUP($L213,Data_Validation!$A:$D,4,0)</f>
        <v>M/O Client</v>
      </c>
      <c r="W213" s="656" t="str">
        <f>+VLOOKUP($L213,Data_Validation!$A:$E,5,0)</f>
        <v>$</v>
      </c>
      <c r="X213" s="656" t="str">
        <f>+VLOOKUP($L213,Data_Validation!$A:$F,6,0)</f>
        <v>Oui</v>
      </c>
    </row>
    <row r="214" spans="1:24" ht="15" customHeight="1">
      <c r="A214" s="1052" t="s">
        <v>1025</v>
      </c>
      <c r="B214" s="1052" t="s">
        <v>1026</v>
      </c>
      <c r="C214" s="1054">
        <v>-8450.01</v>
      </c>
      <c r="D214" s="1054">
        <v>-14.55</v>
      </c>
      <c r="E214" s="1054">
        <v>-8464.56</v>
      </c>
      <c r="F214" s="1052" t="s">
        <v>963</v>
      </c>
      <c r="G214" s="1052" t="s">
        <v>1026</v>
      </c>
      <c r="H214" s="1031"/>
      <c r="I214" s="1031"/>
      <c r="J214" s="1031"/>
      <c r="K214" s="1031"/>
      <c r="L214" s="653" t="str">
        <f t="shared" si="197"/>
        <v>4402</v>
      </c>
      <c r="M214" s="654" t="str">
        <f t="shared" si="0"/>
        <v>VTE - M.O. ESTHETIQUE CLIENT</v>
      </c>
      <c r="N214" s="655">
        <f>+IF(OR($Q214=Parametres!$G$2,$Q214=Parametres!$G$3),I214,C214)</f>
        <v>-8450.01</v>
      </c>
      <c r="O214" s="655">
        <f>+IF(OR($Q214=Parametres!$G$2,$Q214=Parametres!$G$3),J214,D214)</f>
        <v>-14.55</v>
      </c>
      <c r="P214" s="655">
        <f>+IF(OR($Q214=Parametres!$G$2,$Q214=Parametres!$G$3),K214,E214)</f>
        <v>-8464.56</v>
      </c>
      <c r="Q214" s="654" t="str">
        <f t="shared" ref="Q214:S214" si="217">+F214</f>
        <v>5-Ventes</v>
      </c>
      <c r="R214" s="653" t="str">
        <f t="shared" si="217"/>
        <v>4402</v>
      </c>
      <c r="S214" s="654">
        <f t="shared" si="217"/>
        <v>0</v>
      </c>
      <c r="T214" s="656" t="str">
        <f>+VLOOKUP($L214,Data_Validation!$A:$D,1,0)</f>
        <v>4402</v>
      </c>
      <c r="U214" s="656" t="str">
        <f>+VLOOKUP($L214,Data_Validation!$A:$D,3,0)</f>
        <v>Service</v>
      </c>
      <c r="V214" s="656" t="str">
        <f>+VLOOKUP($L214,Data_Validation!$A:$D,4,0)</f>
        <v>M/O Esthétique</v>
      </c>
      <c r="W214" s="656" t="str">
        <f>+VLOOKUP($L214,Data_Validation!$A:$E,5,0)</f>
        <v>$</v>
      </c>
      <c r="X214" s="656" t="str">
        <f>+VLOOKUP($L214,Data_Validation!$A:$F,6,0)</f>
        <v>Oui</v>
      </c>
    </row>
    <row r="215" spans="1:24" ht="15.75" customHeight="1">
      <c r="A215" s="1052" t="s">
        <v>3672</v>
      </c>
      <c r="B215" s="1052" t="s">
        <v>1028</v>
      </c>
      <c r="C215" s="1054">
        <v>-449305.62</v>
      </c>
      <c r="D215" s="1054">
        <v>-32607.37</v>
      </c>
      <c r="E215" s="1054">
        <v>-481912.99</v>
      </c>
      <c r="F215" s="1052" t="s">
        <v>963</v>
      </c>
      <c r="G215" s="1052" t="s">
        <v>1028</v>
      </c>
      <c r="H215" s="1031"/>
      <c r="I215" s="1032"/>
      <c r="J215" s="1032"/>
      <c r="K215" s="1032"/>
      <c r="L215" s="653" t="str">
        <f t="shared" si="197"/>
        <v>4403</v>
      </c>
      <c r="M215" s="654" t="str">
        <f t="shared" si="0"/>
        <v>MAIN-D'OEUVRE - GARANTIE VW - MCI</v>
      </c>
      <c r="N215" s="655">
        <f>+IF(OR($Q215=Parametres!$G$2,$Q215=Parametres!$G$3),I215,C215)</f>
        <v>-449305.62</v>
      </c>
      <c r="O215" s="655">
        <f>+IF(OR($Q215=Parametres!$G$2,$Q215=Parametres!$G$3),J215,D215)</f>
        <v>-32607.37</v>
      </c>
      <c r="P215" s="655">
        <f>+IF(OR($Q215=Parametres!$G$2,$Q215=Parametres!$G$3),K215,E215)</f>
        <v>-481912.99</v>
      </c>
      <c r="Q215" s="654" t="str">
        <f t="shared" ref="Q215:S215" si="218">+F215</f>
        <v>5-Ventes</v>
      </c>
      <c r="R215" s="653" t="str">
        <f t="shared" si="218"/>
        <v>4403</v>
      </c>
      <c r="S215" s="654">
        <f t="shared" si="218"/>
        <v>0</v>
      </c>
      <c r="T215" s="656" t="str">
        <f>+VLOOKUP($L215,Data_Validation!$A:$D,1,0)</f>
        <v>4403</v>
      </c>
      <c r="U215" s="656" t="str">
        <f>+VLOOKUP($L215,Data_Validation!$A:$D,3,0)</f>
        <v>Service</v>
      </c>
      <c r="V215" s="656" t="str">
        <f>+VLOOKUP($L215,Data_Validation!$A:$D,4,0)</f>
        <v>M/O Garantie</v>
      </c>
      <c r="W215" s="656" t="str">
        <f>+VLOOKUP($L215,Data_Validation!$A:$E,5,0)</f>
        <v>$</v>
      </c>
      <c r="X215" s="656" t="str">
        <f>+VLOOKUP($L215,Data_Validation!$A:$F,6,0)</f>
        <v>Oui</v>
      </c>
    </row>
    <row r="216" spans="1:24" ht="15" customHeight="1">
      <c r="A216" s="1052" t="s">
        <v>3673</v>
      </c>
      <c r="B216" s="1052" t="s">
        <v>1031</v>
      </c>
      <c r="C216" s="1054">
        <v>-522640.16</v>
      </c>
      <c r="D216" s="1054">
        <v>-42675.5</v>
      </c>
      <c r="E216" s="1054">
        <v>-565315.66</v>
      </c>
      <c r="F216" s="1052" t="s">
        <v>963</v>
      </c>
      <c r="G216" s="1052" t="s">
        <v>1031</v>
      </c>
      <c r="H216" s="651"/>
      <c r="I216" s="670"/>
      <c r="J216" s="651"/>
      <c r="K216" s="670"/>
      <c r="L216" s="653" t="str">
        <f t="shared" si="197"/>
        <v>4405</v>
      </c>
      <c r="M216" s="654" t="str">
        <f t="shared" si="0"/>
        <v>MAIN-D'OEUVRE - INTERNE VW - MCI</v>
      </c>
      <c r="N216" s="655">
        <f>+IF(OR($Q216=Parametres!$G$2,$Q216=Parametres!$G$3),I216,C216)</f>
        <v>-522640.16</v>
      </c>
      <c r="O216" s="655">
        <f>+IF(OR($Q216=Parametres!$G$2,$Q216=Parametres!$G$3),J216,D216)</f>
        <v>-42675.5</v>
      </c>
      <c r="P216" s="655">
        <f>+IF(OR($Q216=Parametres!$G$2,$Q216=Parametres!$G$3),K216,E216)</f>
        <v>-565315.66</v>
      </c>
      <c r="Q216" s="654" t="str">
        <f t="shared" ref="Q216:S216" si="219">+F216</f>
        <v>5-Ventes</v>
      </c>
      <c r="R216" s="653" t="str">
        <f t="shared" si="219"/>
        <v>4405</v>
      </c>
      <c r="S216" s="654">
        <f t="shared" si="219"/>
        <v>0</v>
      </c>
      <c r="T216" s="656" t="str">
        <f>+VLOOKUP($L216,Data_Validation!$A:$D,1,0)</f>
        <v>4405</v>
      </c>
      <c r="U216" s="656" t="str">
        <f>+VLOOKUP($L216,Data_Validation!$A:$D,3,0)</f>
        <v>Service</v>
      </c>
      <c r="V216" s="656" t="str">
        <f>+VLOOKUP($L216,Data_Validation!$A:$D,4,0)</f>
        <v>M/O Interne</v>
      </c>
      <c r="W216" s="656" t="str">
        <f>+VLOOKUP($L216,Data_Validation!$A:$E,5,0)</f>
        <v>$</v>
      </c>
      <c r="X216" s="656" t="str">
        <f>+VLOOKUP($L216,Data_Validation!$A:$F,6,0)</f>
        <v>Oui</v>
      </c>
    </row>
    <row r="217" spans="1:24" ht="15" customHeight="1">
      <c r="A217" s="1052" t="s">
        <v>1033</v>
      </c>
      <c r="B217" s="1052" t="s">
        <v>1974</v>
      </c>
      <c r="C217" s="1054">
        <v>-270764.46999999997</v>
      </c>
      <c r="D217" s="1054">
        <v>-18177.72</v>
      </c>
      <c r="E217" s="1054">
        <v>-288942.19</v>
      </c>
      <c r="F217" s="1052" t="s">
        <v>963</v>
      </c>
      <c r="G217" s="1052" t="s">
        <v>1034</v>
      </c>
      <c r="H217" s="1031"/>
      <c r="I217" s="1032"/>
      <c r="J217" s="1032"/>
      <c r="K217" s="1032"/>
      <c r="L217" s="653" t="str">
        <f t="shared" si="197"/>
        <v>4451</v>
      </c>
      <c r="M217" s="654" t="str">
        <f t="shared" si="0"/>
        <v>CARBURANT/HUILE/GRAISSE</v>
      </c>
      <c r="N217" s="655">
        <f>+IF(OR($Q217=Parametres!$G$2,$Q217=Parametres!$G$3),I217,C217)</f>
        <v>-270764.46999999997</v>
      </c>
      <c r="O217" s="655">
        <f>+IF(OR($Q217=Parametres!$G$2,$Q217=Parametres!$G$3),J217,D217)</f>
        <v>-18177.72</v>
      </c>
      <c r="P217" s="655">
        <f>+IF(OR($Q217=Parametres!$G$2,$Q217=Parametres!$G$3),K217,E217)</f>
        <v>-288942.19</v>
      </c>
      <c r="Q217" s="654" t="str">
        <f t="shared" ref="Q217:S217" si="220">+F217</f>
        <v>5-Ventes</v>
      </c>
      <c r="R217" s="653" t="str">
        <f t="shared" si="220"/>
        <v>4782</v>
      </c>
      <c r="S217" s="654">
        <f t="shared" si="220"/>
        <v>0</v>
      </c>
      <c r="T217" s="656" t="str">
        <f>+VLOOKUP($L217,Data_Validation!$A:$D,1,0)</f>
        <v>4451</v>
      </c>
      <c r="U217" s="656" t="str">
        <f>+VLOOKUP($L217,Data_Validation!$A:$D,3,0)</f>
        <v>Pièces</v>
      </c>
      <c r="V217" s="656" t="str">
        <f>+VLOOKUP($L217,Data_Validation!$A:$D,4,0)</f>
        <v>Huiles et Graisse</v>
      </c>
      <c r="W217" s="656" t="str">
        <f>+VLOOKUP($L217,Data_Validation!$A:$E,5,0)</f>
        <v>$</v>
      </c>
      <c r="X217" s="656" t="str">
        <f>+VLOOKUP($L217,Data_Validation!$A:$F,6,0)</f>
        <v>Oui</v>
      </c>
    </row>
    <row r="218" spans="1:24" ht="15" customHeight="1">
      <c r="A218" s="1052" t="s">
        <v>1036</v>
      </c>
      <c r="B218" s="1052" t="s">
        <v>1037</v>
      </c>
      <c r="C218" s="1054">
        <v>-20976.89</v>
      </c>
      <c r="D218" s="1054">
        <v>-3116.04</v>
      </c>
      <c r="E218" s="1054">
        <v>-24092.93</v>
      </c>
      <c r="F218" s="1052" t="s">
        <v>963</v>
      </c>
      <c r="G218" s="1052" t="s">
        <v>1037</v>
      </c>
      <c r="H218" s="651"/>
      <c r="I218" s="670"/>
      <c r="J218" s="651"/>
      <c r="K218" s="670"/>
      <c r="L218" s="653" t="str">
        <f t="shared" si="197"/>
        <v>4491</v>
      </c>
      <c r="M218" s="654" t="str">
        <f t="shared" si="0"/>
        <v>REPARATION SOUS-LOC. - GENERAL</v>
      </c>
      <c r="N218" s="655">
        <f>+IF(OR($Q218=Parametres!$G$2,$Q218=Parametres!$G$3),I218,C218)</f>
        <v>-20976.89</v>
      </c>
      <c r="O218" s="655">
        <f>+IF(OR($Q218=Parametres!$G$2,$Q218=Parametres!$G$3),J218,D218)</f>
        <v>-3116.04</v>
      </c>
      <c r="P218" s="655">
        <f>+IF(OR($Q218=Parametres!$G$2,$Q218=Parametres!$G$3),K218,E218)</f>
        <v>-24092.93</v>
      </c>
      <c r="Q218" s="654" t="str">
        <f t="shared" ref="Q218:S218" si="221">+F218</f>
        <v>5-Ventes</v>
      </c>
      <c r="R218" s="653" t="str">
        <f t="shared" si="221"/>
        <v>4491</v>
      </c>
      <c r="S218" s="654">
        <f t="shared" si="221"/>
        <v>0</v>
      </c>
      <c r="T218" s="656" t="str">
        <f>+VLOOKUP($L218,Data_Validation!$A:$D,1,0)</f>
        <v>4491</v>
      </c>
      <c r="U218" s="656" t="str">
        <f>+VLOOKUP($L218,Data_Validation!$A:$D,3,0)</f>
        <v>Service</v>
      </c>
      <c r="V218" s="656" t="str">
        <f>+VLOOKUP($L218,Data_Validation!$A:$D,4,0)</f>
        <v>Sous-traitement</v>
      </c>
      <c r="W218" s="656" t="str">
        <f>+VLOOKUP($L218,Data_Validation!$A:$E,5,0)</f>
        <v>$</v>
      </c>
      <c r="X218" s="656" t="str">
        <f>+VLOOKUP($L218,Data_Validation!$A:$F,6,0)</f>
        <v>Oui</v>
      </c>
    </row>
    <row r="219" spans="1:24" ht="15.75" customHeight="1">
      <c r="A219" s="1052" t="s">
        <v>1039</v>
      </c>
      <c r="B219" s="1052" t="s">
        <v>1040</v>
      </c>
      <c r="C219" s="1054">
        <v>-16378.54</v>
      </c>
      <c r="D219" s="1054">
        <v>-5120.8999999999996</v>
      </c>
      <c r="E219" s="1054">
        <v>-21499.439999999999</v>
      </c>
      <c r="F219" s="1052" t="s">
        <v>963</v>
      </c>
      <c r="G219" s="1052" t="s">
        <v>1040</v>
      </c>
      <c r="H219" s="1031"/>
      <c r="I219" s="1032"/>
      <c r="J219" s="1032"/>
      <c r="K219" s="1032"/>
      <c r="L219" s="653" t="str">
        <f t="shared" si="197"/>
        <v>4493</v>
      </c>
      <c r="M219" s="654" t="str">
        <f t="shared" si="0"/>
        <v>VTE - SOUS-TRAITANCE GARANTIE</v>
      </c>
      <c r="N219" s="655">
        <f>+IF(OR($Q219=Parametres!$G$2,$Q219=Parametres!$G$3),I219,C219)</f>
        <v>-16378.54</v>
      </c>
      <c r="O219" s="655">
        <f>+IF(OR($Q219=Parametres!$G$2,$Q219=Parametres!$G$3),J219,D219)</f>
        <v>-5120.8999999999996</v>
      </c>
      <c r="P219" s="655">
        <f>+IF(OR($Q219=Parametres!$G$2,$Q219=Parametres!$G$3),K219,E219)</f>
        <v>-21499.439999999999</v>
      </c>
      <c r="Q219" s="654" t="str">
        <f t="shared" ref="Q219:S219" si="222">+F219</f>
        <v>5-Ventes</v>
      </c>
      <c r="R219" s="653" t="str">
        <f t="shared" si="222"/>
        <v>4493</v>
      </c>
      <c r="S219" s="654">
        <f t="shared" si="222"/>
        <v>0</v>
      </c>
      <c r="T219" s="656" t="str">
        <f>+VLOOKUP($L219,Data_Validation!$A:$D,1,0)</f>
        <v>4493</v>
      </c>
      <c r="U219" s="656" t="str">
        <f>+VLOOKUP($L219,Data_Validation!$A:$D,3,0)</f>
        <v>Service</v>
      </c>
      <c r="V219" s="656" t="str">
        <f>+VLOOKUP($L219,Data_Validation!$A:$D,4,0)</f>
        <v>Sous-traitement</v>
      </c>
      <c r="W219" s="656" t="str">
        <f>+VLOOKUP($L219,Data_Validation!$A:$E,5,0)</f>
        <v>$</v>
      </c>
      <c r="X219" s="656" t="str">
        <f>+VLOOKUP($L219,Data_Validation!$A:$F,6,0)</f>
        <v>Oui</v>
      </c>
    </row>
    <row r="220" spans="1:24" ht="15" customHeight="1">
      <c r="A220" s="1052" t="s">
        <v>1043</v>
      </c>
      <c r="B220" s="1052" t="s">
        <v>1044</v>
      </c>
      <c r="C220" s="1054">
        <v>-224279.54</v>
      </c>
      <c r="D220" s="1054">
        <v>-12324.22</v>
      </c>
      <c r="E220" s="1054">
        <v>-236603.76</v>
      </c>
      <c r="F220" s="1052" t="s">
        <v>963</v>
      </c>
      <c r="G220" s="1052" t="s">
        <v>1044</v>
      </c>
      <c r="H220" s="651"/>
      <c r="I220" s="651"/>
      <c r="J220" s="651"/>
      <c r="K220" s="651"/>
      <c r="L220" s="653" t="str">
        <f t="shared" si="197"/>
        <v>4495</v>
      </c>
      <c r="M220" s="654" t="str">
        <f t="shared" si="0"/>
        <v>VTE - S-TRAITANCE MEC.INTERNE VW</v>
      </c>
      <c r="N220" s="655">
        <f>+IF(OR($Q220=Parametres!$G$2,$Q220=Parametres!$G$3),I220,C220)</f>
        <v>-224279.54</v>
      </c>
      <c r="O220" s="655">
        <f>+IF(OR($Q220=Parametres!$G$2,$Q220=Parametres!$G$3),J220,D220)</f>
        <v>-12324.22</v>
      </c>
      <c r="P220" s="655">
        <f>+IF(OR($Q220=Parametres!$G$2,$Q220=Parametres!$G$3),K220,E220)</f>
        <v>-236603.76</v>
      </c>
      <c r="Q220" s="654" t="str">
        <f t="shared" ref="Q220:S220" si="223">+F220</f>
        <v>5-Ventes</v>
      </c>
      <c r="R220" s="653" t="str">
        <f t="shared" si="223"/>
        <v>4495</v>
      </c>
      <c r="S220" s="654">
        <f t="shared" si="223"/>
        <v>0</v>
      </c>
      <c r="T220" s="656" t="str">
        <f>+VLOOKUP($L220,Data_Validation!$A:$D,1,0)</f>
        <v>4495</v>
      </c>
      <c r="U220" s="656" t="str">
        <f>+VLOOKUP($L220,Data_Validation!$A:$D,3,0)</f>
        <v>Service</v>
      </c>
      <c r="V220" s="656" t="str">
        <f>+VLOOKUP($L220,Data_Validation!$A:$D,4,0)</f>
        <v>Sous-traitement</v>
      </c>
      <c r="W220" s="656" t="str">
        <f>+VLOOKUP($L220,Data_Validation!$A:$E,5,0)</f>
        <v>$</v>
      </c>
      <c r="X220" s="656" t="str">
        <f>+VLOOKUP($L220,Data_Validation!$A:$F,6,0)</f>
        <v>Oui</v>
      </c>
    </row>
    <row r="221" spans="1:24" ht="15" customHeight="1">
      <c r="A221" s="1052" t="s">
        <v>1047</v>
      </c>
      <c r="B221" s="1052" t="s">
        <v>3334</v>
      </c>
      <c r="C221" s="1054">
        <v>-5600</v>
      </c>
      <c r="D221" s="1054">
        <v>0</v>
      </c>
      <c r="E221" s="1054">
        <v>-5600</v>
      </c>
      <c r="F221" s="1052" t="s">
        <v>963</v>
      </c>
      <c r="G221" s="1052" t="s">
        <v>3334</v>
      </c>
      <c r="H221" s="1031"/>
      <c r="I221" s="1032"/>
      <c r="J221" s="1032"/>
      <c r="K221" s="1032"/>
      <c r="L221" s="653" t="str">
        <f t="shared" si="197"/>
        <v>4503</v>
      </c>
      <c r="M221" s="654" t="str">
        <f t="shared" si="0"/>
        <v>VTE - M.O. CARROSSERIE GARANTIE</v>
      </c>
      <c r="N221" s="655">
        <f>+IF(OR($Q221=Parametres!$G$2,$Q221=Parametres!$G$3),I221,C221)</f>
        <v>-5600</v>
      </c>
      <c r="O221" s="655">
        <f>+IF(OR($Q221=Parametres!$G$2,$Q221=Parametres!$G$3),J221,D221)</f>
        <v>0</v>
      </c>
      <c r="P221" s="655">
        <f>+IF(OR($Q221=Parametres!$G$2,$Q221=Parametres!$G$3),K221,E221)</f>
        <v>-5600</v>
      </c>
      <c r="Q221" s="654" t="str">
        <f t="shared" ref="Q221:S221" si="224">+F221</f>
        <v>5-Ventes</v>
      </c>
      <c r="R221" s="653" t="str">
        <f t="shared" si="224"/>
        <v>4503</v>
      </c>
      <c r="S221" s="654">
        <f t="shared" si="224"/>
        <v>0</v>
      </c>
      <c r="T221" s="656" t="str">
        <f>+VLOOKUP($L221,Data_Validation!$A:$D,1,0)</f>
        <v>4503</v>
      </c>
      <c r="U221" s="656" t="str">
        <f>+VLOOKUP($L221,Data_Validation!$A:$D,3,0)</f>
        <v>Carrosserie</v>
      </c>
      <c r="V221" s="656" t="str">
        <f>+VLOOKUP($L221,Data_Validation!$A:$D,4,0)</f>
        <v>M/O Sous-traitement</v>
      </c>
      <c r="W221" s="656" t="str">
        <f>+VLOOKUP($L221,Data_Validation!$A:$E,5,0)</f>
        <v>$</v>
      </c>
      <c r="X221" s="656" t="str">
        <f>+VLOOKUP($L221,Data_Validation!$A:$F,6,0)</f>
        <v>Oui</v>
      </c>
    </row>
    <row r="222" spans="1:24" ht="15" customHeight="1">
      <c r="A222" s="1052" t="s">
        <v>1050</v>
      </c>
      <c r="B222" s="1052" t="s">
        <v>1051</v>
      </c>
      <c r="C222" s="1054">
        <v>-402359.43</v>
      </c>
      <c r="D222" s="1054">
        <v>-21309.73</v>
      </c>
      <c r="E222" s="1054">
        <v>-423669.16</v>
      </c>
      <c r="F222" s="1052" t="s">
        <v>963</v>
      </c>
      <c r="G222" s="1052" t="s">
        <v>1051</v>
      </c>
      <c r="H222" s="651"/>
      <c r="I222" s="670"/>
      <c r="J222" s="651"/>
      <c r="K222" s="670"/>
      <c r="L222" s="653" t="str">
        <f t="shared" si="197"/>
        <v>4591</v>
      </c>
      <c r="M222" s="654" t="str">
        <f t="shared" si="0"/>
        <v>VTE - S-TRAIT. CARR.</v>
      </c>
      <c r="N222" s="655">
        <f>+IF(OR($Q222=Parametres!$G$2,$Q222=Parametres!$G$3),I222,C222)</f>
        <v>-402359.43</v>
      </c>
      <c r="O222" s="655">
        <f>+IF(OR($Q222=Parametres!$G$2,$Q222=Parametres!$G$3),J222,D222)</f>
        <v>-21309.73</v>
      </c>
      <c r="P222" s="655">
        <f>+IF(OR($Q222=Parametres!$G$2,$Q222=Parametres!$G$3),K222,E222)</f>
        <v>-423669.16</v>
      </c>
      <c r="Q222" s="654" t="str">
        <f t="shared" ref="Q222:S222" si="225">+F222</f>
        <v>5-Ventes</v>
      </c>
      <c r="R222" s="653" t="str">
        <f t="shared" si="225"/>
        <v>4591</v>
      </c>
      <c r="S222" s="654">
        <f t="shared" si="225"/>
        <v>0</v>
      </c>
      <c r="T222" s="656" t="str">
        <f>+VLOOKUP($L222,Data_Validation!$A:$D,1,0)</f>
        <v>4591</v>
      </c>
      <c r="U222" s="656" t="str">
        <f>+VLOOKUP($L222,Data_Validation!$A:$D,3,0)</f>
        <v>Carrosserie</v>
      </c>
      <c r="V222" s="656" t="str">
        <f>+VLOOKUP($L222,Data_Validation!$A:$D,4,0)</f>
        <v>M/O Sous-traitement</v>
      </c>
      <c r="W222" s="656" t="str">
        <f>+VLOOKUP($L222,Data_Validation!$A:$E,5,0)</f>
        <v>$</v>
      </c>
      <c r="X222" s="656" t="str">
        <f>+VLOOKUP($L222,Data_Validation!$A:$F,6,0)</f>
        <v>Oui</v>
      </c>
    </row>
    <row r="223" spans="1:24" ht="15" customHeight="1">
      <c r="A223" s="1052" t="s">
        <v>1054</v>
      </c>
      <c r="B223" s="1052" t="s">
        <v>1055</v>
      </c>
      <c r="C223" s="1054">
        <v>-632376.15</v>
      </c>
      <c r="D223" s="1054">
        <v>-45682.63</v>
      </c>
      <c r="E223" s="1054">
        <v>-678058.78</v>
      </c>
      <c r="F223" s="1052" t="s">
        <v>963</v>
      </c>
      <c r="G223" s="1052" t="s">
        <v>1055</v>
      </c>
      <c r="H223" s="1031"/>
      <c r="I223" s="1032"/>
      <c r="J223" s="1032"/>
      <c r="K223" s="1032"/>
      <c r="L223" s="653" t="str">
        <f t="shared" si="197"/>
        <v>4593</v>
      </c>
      <c r="M223" s="654" t="str">
        <f t="shared" si="0"/>
        <v>VTE - SOUS-TRAITANCE GARANTIE CARR.</v>
      </c>
      <c r="N223" s="655">
        <f>+IF(OR($Q223=Parametres!$G$2,$Q223=Parametres!$G$3),I223,C223)</f>
        <v>-632376.15</v>
      </c>
      <c r="O223" s="655">
        <f>+IF(OR($Q223=Parametres!$G$2,$Q223=Parametres!$G$3),J223,D223)</f>
        <v>-45682.63</v>
      </c>
      <c r="P223" s="655">
        <f>+IF(OR($Q223=Parametres!$G$2,$Q223=Parametres!$G$3),K223,E223)</f>
        <v>-678058.78</v>
      </c>
      <c r="Q223" s="654" t="str">
        <f t="shared" ref="Q223:S223" si="226">+F223</f>
        <v>5-Ventes</v>
      </c>
      <c r="R223" s="653" t="str">
        <f t="shared" si="226"/>
        <v>4593</v>
      </c>
      <c r="S223" s="654">
        <f t="shared" si="226"/>
        <v>0</v>
      </c>
      <c r="T223" s="656" t="str">
        <f>+VLOOKUP($L223,Data_Validation!$A:$D,1,0)</f>
        <v>4593</v>
      </c>
      <c r="U223" s="656" t="str">
        <f>+VLOOKUP($L223,Data_Validation!$A:$D,3,0)</f>
        <v>Carrosserie</v>
      </c>
      <c r="V223" s="656" t="str">
        <f>+VLOOKUP($L223,Data_Validation!$A:$D,4,0)</f>
        <v>M/O Sous-traitement</v>
      </c>
      <c r="W223" s="656" t="str">
        <f>+VLOOKUP($L223,Data_Validation!$A:$E,5,0)</f>
        <v>$</v>
      </c>
      <c r="X223" s="656" t="str">
        <f>+VLOOKUP($L223,Data_Validation!$A:$F,6,0)</f>
        <v>Oui</v>
      </c>
    </row>
    <row r="224" spans="1:24" ht="15" customHeight="1">
      <c r="A224" s="1052" t="s">
        <v>1058</v>
      </c>
      <c r="B224" s="1052" t="s">
        <v>1059</v>
      </c>
      <c r="C224" s="1054">
        <v>-62554.69</v>
      </c>
      <c r="D224" s="1054">
        <v>-4230.28</v>
      </c>
      <c r="E224" s="1054">
        <v>-66784.97</v>
      </c>
      <c r="F224" s="1052" t="s">
        <v>963</v>
      </c>
      <c r="G224" s="1052" t="s">
        <v>1059</v>
      </c>
      <c r="H224" s="651"/>
      <c r="I224" s="670"/>
      <c r="J224" s="651"/>
      <c r="K224" s="670"/>
      <c r="L224" s="653" t="str">
        <f t="shared" si="197"/>
        <v>4595</v>
      </c>
      <c r="M224" s="654" t="str">
        <f t="shared" si="0"/>
        <v>VTE - SOUS-TRAITANCE INTERNE CARR.</v>
      </c>
      <c r="N224" s="655">
        <f>+IF(OR($Q224=Parametres!$G$2,$Q224=Parametres!$G$3),I224,C224)</f>
        <v>-62554.69</v>
      </c>
      <c r="O224" s="655">
        <f>+IF(OR($Q224=Parametres!$G$2,$Q224=Parametres!$G$3),J224,D224)</f>
        <v>-4230.28</v>
      </c>
      <c r="P224" s="655">
        <f>+IF(OR($Q224=Parametres!$G$2,$Q224=Parametres!$G$3),K224,E224)</f>
        <v>-66784.97</v>
      </c>
      <c r="Q224" s="654" t="str">
        <f t="shared" ref="Q224:S224" si="227">+F224</f>
        <v>5-Ventes</v>
      </c>
      <c r="R224" s="653" t="str">
        <f t="shared" si="227"/>
        <v>4595</v>
      </c>
      <c r="S224" s="654">
        <f t="shared" si="227"/>
        <v>0</v>
      </c>
      <c r="T224" s="656" t="str">
        <f>+VLOOKUP($L224,Data_Validation!$A:$D,1,0)</f>
        <v>4595</v>
      </c>
      <c r="U224" s="656" t="str">
        <f>+VLOOKUP($L224,Data_Validation!$A:$D,3,0)</f>
        <v>Carrosserie</v>
      </c>
      <c r="V224" s="656" t="str">
        <f>+VLOOKUP($L224,Data_Validation!$A:$D,4,0)</f>
        <v>M/O Sous-traitement</v>
      </c>
      <c r="W224" s="656" t="str">
        <f>+VLOOKUP($L224,Data_Validation!$A:$E,5,0)</f>
        <v>$</v>
      </c>
      <c r="X224" s="656" t="str">
        <f>+VLOOKUP($L224,Data_Validation!$A:$F,6,0)</f>
        <v>Oui</v>
      </c>
    </row>
    <row r="225" spans="1:24" ht="15.75" customHeight="1">
      <c r="A225" s="1052" t="s">
        <v>3674</v>
      </c>
      <c r="B225" s="1052" t="s">
        <v>1063</v>
      </c>
      <c r="C225" s="1054">
        <v>-848710.64</v>
      </c>
      <c r="D225" s="1054">
        <v>-81455.14</v>
      </c>
      <c r="E225" s="1054">
        <v>-930165.78</v>
      </c>
      <c r="F225" s="1052" t="s">
        <v>963</v>
      </c>
      <c r="G225" s="1052" t="s">
        <v>1063</v>
      </c>
      <c r="H225" s="1031"/>
      <c r="I225" s="1032"/>
      <c r="J225" s="1032"/>
      <c r="K225" s="1032"/>
      <c r="L225" s="653" t="str">
        <f t="shared" si="197"/>
        <v>4701</v>
      </c>
      <c r="M225" s="654" t="str">
        <f t="shared" si="0"/>
        <v>VW P&amp;A - BR - CLIENT - MCI</v>
      </c>
      <c r="N225" s="655">
        <f>+IF(OR($Q225=Parametres!$G$2,$Q225=Parametres!$G$3),I225,C225)</f>
        <v>-848710.64</v>
      </c>
      <c r="O225" s="655">
        <f>+IF(OR($Q225=Parametres!$G$2,$Q225=Parametres!$G$3),J225,D225)</f>
        <v>-81455.14</v>
      </c>
      <c r="P225" s="655">
        <f>+IF(OR($Q225=Parametres!$G$2,$Q225=Parametres!$G$3),K225,E225)</f>
        <v>-930165.78</v>
      </c>
      <c r="Q225" s="654" t="str">
        <f t="shared" ref="Q225:S225" si="228">+F225</f>
        <v>5-Ventes</v>
      </c>
      <c r="R225" s="653" t="str">
        <f t="shared" si="228"/>
        <v>4701</v>
      </c>
      <c r="S225" s="654">
        <f t="shared" si="228"/>
        <v>0</v>
      </c>
      <c r="T225" s="656" t="str">
        <f>+VLOOKUP($L225,Data_Validation!$A:$D,1,0)</f>
        <v>4701</v>
      </c>
      <c r="U225" s="656" t="str">
        <f>+VLOOKUP($L225,Data_Validation!$A:$D,3,0)</f>
        <v>Pièces</v>
      </c>
      <c r="V225" s="656" t="str">
        <f>+VLOOKUP($L225,Data_Validation!$A:$D,4,0)</f>
        <v>Pièces Ro Clients</v>
      </c>
      <c r="W225" s="656" t="str">
        <f>+VLOOKUP($L225,Data_Validation!$A:$E,5,0)</f>
        <v>$</v>
      </c>
      <c r="X225" s="656" t="str">
        <f>+VLOOKUP($L225,Data_Validation!$A:$F,6,0)</f>
        <v>Oui</v>
      </c>
    </row>
    <row r="226" spans="1:24" ht="15" customHeight="1">
      <c r="A226" s="1052" t="s">
        <v>1066</v>
      </c>
      <c r="B226" s="1052" t="s">
        <v>1067</v>
      </c>
      <c r="C226" s="1054">
        <v>-7825.75</v>
      </c>
      <c r="D226" s="1054">
        <v>-322.64999999999998</v>
      </c>
      <c r="E226" s="1054">
        <v>-8148.4</v>
      </c>
      <c r="F226" s="1052" t="s">
        <v>963</v>
      </c>
      <c r="G226" s="1052" t="s">
        <v>1067</v>
      </c>
      <c r="H226" s="651"/>
      <c r="I226" s="670"/>
      <c r="J226" s="651"/>
      <c r="K226" s="670"/>
      <c r="L226" s="653" t="str">
        <f t="shared" si="197"/>
        <v>4702</v>
      </c>
      <c r="M226" s="654" t="str">
        <f t="shared" si="0"/>
        <v>VTE - SHOP SUPPLY VW</v>
      </c>
      <c r="N226" s="655">
        <f>+IF(OR($Q226=Parametres!$G$2,$Q226=Parametres!$G$3),I226,C226)</f>
        <v>-7825.75</v>
      </c>
      <c r="O226" s="655">
        <f>+IF(OR($Q226=Parametres!$G$2,$Q226=Parametres!$G$3),J226,D226)</f>
        <v>-322.64999999999998</v>
      </c>
      <c r="P226" s="655">
        <f>+IF(OR($Q226=Parametres!$G$2,$Q226=Parametres!$G$3),K226,E226)</f>
        <v>-8148.4</v>
      </c>
      <c r="Q226" s="654" t="str">
        <f t="shared" ref="Q226:S226" si="229">+F226</f>
        <v>5-Ventes</v>
      </c>
      <c r="R226" s="653" t="str">
        <f t="shared" si="229"/>
        <v>4702</v>
      </c>
      <c r="S226" s="654">
        <f t="shared" si="229"/>
        <v>0</v>
      </c>
      <c r="T226" s="656" t="str">
        <f>+VLOOKUP($L226,Data_Validation!$A:$D,1,0)</f>
        <v>4702</v>
      </c>
      <c r="U226" s="656" t="str">
        <f>+VLOOKUP($L226,Data_Validation!$A:$D,3,0)</f>
        <v>Service</v>
      </c>
      <c r="V226" s="656" t="str">
        <f>+VLOOKUP($L226,Data_Validation!$A:$D,4,0)</f>
        <v>M/O Client</v>
      </c>
      <c r="W226" s="656" t="str">
        <f>+VLOOKUP($L226,Data_Validation!$A:$E,5,0)</f>
        <v>$</v>
      </c>
      <c r="X226" s="656" t="str">
        <f>+VLOOKUP($L226,Data_Validation!$A:$F,6,0)</f>
        <v>Oui</v>
      </c>
    </row>
    <row r="227" spans="1:24" ht="15" customHeight="1">
      <c r="A227" s="1052" t="s">
        <v>3675</v>
      </c>
      <c r="B227" s="1052" t="s">
        <v>1069</v>
      </c>
      <c r="C227" s="1054">
        <v>-653979.53</v>
      </c>
      <c r="D227" s="1054">
        <v>-53458.95</v>
      </c>
      <c r="E227" s="1054">
        <v>-707438.48</v>
      </c>
      <c r="F227" s="1052" t="s">
        <v>963</v>
      </c>
      <c r="G227" s="1052" t="s">
        <v>1069</v>
      </c>
      <c r="H227" s="1031"/>
      <c r="I227" s="1032"/>
      <c r="J227" s="1032"/>
      <c r="K227" s="1032"/>
      <c r="L227" s="653" t="str">
        <f t="shared" si="197"/>
        <v>4703</v>
      </c>
      <c r="M227" s="654" t="str">
        <f t="shared" si="0"/>
        <v>VW P&amp;A - BR - GARANTIE - MCI</v>
      </c>
      <c r="N227" s="655">
        <f>+IF(OR($Q227=Parametres!$G$2,$Q227=Parametres!$G$3),I227,C227)</f>
        <v>-653979.53</v>
      </c>
      <c r="O227" s="655">
        <f>+IF(OR($Q227=Parametres!$G$2,$Q227=Parametres!$G$3),J227,D227)</f>
        <v>-53458.95</v>
      </c>
      <c r="P227" s="655">
        <f>+IF(OR($Q227=Parametres!$G$2,$Q227=Parametres!$G$3),K227,E227)</f>
        <v>-707438.48</v>
      </c>
      <c r="Q227" s="654" t="str">
        <f t="shared" ref="Q227:S227" si="230">+F227</f>
        <v>5-Ventes</v>
      </c>
      <c r="R227" s="653" t="str">
        <f t="shared" si="230"/>
        <v>4703</v>
      </c>
      <c r="S227" s="654">
        <f t="shared" si="230"/>
        <v>0</v>
      </c>
      <c r="T227" s="656" t="str">
        <f>+VLOOKUP($L227,Data_Validation!$A:$D,1,0)</f>
        <v>4703</v>
      </c>
      <c r="U227" s="656" t="str">
        <f>+VLOOKUP($L227,Data_Validation!$A:$D,3,0)</f>
        <v>Pièces</v>
      </c>
      <c r="V227" s="656" t="str">
        <f>+VLOOKUP($L227,Data_Validation!$A:$D,4,0)</f>
        <v>P/A Garantie</v>
      </c>
      <c r="W227" s="656" t="str">
        <f>+VLOOKUP($L227,Data_Validation!$A:$E,5,0)</f>
        <v>$</v>
      </c>
      <c r="X227" s="656" t="str">
        <f>+VLOOKUP($L227,Data_Validation!$A:$F,6,0)</f>
        <v>Oui</v>
      </c>
    </row>
    <row r="228" spans="1:24" ht="15" customHeight="1">
      <c r="A228" s="1052" t="s">
        <v>3676</v>
      </c>
      <c r="B228" s="1052" t="s">
        <v>1073</v>
      </c>
      <c r="C228" s="1054">
        <v>-485869.45</v>
      </c>
      <c r="D228" s="1054">
        <v>-35063.86</v>
      </c>
      <c r="E228" s="1054">
        <v>-520933.31</v>
      </c>
      <c r="F228" s="1052" t="s">
        <v>963</v>
      </c>
      <c r="G228" s="1052" t="s">
        <v>1073</v>
      </c>
      <c r="H228" s="651"/>
      <c r="I228" s="670"/>
      <c r="J228" s="651"/>
      <c r="K228" s="670"/>
      <c r="L228" s="653" t="str">
        <f t="shared" si="197"/>
        <v>4705</v>
      </c>
      <c r="M228" s="654" t="str">
        <f t="shared" si="0"/>
        <v>VW P&amp;A - BR - INTERNE - MCI</v>
      </c>
      <c r="N228" s="655">
        <f>+IF(OR($Q228=Parametres!$G$2,$Q228=Parametres!$G$3),I228,C228)</f>
        <v>-485869.45</v>
      </c>
      <c r="O228" s="655">
        <f>+IF(OR($Q228=Parametres!$G$2,$Q228=Parametres!$G$3),J228,D228)</f>
        <v>-35063.86</v>
      </c>
      <c r="P228" s="655">
        <f>+IF(OR($Q228=Parametres!$G$2,$Q228=Parametres!$G$3),K228,E228)</f>
        <v>-520933.31</v>
      </c>
      <c r="Q228" s="654" t="str">
        <f t="shared" ref="Q228:S228" si="231">+F228</f>
        <v>5-Ventes</v>
      </c>
      <c r="R228" s="653" t="str">
        <f t="shared" si="231"/>
        <v>4705</v>
      </c>
      <c r="S228" s="654">
        <f t="shared" si="231"/>
        <v>0</v>
      </c>
      <c r="T228" s="656" t="str">
        <f>+VLOOKUP($L228,Data_Validation!$A:$D,1,0)</f>
        <v>4705</v>
      </c>
      <c r="U228" s="656" t="str">
        <f>+VLOOKUP($L228,Data_Validation!$A:$D,3,0)</f>
        <v>Pièces</v>
      </c>
      <c r="V228" s="656" t="str">
        <f>+VLOOKUP($L228,Data_Validation!$A:$D,4,0)</f>
        <v>Ventes Internes</v>
      </c>
      <c r="W228" s="656" t="str">
        <f>+VLOOKUP($L228,Data_Validation!$A:$E,5,0)</f>
        <v>$</v>
      </c>
      <c r="X228" s="656" t="str">
        <f>+VLOOKUP($L228,Data_Validation!$A:$F,6,0)</f>
        <v>Oui</v>
      </c>
    </row>
    <row r="229" spans="1:24" ht="15.75" customHeight="1">
      <c r="A229" s="1052" t="s">
        <v>3677</v>
      </c>
      <c r="B229" s="1052" t="s">
        <v>1076</v>
      </c>
      <c r="C229" s="1054">
        <v>-7495.48</v>
      </c>
      <c r="D229" s="1054">
        <v>-99.9</v>
      </c>
      <c r="E229" s="1054">
        <v>-7595.38</v>
      </c>
      <c r="F229" s="1052" t="s">
        <v>963</v>
      </c>
      <c r="G229" s="1052" t="s">
        <v>1076</v>
      </c>
      <c r="H229" s="1031"/>
      <c r="I229" s="1032"/>
      <c r="J229" s="1032"/>
      <c r="K229" s="1032"/>
      <c r="L229" s="653" t="str">
        <f t="shared" si="197"/>
        <v>4706</v>
      </c>
      <c r="M229" s="654" t="str">
        <f t="shared" si="0"/>
        <v>VW P&amp;A - BR - CLIENT - VEB</v>
      </c>
      <c r="N229" s="655">
        <f>+IF(OR($Q229=Parametres!$G$2,$Q229=Parametres!$G$3),I229,C229)</f>
        <v>-7495.48</v>
      </c>
      <c r="O229" s="655">
        <f>+IF(OR($Q229=Parametres!$G$2,$Q229=Parametres!$G$3),J229,D229)</f>
        <v>-99.9</v>
      </c>
      <c r="P229" s="655">
        <f>+IF(OR($Q229=Parametres!$G$2,$Q229=Parametres!$G$3),K229,E229)</f>
        <v>-7595.38</v>
      </c>
      <c r="Q229" s="654" t="str">
        <f t="shared" ref="Q229:S229" si="232">+F229</f>
        <v>5-Ventes</v>
      </c>
      <c r="R229" s="653" t="str">
        <f t="shared" si="232"/>
        <v>4706</v>
      </c>
      <c r="S229" s="654">
        <f t="shared" si="232"/>
        <v>0</v>
      </c>
      <c r="T229" s="656" t="str">
        <f>+VLOOKUP($L229,Data_Validation!$A:$D,1,0)</f>
        <v>4706</v>
      </c>
      <c r="U229" s="656" t="str">
        <f>+VLOOKUP($L229,Data_Validation!$A:$D,3,0)</f>
        <v>Service</v>
      </c>
      <c r="V229" s="656" t="str">
        <f>+VLOOKUP($L229,Data_Validation!$A:$D,4,0)</f>
        <v>M/O Interne</v>
      </c>
      <c r="W229" s="656" t="str">
        <f>+VLOOKUP($L229,Data_Validation!$A:$E,5,0)</f>
        <v>$</v>
      </c>
      <c r="X229" s="656" t="str">
        <f>+VLOOKUP($L229,Data_Validation!$A:$F,6,0)</f>
        <v>Oui</v>
      </c>
    </row>
    <row r="230" spans="1:24" ht="15" customHeight="1">
      <c r="A230" s="1052" t="s">
        <v>1077</v>
      </c>
      <c r="B230" s="1052" t="s">
        <v>1142</v>
      </c>
      <c r="C230" s="1054">
        <v>-28025.83</v>
      </c>
      <c r="D230" s="1054">
        <v>-2161.19</v>
      </c>
      <c r="E230" s="1054">
        <v>-30187.02</v>
      </c>
      <c r="F230" s="1052" t="s">
        <v>963</v>
      </c>
      <c r="G230" s="1052" t="s">
        <v>1078</v>
      </c>
      <c r="H230" s="1031"/>
      <c r="I230" s="1033"/>
      <c r="J230" s="1031"/>
      <c r="K230" s="1033"/>
      <c r="L230" s="653" t="str">
        <f t="shared" si="197"/>
        <v>4711</v>
      </c>
      <c r="M230" s="654" t="str">
        <f t="shared" si="0"/>
        <v>VTE - AUTRE PIECE/ACC/CARR B.R. CLIENT</v>
      </c>
      <c r="N230" s="655">
        <f>+IF(OR($Q230=Parametres!$G$2,$Q230=Parametres!$G$3),I230,C230)</f>
        <v>-28025.83</v>
      </c>
      <c r="O230" s="655">
        <f>+IF(OR($Q230=Parametres!$G$2,$Q230=Parametres!$G$3),J230,D230)</f>
        <v>-2161.19</v>
      </c>
      <c r="P230" s="655">
        <f>+IF(OR($Q230=Parametres!$G$2,$Q230=Parametres!$G$3),K230,E230)</f>
        <v>-30187.02</v>
      </c>
      <c r="Q230" s="654" t="str">
        <f t="shared" ref="Q230:S230" si="233">+F230</f>
        <v>5-Ventes</v>
      </c>
      <c r="R230" s="653" t="str">
        <f t="shared" si="233"/>
        <v>84711</v>
      </c>
      <c r="S230" s="654">
        <f t="shared" si="233"/>
        <v>0</v>
      </c>
      <c r="T230" s="656" t="str">
        <f>+VLOOKUP($L230,Data_Validation!$A:$D,1,0)</f>
        <v>4711</v>
      </c>
      <c r="U230" s="656" t="str">
        <f>+VLOOKUP($L230,Data_Validation!$A:$D,3,0)</f>
        <v>Pièces</v>
      </c>
      <c r="V230" s="656" t="str">
        <f>+VLOOKUP($L230,Data_Validation!$A:$D,4,0)</f>
        <v>Pièces Ro Clients</v>
      </c>
      <c r="W230" s="656" t="str">
        <f>+VLOOKUP($L230,Data_Validation!$A:$E,5,0)</f>
        <v>$</v>
      </c>
      <c r="X230" s="656" t="str">
        <f>+VLOOKUP($L230,Data_Validation!$A:$F,6,0)</f>
        <v>Oui</v>
      </c>
    </row>
    <row r="231" spans="1:24" ht="15" customHeight="1">
      <c r="A231" s="1052" t="s">
        <v>1081</v>
      </c>
      <c r="B231" s="1052" t="s">
        <v>3383</v>
      </c>
      <c r="C231" s="1054">
        <v>-247.19</v>
      </c>
      <c r="D231" s="1054">
        <v>0</v>
      </c>
      <c r="E231" s="1054">
        <v>-247.19</v>
      </c>
      <c r="F231" s="1052" t="s">
        <v>963</v>
      </c>
      <c r="G231" s="1052" t="s">
        <v>3383</v>
      </c>
      <c r="H231" s="1031"/>
      <c r="I231" s="1032"/>
      <c r="J231" s="1032"/>
      <c r="K231" s="1032"/>
      <c r="L231" s="653" t="str">
        <f t="shared" si="197"/>
        <v>4715</v>
      </c>
      <c r="M231" s="654" t="str">
        <f t="shared" si="0"/>
        <v>VTE - AUTRE PIECE/ACC/CARR B.R. INTERNE</v>
      </c>
      <c r="N231" s="655">
        <f>+IF(OR($Q231=Parametres!$G$2,$Q231=Parametres!$G$3),I231,C231)</f>
        <v>-247.19</v>
      </c>
      <c r="O231" s="655">
        <f>+IF(OR($Q231=Parametres!$G$2,$Q231=Parametres!$G$3),J231,D231)</f>
        <v>0</v>
      </c>
      <c r="P231" s="655">
        <f>+IF(OR($Q231=Parametres!$G$2,$Q231=Parametres!$G$3),K231,E231)</f>
        <v>-247.19</v>
      </c>
      <c r="Q231" s="654" t="str">
        <f t="shared" ref="Q231:S231" si="234">+F231</f>
        <v>5-Ventes</v>
      </c>
      <c r="R231" s="653" t="str">
        <f t="shared" si="234"/>
        <v>4715</v>
      </c>
      <c r="S231" s="654">
        <f t="shared" si="234"/>
        <v>0</v>
      </c>
      <c r="T231" s="656" t="str">
        <f>+VLOOKUP($L231,Data_Validation!$A:$D,1,0)</f>
        <v>4715</v>
      </c>
      <c r="U231" s="656" t="str">
        <f>+VLOOKUP($L231,Data_Validation!$A:$D,3,0)</f>
        <v>Pièces</v>
      </c>
      <c r="V231" s="656" t="str">
        <f>+VLOOKUP($L231,Data_Validation!$A:$D,4,0)</f>
        <v>Ventes Internes</v>
      </c>
      <c r="W231" s="656" t="str">
        <f>+VLOOKUP($L231,Data_Validation!$A:$E,5,0)</f>
        <v>$</v>
      </c>
      <c r="X231" s="656" t="str">
        <f>+VLOOKUP($L231,Data_Validation!$A:$F,6,0)</f>
        <v>Oui</v>
      </c>
    </row>
    <row r="232" spans="1:24" ht="15" customHeight="1">
      <c r="A232" s="1052" t="s">
        <v>3678</v>
      </c>
      <c r="B232" s="1052" t="s">
        <v>1086</v>
      </c>
      <c r="C232" s="1054">
        <v>-112336.03</v>
      </c>
      <c r="D232" s="1054">
        <v>-3252.45</v>
      </c>
      <c r="E232" s="1054">
        <v>-115588.48</v>
      </c>
      <c r="F232" s="1052" t="s">
        <v>963</v>
      </c>
      <c r="G232" s="1052" t="s">
        <v>1086</v>
      </c>
      <c r="H232" s="1031"/>
      <c r="I232" s="1033"/>
      <c r="J232" s="1031"/>
      <c r="K232" s="1033"/>
      <c r="L232" s="653" t="str">
        <f t="shared" si="197"/>
        <v>4731</v>
      </c>
      <c r="M232" s="654" t="str">
        <f t="shared" si="0"/>
        <v>VW-P&amp;A-P&amp;BRO-CLIENT - MCI</v>
      </c>
      <c r="N232" s="655">
        <f>+IF(OR($Q232=Parametres!$G$2,$Q232=Parametres!$G$3),I232,C232)</f>
        <v>-112336.03</v>
      </c>
      <c r="O232" s="655">
        <f>+IF(OR($Q232=Parametres!$G$2,$Q232=Parametres!$G$3),J232,D232)</f>
        <v>-3252.45</v>
      </c>
      <c r="P232" s="655">
        <f>+IF(OR($Q232=Parametres!$G$2,$Q232=Parametres!$G$3),K232,E232)</f>
        <v>-115588.48</v>
      </c>
      <c r="Q232" s="654" t="str">
        <f t="shared" ref="Q232:S232" si="235">+F232</f>
        <v>5-Ventes</v>
      </c>
      <c r="R232" s="653" t="str">
        <f t="shared" si="235"/>
        <v>4731</v>
      </c>
      <c r="S232" s="654">
        <f t="shared" si="235"/>
        <v>0</v>
      </c>
      <c r="T232" s="656" t="str">
        <f>+VLOOKUP($L232,Data_Validation!$A:$D,1,0)</f>
        <v>4731</v>
      </c>
      <c r="U232" s="656" t="str">
        <f>+VLOOKUP($L232,Data_Validation!$A:$D,3,0)</f>
        <v>Pièces</v>
      </c>
      <c r="V232" s="656" t="str">
        <f>+VLOOKUP($L232,Data_Validation!$A:$D,4,0)</f>
        <v>Pièces Ro Carrosserie</v>
      </c>
      <c r="W232" s="656" t="str">
        <f>+VLOOKUP($L232,Data_Validation!$A:$E,5,0)</f>
        <v>$</v>
      </c>
      <c r="X232" s="656" t="str">
        <f>+VLOOKUP($L232,Data_Validation!$A:$F,6,0)</f>
        <v>Oui</v>
      </c>
    </row>
    <row r="233" spans="1:24" ht="15" customHeight="1">
      <c r="A233" s="1052" t="s">
        <v>3679</v>
      </c>
      <c r="B233" s="1052" t="s">
        <v>1090</v>
      </c>
      <c r="C233" s="1054">
        <v>-501877.03</v>
      </c>
      <c r="D233" s="1054">
        <v>-34843.68</v>
      </c>
      <c r="E233" s="1054">
        <v>-536720.71</v>
      </c>
      <c r="F233" s="1052" t="s">
        <v>963</v>
      </c>
      <c r="G233" s="1052" t="s">
        <v>1090</v>
      </c>
      <c r="H233" s="1031"/>
      <c r="I233" s="1032"/>
      <c r="J233" s="1032"/>
      <c r="K233" s="1032"/>
      <c r="L233" s="653" t="str">
        <f t="shared" si="197"/>
        <v>4733</v>
      </c>
      <c r="M233" s="654" t="str">
        <f t="shared" si="0"/>
        <v>VW-P&amp;A-P&amp;BRO-GARANTIE - MCI</v>
      </c>
      <c r="N233" s="655">
        <f>+IF(OR($Q233=Parametres!$G$2,$Q233=Parametres!$G$3),I233,C233)</f>
        <v>-501877.03</v>
      </c>
      <c r="O233" s="655">
        <f>+IF(OR($Q233=Parametres!$G$2,$Q233=Parametres!$G$3),J233,D233)</f>
        <v>-34843.68</v>
      </c>
      <c r="P233" s="655">
        <f>+IF(OR($Q233=Parametres!$G$2,$Q233=Parametres!$G$3),K233,E233)</f>
        <v>-536720.71</v>
      </c>
      <c r="Q233" s="654" t="str">
        <f t="shared" ref="Q233:S233" si="236">+F233</f>
        <v>5-Ventes</v>
      </c>
      <c r="R233" s="653" t="str">
        <f t="shared" si="236"/>
        <v>4733</v>
      </c>
      <c r="S233" s="654">
        <f t="shared" si="236"/>
        <v>0</v>
      </c>
      <c r="T233" s="656" t="str">
        <f>+VLOOKUP($L233,Data_Validation!$A:$D,1,0)</f>
        <v>4733</v>
      </c>
      <c r="U233" s="656" t="str">
        <f>+VLOOKUP($L233,Data_Validation!$A:$D,3,0)</f>
        <v>Pièces</v>
      </c>
      <c r="V233" s="656" t="str">
        <f>+VLOOKUP($L233,Data_Validation!$A:$D,4,0)</f>
        <v>Pièces Ro Carrosserie</v>
      </c>
      <c r="W233" s="656" t="str">
        <f>+VLOOKUP($L233,Data_Validation!$A:$E,5,0)</f>
        <v>$</v>
      </c>
      <c r="X233" s="656" t="str">
        <f>+VLOOKUP($L233,Data_Validation!$A:$F,6,0)</f>
        <v>Oui</v>
      </c>
    </row>
    <row r="234" spans="1:24" ht="15.75" customHeight="1">
      <c r="A234" s="1052" t="s">
        <v>3680</v>
      </c>
      <c r="B234" s="1052" t="s">
        <v>1094</v>
      </c>
      <c r="C234" s="1054">
        <v>-14970.18</v>
      </c>
      <c r="D234" s="1054">
        <v>-250.81</v>
      </c>
      <c r="E234" s="1054">
        <v>-15220.99</v>
      </c>
      <c r="F234" s="1052" t="s">
        <v>963</v>
      </c>
      <c r="G234" s="1052" t="s">
        <v>1094</v>
      </c>
      <c r="H234" s="1031"/>
      <c r="I234" s="1033"/>
      <c r="J234" s="1031"/>
      <c r="K234" s="1033"/>
      <c r="L234" s="653" t="str">
        <f t="shared" si="197"/>
        <v>4735</v>
      </c>
      <c r="M234" s="654" t="str">
        <f t="shared" si="0"/>
        <v>VW-P&amp;A-P&amp;BRO-INTERNE - MCI</v>
      </c>
      <c r="N234" s="655">
        <f>+IF(OR($Q234=Parametres!$G$2,$Q234=Parametres!$G$3),I234,C234)</f>
        <v>-14970.18</v>
      </c>
      <c r="O234" s="655">
        <f>+IF(OR($Q234=Parametres!$G$2,$Q234=Parametres!$G$3),J234,D234)</f>
        <v>-250.81</v>
      </c>
      <c r="P234" s="655">
        <f>+IF(OR($Q234=Parametres!$G$2,$Q234=Parametres!$G$3),K234,E234)</f>
        <v>-15220.99</v>
      </c>
      <c r="Q234" s="654" t="str">
        <f t="shared" ref="Q234:S234" si="237">+F234</f>
        <v>5-Ventes</v>
      </c>
      <c r="R234" s="653" t="str">
        <f t="shared" si="237"/>
        <v>4735</v>
      </c>
      <c r="S234" s="654">
        <f t="shared" si="237"/>
        <v>0</v>
      </c>
      <c r="T234" s="656" t="str">
        <f>+VLOOKUP($L234,Data_Validation!$A:$D,1,0)</f>
        <v>4735</v>
      </c>
      <c r="U234" s="656" t="str">
        <f>+VLOOKUP($L234,Data_Validation!$A:$D,3,0)</f>
        <v>Pièces</v>
      </c>
      <c r="V234" s="656" t="str">
        <f>+VLOOKUP($L234,Data_Validation!$A:$D,4,0)</f>
        <v>Pièces Ro Carrosserie</v>
      </c>
      <c r="W234" s="656" t="str">
        <f>+VLOOKUP($L234,Data_Validation!$A:$E,5,0)</f>
        <v>$</v>
      </c>
      <c r="X234" s="656" t="str">
        <f>+VLOOKUP($L234,Data_Validation!$A:$F,6,0)</f>
        <v>Oui</v>
      </c>
    </row>
    <row r="235" spans="1:24" ht="15" customHeight="1">
      <c r="A235" s="1052" t="s">
        <v>1097</v>
      </c>
      <c r="B235" s="1052" t="s">
        <v>1098</v>
      </c>
      <c r="C235" s="1054">
        <v>-193680.58</v>
      </c>
      <c r="D235" s="1054">
        <v>-15141.81</v>
      </c>
      <c r="E235" s="1054">
        <v>-208822.39</v>
      </c>
      <c r="F235" s="1052" t="s">
        <v>963</v>
      </c>
      <c r="G235" s="1052" t="s">
        <v>1098</v>
      </c>
      <c r="H235" s="1031"/>
      <c r="I235" s="1032"/>
      <c r="J235" s="1032"/>
      <c r="K235" s="1032"/>
      <c r="L235" s="653" t="str">
        <f t="shared" si="197"/>
        <v>4761</v>
      </c>
      <c r="M235" s="654" t="str">
        <f t="shared" si="0"/>
        <v>VTE - P&amp;A VW COMPTOIR - DETAIL</v>
      </c>
      <c r="N235" s="655">
        <f>+IF(OR($Q235=Parametres!$G$2,$Q235=Parametres!$G$3),I235,C235)</f>
        <v>-193680.58</v>
      </c>
      <c r="O235" s="655">
        <f>+IF(OR($Q235=Parametres!$G$2,$Q235=Parametres!$G$3),J235,D235)</f>
        <v>-15141.81</v>
      </c>
      <c r="P235" s="655">
        <f>+IF(OR($Q235=Parametres!$G$2,$Q235=Parametres!$G$3),K235,E235)</f>
        <v>-208822.39</v>
      </c>
      <c r="Q235" s="654" t="str">
        <f t="shared" ref="Q235:S235" si="238">+F235</f>
        <v>5-Ventes</v>
      </c>
      <c r="R235" s="653" t="str">
        <f t="shared" si="238"/>
        <v>4761</v>
      </c>
      <c r="S235" s="654">
        <f t="shared" si="238"/>
        <v>0</v>
      </c>
      <c r="T235" s="656" t="str">
        <f>+VLOOKUP($L235,Data_Validation!$A:$D,1,0)</f>
        <v>4761</v>
      </c>
      <c r="U235" s="656" t="str">
        <f>+VLOOKUP($L235,Data_Validation!$A:$D,3,0)</f>
        <v>Pièces</v>
      </c>
      <c r="V235" s="656" t="str">
        <f>+VLOOKUP($L235,Data_Validation!$A:$D,4,0)</f>
        <v>Ventes Détails</v>
      </c>
      <c r="W235" s="656" t="str">
        <f>+VLOOKUP($L235,Data_Validation!$A:$E,5,0)</f>
        <v>$</v>
      </c>
      <c r="X235" s="656" t="str">
        <f>+VLOOKUP($L235,Data_Validation!$A:$F,6,0)</f>
        <v>Oui</v>
      </c>
    </row>
    <row r="236" spans="1:24" ht="15" customHeight="1">
      <c r="A236" s="1052" t="s">
        <v>1101</v>
      </c>
      <c r="B236" s="1052" t="s">
        <v>1102</v>
      </c>
      <c r="C236" s="1054">
        <v>-924658.91</v>
      </c>
      <c r="D236" s="1054">
        <v>-86945.99</v>
      </c>
      <c r="E236" s="1054">
        <v>-1011604.9</v>
      </c>
      <c r="F236" s="1052" t="s">
        <v>963</v>
      </c>
      <c r="G236" s="1052" t="s">
        <v>1102</v>
      </c>
      <c r="H236" s="1031"/>
      <c r="I236" s="1033"/>
      <c r="J236" s="1031"/>
      <c r="K236" s="1033"/>
      <c r="L236" s="653" t="str">
        <f t="shared" si="197"/>
        <v>4763</v>
      </c>
      <c r="M236" s="654" t="str">
        <f t="shared" si="0"/>
        <v>VTE - P&amp;A VW COMPTOIR GROS - ECHANGE</v>
      </c>
      <c r="N236" s="655">
        <f>+IF(OR($Q236=Parametres!$G$2,$Q236=Parametres!$G$3),I236,C236)</f>
        <v>-924658.91</v>
      </c>
      <c r="O236" s="655">
        <f>+IF(OR($Q236=Parametres!$G$2,$Q236=Parametres!$G$3),J236,D236)</f>
        <v>-86945.99</v>
      </c>
      <c r="P236" s="655">
        <f>+IF(OR($Q236=Parametres!$G$2,$Q236=Parametres!$G$3),K236,E236)</f>
        <v>-1011604.9</v>
      </c>
      <c r="Q236" s="654" t="str">
        <f t="shared" ref="Q236:S236" si="239">+F236</f>
        <v>5-Ventes</v>
      </c>
      <c r="R236" s="653" t="str">
        <f t="shared" si="239"/>
        <v>4763</v>
      </c>
      <c r="S236" s="654">
        <f t="shared" si="239"/>
        <v>0</v>
      </c>
      <c r="T236" s="656" t="str">
        <f>+VLOOKUP($L236,Data_Validation!$A:$D,1,0)</f>
        <v>4763</v>
      </c>
      <c r="U236" s="656" t="str">
        <f>+VLOOKUP($L236,Data_Validation!$A:$D,3,0)</f>
        <v>Pièces</v>
      </c>
      <c r="V236" s="656" t="str">
        <f>+VLOOKUP($L236,Data_Validation!$A:$D,4,0)</f>
        <v>Ventes de Gros</v>
      </c>
      <c r="W236" s="656" t="str">
        <f>+VLOOKUP($L236,Data_Validation!$A:$E,5,0)</f>
        <v>$</v>
      </c>
      <c r="X236" s="656" t="str">
        <f>+VLOOKUP($L236,Data_Validation!$A:$F,6,0)</f>
        <v>Oui</v>
      </c>
    </row>
    <row r="237" spans="1:24" ht="15" customHeight="1">
      <c r="A237" s="1052" t="s">
        <v>1105</v>
      </c>
      <c r="B237" s="1052" t="s">
        <v>1106</v>
      </c>
      <c r="C237" s="1054">
        <v>-467451.74</v>
      </c>
      <c r="D237" s="1054">
        <v>-52653.82</v>
      </c>
      <c r="E237" s="1054">
        <v>-520105.56</v>
      </c>
      <c r="F237" s="1052" t="s">
        <v>963</v>
      </c>
      <c r="G237" s="1052" t="s">
        <v>1106</v>
      </c>
      <c r="H237" s="1031"/>
      <c r="I237" s="1032"/>
      <c r="J237" s="1032"/>
      <c r="K237" s="1032"/>
      <c r="L237" s="653" t="str">
        <f t="shared" si="197"/>
        <v>4781</v>
      </c>
      <c r="M237" s="654" t="str">
        <f t="shared" si="0"/>
        <v>VENTES PNEUS</v>
      </c>
      <c r="N237" s="655">
        <f>+IF(OR($Q237=Parametres!$G$2,$Q237=Parametres!$G$3),I237,C237)</f>
        <v>-467451.74</v>
      </c>
      <c r="O237" s="655">
        <f>+IF(OR($Q237=Parametres!$G$2,$Q237=Parametres!$G$3),J237,D237)</f>
        <v>-52653.82</v>
      </c>
      <c r="P237" s="655">
        <f>+IF(OR($Q237=Parametres!$G$2,$Q237=Parametres!$G$3),K237,E237)</f>
        <v>-520105.56</v>
      </c>
      <c r="Q237" s="654" t="str">
        <f t="shared" ref="Q237:S237" si="240">+F237</f>
        <v>5-Ventes</v>
      </c>
      <c r="R237" s="653" t="str">
        <f t="shared" si="240"/>
        <v>4781</v>
      </c>
      <c r="S237" s="654">
        <f t="shared" si="240"/>
        <v>0</v>
      </c>
      <c r="T237" s="656" t="str">
        <f>+VLOOKUP($L237,Data_Validation!$A:$D,1,0)</f>
        <v>4781</v>
      </c>
      <c r="U237" s="656" t="str">
        <f>+VLOOKUP($L237,Data_Validation!$A:$D,3,0)</f>
        <v>Pièces</v>
      </c>
      <c r="V237" s="656" t="str">
        <f>+VLOOKUP($L237,Data_Validation!$A:$D,4,0)</f>
        <v>Ventes Pneus</v>
      </c>
      <c r="W237" s="656" t="str">
        <f>+VLOOKUP($L237,Data_Validation!$A:$E,5,0)</f>
        <v>$</v>
      </c>
      <c r="X237" s="656" t="str">
        <f>+VLOOKUP($L237,Data_Validation!$A:$F,6,0)</f>
        <v>Oui</v>
      </c>
    </row>
    <row r="238" spans="1:24" ht="15.75" customHeight="1">
      <c r="A238" s="1052" t="s">
        <v>1108</v>
      </c>
      <c r="B238" s="1052" t="s">
        <v>2050</v>
      </c>
      <c r="C238" s="1054">
        <v>-7308.02</v>
      </c>
      <c r="D238" s="1054">
        <v>-5238.8599999999997</v>
      </c>
      <c r="E238" s="1054">
        <v>-12546.88</v>
      </c>
      <c r="F238" s="1052" t="s">
        <v>963</v>
      </c>
      <c r="G238" s="1052" t="s">
        <v>1106</v>
      </c>
      <c r="H238" s="1031"/>
      <c r="I238" s="1033"/>
      <c r="J238" s="1031"/>
      <c r="K238" s="1033"/>
      <c r="L238" s="653" t="str">
        <f t="shared" si="197"/>
        <v>4785</v>
      </c>
      <c r="M238" s="654" t="str">
        <f t="shared" si="0"/>
        <v>VTE - VW PNEUS</v>
      </c>
      <c r="N238" s="655">
        <f>+IF(OR($Q238=Parametres!$G$2,$Q238=Parametres!$G$3),I238,C238)</f>
        <v>-7308.02</v>
      </c>
      <c r="O238" s="655">
        <f>+IF(OR($Q238=Parametres!$G$2,$Q238=Parametres!$G$3),J238,D238)</f>
        <v>-5238.8599999999997</v>
      </c>
      <c r="P238" s="655">
        <f>+IF(OR($Q238=Parametres!$G$2,$Q238=Parametres!$G$3),K238,E238)</f>
        <v>-12546.88</v>
      </c>
      <c r="Q238" s="654" t="str">
        <f t="shared" ref="Q238:S238" si="241">+F238</f>
        <v>5-Ventes</v>
      </c>
      <c r="R238" s="653" t="str">
        <f t="shared" si="241"/>
        <v>4781</v>
      </c>
      <c r="S238" s="654">
        <f t="shared" si="241"/>
        <v>0</v>
      </c>
      <c r="T238" s="656" t="str">
        <f>+VLOOKUP($L238,Data_Validation!$A:$D,1,0)</f>
        <v>4785</v>
      </c>
      <c r="U238" s="656" t="str">
        <f>+VLOOKUP($L238,Data_Validation!$A:$D,3,0)</f>
        <v>Pièces</v>
      </c>
      <c r="V238" s="656" t="str">
        <f>+VLOOKUP($L238,Data_Validation!$A:$D,4,0)</f>
        <v>Ventes Pneus</v>
      </c>
      <c r="W238" s="656" t="str">
        <f>+VLOOKUP($L238,Data_Validation!$A:$E,5,0)</f>
        <v>$</v>
      </c>
      <c r="X238" s="656" t="str">
        <f>+VLOOKUP($L238,Data_Validation!$A:$F,6,0)</f>
        <v>Oui</v>
      </c>
    </row>
    <row r="239" spans="1:24" ht="15" customHeight="1">
      <c r="A239" s="1052" t="s">
        <v>1109</v>
      </c>
      <c r="B239" s="1052" t="s">
        <v>2058</v>
      </c>
      <c r="C239" s="1054">
        <v>3936009.74</v>
      </c>
      <c r="D239" s="1054">
        <v>150643.4</v>
      </c>
      <c r="E239" s="1054">
        <v>4086653.14</v>
      </c>
      <c r="F239" s="1052" t="s">
        <v>1110</v>
      </c>
      <c r="G239" s="1052" t="s">
        <v>964</v>
      </c>
      <c r="H239" s="1031"/>
      <c r="I239" s="1032"/>
      <c r="J239" s="1032"/>
      <c r="K239" s="1032"/>
      <c r="L239" s="653" t="str">
        <f t="shared" si="197"/>
        <v>5100</v>
      </c>
      <c r="M239" s="654" t="str">
        <f t="shared" si="0"/>
        <v>C/V - RACHAT DE BAIL</v>
      </c>
      <c r="N239" s="655">
        <f>+IF(OR($Q239=Parametres!$G$2,$Q239=Parametres!$G$3),I239,C239)</f>
        <v>3936009.74</v>
      </c>
      <c r="O239" s="655">
        <f>+IF(OR($Q239=Parametres!$G$2,$Q239=Parametres!$G$3),J239,D239)</f>
        <v>150643.4</v>
      </c>
      <c r="P239" s="655">
        <f>+IF(OR($Q239=Parametres!$G$2,$Q239=Parametres!$G$3),K239,E239)</f>
        <v>4086653.14</v>
      </c>
      <c r="Q239" s="654" t="str">
        <f t="shared" ref="Q239:S239" si="242">+F239</f>
        <v>6-Coût des ventes</v>
      </c>
      <c r="R239" s="653" t="str">
        <f t="shared" si="242"/>
        <v>4100</v>
      </c>
      <c r="S239" s="654">
        <f t="shared" si="242"/>
        <v>0</v>
      </c>
      <c r="T239" s="656" t="str">
        <f>+VLOOKUP($L239,Data_Validation!$A:$D,1,0)</f>
        <v>5100</v>
      </c>
      <c r="U239" s="656" t="str">
        <f>+VLOOKUP($L239,Data_Validation!$A:$D,3,0)</f>
        <v>Véhicules neufs</v>
      </c>
      <c r="V239" s="656" t="str">
        <f>+VLOOKUP($L239,Data_Validation!$A:$D,4,0)</f>
        <v>Rachat bail</v>
      </c>
      <c r="W239" s="656" t="str">
        <f>+VLOOKUP($L239,Data_Validation!$A:$E,5,0)</f>
        <v>$</v>
      </c>
      <c r="X239" s="656">
        <f>+VLOOKUP($L239,Data_Validation!$A:$F,6,0)</f>
        <v>0</v>
      </c>
    </row>
    <row r="240" spans="1:24" ht="15" customHeight="1">
      <c r="A240" s="1052" t="s">
        <v>1111</v>
      </c>
      <c r="B240" s="1052" t="s">
        <v>2070</v>
      </c>
      <c r="C240" s="1054">
        <v>308970.82</v>
      </c>
      <c r="D240" s="1054">
        <v>0</v>
      </c>
      <c r="E240" s="1054">
        <v>308970.82</v>
      </c>
      <c r="F240" s="1052" t="s">
        <v>1110</v>
      </c>
      <c r="G240" s="1052" t="s">
        <v>968</v>
      </c>
      <c r="H240" s="1031"/>
      <c r="I240" s="1033"/>
      <c r="J240" s="1031"/>
      <c r="K240" s="1033"/>
      <c r="L240" s="653" t="str">
        <f t="shared" si="197"/>
        <v>5109</v>
      </c>
      <c r="M240" s="654" t="str">
        <f t="shared" si="0"/>
        <v>C/V - GOLF R</v>
      </c>
      <c r="N240" s="655">
        <f>+IF(OR($Q240=Parametres!$G$2,$Q240=Parametres!$G$3),I240,C240)</f>
        <v>308970.82</v>
      </c>
      <c r="O240" s="655">
        <f>+IF(OR($Q240=Parametres!$G$2,$Q240=Parametres!$G$3),J240,D240)</f>
        <v>0</v>
      </c>
      <c r="P240" s="655">
        <f>+IF(OR($Q240=Parametres!$G$2,$Q240=Parametres!$G$3),K240,E240)</f>
        <v>308970.82</v>
      </c>
      <c r="Q240" s="654" t="str">
        <f t="shared" ref="Q240:S240" si="243">+F240</f>
        <v>6-Coût des ventes</v>
      </c>
      <c r="R240" s="653" t="str">
        <f t="shared" si="243"/>
        <v>4109</v>
      </c>
      <c r="S240" s="654">
        <f t="shared" si="243"/>
        <v>0</v>
      </c>
      <c r="T240" s="656" t="str">
        <f>+VLOOKUP($L240,Data_Validation!$A:$D,1,0)</f>
        <v>5109</v>
      </c>
      <c r="U240" s="656" t="str">
        <f>+VLOOKUP($L240,Data_Validation!$A:$D,3,0)</f>
        <v>Véhicules neufs</v>
      </c>
      <c r="V240" s="656" t="str">
        <f>+VLOOKUP($L240,Data_Validation!$A:$D,4,0)</f>
        <v>Autos détail</v>
      </c>
      <c r="W240" s="656" t="str">
        <f>+VLOOKUP($L240,Data_Validation!$A:$E,5,0)</f>
        <v>$</v>
      </c>
      <c r="X240" s="656">
        <f>+VLOOKUP($L240,Data_Validation!$A:$F,6,0)</f>
        <v>0</v>
      </c>
    </row>
    <row r="241" spans="1:24" ht="15" customHeight="1">
      <c r="A241" s="1052" t="s">
        <v>971</v>
      </c>
      <c r="B241" s="1052" t="s">
        <v>2075</v>
      </c>
      <c r="C241" s="1054">
        <v>1391371.97</v>
      </c>
      <c r="D241" s="1054">
        <v>200240.03</v>
      </c>
      <c r="E241" s="1054">
        <v>1591612</v>
      </c>
      <c r="F241" s="1052" t="s">
        <v>1110</v>
      </c>
      <c r="G241" s="1052" t="s">
        <v>972</v>
      </c>
      <c r="H241" s="1031"/>
      <c r="I241" s="1032"/>
      <c r="J241" s="1032"/>
      <c r="K241" s="1032"/>
      <c r="L241" s="653" t="str">
        <f t="shared" si="197"/>
        <v>5111</v>
      </c>
      <c r="M241" s="654" t="str">
        <f t="shared" si="0"/>
        <v>JETTA/ JETTA GLI</v>
      </c>
      <c r="N241" s="655">
        <f>+IF(OR($Q241=Parametres!$G$2,$Q241=Parametres!$G$3),I241,C241)</f>
        <v>1391371.97</v>
      </c>
      <c r="O241" s="655">
        <f>+IF(OR($Q241=Parametres!$G$2,$Q241=Parametres!$G$3),J241,D241)</f>
        <v>200240.03</v>
      </c>
      <c r="P241" s="655">
        <f>+IF(OR($Q241=Parametres!$G$2,$Q241=Parametres!$G$3),K241,E241)</f>
        <v>1591612</v>
      </c>
      <c r="Q241" s="654" t="str">
        <f t="shared" ref="Q241:S241" si="244">+F241</f>
        <v>6-Coût des ventes</v>
      </c>
      <c r="R241" s="653" t="str">
        <f t="shared" si="244"/>
        <v>4111</v>
      </c>
      <c r="S241" s="654">
        <f t="shared" si="244"/>
        <v>0</v>
      </c>
      <c r="T241" s="656" t="str">
        <f>+VLOOKUP($L241,Data_Validation!$A:$D,1,0)</f>
        <v>5111</v>
      </c>
      <c r="U241" s="656" t="str">
        <f>+VLOOKUP($L241,Data_Validation!$A:$D,3,0)</f>
        <v>Véhicules neufs</v>
      </c>
      <c r="V241" s="656" t="str">
        <f>+VLOOKUP($L241,Data_Validation!$A:$D,4,0)</f>
        <v>Autos détail</v>
      </c>
      <c r="W241" s="656" t="str">
        <f>+VLOOKUP($L241,Data_Validation!$A:$E,5,0)</f>
        <v>$</v>
      </c>
      <c r="X241" s="656">
        <f>+VLOOKUP($L241,Data_Validation!$A:$F,6,0)</f>
        <v>0</v>
      </c>
    </row>
    <row r="242" spans="1:24" ht="15" customHeight="1">
      <c r="A242" s="1052" t="s">
        <v>1112</v>
      </c>
      <c r="B242" s="1052" t="s">
        <v>3384</v>
      </c>
      <c r="C242" s="1054">
        <v>3590111.14</v>
      </c>
      <c r="D242" s="1054">
        <v>73816.33</v>
      </c>
      <c r="E242" s="1054">
        <v>3663927.47</v>
      </c>
      <c r="F242" s="1052" t="s">
        <v>1110</v>
      </c>
      <c r="G242" s="1052" t="s">
        <v>1113</v>
      </c>
      <c r="H242" s="1031"/>
      <c r="I242" s="1032"/>
      <c r="J242" s="1032"/>
      <c r="K242" s="1032"/>
      <c r="L242" s="653" t="str">
        <f t="shared" si="197"/>
        <v>5118</v>
      </c>
      <c r="M242" s="654" t="str">
        <f t="shared" si="0"/>
        <v>C/V - TAOS</v>
      </c>
      <c r="N242" s="655">
        <f>+IF(OR($Q242=Parametres!$G$2,$Q242=Parametres!$G$3),I242,C242)</f>
        <v>3590111.14</v>
      </c>
      <c r="O242" s="655">
        <f>+IF(OR($Q242=Parametres!$G$2,$Q242=Parametres!$G$3),J242,D242)</f>
        <v>73816.33</v>
      </c>
      <c r="P242" s="655">
        <f>+IF(OR($Q242=Parametres!$G$2,$Q242=Parametres!$G$3),K242,E242)</f>
        <v>3663927.47</v>
      </c>
      <c r="Q242" s="654" t="str">
        <f t="shared" ref="Q242:S242" si="245">+F242</f>
        <v>6-Coût des ventes</v>
      </c>
      <c r="R242" s="653" t="str">
        <f t="shared" si="245"/>
        <v>511</v>
      </c>
      <c r="S242" s="654">
        <f t="shared" si="245"/>
        <v>0</v>
      </c>
      <c r="T242" s="656" t="str">
        <f>+VLOOKUP($L242,Data_Validation!$A:$D,1,0)</f>
        <v>5118</v>
      </c>
      <c r="U242" s="656" t="str">
        <f>+VLOOKUP($L242,Data_Validation!$A:$D,3,0)</f>
        <v>Véhicules neufs</v>
      </c>
      <c r="V242" s="656" t="str">
        <f>+VLOOKUP($L242,Data_Validation!$A:$D,4,0)</f>
        <v>Camions détail</v>
      </c>
      <c r="W242" s="656" t="str">
        <f>+VLOOKUP($L242,Data_Validation!$A:$E,5,0)</f>
        <v>$</v>
      </c>
      <c r="X242" s="656">
        <f>+VLOOKUP($L242,Data_Validation!$A:$F,6,0)</f>
        <v>0</v>
      </c>
    </row>
    <row r="243" spans="1:24" ht="15.75" customHeight="1">
      <c r="A243" s="1052" t="s">
        <v>1114</v>
      </c>
      <c r="B243" s="1052" t="s">
        <v>2084</v>
      </c>
      <c r="C243" s="1054">
        <v>3579760.93</v>
      </c>
      <c r="D243" s="1054">
        <v>114585.37</v>
      </c>
      <c r="E243" s="1054">
        <v>3694346.3</v>
      </c>
      <c r="F243" s="1052" t="s">
        <v>1110</v>
      </c>
      <c r="G243" s="1052" t="s">
        <v>980</v>
      </c>
      <c r="H243" s="1031"/>
      <c r="I243" s="1032"/>
      <c r="J243" s="1032"/>
      <c r="K243" s="1032"/>
      <c r="L243" s="653" t="str">
        <f t="shared" si="197"/>
        <v>5119</v>
      </c>
      <c r="M243" s="654" t="str">
        <f t="shared" si="0"/>
        <v>C/V - ATLAS</v>
      </c>
      <c r="N243" s="655">
        <f>+IF(OR($Q243=Parametres!$G$2,$Q243=Parametres!$G$3),I243,C243)</f>
        <v>3579760.93</v>
      </c>
      <c r="O243" s="655">
        <f>+IF(OR($Q243=Parametres!$G$2,$Q243=Parametres!$G$3),J243,D243)</f>
        <v>114585.37</v>
      </c>
      <c r="P243" s="655">
        <f>+IF(OR($Q243=Parametres!$G$2,$Q243=Parametres!$G$3),K243,E243)</f>
        <v>3694346.3</v>
      </c>
      <c r="Q243" s="654" t="str">
        <f t="shared" ref="Q243:S243" si="246">+F243</f>
        <v>6-Coût des ventes</v>
      </c>
      <c r="R243" s="653" t="str">
        <f t="shared" si="246"/>
        <v>4119</v>
      </c>
      <c r="S243" s="654">
        <f t="shared" si="246"/>
        <v>0</v>
      </c>
      <c r="T243" s="656" t="str">
        <f>+VLOOKUP($L243,Data_Validation!$A:$D,1,0)</f>
        <v>5119</v>
      </c>
      <c r="U243" s="656" t="str">
        <f>+VLOOKUP($L243,Data_Validation!$A:$D,3,0)</f>
        <v>Véhicules neufs</v>
      </c>
      <c r="V243" s="656" t="str">
        <f>+VLOOKUP($L243,Data_Validation!$A:$D,4,0)</f>
        <v>Camions détail</v>
      </c>
      <c r="W243" s="656" t="str">
        <f>+VLOOKUP($L243,Data_Validation!$A:$E,5,0)</f>
        <v>$</v>
      </c>
      <c r="X243" s="656">
        <f>+VLOOKUP($L243,Data_Validation!$A:$F,6,0)</f>
        <v>0</v>
      </c>
    </row>
    <row r="244" spans="1:24" ht="15" customHeight="1">
      <c r="A244" s="1052" t="s">
        <v>1115</v>
      </c>
      <c r="B244" s="1052" t="s">
        <v>3385</v>
      </c>
      <c r="C244" s="1054">
        <v>126137.85</v>
      </c>
      <c r="D244" s="1054">
        <v>0</v>
      </c>
      <c r="E244" s="1054">
        <v>126137.85</v>
      </c>
      <c r="F244" s="1052" t="s">
        <v>1110</v>
      </c>
      <c r="G244" s="1052" t="s">
        <v>3349</v>
      </c>
      <c r="H244" s="1031"/>
      <c r="I244" s="1032"/>
      <c r="J244" s="1032"/>
      <c r="K244" s="1032"/>
      <c r="L244" s="653" t="str">
        <f t="shared" si="197"/>
        <v>5121</v>
      </c>
      <c r="M244" s="654" t="str">
        <f t="shared" si="0"/>
        <v>C/V - ATLAS CROSS SPORT</v>
      </c>
      <c r="N244" s="655">
        <f>+IF(OR($Q244=Parametres!$G$2,$Q244=Parametres!$G$3),I244,C244)</f>
        <v>126137.85</v>
      </c>
      <c r="O244" s="655">
        <f>+IF(OR($Q244=Parametres!$G$2,$Q244=Parametres!$G$3),J244,D244)</f>
        <v>0</v>
      </c>
      <c r="P244" s="655">
        <f>+IF(OR($Q244=Parametres!$G$2,$Q244=Parametres!$G$3),K244,E244)</f>
        <v>126137.85</v>
      </c>
      <c r="Q244" s="654" t="str">
        <f t="shared" ref="Q244:S244" si="247">+F244</f>
        <v>6-Coût des ventes</v>
      </c>
      <c r="R244" s="653" t="str">
        <f t="shared" si="247"/>
        <v>4121</v>
      </c>
      <c r="S244" s="654">
        <f t="shared" si="247"/>
        <v>0</v>
      </c>
      <c r="T244" s="656" t="str">
        <f>+VLOOKUP($L244,Data_Validation!$A:$D,1,0)</f>
        <v>5121</v>
      </c>
      <c r="U244" s="656" t="str">
        <f>+VLOOKUP($L244,Data_Validation!$A:$D,3,0)</f>
        <v>Véhicules neufs</v>
      </c>
      <c r="V244" s="656" t="str">
        <f>+VLOOKUP($L244,Data_Validation!$A:$D,4,0)</f>
        <v>Camions détail</v>
      </c>
      <c r="W244" s="656" t="str">
        <f>+VLOOKUP($L244,Data_Validation!$A:$E,5,0)</f>
        <v>$</v>
      </c>
      <c r="X244" s="656">
        <f>+VLOOKUP($L244,Data_Validation!$A:$F,6,0)</f>
        <v>0</v>
      </c>
    </row>
    <row r="245" spans="1:24" ht="15" customHeight="1">
      <c r="A245" s="1052" t="s">
        <v>1116</v>
      </c>
      <c r="B245" s="1052" t="s">
        <v>2090</v>
      </c>
      <c r="C245" s="1054">
        <v>700204.34</v>
      </c>
      <c r="D245" s="1054">
        <v>0</v>
      </c>
      <c r="E245" s="1054">
        <v>700204.34</v>
      </c>
      <c r="F245" s="1052" t="s">
        <v>1110</v>
      </c>
      <c r="G245" s="1052" t="s">
        <v>987</v>
      </c>
      <c r="H245" s="1031"/>
      <c r="I245" s="1032"/>
      <c r="J245" s="1032"/>
      <c r="K245" s="1032"/>
      <c r="L245" s="653" t="str">
        <f t="shared" si="197"/>
        <v>5127</v>
      </c>
      <c r="M245" s="654" t="str">
        <f t="shared" si="0"/>
        <v>C/V - GOLF GTI</v>
      </c>
      <c r="N245" s="655">
        <f>+IF(OR($Q245=Parametres!$G$2,$Q245=Parametres!$G$3),I245,C245)</f>
        <v>700204.34</v>
      </c>
      <c r="O245" s="655">
        <f>+IF(OR($Q245=Parametres!$G$2,$Q245=Parametres!$G$3),J245,D245)</f>
        <v>0</v>
      </c>
      <c r="P245" s="655">
        <f>+IF(OR($Q245=Parametres!$G$2,$Q245=Parametres!$G$3),K245,E245)</f>
        <v>700204.34</v>
      </c>
      <c r="Q245" s="654" t="str">
        <f t="shared" ref="Q245:S245" si="248">+F245</f>
        <v>6-Coût des ventes</v>
      </c>
      <c r="R245" s="653" t="str">
        <f t="shared" si="248"/>
        <v>4127</v>
      </c>
      <c r="S245" s="654">
        <f t="shared" si="248"/>
        <v>0</v>
      </c>
      <c r="T245" s="656" t="str">
        <f>+VLOOKUP($L245,Data_Validation!$A:$D,1,0)</f>
        <v>5127</v>
      </c>
      <c r="U245" s="656" t="str">
        <f>+VLOOKUP($L245,Data_Validation!$A:$D,3,0)</f>
        <v>Véhicules neufs</v>
      </c>
      <c r="V245" s="656" t="str">
        <f>+VLOOKUP($L245,Data_Validation!$A:$D,4,0)</f>
        <v>Autos détail</v>
      </c>
      <c r="W245" s="656" t="str">
        <f>+VLOOKUP($L245,Data_Validation!$A:$E,5,0)</f>
        <v>$</v>
      </c>
      <c r="X245" s="656">
        <f>+VLOOKUP($L245,Data_Validation!$A:$F,6,0)</f>
        <v>0</v>
      </c>
    </row>
    <row r="246" spans="1:24" ht="15" customHeight="1">
      <c r="A246" s="1052" t="s">
        <v>1117</v>
      </c>
      <c r="B246" s="1052" t="s">
        <v>2093</v>
      </c>
      <c r="C246" s="1054">
        <v>7127981.9500000002</v>
      </c>
      <c r="D246" s="1054">
        <v>1002585.66</v>
      </c>
      <c r="E246" s="1054">
        <v>8130567.6100000003</v>
      </c>
      <c r="F246" s="1052" t="s">
        <v>1110</v>
      </c>
      <c r="G246" s="1052" t="s">
        <v>991</v>
      </c>
      <c r="H246" s="1031"/>
      <c r="I246" s="1032"/>
      <c r="J246" s="1032"/>
      <c r="K246" s="1032"/>
      <c r="L246" s="653" t="str">
        <f t="shared" si="197"/>
        <v>5131</v>
      </c>
      <c r="M246" s="654" t="str">
        <f t="shared" si="0"/>
        <v>C/V - TIGUAN LWB</v>
      </c>
      <c r="N246" s="655">
        <f>+IF(OR($Q246=Parametres!$G$2,$Q246=Parametres!$G$3),I246,C246)</f>
        <v>7127981.9500000002</v>
      </c>
      <c r="O246" s="655">
        <f>+IF(OR($Q246=Parametres!$G$2,$Q246=Parametres!$G$3),J246,D246)</f>
        <v>1002585.66</v>
      </c>
      <c r="P246" s="655">
        <f>+IF(OR($Q246=Parametres!$G$2,$Q246=Parametres!$G$3),K246,E246)</f>
        <v>8130567.6100000003</v>
      </c>
      <c r="Q246" s="654" t="str">
        <f t="shared" ref="Q246:S246" si="249">+F246</f>
        <v>6-Coût des ventes</v>
      </c>
      <c r="R246" s="653" t="str">
        <f t="shared" si="249"/>
        <v>4131</v>
      </c>
      <c r="S246" s="654">
        <f t="shared" si="249"/>
        <v>0</v>
      </c>
      <c r="T246" s="656" t="str">
        <f>+VLOOKUP($L246,Data_Validation!$A:$D,1,0)</f>
        <v>5131</v>
      </c>
      <c r="U246" s="656" t="str">
        <f>+VLOOKUP($L246,Data_Validation!$A:$D,3,0)</f>
        <v>Véhicules neufs</v>
      </c>
      <c r="V246" s="656" t="str">
        <f>+VLOOKUP($L246,Data_Validation!$A:$D,4,0)</f>
        <v>Camions détail</v>
      </c>
      <c r="W246" s="656" t="str">
        <f>+VLOOKUP($L246,Data_Validation!$A:$E,5,0)</f>
        <v>$</v>
      </c>
      <c r="X246" s="656">
        <f>+VLOOKUP($L246,Data_Validation!$A:$F,6,0)</f>
        <v>0</v>
      </c>
    </row>
    <row r="247" spans="1:24" ht="15.75" customHeight="1">
      <c r="A247" s="1052" t="s">
        <v>1118</v>
      </c>
      <c r="B247" s="1052" t="s">
        <v>2099</v>
      </c>
      <c r="C247" s="1054">
        <v>612020.26</v>
      </c>
      <c r="D247" s="1054">
        <v>0</v>
      </c>
      <c r="E247" s="1054">
        <v>612020.26</v>
      </c>
      <c r="F247" s="1052" t="s">
        <v>1110</v>
      </c>
      <c r="G247" s="1052" t="s">
        <v>995</v>
      </c>
      <c r="H247" s="1031"/>
      <c r="I247" s="1032"/>
      <c r="J247" s="1032"/>
      <c r="K247" s="1032"/>
      <c r="L247" s="653" t="str">
        <f t="shared" si="197"/>
        <v>5137</v>
      </c>
      <c r="M247" s="654" t="str">
        <f t="shared" si="0"/>
        <v>C/V - VW FLOTTE/VENTE ENTR/EMPLOYE/VEH DEMONS</v>
      </c>
      <c r="N247" s="655">
        <f>+IF(OR($Q247=Parametres!$G$2,$Q247=Parametres!$G$3),I247,C247)</f>
        <v>612020.26</v>
      </c>
      <c r="O247" s="655">
        <f>+IF(OR($Q247=Parametres!$G$2,$Q247=Parametres!$G$3),J247,D247)</f>
        <v>0</v>
      </c>
      <c r="P247" s="655">
        <f>+IF(OR($Q247=Parametres!$G$2,$Q247=Parametres!$G$3),K247,E247)</f>
        <v>612020.26</v>
      </c>
      <c r="Q247" s="654" t="str">
        <f t="shared" ref="Q247:S247" si="250">+F247</f>
        <v>6-Coût des ventes</v>
      </c>
      <c r="R247" s="653" t="str">
        <f t="shared" si="250"/>
        <v>4137</v>
      </c>
      <c r="S247" s="654">
        <f t="shared" si="250"/>
        <v>0</v>
      </c>
      <c r="T247" s="656" t="str">
        <f>+VLOOKUP($L247,Data_Validation!$A:$D,1,0)</f>
        <v>5137</v>
      </c>
      <c r="U247" s="656" t="str">
        <f>+VLOOKUP($L247,Data_Validation!$A:$D,3,0)</f>
        <v>Véhicules neufs</v>
      </c>
      <c r="V247" s="656" t="str">
        <f>+VLOOKUP($L247,Data_Validation!$A:$D,4,0)</f>
        <v>Flottes</v>
      </c>
      <c r="W247" s="656" t="str">
        <f>+VLOOKUP($L247,Data_Validation!$A:$E,5,0)</f>
        <v>$</v>
      </c>
      <c r="X247" s="656">
        <f>+VLOOKUP($L247,Data_Validation!$A:$F,6,0)</f>
        <v>0</v>
      </c>
    </row>
    <row r="248" spans="1:24" ht="15" customHeight="1">
      <c r="A248" s="1052" t="s">
        <v>1118</v>
      </c>
      <c r="B248" s="1052" t="s">
        <v>2102</v>
      </c>
      <c r="C248" s="1054">
        <v>1495822.7</v>
      </c>
      <c r="D248" s="1054">
        <v>88846.22</v>
      </c>
      <c r="E248" s="1054">
        <v>1584668.92</v>
      </c>
      <c r="F248" s="1052" t="s">
        <v>1110</v>
      </c>
      <c r="G248" s="1052" t="s">
        <v>999</v>
      </c>
      <c r="H248" s="1031"/>
      <c r="I248" s="1032"/>
      <c r="J248" s="1032"/>
      <c r="K248" s="1032"/>
      <c r="L248" s="653" t="str">
        <f t="shared" si="197"/>
        <v>5139</v>
      </c>
      <c r="M248" s="654" t="str">
        <f t="shared" si="0"/>
        <v>C/V - VW FLOTTE/VENTE ENTR/EMPLOYE/VEH DEMONS</v>
      </c>
      <c r="N248" s="655">
        <f>+IF(OR($Q248=Parametres!$G$2,$Q248=Parametres!$G$3),I248,C248)</f>
        <v>1495822.7</v>
      </c>
      <c r="O248" s="655">
        <f>+IF(OR($Q248=Parametres!$G$2,$Q248=Parametres!$G$3),J248,D248)</f>
        <v>88846.22</v>
      </c>
      <c r="P248" s="655">
        <f>+IF(OR($Q248=Parametres!$G$2,$Q248=Parametres!$G$3),K248,E248)</f>
        <v>1584668.92</v>
      </c>
      <c r="Q248" s="654" t="str">
        <f t="shared" ref="Q248:S248" si="251">+F248</f>
        <v>6-Coût des ventes</v>
      </c>
      <c r="R248" s="653" t="str">
        <f t="shared" si="251"/>
        <v>4139</v>
      </c>
      <c r="S248" s="654">
        <f t="shared" si="251"/>
        <v>0</v>
      </c>
      <c r="T248" s="656" t="str">
        <f>+VLOOKUP($L248,Data_Validation!$A:$D,1,0)</f>
        <v>5139</v>
      </c>
      <c r="U248" s="656" t="str">
        <f>+VLOOKUP($L248,Data_Validation!$A:$D,3,0)</f>
        <v>Véhicules neufs</v>
      </c>
      <c r="V248" s="656" t="str">
        <f>+VLOOKUP($L248,Data_Validation!$A:$D,4,0)</f>
        <v>Ex-Démos et courtoisies</v>
      </c>
      <c r="W248" s="656" t="str">
        <f>+VLOOKUP($L248,Data_Validation!$A:$E,5,0)</f>
        <v>$</v>
      </c>
      <c r="X248" s="656">
        <f>+VLOOKUP($L248,Data_Validation!$A:$F,6,0)</f>
        <v>0</v>
      </c>
    </row>
    <row r="249" spans="1:24" ht="15" customHeight="1">
      <c r="A249" s="1052" t="s">
        <v>1119</v>
      </c>
      <c r="B249" s="1052" t="s">
        <v>3386</v>
      </c>
      <c r="C249" s="1054">
        <v>638243.43999999994</v>
      </c>
      <c r="D249" s="1054">
        <v>0</v>
      </c>
      <c r="E249" s="1054">
        <v>638243.43999999994</v>
      </c>
      <c r="F249" s="1052" t="s">
        <v>1110</v>
      </c>
      <c r="G249" s="1052" t="s">
        <v>1120</v>
      </c>
      <c r="H249" s="1031"/>
      <c r="I249" s="1032"/>
      <c r="J249" s="1032"/>
      <c r="K249" s="1032"/>
      <c r="L249" s="653" t="str">
        <f t="shared" si="197"/>
        <v>5144</v>
      </c>
      <c r="M249" s="654" t="str">
        <f t="shared" si="0"/>
        <v>C/V - JETTA GLI</v>
      </c>
      <c r="N249" s="655">
        <f>+IF(OR($Q249=Parametres!$G$2,$Q249=Parametres!$G$3),I249,C249)</f>
        <v>638243.43999999994</v>
      </c>
      <c r="O249" s="655">
        <f>+IF(OR($Q249=Parametres!$G$2,$Q249=Parametres!$G$3),J249,D249)</f>
        <v>0</v>
      </c>
      <c r="P249" s="655">
        <f>+IF(OR($Q249=Parametres!$G$2,$Q249=Parametres!$G$3),K249,E249)</f>
        <v>638243.43999999994</v>
      </c>
      <c r="Q249" s="654" t="str">
        <f t="shared" ref="Q249:S249" si="252">+F249</f>
        <v>6-Coût des ventes</v>
      </c>
      <c r="R249" s="653" t="str">
        <f t="shared" si="252"/>
        <v>514</v>
      </c>
      <c r="S249" s="654">
        <f t="shared" si="252"/>
        <v>0</v>
      </c>
      <c r="T249" s="656" t="str">
        <f>+VLOOKUP($L249,Data_Validation!$A:$D,1,0)</f>
        <v>5144</v>
      </c>
      <c r="U249" s="656" t="str">
        <f>+VLOOKUP($L249,Data_Validation!$A:$D,3,0)</f>
        <v>Véhicules neufs</v>
      </c>
      <c r="V249" s="656" t="str">
        <f>+VLOOKUP($L249,Data_Validation!$A:$D,4,0)</f>
        <v>Autos détail</v>
      </c>
      <c r="W249" s="656" t="str">
        <f>+VLOOKUP($L249,Data_Validation!$A:$E,5,0)</f>
        <v>$</v>
      </c>
      <c r="X249" s="656">
        <f>+VLOOKUP($L249,Data_Validation!$A:$F,6,0)</f>
        <v>0</v>
      </c>
    </row>
    <row r="250" spans="1:24" ht="15" customHeight="1">
      <c r="A250" s="1052" t="s">
        <v>1121</v>
      </c>
      <c r="B250" s="1052" t="s">
        <v>2113</v>
      </c>
      <c r="C250" s="1054">
        <v>8252786.2000000002</v>
      </c>
      <c r="D250" s="1054">
        <v>543756.91</v>
      </c>
      <c r="E250" s="1054">
        <v>8796543.1099999994</v>
      </c>
      <c r="F250" s="1052" t="s">
        <v>1110</v>
      </c>
      <c r="G250" s="1052" t="s">
        <v>1007</v>
      </c>
      <c r="H250" s="1031"/>
      <c r="I250" s="1032"/>
      <c r="J250" s="1032"/>
      <c r="K250" s="1032"/>
      <c r="L250" s="653" t="str">
        <f t="shared" si="197"/>
        <v>5201</v>
      </c>
      <c r="M250" s="654" t="str">
        <f t="shared" si="0"/>
        <v>C/V - VEH.USAGE VW DETAIL CERTIFIE</v>
      </c>
      <c r="N250" s="655">
        <f>+IF(OR($Q250=Parametres!$G$2,$Q250=Parametres!$G$3),I250,C250)</f>
        <v>8252786.2000000002</v>
      </c>
      <c r="O250" s="655">
        <f>+IF(OR($Q250=Parametres!$G$2,$Q250=Parametres!$G$3),J250,D250)</f>
        <v>543756.91</v>
      </c>
      <c r="P250" s="655">
        <f>+IF(OR($Q250=Parametres!$G$2,$Q250=Parametres!$G$3),K250,E250)</f>
        <v>8796543.1099999994</v>
      </c>
      <c r="Q250" s="654" t="str">
        <f t="shared" ref="Q250:S250" si="253">+F250</f>
        <v>6-Coût des ventes</v>
      </c>
      <c r="R250" s="653" t="str">
        <f t="shared" si="253"/>
        <v>4201</v>
      </c>
      <c r="S250" s="654">
        <f t="shared" si="253"/>
        <v>0</v>
      </c>
      <c r="T250" s="656" t="str">
        <f>+VLOOKUP($L250,Data_Validation!$A:$D,1,0)</f>
        <v>5201</v>
      </c>
      <c r="U250" s="656" t="str">
        <f>+VLOOKUP($L250,Data_Validation!$A:$D,3,0)</f>
        <v>Véhicules usagés</v>
      </c>
      <c r="V250" s="656" t="str">
        <f>+VLOOKUP($L250,Data_Validation!$A:$D,4,0)</f>
        <v>Certifié</v>
      </c>
      <c r="W250" s="656" t="str">
        <f>+VLOOKUP($L250,Data_Validation!$A:$E,5,0)</f>
        <v>$</v>
      </c>
      <c r="X250" s="656">
        <f>+VLOOKUP($L250,Data_Validation!$A:$F,6,0)</f>
        <v>0</v>
      </c>
    </row>
    <row r="251" spans="1:24" ht="15" customHeight="1">
      <c r="A251" s="1052" t="s">
        <v>1122</v>
      </c>
      <c r="B251" s="1052" t="s">
        <v>2116</v>
      </c>
      <c r="C251" s="1054">
        <v>680296.63</v>
      </c>
      <c r="D251" s="1054">
        <v>46014.91</v>
      </c>
      <c r="E251" s="1054">
        <v>726311.54</v>
      </c>
      <c r="F251" s="1052" t="s">
        <v>1110</v>
      </c>
      <c r="G251" s="1052" t="s">
        <v>1007</v>
      </c>
      <c r="H251" s="1031"/>
      <c r="I251" s="1032"/>
      <c r="J251" s="1032"/>
      <c r="K251" s="1032"/>
      <c r="L251" s="653" t="str">
        <f t="shared" si="197"/>
        <v>5203</v>
      </c>
      <c r="M251" s="654" t="str">
        <f t="shared" si="0"/>
        <v>C/V - RECOND USAGE VW CERT.</v>
      </c>
      <c r="N251" s="655">
        <f>+IF(OR($Q251=Parametres!$G$2,$Q251=Parametres!$G$3),I251,C251)</f>
        <v>680296.63</v>
      </c>
      <c r="O251" s="655">
        <f>+IF(OR($Q251=Parametres!$G$2,$Q251=Parametres!$G$3),J251,D251)</f>
        <v>46014.91</v>
      </c>
      <c r="P251" s="655">
        <f>+IF(OR($Q251=Parametres!$G$2,$Q251=Parametres!$G$3),K251,E251)</f>
        <v>726311.54</v>
      </c>
      <c r="Q251" s="654" t="str">
        <f t="shared" ref="Q251:S251" si="254">+F251</f>
        <v>6-Coût des ventes</v>
      </c>
      <c r="R251" s="653" t="str">
        <f t="shared" si="254"/>
        <v>4201</v>
      </c>
      <c r="S251" s="654">
        <f t="shared" si="254"/>
        <v>0</v>
      </c>
      <c r="T251" s="656" t="str">
        <f>+VLOOKUP($L251,Data_Validation!$A:$D,1,0)</f>
        <v>5203</v>
      </c>
      <c r="U251" s="656" t="str">
        <f>+VLOOKUP($L251,Data_Validation!$A:$D,3,0)</f>
        <v>Véhicules usagés</v>
      </c>
      <c r="V251" s="656" t="str">
        <f>+VLOOKUP($L251,Data_Validation!$A:$D,4,0)</f>
        <v>Certifié</v>
      </c>
      <c r="W251" s="656" t="str">
        <f>+VLOOKUP($L251,Data_Validation!$A:$E,5,0)</f>
        <v>$</v>
      </c>
      <c r="X251" s="656">
        <f>+VLOOKUP($L251,Data_Validation!$A:$F,6,0)</f>
        <v>0</v>
      </c>
    </row>
    <row r="252" spans="1:24" ht="15.75" customHeight="1">
      <c r="A252" s="1052" t="s">
        <v>1123</v>
      </c>
      <c r="B252" s="1052" t="s">
        <v>2122</v>
      </c>
      <c r="C252" s="1054">
        <v>0</v>
      </c>
      <c r="D252" s="1054">
        <v>20600</v>
      </c>
      <c r="E252" s="1054">
        <v>20600</v>
      </c>
      <c r="F252" s="1052" t="s">
        <v>1110</v>
      </c>
      <c r="G252" s="1052" t="s">
        <v>1011</v>
      </c>
      <c r="H252" s="1031"/>
      <c r="I252" s="1032"/>
      <c r="J252" s="1032"/>
      <c r="K252" s="1032"/>
      <c r="L252" s="653" t="str">
        <f t="shared" si="197"/>
        <v>5211</v>
      </c>
      <c r="M252" s="654" t="str">
        <f t="shared" si="0"/>
        <v>C/V - VW USAGES DETAIL</v>
      </c>
      <c r="N252" s="655">
        <f>+IF(OR($Q252=Parametres!$G$2,$Q252=Parametres!$G$3),I252,C252)</f>
        <v>0</v>
      </c>
      <c r="O252" s="655">
        <f>+IF(OR($Q252=Parametres!$G$2,$Q252=Parametres!$G$3),J252,D252)</f>
        <v>20600</v>
      </c>
      <c r="P252" s="655">
        <f>+IF(OR($Q252=Parametres!$G$2,$Q252=Parametres!$G$3),K252,E252)</f>
        <v>20600</v>
      </c>
      <c r="Q252" s="654" t="str">
        <f t="shared" ref="Q252:S252" si="255">+F252</f>
        <v>6-Coût des ventes</v>
      </c>
      <c r="R252" s="653" t="str">
        <f t="shared" si="255"/>
        <v>4211</v>
      </c>
      <c r="S252" s="654">
        <f t="shared" si="255"/>
        <v>0</v>
      </c>
      <c r="T252" s="656" t="str">
        <f>+VLOOKUP($L252,Data_Validation!$A:$D,1,0)</f>
        <v>5211</v>
      </c>
      <c r="U252" s="656" t="str">
        <f>+VLOOKUP($L252,Data_Validation!$A:$D,3,0)</f>
        <v>Véhicules usagés</v>
      </c>
      <c r="V252" s="656" t="str">
        <f>+VLOOKUP($L252,Data_Validation!$A:$D,4,0)</f>
        <v>Non Certifié</v>
      </c>
      <c r="W252" s="656" t="str">
        <f>+VLOOKUP($L252,Data_Validation!$A:$E,5,0)</f>
        <v>$</v>
      </c>
      <c r="X252" s="656">
        <f>+VLOOKUP($L252,Data_Validation!$A:$F,6,0)</f>
        <v>0</v>
      </c>
    </row>
    <row r="253" spans="1:24" ht="15" customHeight="1">
      <c r="A253" s="1052" t="s">
        <v>1124</v>
      </c>
      <c r="B253" s="1052" t="s">
        <v>2125</v>
      </c>
      <c r="C253" s="1054">
        <v>0</v>
      </c>
      <c r="D253" s="1054">
        <v>547.1</v>
      </c>
      <c r="E253" s="1054">
        <v>547.1</v>
      </c>
      <c r="F253" s="1052" t="s">
        <v>1110</v>
      </c>
      <c r="G253" s="1052" t="s">
        <v>1011</v>
      </c>
      <c r="H253" s="1031"/>
      <c r="I253" s="1032"/>
      <c r="J253" s="1032"/>
      <c r="K253" s="1032"/>
      <c r="L253" s="653" t="str">
        <f t="shared" si="197"/>
        <v>5213</v>
      </c>
      <c r="M253" s="654" t="str">
        <f t="shared" si="0"/>
        <v>C/V - RECOND. USAGE VW DETAIL</v>
      </c>
      <c r="N253" s="655">
        <f>+IF(OR($Q253=Parametres!$G$2,$Q253=Parametres!$G$3),I253,C253)</f>
        <v>0</v>
      </c>
      <c r="O253" s="655">
        <f>+IF(OR($Q253=Parametres!$G$2,$Q253=Parametres!$G$3),J253,D253)</f>
        <v>547.1</v>
      </c>
      <c r="P253" s="655">
        <f>+IF(OR($Q253=Parametres!$G$2,$Q253=Parametres!$G$3),K253,E253)</f>
        <v>547.1</v>
      </c>
      <c r="Q253" s="654" t="str">
        <f t="shared" ref="Q253:S253" si="256">+F253</f>
        <v>6-Coût des ventes</v>
      </c>
      <c r="R253" s="653" t="str">
        <f t="shared" si="256"/>
        <v>4211</v>
      </c>
      <c r="S253" s="654">
        <f t="shared" si="256"/>
        <v>0</v>
      </c>
      <c r="T253" s="656" t="str">
        <f>+VLOOKUP($L253,Data_Validation!$A:$D,1,0)</f>
        <v>5213</v>
      </c>
      <c r="U253" s="656" t="str">
        <f>+VLOOKUP($L253,Data_Validation!$A:$D,3,0)</f>
        <v>Véhicules usagés</v>
      </c>
      <c r="V253" s="656" t="str">
        <f>+VLOOKUP($L253,Data_Validation!$A:$D,4,0)</f>
        <v>Non Certifié</v>
      </c>
      <c r="W253" s="656" t="str">
        <f>+VLOOKUP($L253,Data_Validation!$A:$E,5,0)</f>
        <v>$</v>
      </c>
      <c r="X253" s="656">
        <f>+VLOOKUP($L253,Data_Validation!$A:$F,6,0)</f>
        <v>0</v>
      </c>
    </row>
    <row r="254" spans="1:24" ht="15" customHeight="1">
      <c r="A254" s="1052" t="s">
        <v>1014</v>
      </c>
      <c r="B254" s="1052" t="s">
        <v>2136</v>
      </c>
      <c r="C254" s="1054">
        <v>155147.42000000001</v>
      </c>
      <c r="D254" s="1054">
        <v>0</v>
      </c>
      <c r="E254" s="1054">
        <v>155147.42000000001</v>
      </c>
      <c r="F254" s="1052" t="s">
        <v>1110</v>
      </c>
      <c r="G254" s="1052" t="s">
        <v>1015</v>
      </c>
      <c r="H254" s="1031"/>
      <c r="I254" s="1032"/>
      <c r="J254" s="1032"/>
      <c r="K254" s="1032"/>
      <c r="L254" s="653" t="str">
        <f t="shared" si="197"/>
        <v>5285</v>
      </c>
      <c r="M254" s="654" t="str">
        <f t="shared" si="0"/>
        <v>VEH. D'OCC. AUTRE DETAIL</v>
      </c>
      <c r="N254" s="655">
        <f>+IF(OR($Q254=Parametres!$G$2,$Q254=Parametres!$G$3),I254,C254)</f>
        <v>155147.42000000001</v>
      </c>
      <c r="O254" s="655">
        <f>+IF(OR($Q254=Parametres!$G$2,$Q254=Parametres!$G$3),J254,D254)</f>
        <v>0</v>
      </c>
      <c r="P254" s="655">
        <f>+IF(OR($Q254=Parametres!$G$2,$Q254=Parametres!$G$3),K254,E254)</f>
        <v>155147.42000000001</v>
      </c>
      <c r="Q254" s="654" t="str">
        <f t="shared" ref="Q254:S254" si="257">+F254</f>
        <v>6-Coût des ventes</v>
      </c>
      <c r="R254" s="653" t="str">
        <f t="shared" si="257"/>
        <v>4261</v>
      </c>
      <c r="S254" s="654">
        <f t="shared" si="257"/>
        <v>0</v>
      </c>
      <c r="T254" s="671" t="str">
        <f>+VLOOKUP($L254,Data_Validation!$A:$D,1,0)</f>
        <v>5285</v>
      </c>
      <c r="U254" s="656" t="str">
        <f>+VLOOKUP($L254,Data_Validation!$A:$D,3,0)</f>
        <v>Véhicules usagés</v>
      </c>
      <c r="V254" s="656" t="str">
        <f>+VLOOKUP($L254,Data_Validation!$A:$D,4,0)</f>
        <v>Autres Marques</v>
      </c>
      <c r="W254" s="656" t="str">
        <f>+VLOOKUP($L254,Data_Validation!$A:$E,5,0)</f>
        <v>$</v>
      </c>
      <c r="X254" s="656">
        <f>+VLOOKUP($L254,Data_Validation!$A:$F,6,0)</f>
        <v>0</v>
      </c>
    </row>
    <row r="255" spans="1:24" ht="15" customHeight="1">
      <c r="A255" s="1052" t="s">
        <v>1125</v>
      </c>
      <c r="B255" s="1052" t="s">
        <v>2139</v>
      </c>
      <c r="C255" s="1054">
        <v>12858.82</v>
      </c>
      <c r="D255" s="1054">
        <v>0</v>
      </c>
      <c r="E255" s="1054">
        <v>12858.82</v>
      </c>
      <c r="F255" s="1052" t="s">
        <v>1110</v>
      </c>
      <c r="G255" s="1052" t="s">
        <v>1015</v>
      </c>
      <c r="H255" s="1031"/>
      <c r="I255" s="1032"/>
      <c r="J255" s="1032"/>
      <c r="K255" s="1032"/>
      <c r="L255" s="653" t="str">
        <f t="shared" si="197"/>
        <v>5286</v>
      </c>
      <c r="M255" s="654" t="str">
        <f t="shared" si="0"/>
        <v>RECOND. AUTRE DETAIL</v>
      </c>
      <c r="N255" s="655">
        <f>+IF(OR($Q255=Parametres!$G$2,$Q255=Parametres!$G$3),I255,C255)</f>
        <v>12858.82</v>
      </c>
      <c r="O255" s="655">
        <f>+IF(OR($Q255=Parametres!$G$2,$Q255=Parametres!$G$3),J255,D255)</f>
        <v>0</v>
      </c>
      <c r="P255" s="655">
        <f>+IF(OR($Q255=Parametres!$G$2,$Q255=Parametres!$G$3),K255,E255)</f>
        <v>12858.82</v>
      </c>
      <c r="Q255" s="654" t="str">
        <f t="shared" ref="Q255:S255" si="258">+F255</f>
        <v>6-Coût des ventes</v>
      </c>
      <c r="R255" s="653" t="str">
        <f t="shared" si="258"/>
        <v>4261</v>
      </c>
      <c r="S255" s="654">
        <f t="shared" si="258"/>
        <v>0</v>
      </c>
      <c r="T255" s="656" t="str">
        <f>+VLOOKUP($L255,Data_Validation!$A:$D,1,0)</f>
        <v>5286</v>
      </c>
      <c r="U255" s="656" t="str">
        <f>+VLOOKUP($L255,Data_Validation!$A:$D,3,0)</f>
        <v>Véhicules usagés</v>
      </c>
      <c r="V255" s="656" t="str">
        <f>+VLOOKUP($L255,Data_Validation!$A:$D,4,0)</f>
        <v>Non Certifié</v>
      </c>
      <c r="W255" s="656" t="str">
        <f>+VLOOKUP($L255,Data_Validation!$A:$E,5,0)</f>
        <v>$</v>
      </c>
      <c r="X255" s="656">
        <f>+VLOOKUP($L255,Data_Validation!$A:$F,6,0)</f>
        <v>0</v>
      </c>
    </row>
    <row r="256" spans="1:24" ht="15.75" customHeight="1">
      <c r="A256" s="1052" t="s">
        <v>1018</v>
      </c>
      <c r="B256" s="1052" t="s">
        <v>2142</v>
      </c>
      <c r="C256" s="1054">
        <v>5630431.2999999998</v>
      </c>
      <c r="D256" s="1054">
        <v>560551.97</v>
      </c>
      <c r="E256" s="1054">
        <v>6190983.2699999996</v>
      </c>
      <c r="F256" s="1052" t="s">
        <v>1110</v>
      </c>
      <c r="G256" s="1052" t="s">
        <v>1019</v>
      </c>
      <c r="H256" s="1031"/>
      <c r="I256" s="1032"/>
      <c r="J256" s="1032"/>
      <c r="K256" s="1032"/>
      <c r="L256" s="653" t="str">
        <f t="shared" si="197"/>
        <v>5291</v>
      </c>
      <c r="M256" s="654" t="str">
        <f t="shared" si="0"/>
        <v>VEH. D'OCC. AU GROS</v>
      </c>
      <c r="N256" s="655">
        <f>+IF(OR($Q256=Parametres!$G$2,$Q256=Parametres!$G$3),I256,C256)</f>
        <v>5630431.2999999998</v>
      </c>
      <c r="O256" s="655">
        <f>+IF(OR($Q256=Parametres!$G$2,$Q256=Parametres!$G$3),J256,D256)</f>
        <v>560551.97</v>
      </c>
      <c r="P256" s="655">
        <f>+IF(OR($Q256=Parametres!$G$2,$Q256=Parametres!$G$3),K256,E256)</f>
        <v>6190983.2699999996</v>
      </c>
      <c r="Q256" s="654" t="str">
        <f t="shared" ref="Q256:S256" si="259">+F256</f>
        <v>6-Coût des ventes</v>
      </c>
      <c r="R256" s="653" t="str">
        <f t="shared" si="259"/>
        <v>4281</v>
      </c>
      <c r="S256" s="654">
        <f t="shared" si="259"/>
        <v>0</v>
      </c>
      <c r="T256" s="656" t="str">
        <f>+VLOOKUP($L256,Data_Validation!$A:$D,1,0)</f>
        <v>5291</v>
      </c>
      <c r="U256" s="656" t="str">
        <f>+VLOOKUP($L256,Data_Validation!$A:$D,3,0)</f>
        <v>Véhicules usagés</v>
      </c>
      <c r="V256" s="656" t="str">
        <f>+VLOOKUP($L256,Data_Validation!$A:$D,4,0)</f>
        <v>Ventes au Gros</v>
      </c>
      <c r="W256" s="656" t="str">
        <f>+VLOOKUP($L256,Data_Validation!$A:$E,5,0)</f>
        <v>$</v>
      </c>
      <c r="X256" s="656">
        <f>+VLOOKUP($L256,Data_Validation!$A:$F,6,0)</f>
        <v>0</v>
      </c>
    </row>
    <row r="257" spans="1:24" ht="15" customHeight="1">
      <c r="A257" s="1052" t="s">
        <v>3671</v>
      </c>
      <c r="B257" s="1052" t="s">
        <v>2145</v>
      </c>
      <c r="C257" s="1054">
        <v>333177.5</v>
      </c>
      <c r="D257" s="1054">
        <v>27460.84</v>
      </c>
      <c r="E257" s="1054">
        <v>360638.34</v>
      </c>
      <c r="F257" s="1052" t="s">
        <v>1110</v>
      </c>
      <c r="G257" s="1052" t="s">
        <v>1023</v>
      </c>
      <c r="H257" s="1031"/>
      <c r="I257" s="1032"/>
      <c r="J257" s="1032"/>
      <c r="K257" s="1032"/>
      <c r="L257" s="653" t="str">
        <f t="shared" si="197"/>
        <v>5401</v>
      </c>
      <c r="M257" s="654" t="str">
        <f t="shared" ref="M257:M511" si="260">+A257</f>
        <v>MAIN-D'OEUVRE - CLIENT VW - MCI</v>
      </c>
      <c r="N257" s="655">
        <f>+IF(OR($Q257=Parametres!$G$2,$Q257=Parametres!$G$3),I257,C257)</f>
        <v>333177.5</v>
      </c>
      <c r="O257" s="655">
        <f>+IF(OR($Q257=Parametres!$G$2,$Q257=Parametres!$G$3),J257,D257)</f>
        <v>27460.84</v>
      </c>
      <c r="P257" s="655">
        <f>+IF(OR($Q257=Parametres!$G$2,$Q257=Parametres!$G$3),K257,E257)</f>
        <v>360638.34</v>
      </c>
      <c r="Q257" s="654" t="str">
        <f t="shared" ref="Q257:S257" si="261">+F257</f>
        <v>6-Coût des ventes</v>
      </c>
      <c r="R257" s="653" t="str">
        <f t="shared" si="261"/>
        <v>4401</v>
      </c>
      <c r="S257" s="654">
        <f t="shared" si="261"/>
        <v>0</v>
      </c>
      <c r="T257" s="656" t="str">
        <f>+VLOOKUP($L257,Data_Validation!$A:$D,1,0)</f>
        <v>5401</v>
      </c>
      <c r="U257" s="656" t="str">
        <f>+VLOOKUP($L257,Data_Validation!$A:$D,3,0)</f>
        <v>Service</v>
      </c>
      <c r="V257" s="656" t="str">
        <f>+VLOOKUP($L257,Data_Validation!$A:$D,4,0)</f>
        <v>M/O Client</v>
      </c>
      <c r="W257" s="656" t="str">
        <f>+VLOOKUP($L257,Data_Validation!$A:$E,5,0)</f>
        <v>$</v>
      </c>
      <c r="X257" s="656">
        <f>+VLOOKUP($L257,Data_Validation!$A:$F,6,0)</f>
        <v>0</v>
      </c>
    </row>
    <row r="258" spans="1:24" ht="15" customHeight="1">
      <c r="A258" s="1052" t="s">
        <v>1127</v>
      </c>
      <c r="B258" s="1052" t="s">
        <v>2148</v>
      </c>
      <c r="C258" s="1054">
        <v>1510.29</v>
      </c>
      <c r="D258" s="1054">
        <v>0</v>
      </c>
      <c r="E258" s="1054">
        <v>1510.29</v>
      </c>
      <c r="F258" s="1052" t="s">
        <v>1110</v>
      </c>
      <c r="G258" s="1052" t="s">
        <v>1026</v>
      </c>
      <c r="H258" s="1031"/>
      <c r="I258" s="1033"/>
      <c r="J258" s="1031"/>
      <c r="K258" s="1033"/>
      <c r="L258" s="653" t="str">
        <f t="shared" si="197"/>
        <v>5402</v>
      </c>
      <c r="M258" s="654" t="str">
        <f t="shared" si="260"/>
        <v>C/V - M.O. ESTHETIQUE CLIENT</v>
      </c>
      <c r="N258" s="655">
        <f>+IF(OR($Q258=Parametres!$G$2,$Q258=Parametres!$G$3),I258,C258)</f>
        <v>1510.29</v>
      </c>
      <c r="O258" s="655">
        <f>+IF(OR($Q258=Parametres!$G$2,$Q258=Parametres!$G$3),J258,D258)</f>
        <v>0</v>
      </c>
      <c r="P258" s="655">
        <f>+IF(OR($Q258=Parametres!$G$2,$Q258=Parametres!$G$3),K258,E258)</f>
        <v>1510.29</v>
      </c>
      <c r="Q258" s="654" t="str">
        <f t="shared" ref="Q258:S258" si="262">+F258</f>
        <v>6-Coût des ventes</v>
      </c>
      <c r="R258" s="653" t="str">
        <f t="shared" si="262"/>
        <v>4402</v>
      </c>
      <c r="S258" s="654">
        <f t="shared" si="262"/>
        <v>0</v>
      </c>
      <c r="T258" s="656" t="str">
        <f>+VLOOKUP($L258,Data_Validation!$A:$D,1,0)</f>
        <v>5402</v>
      </c>
      <c r="U258" s="656" t="str">
        <f>+VLOOKUP($L258,Data_Validation!$A:$D,3,0)</f>
        <v>Service</v>
      </c>
      <c r="V258" s="656" t="str">
        <f>+VLOOKUP($L258,Data_Validation!$A:$D,4,0)</f>
        <v>M/O Esthétique</v>
      </c>
      <c r="W258" s="656" t="str">
        <f>+VLOOKUP($L258,Data_Validation!$A:$E,5,0)</f>
        <v>$</v>
      </c>
      <c r="X258" s="656">
        <f>+VLOOKUP($L258,Data_Validation!$A:$F,6,0)</f>
        <v>0</v>
      </c>
    </row>
    <row r="259" spans="1:24" ht="15" customHeight="1">
      <c r="A259" s="1052" t="s">
        <v>3672</v>
      </c>
      <c r="B259" s="1052" t="s">
        <v>2151</v>
      </c>
      <c r="C259" s="1054">
        <v>142433.63</v>
      </c>
      <c r="D259" s="1054">
        <v>10576.5</v>
      </c>
      <c r="E259" s="1054">
        <v>153010.13</v>
      </c>
      <c r="F259" s="1052" t="s">
        <v>1110</v>
      </c>
      <c r="G259" s="1052" t="s">
        <v>1028</v>
      </c>
      <c r="H259" s="1031"/>
      <c r="I259" s="1033"/>
      <c r="J259" s="1031"/>
      <c r="K259" s="1033"/>
      <c r="L259" s="653" t="str">
        <f t="shared" ref="L259:L322" si="263">TEXT(B259,0)</f>
        <v>5403</v>
      </c>
      <c r="M259" s="654" t="str">
        <f t="shared" si="260"/>
        <v>MAIN-D'OEUVRE - GARANTIE VW - MCI</v>
      </c>
      <c r="N259" s="655">
        <f>+IF(OR($Q259=Parametres!$G$2,$Q259=Parametres!$G$3),I259,C259)</f>
        <v>142433.63</v>
      </c>
      <c r="O259" s="655">
        <f>+IF(OR($Q259=Parametres!$G$2,$Q259=Parametres!$G$3),J259,D259)</f>
        <v>10576.5</v>
      </c>
      <c r="P259" s="655">
        <f>+IF(OR($Q259=Parametres!$G$2,$Q259=Parametres!$G$3),K259,E259)</f>
        <v>153010.13</v>
      </c>
      <c r="Q259" s="654" t="str">
        <f t="shared" ref="Q259:S259" si="264">+F259</f>
        <v>6-Coût des ventes</v>
      </c>
      <c r="R259" s="653" t="str">
        <f t="shared" si="264"/>
        <v>4403</v>
      </c>
      <c r="S259" s="654">
        <f t="shared" si="264"/>
        <v>0</v>
      </c>
      <c r="T259" s="656" t="str">
        <f>+VLOOKUP($L259,Data_Validation!$A:$D,1,0)</f>
        <v>5403</v>
      </c>
      <c r="U259" s="656" t="str">
        <f>+VLOOKUP($L259,Data_Validation!$A:$D,3,0)</f>
        <v>Service</v>
      </c>
      <c r="V259" s="656" t="str">
        <f>+VLOOKUP($L259,Data_Validation!$A:$D,4,0)</f>
        <v>M/O Garantie</v>
      </c>
      <c r="W259" s="656" t="str">
        <f>+VLOOKUP($L259,Data_Validation!$A:$E,5,0)</f>
        <v>$</v>
      </c>
      <c r="X259" s="656">
        <f>+VLOOKUP($L259,Data_Validation!$A:$F,6,0)</f>
        <v>0</v>
      </c>
    </row>
    <row r="260" spans="1:24" ht="15" customHeight="1">
      <c r="A260" s="1052" t="s">
        <v>3673</v>
      </c>
      <c r="B260" s="1052" t="s">
        <v>2154</v>
      </c>
      <c r="C260" s="1054">
        <v>142977.4</v>
      </c>
      <c r="D260" s="1054">
        <v>10757.8</v>
      </c>
      <c r="E260" s="1054">
        <v>153735.20000000001</v>
      </c>
      <c r="F260" s="1052" t="s">
        <v>1110</v>
      </c>
      <c r="G260" s="1052" t="s">
        <v>1031</v>
      </c>
      <c r="H260" s="1031"/>
      <c r="I260" s="1031"/>
      <c r="J260" s="1031"/>
      <c r="K260" s="1031"/>
      <c r="L260" s="653" t="str">
        <f t="shared" si="263"/>
        <v>5405</v>
      </c>
      <c r="M260" s="654" t="str">
        <f t="shared" si="260"/>
        <v>MAIN-D'OEUVRE - INTERNE VW - MCI</v>
      </c>
      <c r="N260" s="655">
        <f>+IF(OR($Q260=Parametres!$G$2,$Q260=Parametres!$G$3),I260,C260)</f>
        <v>142977.4</v>
      </c>
      <c r="O260" s="655">
        <f>+IF(OR($Q260=Parametres!$G$2,$Q260=Parametres!$G$3),J260,D260)</f>
        <v>10757.8</v>
      </c>
      <c r="P260" s="655">
        <f>+IF(OR($Q260=Parametres!$G$2,$Q260=Parametres!$G$3),K260,E260)</f>
        <v>153735.20000000001</v>
      </c>
      <c r="Q260" s="654" t="str">
        <f t="shared" ref="Q260:S260" si="265">+F260</f>
        <v>6-Coût des ventes</v>
      </c>
      <c r="R260" s="653" t="str">
        <f t="shared" si="265"/>
        <v>4405</v>
      </c>
      <c r="S260" s="654">
        <f t="shared" si="265"/>
        <v>0</v>
      </c>
      <c r="T260" s="656" t="str">
        <f>+VLOOKUP($L260,Data_Validation!$A:$D,1,0)</f>
        <v>5405</v>
      </c>
      <c r="U260" s="656" t="str">
        <f>+VLOOKUP($L260,Data_Validation!$A:$D,3,0)</f>
        <v>Service</v>
      </c>
      <c r="V260" s="656" t="str">
        <f>+VLOOKUP($L260,Data_Validation!$A:$D,4,0)</f>
        <v>M/O Interne</v>
      </c>
      <c r="W260" s="656" t="str">
        <f>+VLOOKUP($L260,Data_Validation!$A:$E,5,0)</f>
        <v>$</v>
      </c>
      <c r="X260" s="656">
        <f>+VLOOKUP($L260,Data_Validation!$A:$F,6,0)</f>
        <v>0</v>
      </c>
    </row>
    <row r="261" spans="1:24" ht="15" customHeight="1">
      <c r="A261" s="1052" t="s">
        <v>3681</v>
      </c>
      <c r="B261" s="1052" t="s">
        <v>2160</v>
      </c>
      <c r="C261" s="1054">
        <v>18627.75</v>
      </c>
      <c r="D261" s="1054">
        <v>2193.19</v>
      </c>
      <c r="E261" s="1054">
        <v>20820.939999999999</v>
      </c>
      <c r="F261" s="1052" t="s">
        <v>1110</v>
      </c>
      <c r="G261" s="1052" t="s">
        <v>1131</v>
      </c>
      <c r="H261" s="1031"/>
      <c r="I261" s="1033"/>
      <c r="J261" s="1031"/>
      <c r="K261" s="1033"/>
      <c r="L261" s="653" t="str">
        <f t="shared" si="263"/>
        <v>5416</v>
      </c>
      <c r="M261" s="654" t="str">
        <f t="shared" si="260"/>
        <v>C/V - MAIN D'OEUVRE SVC NON APP - TOUS</v>
      </c>
      <c r="N261" s="655">
        <f>+IF(OR($Q261=Parametres!$G$2,$Q261=Parametres!$G$3),I261,C261)</f>
        <v>18627.75</v>
      </c>
      <c r="O261" s="655">
        <f>+IF(OR($Q261=Parametres!$G$2,$Q261=Parametres!$G$3),J261,D261)</f>
        <v>2193.19</v>
      </c>
      <c r="P261" s="655">
        <f>+IF(OR($Q261=Parametres!$G$2,$Q261=Parametres!$G$3),K261,E261)</f>
        <v>20820.939999999999</v>
      </c>
      <c r="Q261" s="654" t="str">
        <f t="shared" ref="Q261:S261" si="266">+F261</f>
        <v>6-Coût des ventes</v>
      </c>
      <c r="R261" s="653" t="str">
        <f t="shared" si="266"/>
        <v>4416</v>
      </c>
      <c r="S261" s="654">
        <f t="shared" si="266"/>
        <v>0</v>
      </c>
      <c r="T261" s="656" t="str">
        <f>+VLOOKUP($L261,Data_Validation!$A:$D,1,0)</f>
        <v>5416</v>
      </c>
      <c r="U261" s="656" t="str">
        <f>+VLOOKUP($L261,Data_Validation!$A:$D,3,0)</f>
        <v>Service</v>
      </c>
      <c r="V261" s="656" t="str">
        <f>+VLOOKUP($L261,Data_Validation!$A:$D,4,0)</f>
        <v>Ajustement M/O</v>
      </c>
      <c r="W261" s="656" t="str">
        <f>+VLOOKUP($L261,Data_Validation!$A:$E,5,0)</f>
        <v>$</v>
      </c>
      <c r="X261" s="656">
        <f>+VLOOKUP($L261,Data_Validation!$A:$F,6,0)</f>
        <v>0</v>
      </c>
    </row>
    <row r="262" spans="1:24" ht="15.75" customHeight="1">
      <c r="A262" s="1052" t="s">
        <v>1033</v>
      </c>
      <c r="B262" s="1052" t="s">
        <v>2166</v>
      </c>
      <c r="C262" s="1054">
        <v>187160.75</v>
      </c>
      <c r="D262" s="1054">
        <v>13158.91</v>
      </c>
      <c r="E262" s="1054">
        <v>200319.66</v>
      </c>
      <c r="F262" s="1052" t="s">
        <v>1110</v>
      </c>
      <c r="G262" s="1052" t="s">
        <v>1034</v>
      </c>
      <c r="H262" s="1031"/>
      <c r="I262" s="1033"/>
      <c r="J262" s="1031"/>
      <c r="K262" s="1033"/>
      <c r="L262" s="653" t="str">
        <f t="shared" si="263"/>
        <v>5451</v>
      </c>
      <c r="M262" s="654" t="str">
        <f t="shared" si="260"/>
        <v>CARBURANT/HUILE/GRAISSE</v>
      </c>
      <c r="N262" s="655">
        <f>+IF(OR($Q262=Parametres!$G$2,$Q262=Parametres!$G$3),I262,C262)</f>
        <v>187160.75</v>
      </c>
      <c r="O262" s="655">
        <f>+IF(OR($Q262=Parametres!$G$2,$Q262=Parametres!$G$3),J262,D262)</f>
        <v>13158.91</v>
      </c>
      <c r="P262" s="655">
        <f>+IF(OR($Q262=Parametres!$G$2,$Q262=Parametres!$G$3),K262,E262)</f>
        <v>200319.66</v>
      </c>
      <c r="Q262" s="654" t="str">
        <f t="shared" ref="Q262:S262" si="267">+F262</f>
        <v>6-Coût des ventes</v>
      </c>
      <c r="R262" s="653" t="str">
        <f t="shared" si="267"/>
        <v>4782</v>
      </c>
      <c r="S262" s="654">
        <f t="shared" si="267"/>
        <v>0</v>
      </c>
      <c r="T262" s="656" t="str">
        <f>+VLOOKUP($L262,Data_Validation!$A:$D,1,0)</f>
        <v>5451</v>
      </c>
      <c r="U262" s="656" t="str">
        <f>+VLOOKUP($L262,Data_Validation!$A:$D,3,0)</f>
        <v>Pièces</v>
      </c>
      <c r="V262" s="656" t="str">
        <f>+VLOOKUP($L262,Data_Validation!$A:$D,4,0)</f>
        <v>Huiles et Graisse</v>
      </c>
      <c r="W262" s="656" t="str">
        <f>+VLOOKUP($L262,Data_Validation!$A:$E,5,0)</f>
        <v>$</v>
      </c>
      <c r="X262" s="656">
        <f>+VLOOKUP($L262,Data_Validation!$A:$F,6,0)</f>
        <v>0</v>
      </c>
    </row>
    <row r="263" spans="1:24" ht="15" customHeight="1">
      <c r="A263" s="1052" t="s">
        <v>1036</v>
      </c>
      <c r="B263" s="1052" t="s">
        <v>2169</v>
      </c>
      <c r="C263" s="1054">
        <v>15309.84</v>
      </c>
      <c r="D263" s="1054">
        <v>2451</v>
      </c>
      <c r="E263" s="1054">
        <v>17760.84</v>
      </c>
      <c r="F263" s="1052" t="s">
        <v>1110</v>
      </c>
      <c r="G263" s="1052" t="s">
        <v>1037</v>
      </c>
      <c r="H263" s="1031"/>
      <c r="I263" s="1031"/>
      <c r="J263" s="1031"/>
      <c r="K263" s="1031"/>
      <c r="L263" s="653" t="str">
        <f t="shared" si="263"/>
        <v>5491</v>
      </c>
      <c r="M263" s="654" t="str">
        <f t="shared" si="260"/>
        <v>REPARATION SOUS-LOC. - GENERAL</v>
      </c>
      <c r="N263" s="655">
        <f>+IF(OR($Q263=Parametres!$G$2,$Q263=Parametres!$G$3),I263,C263)</f>
        <v>15309.84</v>
      </c>
      <c r="O263" s="655">
        <f>+IF(OR($Q263=Parametres!$G$2,$Q263=Parametres!$G$3),J263,D263)</f>
        <v>2451</v>
      </c>
      <c r="P263" s="655">
        <f>+IF(OR($Q263=Parametres!$G$2,$Q263=Parametres!$G$3),K263,E263)</f>
        <v>17760.84</v>
      </c>
      <c r="Q263" s="654" t="str">
        <f t="shared" ref="Q263:S263" si="268">+F263</f>
        <v>6-Coût des ventes</v>
      </c>
      <c r="R263" s="653" t="str">
        <f t="shared" si="268"/>
        <v>4491</v>
      </c>
      <c r="S263" s="654">
        <f t="shared" si="268"/>
        <v>0</v>
      </c>
      <c r="T263" s="656" t="str">
        <f>+VLOOKUP($L263,Data_Validation!$A:$D,1,0)</f>
        <v>5491</v>
      </c>
      <c r="U263" s="656" t="str">
        <f>+VLOOKUP($L263,Data_Validation!$A:$D,3,0)</f>
        <v>Service</v>
      </c>
      <c r="V263" s="656" t="str">
        <f>+VLOOKUP($L263,Data_Validation!$A:$D,4,0)</f>
        <v>Sous-traitement</v>
      </c>
      <c r="W263" s="656" t="str">
        <f>+VLOOKUP($L263,Data_Validation!$A:$E,5,0)</f>
        <v>$</v>
      </c>
      <c r="X263" s="656">
        <f>+VLOOKUP($L263,Data_Validation!$A:$F,6,0)</f>
        <v>0</v>
      </c>
    </row>
    <row r="264" spans="1:24" ht="15" customHeight="1">
      <c r="A264" s="1052" t="s">
        <v>1132</v>
      </c>
      <c r="B264" s="1052" t="s">
        <v>2172</v>
      </c>
      <c r="C264" s="1054">
        <v>18322.73</v>
      </c>
      <c r="D264" s="1054">
        <v>6928</v>
      </c>
      <c r="E264" s="1054">
        <v>25250.73</v>
      </c>
      <c r="F264" s="1052" t="s">
        <v>1110</v>
      </c>
      <c r="G264" s="1052" t="s">
        <v>1040</v>
      </c>
      <c r="H264" s="1031"/>
      <c r="I264" s="1033"/>
      <c r="J264" s="1031"/>
      <c r="K264" s="1033"/>
      <c r="L264" s="653" t="str">
        <f t="shared" si="263"/>
        <v>5493</v>
      </c>
      <c r="M264" s="654" t="str">
        <f t="shared" si="260"/>
        <v>C/V - SOUS-TRAITANCE GARANTIE</v>
      </c>
      <c r="N264" s="655">
        <f>+IF(OR($Q264=Parametres!$G$2,$Q264=Parametres!$G$3),I264,C264)</f>
        <v>18322.73</v>
      </c>
      <c r="O264" s="655">
        <f>+IF(OR($Q264=Parametres!$G$2,$Q264=Parametres!$G$3),J264,D264)</f>
        <v>6928</v>
      </c>
      <c r="P264" s="655">
        <f>+IF(OR($Q264=Parametres!$G$2,$Q264=Parametres!$G$3),K264,E264)</f>
        <v>25250.73</v>
      </c>
      <c r="Q264" s="654" t="str">
        <f t="shared" ref="Q264:S264" si="269">+F264</f>
        <v>6-Coût des ventes</v>
      </c>
      <c r="R264" s="653" t="str">
        <f t="shared" si="269"/>
        <v>4493</v>
      </c>
      <c r="S264" s="654">
        <f t="shared" si="269"/>
        <v>0</v>
      </c>
      <c r="T264" s="656" t="str">
        <f>+VLOOKUP($L264,Data_Validation!$A:$D,1,0)</f>
        <v>5493</v>
      </c>
      <c r="U264" s="656" t="str">
        <f>+VLOOKUP($L264,Data_Validation!$A:$D,3,0)</f>
        <v>Service</v>
      </c>
      <c r="V264" s="656" t="str">
        <f>+VLOOKUP($L264,Data_Validation!$A:$D,4,0)</f>
        <v>Sous-traitement</v>
      </c>
      <c r="W264" s="656" t="str">
        <f>+VLOOKUP($L264,Data_Validation!$A:$E,5,0)</f>
        <v>$</v>
      </c>
      <c r="X264" s="656">
        <f>+VLOOKUP($L264,Data_Validation!$A:$F,6,0)</f>
        <v>0</v>
      </c>
    </row>
    <row r="265" spans="1:24" ht="15" customHeight="1">
      <c r="A265" s="1052" t="s">
        <v>1133</v>
      </c>
      <c r="B265" s="1052" t="s">
        <v>2175</v>
      </c>
      <c r="C265" s="1054">
        <v>170571.8</v>
      </c>
      <c r="D265" s="1054">
        <v>9741.6</v>
      </c>
      <c r="E265" s="1054">
        <v>180313.4</v>
      </c>
      <c r="F265" s="1052" t="s">
        <v>1110</v>
      </c>
      <c r="G265" s="1052" t="s">
        <v>1044</v>
      </c>
      <c r="H265" s="1031"/>
      <c r="I265" s="1031"/>
      <c r="J265" s="1031"/>
      <c r="K265" s="1031"/>
      <c r="L265" s="653" t="str">
        <f t="shared" si="263"/>
        <v>5495</v>
      </c>
      <c r="M265" s="654" t="str">
        <f t="shared" si="260"/>
        <v>C/V - SOUS-TRAITANCE INTERNE</v>
      </c>
      <c r="N265" s="655">
        <f>+IF(OR($Q265=Parametres!$G$2,$Q265=Parametres!$G$3),I265,C265)</f>
        <v>170571.8</v>
      </c>
      <c r="O265" s="655">
        <f>+IF(OR($Q265=Parametres!$G$2,$Q265=Parametres!$G$3),J265,D265)</f>
        <v>9741.6</v>
      </c>
      <c r="P265" s="655">
        <f>+IF(OR($Q265=Parametres!$G$2,$Q265=Parametres!$G$3),K265,E265)</f>
        <v>180313.4</v>
      </c>
      <c r="Q265" s="654" t="str">
        <f t="shared" ref="Q265:S265" si="270">+F265</f>
        <v>6-Coût des ventes</v>
      </c>
      <c r="R265" s="653" t="str">
        <f t="shared" si="270"/>
        <v>4495</v>
      </c>
      <c r="S265" s="654">
        <f t="shared" si="270"/>
        <v>0</v>
      </c>
      <c r="T265" s="656" t="str">
        <f>+VLOOKUP($L265,Data_Validation!$A:$D,1,0)</f>
        <v>5495</v>
      </c>
      <c r="U265" s="656" t="str">
        <f>+VLOOKUP($L265,Data_Validation!$A:$D,3,0)</f>
        <v>Service</v>
      </c>
      <c r="V265" s="656" t="str">
        <f>+VLOOKUP($L265,Data_Validation!$A:$D,4,0)</f>
        <v>Sous-traitement</v>
      </c>
      <c r="W265" s="656" t="str">
        <f>+VLOOKUP($L265,Data_Validation!$A:$E,5,0)</f>
        <v>$</v>
      </c>
      <c r="X265" s="656">
        <f>+VLOOKUP($L265,Data_Validation!$A:$F,6,0)</f>
        <v>0</v>
      </c>
    </row>
    <row r="266" spans="1:24" ht="15" customHeight="1">
      <c r="A266" s="1052" t="s">
        <v>1134</v>
      </c>
      <c r="B266" s="1052" t="s">
        <v>2184</v>
      </c>
      <c r="C266" s="1054">
        <v>179426.37</v>
      </c>
      <c r="D266" s="1054">
        <v>9233.16</v>
      </c>
      <c r="E266" s="1054">
        <v>188659.53</v>
      </c>
      <c r="F266" s="1052" t="s">
        <v>1110</v>
      </c>
      <c r="G266" s="1052" t="s">
        <v>1051</v>
      </c>
      <c r="H266" s="1031"/>
      <c r="I266" s="1033"/>
      <c r="J266" s="1031"/>
      <c r="K266" s="1033"/>
      <c r="L266" s="653" t="str">
        <f t="shared" si="263"/>
        <v>5591</v>
      </c>
      <c r="M266" s="654" t="str">
        <f t="shared" si="260"/>
        <v>C/V - S-TRAIT. CARR.</v>
      </c>
      <c r="N266" s="655">
        <f>+IF(OR($Q266=Parametres!$G$2,$Q266=Parametres!$G$3),I266,C266)</f>
        <v>179426.37</v>
      </c>
      <c r="O266" s="655">
        <f>+IF(OR($Q266=Parametres!$G$2,$Q266=Parametres!$G$3),J266,D266)</f>
        <v>9233.16</v>
      </c>
      <c r="P266" s="655">
        <f>+IF(OR($Q266=Parametres!$G$2,$Q266=Parametres!$G$3),K266,E266)</f>
        <v>188659.53</v>
      </c>
      <c r="Q266" s="654" t="str">
        <f t="shared" ref="Q266:S266" si="271">+F266</f>
        <v>6-Coût des ventes</v>
      </c>
      <c r="R266" s="653" t="str">
        <f t="shared" si="271"/>
        <v>4591</v>
      </c>
      <c r="S266" s="654">
        <f t="shared" si="271"/>
        <v>0</v>
      </c>
      <c r="T266" s="656" t="str">
        <f>+VLOOKUP($L266,Data_Validation!$A:$D,1,0)</f>
        <v>5591</v>
      </c>
      <c r="U266" s="656" t="str">
        <f>+VLOOKUP($L266,Data_Validation!$A:$D,3,0)</f>
        <v>Carrosserie</v>
      </c>
      <c r="V266" s="656" t="str">
        <f>+VLOOKUP($L266,Data_Validation!$A:$D,4,0)</f>
        <v>M/O Sous-traitement</v>
      </c>
      <c r="W266" s="656" t="str">
        <f>+VLOOKUP($L266,Data_Validation!$A:$E,5,0)</f>
        <v>$</v>
      </c>
      <c r="X266" s="656">
        <f>+VLOOKUP($L266,Data_Validation!$A:$F,6,0)</f>
        <v>0</v>
      </c>
    </row>
    <row r="267" spans="1:24" ht="15" customHeight="1">
      <c r="A267" s="1052" t="s">
        <v>1135</v>
      </c>
      <c r="B267" s="1052" t="s">
        <v>2187</v>
      </c>
      <c r="C267" s="1054">
        <v>632488.54</v>
      </c>
      <c r="D267" s="1054">
        <v>45682.63</v>
      </c>
      <c r="E267" s="1054">
        <v>678171.17</v>
      </c>
      <c r="F267" s="1052" t="s">
        <v>1110</v>
      </c>
      <c r="G267" s="1052" t="s">
        <v>1055</v>
      </c>
      <c r="H267" s="1031"/>
      <c r="I267" s="1033"/>
      <c r="J267" s="1031"/>
      <c r="K267" s="1033"/>
      <c r="L267" s="653" t="str">
        <f t="shared" si="263"/>
        <v>5593</v>
      </c>
      <c r="M267" s="654" t="str">
        <f t="shared" si="260"/>
        <v>C/V - S-TRAIT.GARANTIE CARROS.</v>
      </c>
      <c r="N267" s="655">
        <f>+IF(OR($Q267=Parametres!$G$2,$Q267=Parametres!$G$3),I267,C267)</f>
        <v>632488.54</v>
      </c>
      <c r="O267" s="655">
        <f>+IF(OR($Q267=Parametres!$G$2,$Q267=Parametres!$G$3),J267,D267)</f>
        <v>45682.63</v>
      </c>
      <c r="P267" s="655">
        <f>+IF(OR($Q267=Parametres!$G$2,$Q267=Parametres!$G$3),K267,E267)</f>
        <v>678171.17</v>
      </c>
      <c r="Q267" s="654" t="str">
        <f t="shared" ref="Q267:S267" si="272">+F267</f>
        <v>6-Coût des ventes</v>
      </c>
      <c r="R267" s="653" t="str">
        <f t="shared" si="272"/>
        <v>4593</v>
      </c>
      <c r="S267" s="654">
        <f t="shared" si="272"/>
        <v>0</v>
      </c>
      <c r="T267" s="656" t="str">
        <f>+VLOOKUP($L267,Data_Validation!$A:$D,1,0)</f>
        <v>5593</v>
      </c>
      <c r="U267" s="656" t="str">
        <f>+VLOOKUP($L267,Data_Validation!$A:$D,3,0)</f>
        <v>Carrosserie</v>
      </c>
      <c r="V267" s="656" t="str">
        <f>+VLOOKUP($L267,Data_Validation!$A:$D,4,0)</f>
        <v>M/O Sous-traitement</v>
      </c>
      <c r="W267" s="656" t="str">
        <f>+VLOOKUP($L267,Data_Validation!$A:$E,5,0)</f>
        <v>$</v>
      </c>
      <c r="X267" s="656">
        <f>+VLOOKUP($L267,Data_Validation!$A:$F,6,0)</f>
        <v>0</v>
      </c>
    </row>
    <row r="268" spans="1:24" ht="15" customHeight="1">
      <c r="A268" s="1052" t="s">
        <v>1136</v>
      </c>
      <c r="B268" s="1052" t="s">
        <v>2190</v>
      </c>
      <c r="C268" s="1054">
        <v>51368.12</v>
      </c>
      <c r="D268" s="1054">
        <v>3535.22</v>
      </c>
      <c r="E268" s="1054">
        <v>54903.34</v>
      </c>
      <c r="F268" s="1052" t="s">
        <v>1110</v>
      </c>
      <c r="G268" s="1052" t="s">
        <v>1059</v>
      </c>
      <c r="H268" s="1031"/>
      <c r="I268" s="1031"/>
      <c r="J268" s="1031"/>
      <c r="K268" s="1031"/>
      <c r="L268" s="653" t="str">
        <f t="shared" si="263"/>
        <v>5595</v>
      </c>
      <c r="M268" s="654" t="str">
        <f t="shared" si="260"/>
        <v>C/V - S-TRAIT.INTERNE CARROS.</v>
      </c>
      <c r="N268" s="655">
        <f>+IF(OR($Q268=Parametres!$G$2,$Q268=Parametres!$G$3),I268,C268)</f>
        <v>51368.12</v>
      </c>
      <c r="O268" s="655">
        <f>+IF(OR($Q268=Parametres!$G$2,$Q268=Parametres!$G$3),J268,D268)</f>
        <v>3535.22</v>
      </c>
      <c r="P268" s="655">
        <f>+IF(OR($Q268=Parametres!$G$2,$Q268=Parametres!$G$3),K268,E268)</f>
        <v>54903.34</v>
      </c>
      <c r="Q268" s="654" t="str">
        <f t="shared" ref="Q268:S268" si="273">+F268</f>
        <v>6-Coût des ventes</v>
      </c>
      <c r="R268" s="653" t="str">
        <f t="shared" si="273"/>
        <v>4595</v>
      </c>
      <c r="S268" s="654">
        <f t="shared" si="273"/>
        <v>0</v>
      </c>
      <c r="T268" s="656" t="str">
        <f>+VLOOKUP($L268,Data_Validation!$A:$D,1,0)</f>
        <v>5595</v>
      </c>
      <c r="U268" s="656" t="str">
        <f>+VLOOKUP($L268,Data_Validation!$A:$D,3,0)</f>
        <v>Carrosserie</v>
      </c>
      <c r="V268" s="656" t="str">
        <f>+VLOOKUP($L268,Data_Validation!$A:$D,4,0)</f>
        <v>M/O Sous-traitement</v>
      </c>
      <c r="W268" s="656" t="str">
        <f>+VLOOKUP($L268,Data_Validation!$A:$E,5,0)</f>
        <v>$</v>
      </c>
      <c r="X268" s="656">
        <f>+VLOOKUP($L268,Data_Validation!$A:$F,6,0)</f>
        <v>0</v>
      </c>
    </row>
    <row r="269" spans="1:24" ht="15" customHeight="1">
      <c r="A269" s="1052" t="s">
        <v>3674</v>
      </c>
      <c r="B269" s="1052" t="s">
        <v>2193</v>
      </c>
      <c r="C269" s="1054">
        <v>539344.22</v>
      </c>
      <c r="D269" s="1054">
        <v>51502.47</v>
      </c>
      <c r="E269" s="1054">
        <v>590846.68999999994</v>
      </c>
      <c r="F269" s="1052" t="s">
        <v>1110</v>
      </c>
      <c r="G269" s="1052" t="s">
        <v>1063</v>
      </c>
      <c r="H269" s="1031"/>
      <c r="I269" s="1033"/>
      <c r="J269" s="1031"/>
      <c r="K269" s="1033"/>
      <c r="L269" s="653" t="str">
        <f t="shared" si="263"/>
        <v>5701</v>
      </c>
      <c r="M269" s="654" t="str">
        <f t="shared" si="260"/>
        <v>VW P&amp;A - BR - CLIENT - MCI</v>
      </c>
      <c r="N269" s="655">
        <f>+IF(OR($Q269=Parametres!$G$2,$Q269=Parametres!$G$3),I269,C269)</f>
        <v>539344.22</v>
      </c>
      <c r="O269" s="655">
        <f>+IF(OR($Q269=Parametres!$G$2,$Q269=Parametres!$G$3),J269,D269)</f>
        <v>51502.47</v>
      </c>
      <c r="P269" s="655">
        <f>+IF(OR($Q269=Parametres!$G$2,$Q269=Parametres!$G$3),K269,E269)</f>
        <v>590846.68999999994</v>
      </c>
      <c r="Q269" s="654" t="str">
        <f t="shared" ref="Q269:S269" si="274">+F269</f>
        <v>6-Coût des ventes</v>
      </c>
      <c r="R269" s="653" t="str">
        <f t="shared" si="274"/>
        <v>4701</v>
      </c>
      <c r="S269" s="654">
        <f t="shared" si="274"/>
        <v>0</v>
      </c>
      <c r="T269" s="656" t="str">
        <f>+VLOOKUP($L269,Data_Validation!$A:$D,1,0)</f>
        <v>5701</v>
      </c>
      <c r="U269" s="656" t="str">
        <f>+VLOOKUP($L269,Data_Validation!$A:$D,3,0)</f>
        <v>Pièces</v>
      </c>
      <c r="V269" s="656" t="str">
        <f>+VLOOKUP($L269,Data_Validation!$A:$D,4,0)</f>
        <v>Pièces Ro Clients</v>
      </c>
      <c r="W269" s="656" t="str">
        <f>+VLOOKUP($L269,Data_Validation!$A:$E,5,0)</f>
        <v>$</v>
      </c>
      <c r="X269" s="656">
        <f>+VLOOKUP($L269,Data_Validation!$A:$F,6,0)</f>
        <v>0</v>
      </c>
    </row>
    <row r="270" spans="1:24" ht="15" customHeight="1">
      <c r="A270" s="1052" t="s">
        <v>1138</v>
      </c>
      <c r="B270" s="1052" t="s">
        <v>2196</v>
      </c>
      <c r="C270" s="1054">
        <v>5324.19</v>
      </c>
      <c r="D270" s="1054">
        <v>219.93</v>
      </c>
      <c r="E270" s="1054">
        <v>5544.12</v>
      </c>
      <c r="F270" s="1052" t="s">
        <v>1110</v>
      </c>
      <c r="G270" s="1052" t="s">
        <v>1067</v>
      </c>
      <c r="H270" s="1031"/>
      <c r="I270" s="1033"/>
      <c r="J270" s="1031"/>
      <c r="K270" s="1033"/>
      <c r="L270" s="653" t="str">
        <f t="shared" si="263"/>
        <v>5702</v>
      </c>
      <c r="M270" s="654" t="str">
        <f t="shared" si="260"/>
        <v>C/V - SHOP SUPPLY VW</v>
      </c>
      <c r="N270" s="655">
        <f>+IF(OR($Q270=Parametres!$G$2,$Q270=Parametres!$G$3),I270,C270)</f>
        <v>5324.19</v>
      </c>
      <c r="O270" s="659">
        <f>+IF(OR($Q270=Parametres!$G$2,$Q270=Parametres!$G$3),J270,D270)</f>
        <v>219.93</v>
      </c>
      <c r="P270" s="655">
        <f>+IF(OR($Q270=Parametres!$G$2,$Q270=Parametres!$G$3),K270,E270)</f>
        <v>5544.12</v>
      </c>
      <c r="Q270" s="654" t="str">
        <f t="shared" ref="Q270:S270" si="275">+F270</f>
        <v>6-Coût des ventes</v>
      </c>
      <c r="R270" s="653" t="str">
        <f t="shared" si="275"/>
        <v>4702</v>
      </c>
      <c r="S270" s="654">
        <f t="shared" si="275"/>
        <v>0</v>
      </c>
      <c r="T270" s="656" t="str">
        <f>+VLOOKUP($L270,Data_Validation!$A:$D,1,0)</f>
        <v>5702</v>
      </c>
      <c r="U270" s="656" t="str">
        <f>+VLOOKUP($L270,Data_Validation!$A:$D,3,0)</f>
        <v>Service</v>
      </c>
      <c r="V270" s="656" t="str">
        <f>+VLOOKUP($L270,Data_Validation!$A:$D,4,0)</f>
        <v>M/O Client</v>
      </c>
      <c r="W270" s="656" t="str">
        <f>+VLOOKUP($L270,Data_Validation!$A:$E,5,0)</f>
        <v>$</v>
      </c>
      <c r="X270" s="656">
        <f>+VLOOKUP($L270,Data_Validation!$A:$F,6,0)</f>
        <v>0</v>
      </c>
    </row>
    <row r="271" spans="1:24" ht="15" customHeight="1">
      <c r="A271" s="1052" t="s">
        <v>3675</v>
      </c>
      <c r="B271" s="1052" t="s">
        <v>2199</v>
      </c>
      <c r="C271" s="1054">
        <v>495564.84</v>
      </c>
      <c r="D271" s="1054">
        <v>41455.96</v>
      </c>
      <c r="E271" s="1054">
        <v>537020.80000000005</v>
      </c>
      <c r="F271" s="1052" t="s">
        <v>1110</v>
      </c>
      <c r="G271" s="1052" t="s">
        <v>1069</v>
      </c>
      <c r="H271" s="1031"/>
      <c r="I271" s="1031"/>
      <c r="J271" s="1031"/>
      <c r="K271" s="1031"/>
      <c r="L271" s="653" t="str">
        <f t="shared" si="263"/>
        <v>5703</v>
      </c>
      <c r="M271" s="654" t="str">
        <f t="shared" si="260"/>
        <v>VW P&amp;A - BR - GARANTIE - MCI</v>
      </c>
      <c r="N271" s="655">
        <f>+IF(OR($Q271=Parametres!$G$2,$Q271=Parametres!$G$3),I271,C271)</f>
        <v>495564.84</v>
      </c>
      <c r="O271" s="659">
        <f>+IF(OR($Q271=Parametres!$G$2,$Q271=Parametres!$G$3),J271,D271)</f>
        <v>41455.96</v>
      </c>
      <c r="P271" s="655">
        <f>+IF(OR($Q271=Parametres!$G$2,$Q271=Parametres!$G$3),K271,E271)</f>
        <v>537020.80000000005</v>
      </c>
      <c r="Q271" s="654" t="str">
        <f t="shared" ref="Q271:S271" si="276">+F271</f>
        <v>6-Coût des ventes</v>
      </c>
      <c r="R271" s="653" t="str">
        <f t="shared" si="276"/>
        <v>4703</v>
      </c>
      <c r="S271" s="654">
        <f t="shared" si="276"/>
        <v>0</v>
      </c>
      <c r="T271" s="656" t="str">
        <f>+VLOOKUP($L271,Data_Validation!$A:$D,1,0)</f>
        <v>5703</v>
      </c>
      <c r="U271" s="656" t="str">
        <f>+VLOOKUP($L271,Data_Validation!$A:$D,3,0)</f>
        <v>Pièces</v>
      </c>
      <c r="V271" s="656" t="str">
        <f>+VLOOKUP($L271,Data_Validation!$A:$D,4,0)</f>
        <v>P/A Garantie</v>
      </c>
      <c r="W271" s="656" t="str">
        <f>+VLOOKUP($L271,Data_Validation!$A:$E,5,0)</f>
        <v>$</v>
      </c>
      <c r="X271" s="656">
        <f>+VLOOKUP($L271,Data_Validation!$A:$F,6,0)</f>
        <v>0</v>
      </c>
    </row>
    <row r="272" spans="1:24" ht="15.75" customHeight="1">
      <c r="A272" s="1052" t="s">
        <v>3676</v>
      </c>
      <c r="B272" s="1052" t="s">
        <v>2202</v>
      </c>
      <c r="C272" s="1054">
        <v>332704.98</v>
      </c>
      <c r="D272" s="1054">
        <v>24567.599999999999</v>
      </c>
      <c r="E272" s="1054">
        <v>357272.58</v>
      </c>
      <c r="F272" s="1052" t="s">
        <v>1110</v>
      </c>
      <c r="G272" s="1052" t="s">
        <v>1073</v>
      </c>
      <c r="H272" s="1031"/>
      <c r="I272" s="1033"/>
      <c r="J272" s="1031"/>
      <c r="K272" s="1033"/>
      <c r="L272" s="653" t="str">
        <f t="shared" si="263"/>
        <v>5705</v>
      </c>
      <c r="M272" s="654" t="str">
        <f t="shared" si="260"/>
        <v>VW P&amp;A - BR - INTERNE - MCI</v>
      </c>
      <c r="N272" s="655">
        <f>+IF(OR($Q272=Parametres!$G$2,$Q272=Parametres!$G$3),I272,C272)</f>
        <v>332704.98</v>
      </c>
      <c r="O272" s="659">
        <f>+IF(OR($Q272=Parametres!$G$2,$Q272=Parametres!$G$3),J272,D272)</f>
        <v>24567.599999999999</v>
      </c>
      <c r="P272" s="655">
        <f>+IF(OR($Q272=Parametres!$G$2,$Q272=Parametres!$G$3),K272,E272)</f>
        <v>357272.58</v>
      </c>
      <c r="Q272" s="654" t="str">
        <f t="shared" ref="Q272:S272" si="277">+F272</f>
        <v>6-Coût des ventes</v>
      </c>
      <c r="R272" s="653" t="str">
        <f t="shared" si="277"/>
        <v>4705</v>
      </c>
      <c r="S272" s="654">
        <f t="shared" si="277"/>
        <v>0</v>
      </c>
      <c r="T272" s="656" t="str">
        <f>+VLOOKUP($L272,Data_Validation!$A:$D,1,0)</f>
        <v>5705</v>
      </c>
      <c r="U272" s="656" t="str">
        <f>+VLOOKUP($L272,Data_Validation!$A:$D,3,0)</f>
        <v>Pièces</v>
      </c>
      <c r="V272" s="656" t="str">
        <f>+VLOOKUP($L272,Data_Validation!$A:$D,4,0)</f>
        <v>Ventes Internes</v>
      </c>
      <c r="W272" s="656" t="str">
        <f>+VLOOKUP($L272,Data_Validation!$A:$E,5,0)</f>
        <v>$</v>
      </c>
      <c r="X272" s="656">
        <f>+VLOOKUP($L272,Data_Validation!$A:$F,6,0)</f>
        <v>0</v>
      </c>
    </row>
    <row r="273" spans="1:24" ht="15" customHeight="1">
      <c r="A273" s="1052" t="s">
        <v>3677</v>
      </c>
      <c r="B273" s="1052" t="s">
        <v>2205</v>
      </c>
      <c r="C273" s="1054">
        <v>5848.68</v>
      </c>
      <c r="D273" s="1054">
        <v>68.62</v>
      </c>
      <c r="E273" s="1054">
        <v>5917.3</v>
      </c>
      <c r="F273" s="1052" t="s">
        <v>1110</v>
      </c>
      <c r="G273" s="1052" t="s">
        <v>1076</v>
      </c>
      <c r="H273" s="1031"/>
      <c r="I273" s="1032"/>
      <c r="J273" s="1032"/>
      <c r="K273" s="1032"/>
      <c r="L273" s="653" t="str">
        <f t="shared" si="263"/>
        <v>5706</v>
      </c>
      <c r="M273" s="654" t="str">
        <f t="shared" si="260"/>
        <v>VW P&amp;A - BR - CLIENT - VEB</v>
      </c>
      <c r="N273" s="655">
        <f>+IF(OR($Q273=Parametres!$G$2,$Q273=Parametres!$G$3),I273,C273)</f>
        <v>5848.68</v>
      </c>
      <c r="O273" s="659">
        <f>+IF(OR($Q273=Parametres!$G$2,$Q273=Parametres!$G$3),J273,D273)</f>
        <v>68.62</v>
      </c>
      <c r="P273" s="655">
        <f>+IF(OR($Q273=Parametres!$G$2,$Q273=Parametres!$G$3),K273,E273)</f>
        <v>5917.3</v>
      </c>
      <c r="Q273" s="654" t="str">
        <f t="shared" ref="Q273:S273" si="278">+F273</f>
        <v>6-Coût des ventes</v>
      </c>
      <c r="R273" s="653" t="str">
        <f t="shared" si="278"/>
        <v>4706</v>
      </c>
      <c r="S273" s="654">
        <f t="shared" si="278"/>
        <v>0</v>
      </c>
      <c r="T273" s="656" t="str">
        <f>+VLOOKUP($L273,Data_Validation!$A:$D,1,0)</f>
        <v>5706</v>
      </c>
      <c r="U273" s="656" t="str">
        <f>+VLOOKUP($L273,Data_Validation!$A:$D,3,0)</f>
        <v>Service</v>
      </c>
      <c r="V273" s="656" t="str">
        <f>+VLOOKUP($L273,Data_Validation!$A:$D,4,0)</f>
        <v>M/O Interne</v>
      </c>
      <c r="W273" s="656" t="str">
        <f>+VLOOKUP($L273,Data_Validation!$A:$E,5,0)</f>
        <v>$</v>
      </c>
      <c r="X273" s="656">
        <f>+VLOOKUP($L273,Data_Validation!$A:$F,6,0)</f>
        <v>0</v>
      </c>
    </row>
    <row r="274" spans="1:24" ht="15" customHeight="1">
      <c r="A274" s="1052" t="s">
        <v>1141</v>
      </c>
      <c r="B274" s="1052" t="s">
        <v>2208</v>
      </c>
      <c r="C274" s="1054">
        <v>20099.38</v>
      </c>
      <c r="D274" s="1054">
        <v>1445.54</v>
      </c>
      <c r="E274" s="1054">
        <v>21544.92</v>
      </c>
      <c r="F274" s="1052" t="s">
        <v>1110</v>
      </c>
      <c r="G274" s="1052" t="s">
        <v>1142</v>
      </c>
      <c r="H274" s="1031"/>
      <c r="I274" s="1032"/>
      <c r="J274" s="1032"/>
      <c r="K274" s="1032"/>
      <c r="L274" s="653" t="str">
        <f t="shared" si="263"/>
        <v>5711</v>
      </c>
      <c r="M274" s="654" t="str">
        <f t="shared" si="260"/>
        <v>C/V - AUTRE PIECE/ACC/CARR B.R. CLIENT</v>
      </c>
      <c r="N274" s="655">
        <f>+IF(OR($Q274=Parametres!$G$2,$Q274=Parametres!$G$3),I274,C274)</f>
        <v>20099.38</v>
      </c>
      <c r="O274" s="659">
        <f>+IF(OR($Q274=Parametres!$G$2,$Q274=Parametres!$G$3),J274,D274)</f>
        <v>1445.54</v>
      </c>
      <c r="P274" s="655">
        <f>+IF(OR($Q274=Parametres!$G$2,$Q274=Parametres!$G$3),K274,E274)</f>
        <v>21544.92</v>
      </c>
      <c r="Q274" s="654" t="str">
        <f t="shared" ref="Q274:S274" si="279">+F274</f>
        <v>6-Coût des ventes</v>
      </c>
      <c r="R274" s="653" t="str">
        <f t="shared" si="279"/>
        <v>4711</v>
      </c>
      <c r="S274" s="654">
        <f t="shared" si="279"/>
        <v>0</v>
      </c>
      <c r="T274" s="656" t="str">
        <f>+VLOOKUP($L274,Data_Validation!$A:$D,1,0)</f>
        <v>5711</v>
      </c>
      <c r="U274" s="656" t="str">
        <f>+VLOOKUP($L274,Data_Validation!$A:$D,3,0)</f>
        <v>Pièces</v>
      </c>
      <c r="V274" s="656" t="str">
        <f>+VLOOKUP($L274,Data_Validation!$A:$D,4,0)</f>
        <v>Pièces Ro Clients</v>
      </c>
      <c r="W274" s="656" t="str">
        <f>+VLOOKUP($L274,Data_Validation!$A:$E,5,0)</f>
        <v>$</v>
      </c>
      <c r="X274" s="656">
        <f>+VLOOKUP($L274,Data_Validation!$A:$F,6,0)</f>
        <v>0</v>
      </c>
    </row>
    <row r="275" spans="1:24" ht="15" customHeight="1">
      <c r="A275" s="1052" t="s">
        <v>1143</v>
      </c>
      <c r="B275" s="1052" t="s">
        <v>3387</v>
      </c>
      <c r="C275" s="1054">
        <v>189.83</v>
      </c>
      <c r="D275" s="1054">
        <v>0</v>
      </c>
      <c r="E275" s="1054">
        <v>189.83</v>
      </c>
      <c r="F275" s="1052" t="s">
        <v>1110</v>
      </c>
      <c r="G275" s="1052" t="s">
        <v>3383</v>
      </c>
      <c r="H275" s="1031"/>
      <c r="I275" s="1032"/>
      <c r="J275" s="1032"/>
      <c r="K275" s="1032"/>
      <c r="L275" s="653" t="str">
        <f t="shared" si="263"/>
        <v>5715</v>
      </c>
      <c r="M275" s="654" t="str">
        <f t="shared" si="260"/>
        <v>C/V - AUTRE PIECE/ACC/CARR B.R. INTERNE</v>
      </c>
      <c r="N275" s="655">
        <f>+IF(OR($Q275=Parametres!$G$2,$Q275=Parametres!$G$3),I275,C275)</f>
        <v>189.83</v>
      </c>
      <c r="O275" s="659">
        <f>+IF(OR($Q275=Parametres!$G$2,$Q275=Parametres!$G$3),J275,D275)</f>
        <v>0</v>
      </c>
      <c r="P275" s="655">
        <f>+IF(OR($Q275=Parametres!$G$2,$Q275=Parametres!$G$3),K275,E275)</f>
        <v>189.83</v>
      </c>
      <c r="Q275" s="654" t="str">
        <f t="shared" ref="Q275:S275" si="280">+F275</f>
        <v>6-Coût des ventes</v>
      </c>
      <c r="R275" s="653" t="str">
        <f t="shared" si="280"/>
        <v>4715</v>
      </c>
      <c r="S275" s="654">
        <f t="shared" si="280"/>
        <v>0</v>
      </c>
      <c r="T275" s="656" t="str">
        <f>+VLOOKUP($L275,Data_Validation!$A:$D,1,0)</f>
        <v>5715</v>
      </c>
      <c r="U275" s="656" t="str">
        <f>+VLOOKUP($L275,Data_Validation!$A:$D,3,0)</f>
        <v>Pièces</v>
      </c>
      <c r="V275" s="656" t="str">
        <f>+VLOOKUP($L275,Data_Validation!$A:$D,4,0)</f>
        <v>Ventes Internes</v>
      </c>
      <c r="W275" s="656" t="str">
        <f>+VLOOKUP($L275,Data_Validation!$A:$E,5,0)</f>
        <v>$</v>
      </c>
      <c r="X275" s="656">
        <f>+VLOOKUP($L275,Data_Validation!$A:$F,6,0)</f>
        <v>0</v>
      </c>
    </row>
    <row r="276" spans="1:24" ht="15" customHeight="1">
      <c r="A276" s="1052" t="s">
        <v>3678</v>
      </c>
      <c r="B276" s="1052" t="s">
        <v>2214</v>
      </c>
      <c r="C276" s="1054">
        <v>74159.25</v>
      </c>
      <c r="D276" s="1054">
        <v>2531.7600000000002</v>
      </c>
      <c r="E276" s="1054">
        <v>76691.009999999995</v>
      </c>
      <c r="F276" s="1052" t="s">
        <v>1110</v>
      </c>
      <c r="G276" s="1052" t="s">
        <v>1086</v>
      </c>
      <c r="H276" s="1031"/>
      <c r="I276" s="1032"/>
      <c r="J276" s="1032"/>
      <c r="K276" s="1032"/>
      <c r="L276" s="653" t="str">
        <f t="shared" si="263"/>
        <v>5731</v>
      </c>
      <c r="M276" s="654" t="str">
        <f t="shared" si="260"/>
        <v>VW-P&amp;A-P&amp;BRO-CLIENT - MCI</v>
      </c>
      <c r="N276" s="655">
        <f>+IF(OR($Q276=Parametres!$G$2,$Q276=Parametres!$G$3),I276,C276)</f>
        <v>74159.25</v>
      </c>
      <c r="O276" s="659">
        <f>+IF(OR($Q276=Parametres!$G$2,$Q276=Parametres!$G$3),J276,D276)</f>
        <v>2531.7600000000002</v>
      </c>
      <c r="P276" s="655">
        <f>+IF(OR($Q276=Parametres!$G$2,$Q276=Parametres!$G$3),K276,E276)</f>
        <v>76691.009999999995</v>
      </c>
      <c r="Q276" s="654" t="str">
        <f t="shared" ref="Q276:S276" si="281">+F276</f>
        <v>6-Coût des ventes</v>
      </c>
      <c r="R276" s="653" t="str">
        <f t="shared" si="281"/>
        <v>4731</v>
      </c>
      <c r="S276" s="654">
        <f t="shared" si="281"/>
        <v>0</v>
      </c>
      <c r="T276" s="656" t="str">
        <f>+VLOOKUP($L276,Data_Validation!$A:$D,1,0)</f>
        <v>5731</v>
      </c>
      <c r="U276" s="656" t="str">
        <f>+VLOOKUP($L276,Data_Validation!$A:$D,3,0)</f>
        <v>Pièces</v>
      </c>
      <c r="V276" s="656" t="str">
        <f>+VLOOKUP($L276,Data_Validation!$A:$D,4,0)</f>
        <v>Pièces Ro Carrosserie</v>
      </c>
      <c r="W276" s="656" t="str">
        <f>+VLOOKUP($L276,Data_Validation!$A:$E,5,0)</f>
        <v>$</v>
      </c>
      <c r="X276" s="656">
        <f>+VLOOKUP($L276,Data_Validation!$A:$F,6,0)</f>
        <v>0</v>
      </c>
    </row>
    <row r="277" spans="1:24" ht="15" customHeight="1">
      <c r="A277" s="1052" t="s">
        <v>3679</v>
      </c>
      <c r="B277" s="1052" t="s">
        <v>2217</v>
      </c>
      <c r="C277" s="1054">
        <v>385030.95</v>
      </c>
      <c r="D277" s="1054">
        <v>26802.7</v>
      </c>
      <c r="E277" s="1054">
        <v>411833.65</v>
      </c>
      <c r="F277" s="1052" t="s">
        <v>1110</v>
      </c>
      <c r="G277" s="1052" t="s">
        <v>1090</v>
      </c>
      <c r="H277" s="1031"/>
      <c r="I277" s="1032"/>
      <c r="J277" s="1032"/>
      <c r="K277" s="1032"/>
      <c r="L277" s="653" t="str">
        <f t="shared" si="263"/>
        <v>5733</v>
      </c>
      <c r="M277" s="654" t="str">
        <f t="shared" si="260"/>
        <v>VW-P&amp;A-P&amp;BRO-GARANTIE - MCI</v>
      </c>
      <c r="N277" s="655">
        <f>+IF(OR($Q277=Parametres!$G$2,$Q277=Parametres!$G$3),I277,C277)</f>
        <v>385030.95</v>
      </c>
      <c r="O277" s="659">
        <f>+IF(OR($Q277=Parametres!$G$2,$Q277=Parametres!$G$3),J277,D277)</f>
        <v>26802.7</v>
      </c>
      <c r="P277" s="655">
        <f>+IF(OR($Q277=Parametres!$G$2,$Q277=Parametres!$G$3),K277,E277)</f>
        <v>411833.65</v>
      </c>
      <c r="Q277" s="654" t="str">
        <f t="shared" ref="Q277:S277" si="282">+F277</f>
        <v>6-Coût des ventes</v>
      </c>
      <c r="R277" s="653" t="str">
        <f t="shared" si="282"/>
        <v>4733</v>
      </c>
      <c r="S277" s="654">
        <f t="shared" si="282"/>
        <v>0</v>
      </c>
      <c r="T277" s="656" t="str">
        <f>+VLOOKUP($L277,Data_Validation!$A:$D,1,0)</f>
        <v>5733</v>
      </c>
      <c r="U277" s="656" t="str">
        <f>+VLOOKUP($L277,Data_Validation!$A:$D,3,0)</f>
        <v>Pièces</v>
      </c>
      <c r="V277" s="656" t="str">
        <f>+VLOOKUP($L277,Data_Validation!$A:$D,4,0)</f>
        <v>Pièces Ro Carrosserie</v>
      </c>
      <c r="W277" s="656" t="str">
        <f>+VLOOKUP($L277,Data_Validation!$A:$E,5,0)</f>
        <v>$</v>
      </c>
      <c r="X277" s="656">
        <f>+VLOOKUP($L277,Data_Validation!$A:$F,6,0)</f>
        <v>0</v>
      </c>
    </row>
    <row r="278" spans="1:24" ht="15" customHeight="1">
      <c r="A278" s="1052" t="s">
        <v>3680</v>
      </c>
      <c r="B278" s="1052" t="s">
        <v>2220</v>
      </c>
      <c r="C278" s="1054">
        <v>10014.44</v>
      </c>
      <c r="D278" s="1054">
        <v>194.62</v>
      </c>
      <c r="E278" s="1054">
        <v>10209.06</v>
      </c>
      <c r="F278" s="1052" t="s">
        <v>1110</v>
      </c>
      <c r="G278" s="1052" t="s">
        <v>1094</v>
      </c>
      <c r="H278" s="1031"/>
      <c r="I278" s="1032"/>
      <c r="J278" s="1032"/>
      <c r="K278" s="1032"/>
      <c r="L278" s="653" t="str">
        <f t="shared" si="263"/>
        <v>5735</v>
      </c>
      <c r="M278" s="654" t="str">
        <f t="shared" si="260"/>
        <v>VW-P&amp;A-P&amp;BRO-INTERNE - MCI</v>
      </c>
      <c r="N278" s="655">
        <f>+IF(OR($Q278=Parametres!$G$2,$Q278=Parametres!$G$3),I278,C278)</f>
        <v>10014.44</v>
      </c>
      <c r="O278" s="659">
        <f>+IF(OR($Q278=Parametres!$G$2,$Q278=Parametres!$G$3),J278,D278)</f>
        <v>194.62</v>
      </c>
      <c r="P278" s="655">
        <f>+IF(OR($Q278=Parametres!$G$2,$Q278=Parametres!$G$3),K278,E278)</f>
        <v>10209.06</v>
      </c>
      <c r="Q278" s="654" t="str">
        <f t="shared" ref="Q278:S278" si="283">+F278</f>
        <v>6-Coût des ventes</v>
      </c>
      <c r="R278" s="653" t="str">
        <f t="shared" si="283"/>
        <v>4735</v>
      </c>
      <c r="S278" s="654">
        <f t="shared" si="283"/>
        <v>0</v>
      </c>
      <c r="T278" s="656" t="str">
        <f>+VLOOKUP($L278,Data_Validation!$A:$D,1,0)</f>
        <v>5735</v>
      </c>
      <c r="U278" s="656" t="str">
        <f>+VLOOKUP($L278,Data_Validation!$A:$D,3,0)</f>
        <v>Pièces</v>
      </c>
      <c r="V278" s="656" t="str">
        <f>+VLOOKUP($L278,Data_Validation!$A:$D,4,0)</f>
        <v>Pièces Ro Carrosserie</v>
      </c>
      <c r="W278" s="656" t="str">
        <f>+VLOOKUP($L278,Data_Validation!$A:$E,5,0)</f>
        <v>$</v>
      </c>
      <c r="X278" s="656">
        <f>+VLOOKUP($L278,Data_Validation!$A:$F,6,0)</f>
        <v>0</v>
      </c>
    </row>
    <row r="279" spans="1:24" ht="15.75" customHeight="1">
      <c r="A279" s="1052" t="s">
        <v>1147</v>
      </c>
      <c r="B279" s="1052" t="s">
        <v>2223</v>
      </c>
      <c r="C279" s="1054">
        <v>137674.37</v>
      </c>
      <c r="D279" s="1054">
        <v>10790.48</v>
      </c>
      <c r="E279" s="1054">
        <v>148464.85</v>
      </c>
      <c r="F279" s="1052" t="s">
        <v>1110</v>
      </c>
      <c r="G279" s="1052" t="s">
        <v>1098</v>
      </c>
      <c r="H279" s="1031"/>
      <c r="I279" s="1032"/>
      <c r="J279" s="1032"/>
      <c r="K279" s="1032"/>
      <c r="L279" s="653" t="str">
        <f t="shared" si="263"/>
        <v>5761</v>
      </c>
      <c r="M279" s="654" t="str">
        <f t="shared" si="260"/>
        <v>C/V - P&amp;A VW COMPTOIR - DETAIL</v>
      </c>
      <c r="N279" s="655">
        <f>+IF(OR($Q279=Parametres!$G$2,$Q279=Parametres!$G$3),I279,C279)</f>
        <v>137674.37</v>
      </c>
      <c r="O279" s="659">
        <f>+IF(OR($Q279=Parametres!$G$2,$Q279=Parametres!$G$3),J279,D279)</f>
        <v>10790.48</v>
      </c>
      <c r="P279" s="655">
        <f>+IF(OR($Q279=Parametres!$G$2,$Q279=Parametres!$G$3),K279,E279)</f>
        <v>148464.85</v>
      </c>
      <c r="Q279" s="654" t="str">
        <f t="shared" ref="Q279:S279" si="284">+F279</f>
        <v>6-Coût des ventes</v>
      </c>
      <c r="R279" s="653" t="str">
        <f t="shared" si="284"/>
        <v>4761</v>
      </c>
      <c r="S279" s="654">
        <f t="shared" si="284"/>
        <v>0</v>
      </c>
      <c r="T279" s="656" t="str">
        <f>+VLOOKUP($L279,Data_Validation!$A:$D,1,0)</f>
        <v>5761</v>
      </c>
      <c r="U279" s="656" t="str">
        <f>+VLOOKUP($L279,Data_Validation!$A:$D,3,0)</f>
        <v>Pièces</v>
      </c>
      <c r="V279" s="656" t="str">
        <f>+VLOOKUP($L279,Data_Validation!$A:$D,4,0)</f>
        <v>Ventes Détails</v>
      </c>
      <c r="W279" s="656" t="str">
        <f>+VLOOKUP($L279,Data_Validation!$A:$E,5,0)</f>
        <v>$</v>
      </c>
      <c r="X279" s="656">
        <f>+VLOOKUP($L279,Data_Validation!$A:$F,6,0)</f>
        <v>0</v>
      </c>
    </row>
    <row r="280" spans="1:24" ht="15" customHeight="1">
      <c r="A280" s="1052" t="s">
        <v>1148</v>
      </c>
      <c r="B280" s="1052" t="s">
        <v>2226</v>
      </c>
      <c r="C280" s="1054">
        <v>763062.29</v>
      </c>
      <c r="D280" s="1054">
        <v>71924.28</v>
      </c>
      <c r="E280" s="1054">
        <v>834986.57</v>
      </c>
      <c r="F280" s="1052" t="s">
        <v>1110</v>
      </c>
      <c r="G280" s="1052" t="s">
        <v>1102</v>
      </c>
      <c r="H280" s="1031"/>
      <c r="I280" s="1032"/>
      <c r="J280" s="1032"/>
      <c r="K280" s="1032"/>
      <c r="L280" s="653" t="str">
        <f t="shared" si="263"/>
        <v>5763</v>
      </c>
      <c r="M280" s="654" t="str">
        <f t="shared" si="260"/>
        <v>C/V - P&amp;A VW COMPTOIR GROS - ECHANGE</v>
      </c>
      <c r="N280" s="655">
        <f>+IF(OR($Q280=Parametres!$G$2,$Q280=Parametres!$G$3),I280,C280)</f>
        <v>763062.29</v>
      </c>
      <c r="O280" s="659">
        <f>+IF(OR($Q280=Parametres!$G$2,$Q280=Parametres!$G$3),J280,D280)</f>
        <v>71924.28</v>
      </c>
      <c r="P280" s="655">
        <f>+IF(OR($Q280=Parametres!$G$2,$Q280=Parametres!$G$3),K280,E280)</f>
        <v>834986.57</v>
      </c>
      <c r="Q280" s="654" t="str">
        <f t="shared" ref="Q280:S280" si="285">+F280</f>
        <v>6-Coût des ventes</v>
      </c>
      <c r="R280" s="653" t="str">
        <f t="shared" si="285"/>
        <v>4763</v>
      </c>
      <c r="S280" s="654">
        <f t="shared" si="285"/>
        <v>0</v>
      </c>
      <c r="T280" s="656" t="str">
        <f>+VLOOKUP($L280,Data_Validation!$A:$D,1,0)</f>
        <v>5763</v>
      </c>
      <c r="U280" s="656" t="str">
        <f>+VLOOKUP($L280,Data_Validation!$A:$D,3,0)</f>
        <v>Pièces</v>
      </c>
      <c r="V280" s="656" t="str">
        <f>+VLOOKUP($L280,Data_Validation!$A:$D,4,0)</f>
        <v>Ventes de Gros</v>
      </c>
      <c r="W280" s="656" t="str">
        <f>+VLOOKUP($L280,Data_Validation!$A:$E,5,0)</f>
        <v>$</v>
      </c>
      <c r="X280" s="656">
        <f>+VLOOKUP($L280,Data_Validation!$A:$F,6,0)</f>
        <v>0</v>
      </c>
    </row>
    <row r="281" spans="1:24" ht="15" customHeight="1">
      <c r="A281" s="1052" t="s">
        <v>1149</v>
      </c>
      <c r="B281" s="1052" t="s">
        <v>2229</v>
      </c>
      <c r="C281" s="1054">
        <v>382588.15999999997</v>
      </c>
      <c r="D281" s="1054">
        <v>42461.16</v>
      </c>
      <c r="E281" s="1054">
        <v>425049.32</v>
      </c>
      <c r="F281" s="1052" t="s">
        <v>1110</v>
      </c>
      <c r="G281" s="1052" t="s">
        <v>1106</v>
      </c>
      <c r="H281" s="1031"/>
      <c r="I281" s="1032"/>
      <c r="J281" s="1032"/>
      <c r="K281" s="1032"/>
      <c r="L281" s="653" t="str">
        <f t="shared" si="263"/>
        <v>5781</v>
      </c>
      <c r="M281" s="654" t="str">
        <f t="shared" si="260"/>
        <v>COUT PNEUS</v>
      </c>
      <c r="N281" s="655">
        <f>+IF(OR($Q281=Parametres!$G$2,$Q281=Parametres!$G$3),I281,C281)</f>
        <v>382588.15999999997</v>
      </c>
      <c r="O281" s="659">
        <f>+IF(OR($Q281=Parametres!$G$2,$Q281=Parametres!$G$3),J281,D281)</f>
        <v>42461.16</v>
      </c>
      <c r="P281" s="655">
        <f>+IF(OR($Q281=Parametres!$G$2,$Q281=Parametres!$G$3),K281,E281)</f>
        <v>425049.32</v>
      </c>
      <c r="Q281" s="654" t="str">
        <f t="shared" ref="Q281:S281" si="286">+F281</f>
        <v>6-Coût des ventes</v>
      </c>
      <c r="R281" s="653" t="str">
        <f t="shared" si="286"/>
        <v>4781</v>
      </c>
      <c r="S281" s="654">
        <f t="shared" si="286"/>
        <v>0</v>
      </c>
      <c r="T281" s="656" t="str">
        <f>+VLOOKUP($L281,Data_Validation!$A:$D,1,0)</f>
        <v>5781</v>
      </c>
      <c r="U281" s="656" t="str">
        <f>+VLOOKUP($L281,Data_Validation!$A:$D,3,0)</f>
        <v>Pièces</v>
      </c>
      <c r="V281" s="656" t="str">
        <f>+VLOOKUP($L281,Data_Validation!$A:$D,4,0)</f>
        <v>Ventes Pneus</v>
      </c>
      <c r="W281" s="656" t="str">
        <f>+VLOOKUP($L281,Data_Validation!$A:$E,5,0)</f>
        <v>$</v>
      </c>
      <c r="X281" s="656">
        <f>+VLOOKUP($L281,Data_Validation!$A:$F,6,0)</f>
        <v>0</v>
      </c>
    </row>
    <row r="282" spans="1:24" ht="15" customHeight="1">
      <c r="A282" s="1052" t="s">
        <v>1150</v>
      </c>
      <c r="B282" s="1052" t="s">
        <v>2232</v>
      </c>
      <c r="C282" s="1054">
        <v>7089.96</v>
      </c>
      <c r="D282" s="1054">
        <v>1337.6</v>
      </c>
      <c r="E282" s="1054">
        <v>8427.56</v>
      </c>
      <c r="F282" s="1052" t="s">
        <v>1110</v>
      </c>
      <c r="G282" s="1052" t="s">
        <v>1106</v>
      </c>
      <c r="H282" s="1031"/>
      <c r="I282" s="1031"/>
      <c r="J282" s="1031"/>
      <c r="K282" s="1031"/>
      <c r="L282" s="653" t="str">
        <f t="shared" si="263"/>
        <v>5785</v>
      </c>
      <c r="M282" s="654" t="str">
        <f t="shared" si="260"/>
        <v>C/V - VW PNEUS</v>
      </c>
      <c r="N282" s="655">
        <f>+IF(OR($Q282=Parametres!$G$2,$Q282=Parametres!$G$3),I282,C282)</f>
        <v>7089.96</v>
      </c>
      <c r="O282" s="659">
        <f>+IF(OR($Q282=Parametres!$G$2,$Q282=Parametres!$G$3),J282,D282)</f>
        <v>1337.6</v>
      </c>
      <c r="P282" s="655">
        <f>+IF(OR($Q282=Parametres!$G$2,$Q282=Parametres!$G$3),K282,E282)</f>
        <v>8427.56</v>
      </c>
      <c r="Q282" s="654" t="str">
        <f t="shared" ref="Q282:S282" si="287">+F282</f>
        <v>6-Coût des ventes</v>
      </c>
      <c r="R282" s="653" t="str">
        <f t="shared" si="287"/>
        <v>4781</v>
      </c>
      <c r="S282" s="654">
        <f t="shared" si="287"/>
        <v>0</v>
      </c>
      <c r="T282" s="656" t="str">
        <f>+VLOOKUP($L282,Data_Validation!$A:$D,1,0)</f>
        <v>5785</v>
      </c>
      <c r="U282" s="656" t="str">
        <f>+VLOOKUP($L282,Data_Validation!$A:$D,3,0)</f>
        <v>Pièces</v>
      </c>
      <c r="V282" s="656" t="str">
        <f>+VLOOKUP($L282,Data_Validation!$A:$D,4,0)</f>
        <v>Ventes Pneus</v>
      </c>
      <c r="W282" s="656" t="str">
        <f>+VLOOKUP($L282,Data_Validation!$A:$E,5,0)</f>
        <v>$</v>
      </c>
      <c r="X282" s="656">
        <f>+VLOOKUP($L282,Data_Validation!$A:$F,6,0)</f>
        <v>0</v>
      </c>
    </row>
    <row r="283" spans="1:24" ht="15.75" customHeight="1">
      <c r="A283" s="1052" t="s">
        <v>1151</v>
      </c>
      <c r="B283" s="1052" t="s">
        <v>2237</v>
      </c>
      <c r="C283" s="1054">
        <v>-15645.42</v>
      </c>
      <c r="D283" s="1054">
        <v>-5367.57</v>
      </c>
      <c r="E283" s="1054">
        <v>-21012.99</v>
      </c>
      <c r="F283" s="1052" t="s">
        <v>1110</v>
      </c>
      <c r="G283" s="1052" t="s">
        <v>1152</v>
      </c>
      <c r="H283" s="1031"/>
      <c r="I283" s="1031"/>
      <c r="J283" s="1031"/>
      <c r="K283" s="1031"/>
      <c r="L283" s="653" t="str">
        <f t="shared" si="263"/>
        <v>5796</v>
      </c>
      <c r="M283" s="654" t="str">
        <f t="shared" si="260"/>
        <v>C/V - BONI / ESCPTE PI VW</v>
      </c>
      <c r="N283" s="655">
        <f>+IF(OR($Q283=Parametres!$G$2,$Q283=Parametres!$G$3),I283,C283)</f>
        <v>-15645.42</v>
      </c>
      <c r="O283" s="659">
        <f>+IF(OR($Q283=Parametres!$G$2,$Q283=Parametres!$G$3),J283,D283)</f>
        <v>-5367.57</v>
      </c>
      <c r="P283" s="655">
        <f>+IF(OR($Q283=Parametres!$G$2,$Q283=Parametres!$G$3),K283,E283)</f>
        <v>-21012.99</v>
      </c>
      <c r="Q283" s="654" t="str">
        <f t="shared" ref="Q283:S283" si="288">+F283</f>
        <v>6-Coût des ventes</v>
      </c>
      <c r="R283" s="653" t="str">
        <f t="shared" si="288"/>
        <v>5792</v>
      </c>
      <c r="S283" s="654">
        <f t="shared" si="288"/>
        <v>0</v>
      </c>
      <c r="T283" s="656" t="str">
        <f>+VLOOKUP($L283,Data_Validation!$A:$D,1,0)</f>
        <v>5796</v>
      </c>
      <c r="U283" s="656" t="str">
        <f>+VLOOKUP($L283,Data_Validation!$A:$D,3,0)</f>
        <v>Pièces</v>
      </c>
      <c r="V283" s="656" t="str">
        <f>+VLOOKUP($L283,Data_Validation!$A:$D,4,0)</f>
        <v>Escomptes</v>
      </c>
      <c r="W283" s="656" t="str">
        <f>+VLOOKUP($L283,Data_Validation!$A:$E,5,0)</f>
        <v>$</v>
      </c>
      <c r="X283" s="656">
        <f>+VLOOKUP($L283,Data_Validation!$A:$F,6,0)</f>
        <v>0</v>
      </c>
    </row>
    <row r="284" spans="1:24" ht="15" customHeight="1">
      <c r="A284" s="1052" t="s">
        <v>1153</v>
      </c>
      <c r="B284" s="1052" t="s">
        <v>1155</v>
      </c>
      <c r="C284" s="1054">
        <v>460692.04</v>
      </c>
      <c r="D284" s="1054">
        <v>29910.06</v>
      </c>
      <c r="E284" s="1054">
        <v>490602.1</v>
      </c>
      <c r="F284" s="1052" t="s">
        <v>1154</v>
      </c>
      <c r="G284" s="1052" t="s">
        <v>1155</v>
      </c>
      <c r="H284" s="1031"/>
      <c r="I284" s="1031"/>
      <c r="J284" s="1031"/>
      <c r="K284" s="1031"/>
      <c r="L284" s="653" t="str">
        <f t="shared" si="263"/>
        <v>6101</v>
      </c>
      <c r="M284" s="654" t="str">
        <f t="shared" si="260"/>
        <v>COMMISSION VENDEUR NEUFS</v>
      </c>
      <c r="N284" s="655">
        <f>+IF(OR($Q284=Parametres!$G$2,$Q284=Parametres!$G$3),I284,C284)</f>
        <v>460692.04</v>
      </c>
      <c r="O284" s="659">
        <f>+IF(OR($Q284=Parametres!$G$2,$Q284=Parametres!$G$3),J284,D284)</f>
        <v>29910.06</v>
      </c>
      <c r="P284" s="655">
        <f>+IF(OR($Q284=Parametres!$G$2,$Q284=Parametres!$G$3),K284,E284)</f>
        <v>490602.1</v>
      </c>
      <c r="Q284" s="654" t="str">
        <f t="shared" ref="Q284:S284" si="289">+F284</f>
        <v>7-Dépenses</v>
      </c>
      <c r="R284" s="653" t="str">
        <f t="shared" si="289"/>
        <v>6101</v>
      </c>
      <c r="S284" s="654">
        <f t="shared" si="289"/>
        <v>0</v>
      </c>
      <c r="T284" s="656" t="str">
        <f>+VLOOKUP($L284,Data_Validation!$A:$D,1,0)</f>
        <v>6101</v>
      </c>
      <c r="U284" s="656" t="str">
        <f>+VLOOKUP($L284,Data_Validation!$A:$D,3,0)</f>
        <v>Véhicules neufs</v>
      </c>
      <c r="V284" s="656" t="str">
        <f>+VLOOKUP($L284,Data_Validation!$A:$D,4,0)</f>
        <v>Comm. vendeurs</v>
      </c>
      <c r="W284" s="656" t="str">
        <f>+VLOOKUP($L284,Data_Validation!$A:$E,5,0)</f>
        <v>$</v>
      </c>
      <c r="X284" s="656">
        <f>+VLOOKUP($L284,Data_Validation!$A:$F,6,0)</f>
        <v>0</v>
      </c>
    </row>
    <row r="285" spans="1:24" ht="15" customHeight="1">
      <c r="A285" s="1052" t="s">
        <v>1156</v>
      </c>
      <c r="B285" s="1052" t="s">
        <v>1157</v>
      </c>
      <c r="C285" s="1054">
        <v>196964.34</v>
      </c>
      <c r="D285" s="1054">
        <v>14353.95</v>
      </c>
      <c r="E285" s="1054">
        <v>211318.29</v>
      </c>
      <c r="F285" s="1052" t="s">
        <v>1154</v>
      </c>
      <c r="G285" s="1052" t="s">
        <v>1157</v>
      </c>
      <c r="H285" s="1031"/>
      <c r="I285" s="1031"/>
      <c r="J285" s="1031"/>
      <c r="K285" s="1031"/>
      <c r="L285" s="653" t="str">
        <f t="shared" si="263"/>
        <v>6102</v>
      </c>
      <c r="M285" s="654" t="str">
        <f t="shared" si="260"/>
        <v>RENUMERATION F &amp; I</v>
      </c>
      <c r="N285" s="655">
        <f>+IF(OR($Q285=Parametres!$G$2,$Q285=Parametres!$G$3),I285,C285)</f>
        <v>196964.34</v>
      </c>
      <c r="O285" s="659">
        <f>+IF(OR($Q285=Parametres!$G$2,$Q285=Parametres!$G$3),J285,D285)</f>
        <v>14353.95</v>
      </c>
      <c r="P285" s="655">
        <f>+IF(OR($Q285=Parametres!$G$2,$Q285=Parametres!$G$3),K285,E285)</f>
        <v>211318.29</v>
      </c>
      <c r="Q285" s="654" t="str">
        <f t="shared" ref="Q285:S285" si="290">+F285</f>
        <v>7-Dépenses</v>
      </c>
      <c r="R285" s="653" t="str">
        <f t="shared" si="290"/>
        <v>6102</v>
      </c>
      <c r="S285" s="654">
        <f t="shared" si="290"/>
        <v>0</v>
      </c>
      <c r="T285" s="656" t="str">
        <f>+VLOOKUP($L285,Data_Validation!$A:$D,1,0)</f>
        <v>6102</v>
      </c>
      <c r="U285" s="656" t="str">
        <f>+VLOOKUP($L285,Data_Validation!$A:$D,3,0)</f>
        <v>Véhicules neufs</v>
      </c>
      <c r="V285" s="656" t="str">
        <f>+VLOOKUP($L285,Data_Validation!$A:$D,4,0)</f>
        <v>Comm. F&amp;I</v>
      </c>
      <c r="W285" s="656" t="str">
        <f>+VLOOKUP($L285,Data_Validation!$A:$E,5,0)</f>
        <v>$</v>
      </c>
      <c r="X285" s="656">
        <f>+VLOOKUP($L285,Data_Validation!$A:$F,6,0)</f>
        <v>0</v>
      </c>
    </row>
    <row r="286" spans="1:24" ht="15" customHeight="1">
      <c r="A286" s="1052" t="s">
        <v>1158</v>
      </c>
      <c r="B286" s="1052" t="s">
        <v>1159</v>
      </c>
      <c r="C286" s="1054">
        <v>1055.6600000000001</v>
      </c>
      <c r="D286" s="1054">
        <v>249.5</v>
      </c>
      <c r="E286" s="1054">
        <v>1305.1600000000001</v>
      </c>
      <c r="F286" s="1052" t="s">
        <v>1154</v>
      </c>
      <c r="G286" s="1052" t="s">
        <v>1159</v>
      </c>
      <c r="H286" s="1031"/>
      <c r="I286" s="1031"/>
      <c r="J286" s="1031"/>
      <c r="K286" s="1031"/>
      <c r="L286" s="653" t="str">
        <f t="shared" si="263"/>
        <v>6103</v>
      </c>
      <c r="M286" s="654" t="str">
        <f t="shared" si="260"/>
        <v>RELAT. A LA CLIENTELE &amp; AJUST.</v>
      </c>
      <c r="N286" s="655">
        <f>+IF(OR($Q286=Parametres!$G$2,$Q286=Parametres!$G$3),I286,C286)</f>
        <v>1055.6600000000001</v>
      </c>
      <c r="O286" s="659">
        <f>+IF(OR($Q286=Parametres!$G$2,$Q286=Parametres!$G$3),J286,D286)</f>
        <v>249.5</v>
      </c>
      <c r="P286" s="655">
        <f>+IF(OR($Q286=Parametres!$G$2,$Q286=Parametres!$G$3),K286,E286)</f>
        <v>1305.1600000000001</v>
      </c>
      <c r="Q286" s="654" t="str">
        <f t="shared" ref="Q286:S286" si="291">+F286</f>
        <v>7-Dépenses</v>
      </c>
      <c r="R286" s="653" t="str">
        <f t="shared" si="291"/>
        <v>6103</v>
      </c>
      <c r="S286" s="654">
        <f t="shared" si="291"/>
        <v>0</v>
      </c>
      <c r="T286" s="656" t="str">
        <f>+VLOOKUP($L286,Data_Validation!$A:$D,1,0)</f>
        <v>6103</v>
      </c>
      <c r="U286" s="656" t="str">
        <f>+VLOOKUP($L286,Data_Validation!$A:$D,3,0)</f>
        <v>Véhicules neufs</v>
      </c>
      <c r="V286" s="656" t="str">
        <f>+VLOOKUP($L286,Data_Validation!$A:$D,4,0)</f>
        <v>Service gratuit 1</v>
      </c>
      <c r="W286" s="656" t="str">
        <f>+VLOOKUP($L286,Data_Validation!$A:$E,5,0)</f>
        <v>$</v>
      </c>
      <c r="X286" s="656">
        <f>+VLOOKUP($L286,Data_Validation!$A:$F,6,0)</f>
        <v>0</v>
      </c>
    </row>
    <row r="287" spans="1:24" ht="15.75" customHeight="1">
      <c r="A287" s="1052" t="s">
        <v>1160</v>
      </c>
      <c r="B287" s="1052" t="s">
        <v>1161</v>
      </c>
      <c r="C287" s="1054">
        <v>52787.58</v>
      </c>
      <c r="D287" s="1054">
        <v>3105.58</v>
      </c>
      <c r="E287" s="1054">
        <v>55893.16</v>
      </c>
      <c r="F287" s="1052" t="s">
        <v>1154</v>
      </c>
      <c r="G287" s="1052" t="s">
        <v>1161</v>
      </c>
      <c r="H287" s="1031"/>
      <c r="I287" s="1031"/>
      <c r="J287" s="1031"/>
      <c r="K287" s="1031"/>
      <c r="L287" s="653" t="str">
        <f t="shared" si="263"/>
        <v>6106</v>
      </c>
      <c r="M287" s="654" t="str">
        <f t="shared" si="260"/>
        <v>ENTRETIEN DES STOCKS</v>
      </c>
      <c r="N287" s="655">
        <f>+IF(OR($Q287=Parametres!$G$2,$Q287=Parametres!$G$3),I287,C287)</f>
        <v>52787.58</v>
      </c>
      <c r="O287" s="659">
        <f>+IF(OR($Q287=Parametres!$G$2,$Q287=Parametres!$G$3),J287,D287)</f>
        <v>3105.58</v>
      </c>
      <c r="P287" s="655">
        <f>+IF(OR($Q287=Parametres!$G$2,$Q287=Parametres!$G$3),K287,E287)</f>
        <v>55893.16</v>
      </c>
      <c r="Q287" s="654" t="str">
        <f t="shared" ref="Q287:S287" si="292">+F287</f>
        <v>7-Dépenses</v>
      </c>
      <c r="R287" s="653" t="str">
        <f t="shared" si="292"/>
        <v>6106</v>
      </c>
      <c r="S287" s="654">
        <f t="shared" si="292"/>
        <v>0</v>
      </c>
      <c r="T287" s="656" t="str">
        <f>+VLOOKUP($L287,Data_Validation!$A:$D,1,0)</f>
        <v>6106</v>
      </c>
      <c r="U287" s="656" t="str">
        <f>+VLOOKUP($L287,Data_Validation!$A:$D,3,0)</f>
        <v>Véhicules neufs</v>
      </c>
      <c r="V287" s="656" t="str">
        <f>+VLOOKUP($L287,Data_Validation!$A:$D,4,0)</f>
        <v>Entretien stock</v>
      </c>
      <c r="W287" s="656" t="str">
        <f>+VLOOKUP($L287,Data_Validation!$A:$E,5,0)</f>
        <v>$</v>
      </c>
      <c r="X287" s="656">
        <f>+VLOOKUP($L287,Data_Validation!$A:$F,6,0)</f>
        <v>0</v>
      </c>
    </row>
    <row r="288" spans="1:24" ht="15" customHeight="1">
      <c r="A288" s="1052" t="s">
        <v>1162</v>
      </c>
      <c r="B288" s="1052" t="s">
        <v>1163</v>
      </c>
      <c r="C288" s="1054">
        <v>20315</v>
      </c>
      <c r="D288" s="1054">
        <v>9068.61</v>
      </c>
      <c r="E288" s="1054">
        <v>29383.61</v>
      </c>
      <c r="F288" s="1052" t="s">
        <v>1154</v>
      </c>
      <c r="G288" s="1052" t="s">
        <v>1163</v>
      </c>
      <c r="H288" s="1031"/>
      <c r="I288" s="1031"/>
      <c r="J288" s="1031"/>
      <c r="K288" s="1031"/>
      <c r="L288" s="653" t="str">
        <f t="shared" si="263"/>
        <v>6107</v>
      </c>
      <c r="M288" s="654" t="str">
        <f t="shared" si="260"/>
        <v>INTERET-PLAN DE FINANCEMENT</v>
      </c>
      <c r="N288" s="655">
        <f>+IF(OR($Q288=Parametres!$G$2,$Q288=Parametres!$G$3),I288,C288)</f>
        <v>20315</v>
      </c>
      <c r="O288" s="659">
        <f>+IF(OR($Q288=Parametres!$G$2,$Q288=Parametres!$G$3),J288,D288)</f>
        <v>9068.61</v>
      </c>
      <c r="P288" s="655">
        <f>+IF(OR($Q288=Parametres!$G$2,$Q288=Parametres!$G$3),K288,E288)</f>
        <v>29383.61</v>
      </c>
      <c r="Q288" s="654" t="str">
        <f t="shared" ref="Q288:S288" si="293">+F288</f>
        <v>7-Dépenses</v>
      </c>
      <c r="R288" s="653" t="str">
        <f t="shared" si="293"/>
        <v>6107</v>
      </c>
      <c r="S288" s="654">
        <f t="shared" si="293"/>
        <v>0</v>
      </c>
      <c r="T288" s="656" t="str">
        <f>+VLOOKUP($L288,Data_Validation!$A:$D,1,0)</f>
        <v>6107</v>
      </c>
      <c r="U288" s="656" t="str">
        <f>+VLOOKUP($L288,Data_Validation!$A:$D,3,0)</f>
        <v>Véhicules neufs</v>
      </c>
      <c r="V288" s="656" t="str">
        <f>+VLOOKUP($L288,Data_Validation!$A:$D,4,0)</f>
        <v>Intérêt de gros</v>
      </c>
      <c r="W288" s="656" t="str">
        <f>+VLOOKUP($L288,Data_Validation!$A:$E,5,0)</f>
        <v>$</v>
      </c>
      <c r="X288" s="656">
        <f>+VLOOKUP($L288,Data_Validation!$A:$F,6,0)</f>
        <v>0</v>
      </c>
    </row>
    <row r="289" spans="1:24" ht="15" customHeight="1">
      <c r="A289" s="1052" t="s">
        <v>1164</v>
      </c>
      <c r="B289" s="1052" t="s">
        <v>1165</v>
      </c>
      <c r="C289" s="1054">
        <v>40162.28</v>
      </c>
      <c r="D289" s="1054">
        <v>6194.72</v>
      </c>
      <c r="E289" s="1054">
        <v>46357</v>
      </c>
      <c r="F289" s="1052" t="s">
        <v>1154</v>
      </c>
      <c r="G289" s="1052" t="s">
        <v>1165</v>
      </c>
      <c r="H289" s="1029"/>
      <c r="I289" s="1030"/>
      <c r="J289" s="1030"/>
      <c r="K289" s="1030"/>
      <c r="L289" s="653" t="str">
        <f t="shared" si="263"/>
        <v>6108</v>
      </c>
      <c r="M289" s="654" t="str">
        <f t="shared" si="260"/>
        <v>FRAIS DE LIVRAISON</v>
      </c>
      <c r="N289" s="655">
        <f>+IF(OR($Q289=Parametres!$G$2,$Q289=Parametres!$G$3),I289,C289)</f>
        <v>40162.28</v>
      </c>
      <c r="O289" s="659">
        <f>+IF(OR($Q289=Parametres!$G$2,$Q289=Parametres!$G$3),J289,D289)</f>
        <v>6194.72</v>
      </c>
      <c r="P289" s="655">
        <f>+IF(OR($Q289=Parametres!$G$2,$Q289=Parametres!$G$3),K289,E289)</f>
        <v>46357</v>
      </c>
      <c r="Q289" s="654" t="str">
        <f t="shared" ref="Q289:S289" si="294">+F289</f>
        <v>7-Dépenses</v>
      </c>
      <c r="R289" s="653" t="str">
        <f t="shared" si="294"/>
        <v>6108</v>
      </c>
      <c r="S289" s="654">
        <f t="shared" si="294"/>
        <v>0</v>
      </c>
      <c r="T289" s="656" t="str">
        <f>+VLOOKUP($L289,Data_Validation!$A:$D,1,0)</f>
        <v>6108</v>
      </c>
      <c r="U289" s="656" t="str">
        <f>+VLOOKUP($L289,Data_Validation!$A:$D,3,0)</f>
        <v>Véhicules neufs</v>
      </c>
      <c r="V289" s="656" t="str">
        <f>+VLOOKUP($L289,Data_Validation!$A:$D,4,0)</f>
        <v>Frais de livraison</v>
      </c>
      <c r="W289" s="656" t="str">
        <f>+VLOOKUP($L289,Data_Validation!$A:$E,5,0)</f>
        <v>$</v>
      </c>
      <c r="X289" s="656">
        <f>+VLOOKUP($L289,Data_Validation!$A:$F,6,0)</f>
        <v>0</v>
      </c>
    </row>
    <row r="290" spans="1:24" ht="15" customHeight="1">
      <c r="A290" s="1052" t="s">
        <v>1166</v>
      </c>
      <c r="B290" s="1052" t="s">
        <v>1167</v>
      </c>
      <c r="C290" s="1054">
        <v>169914.96</v>
      </c>
      <c r="D290" s="1054">
        <v>16734.32</v>
      </c>
      <c r="E290" s="1054">
        <v>186649.28</v>
      </c>
      <c r="F290" s="1052" t="s">
        <v>1154</v>
      </c>
      <c r="G290" s="1052" t="s">
        <v>1167</v>
      </c>
      <c r="H290" s="1029"/>
      <c r="I290" s="1030"/>
      <c r="J290" s="1030"/>
      <c r="K290" s="1030"/>
      <c r="L290" s="653" t="str">
        <f t="shared" si="263"/>
        <v>6114</v>
      </c>
      <c r="M290" s="654" t="str">
        <f t="shared" si="260"/>
        <v>PUBLICITE</v>
      </c>
      <c r="N290" s="655">
        <f>+IF(OR($Q290=Parametres!$G$2,$Q290=Parametres!$G$3),I290,C290)</f>
        <v>169914.96</v>
      </c>
      <c r="O290" s="659">
        <f>+IF(OR($Q290=Parametres!$G$2,$Q290=Parametres!$G$3),J290,D290)</f>
        <v>16734.32</v>
      </c>
      <c r="P290" s="655">
        <f>+IF(OR($Q290=Parametres!$G$2,$Q290=Parametres!$G$3),K290,E290)</f>
        <v>186649.28</v>
      </c>
      <c r="Q290" s="654" t="str">
        <f t="shared" ref="Q290:S290" si="295">+F290</f>
        <v>7-Dépenses</v>
      </c>
      <c r="R290" s="653" t="str">
        <f t="shared" si="295"/>
        <v>6114</v>
      </c>
      <c r="S290" s="654">
        <f t="shared" si="295"/>
        <v>0</v>
      </c>
      <c r="T290" s="656" t="str">
        <f>+VLOOKUP($L290,Data_Validation!$A:$D,1,0)</f>
        <v>6114</v>
      </c>
      <c r="U290" s="656" t="str">
        <f>+VLOOKUP($L290,Data_Validation!$A:$D,3,0)</f>
        <v>Véhicules neufs</v>
      </c>
      <c r="V290" s="656" t="str">
        <f>+VLOOKUP($L290,Data_Validation!$A:$D,4,0)</f>
        <v>Publicité 1</v>
      </c>
      <c r="W290" s="656" t="str">
        <f>+VLOOKUP($L290,Data_Validation!$A:$E,5,0)</f>
        <v>$</v>
      </c>
      <c r="X290" s="656">
        <f>+VLOOKUP($L290,Data_Validation!$A:$F,6,0)</f>
        <v>0</v>
      </c>
    </row>
    <row r="291" spans="1:24" ht="15.75" customHeight="1">
      <c r="A291" s="1052" t="s">
        <v>1168</v>
      </c>
      <c r="B291" s="1052" t="s">
        <v>2257</v>
      </c>
      <c r="C291" s="1054">
        <v>-66850</v>
      </c>
      <c r="D291" s="1054">
        <v>-5550</v>
      </c>
      <c r="E291" s="1054">
        <v>-72400</v>
      </c>
      <c r="F291" s="1052" t="s">
        <v>1154</v>
      </c>
      <c r="G291" s="1052" t="s">
        <v>1167</v>
      </c>
      <c r="H291" s="1029"/>
      <c r="I291" s="1030"/>
      <c r="J291" s="1030"/>
      <c r="K291" s="1030"/>
      <c r="L291" s="653" t="str">
        <f t="shared" si="263"/>
        <v>6115</v>
      </c>
      <c r="M291" s="654" t="str">
        <f t="shared" si="260"/>
        <v>CREDIT PUBLICITE NEUF</v>
      </c>
      <c r="N291" s="655">
        <f>+IF(OR($Q291=Parametres!$G$2,$Q291=Parametres!$G$3),I291,C291)</f>
        <v>-66850</v>
      </c>
      <c r="O291" s="659">
        <f>+IF(OR($Q291=Parametres!$G$2,$Q291=Parametres!$G$3),J291,D291)</f>
        <v>-5550</v>
      </c>
      <c r="P291" s="655">
        <f>+IF(OR($Q291=Parametres!$G$2,$Q291=Parametres!$G$3),K291,E291)</f>
        <v>-72400</v>
      </c>
      <c r="Q291" s="654" t="str">
        <f t="shared" ref="Q291:S291" si="296">+F291</f>
        <v>7-Dépenses</v>
      </c>
      <c r="R291" s="653" t="str">
        <f t="shared" si="296"/>
        <v>6114</v>
      </c>
      <c r="S291" s="654">
        <f t="shared" si="296"/>
        <v>0</v>
      </c>
      <c r="T291" s="656" t="str">
        <f>+VLOOKUP($L291,Data_Validation!$A:$D,1,0)</f>
        <v>6115</v>
      </c>
      <c r="U291" s="656" t="str">
        <f>+VLOOKUP($L291,Data_Validation!$A:$D,3,0)</f>
        <v>Véhicules neufs</v>
      </c>
      <c r="V291" s="656" t="str">
        <f>+VLOOKUP($L291,Data_Validation!$A:$D,4,0)</f>
        <v>Publicité 1</v>
      </c>
      <c r="W291" s="656" t="str">
        <f>+VLOOKUP($L291,Data_Validation!$A:$E,5,0)</f>
        <v>$</v>
      </c>
      <c r="X291" s="656">
        <f>+VLOOKUP($L291,Data_Validation!$A:$F,6,0)</f>
        <v>0</v>
      </c>
    </row>
    <row r="292" spans="1:24" ht="15" customHeight="1">
      <c r="A292" s="1052" t="s">
        <v>1169</v>
      </c>
      <c r="B292" s="1052" t="s">
        <v>1170</v>
      </c>
      <c r="C292" s="1054">
        <v>80091.91</v>
      </c>
      <c r="D292" s="1054">
        <v>8369.7099999999991</v>
      </c>
      <c r="E292" s="1054">
        <v>88461.62</v>
      </c>
      <c r="F292" s="1052" t="s">
        <v>1154</v>
      </c>
      <c r="G292" s="1052" t="s">
        <v>1170</v>
      </c>
      <c r="H292" s="1029"/>
      <c r="I292" s="1030"/>
      <c r="J292" s="1030"/>
      <c r="K292" s="1030"/>
      <c r="L292" s="653" t="str">
        <f t="shared" si="263"/>
        <v>6121</v>
      </c>
      <c r="M292" s="654" t="str">
        <f t="shared" si="260"/>
        <v>SALAIRES - PROPRIETAIRES</v>
      </c>
      <c r="N292" s="655">
        <f>+IF(OR($Q292=Parametres!$G$2,$Q292=Parametres!$G$3),I292,C292)</f>
        <v>80091.91</v>
      </c>
      <c r="O292" s="655">
        <f>+IF(OR($Q292=Parametres!$G$2,$Q292=Parametres!$G$3),J292,D292)</f>
        <v>8369.7099999999991</v>
      </c>
      <c r="P292" s="655">
        <f>+IF(OR($Q292=Parametres!$G$2,$Q292=Parametres!$G$3),K292,E292)</f>
        <v>88461.62</v>
      </c>
      <c r="Q292" s="654" t="str">
        <f t="shared" ref="Q292:S292" si="297">+F292</f>
        <v>7-Dépenses</v>
      </c>
      <c r="R292" s="653" t="str">
        <f t="shared" si="297"/>
        <v>6121</v>
      </c>
      <c r="S292" s="654">
        <f t="shared" si="297"/>
        <v>0</v>
      </c>
      <c r="T292" s="656" t="str">
        <f>+VLOOKUP($L292,Data_Validation!$A:$D,1,0)</f>
        <v>6121</v>
      </c>
      <c r="U292" s="656" t="str">
        <f>+VLOOKUP($L292,Data_Validation!$A:$D,3,0)</f>
        <v>Véhicules neufs</v>
      </c>
      <c r="V292" s="656" t="str">
        <f>+VLOOKUP($L292,Data_Validation!$A:$D,4,0)</f>
        <v>Salaires propriétaire</v>
      </c>
      <c r="W292" s="656" t="str">
        <f>+VLOOKUP($L292,Data_Validation!$A:$E,5,0)</f>
        <v>$</v>
      </c>
      <c r="X292" s="656">
        <f>+VLOOKUP($L292,Data_Validation!$A:$F,6,0)</f>
        <v>0</v>
      </c>
    </row>
    <row r="293" spans="1:24" ht="15" customHeight="1">
      <c r="A293" s="1052" t="s">
        <v>1171</v>
      </c>
      <c r="B293" s="1052" t="s">
        <v>1172</v>
      </c>
      <c r="C293" s="1054">
        <v>165503.76999999999</v>
      </c>
      <c r="D293" s="1054">
        <v>13251.53</v>
      </c>
      <c r="E293" s="1054">
        <v>178755.3</v>
      </c>
      <c r="F293" s="1052" t="s">
        <v>1154</v>
      </c>
      <c r="G293" s="1052" t="s">
        <v>1172</v>
      </c>
      <c r="H293" s="1029"/>
      <c r="I293" s="1030"/>
      <c r="J293" s="1030"/>
      <c r="K293" s="1030"/>
      <c r="L293" s="653" t="str">
        <f t="shared" si="263"/>
        <v>6122</v>
      </c>
      <c r="M293" s="654" t="str">
        <f t="shared" si="260"/>
        <v>SAL SUPERVISION / GERANT</v>
      </c>
      <c r="N293" s="655">
        <f>+IF(OR($Q293=Parametres!$G$2,$Q293=Parametres!$G$3),I293,C293)</f>
        <v>165503.76999999999</v>
      </c>
      <c r="O293" s="655">
        <f>+IF(OR($Q293=Parametres!$G$2,$Q293=Parametres!$G$3),J293,D293)</f>
        <v>13251.53</v>
      </c>
      <c r="P293" s="655">
        <f>+IF(OR($Q293=Parametres!$G$2,$Q293=Parametres!$G$3),K293,E293)</f>
        <v>178755.3</v>
      </c>
      <c r="Q293" s="654" t="str">
        <f t="shared" ref="Q293:S293" si="298">+F293</f>
        <v>7-Dépenses</v>
      </c>
      <c r="R293" s="653" t="str">
        <f t="shared" si="298"/>
        <v>6122</v>
      </c>
      <c r="S293" s="654">
        <f t="shared" si="298"/>
        <v>0</v>
      </c>
      <c r="T293" s="656" t="str">
        <f>+VLOOKUP($L293,Data_Validation!$A:$D,1,0)</f>
        <v>6122</v>
      </c>
      <c r="U293" s="656" t="str">
        <f>+VLOOKUP($L293,Data_Validation!$A:$D,3,0)</f>
        <v>Véhicules neufs</v>
      </c>
      <c r="V293" s="656" t="str">
        <f>+VLOOKUP($L293,Data_Validation!$A:$D,4,0)</f>
        <v>Salaires cadres</v>
      </c>
      <c r="W293" s="656" t="str">
        <f>+VLOOKUP($L293,Data_Validation!$A:$E,5,0)</f>
        <v>$</v>
      </c>
      <c r="X293" s="656">
        <f>+VLOOKUP($L293,Data_Validation!$A:$F,6,0)</f>
        <v>0</v>
      </c>
    </row>
    <row r="294" spans="1:24" ht="15" customHeight="1">
      <c r="A294" s="1052" t="s">
        <v>1173</v>
      </c>
      <c r="B294" s="1052" t="s">
        <v>1174</v>
      </c>
      <c r="C294" s="1054">
        <v>85532.85</v>
      </c>
      <c r="D294" s="1054">
        <v>8271.85</v>
      </c>
      <c r="E294" s="1054">
        <v>93804.7</v>
      </c>
      <c r="F294" s="1052" t="s">
        <v>1154</v>
      </c>
      <c r="G294" s="1052" t="s">
        <v>1174</v>
      </c>
      <c r="H294" s="1029"/>
      <c r="I294" s="1030"/>
      <c r="J294" s="1030"/>
      <c r="K294" s="1030"/>
      <c r="L294" s="653" t="str">
        <f t="shared" si="263"/>
        <v>6123</v>
      </c>
      <c r="M294" s="654" t="str">
        <f t="shared" si="260"/>
        <v>SAL. &amp; RENUM. - CLERICAL</v>
      </c>
      <c r="N294" s="655">
        <f>+IF(OR($Q294=Parametres!$G$2,$Q294=Parametres!$G$3),I294,C294)</f>
        <v>85532.85</v>
      </c>
      <c r="O294" s="655">
        <f>+IF(OR($Q294=Parametres!$G$2,$Q294=Parametres!$G$3),J294,D294)</f>
        <v>8271.85</v>
      </c>
      <c r="P294" s="655">
        <f>+IF(OR($Q294=Parametres!$G$2,$Q294=Parametres!$G$3),K294,E294)</f>
        <v>93804.7</v>
      </c>
      <c r="Q294" s="654" t="str">
        <f t="shared" ref="Q294:S294" si="299">+F294</f>
        <v>7-Dépenses</v>
      </c>
      <c r="R294" s="653" t="str">
        <f t="shared" si="299"/>
        <v>6123</v>
      </c>
      <c r="S294" s="654">
        <f t="shared" si="299"/>
        <v>0</v>
      </c>
      <c r="T294" s="656" t="str">
        <f>+VLOOKUP($L294,Data_Validation!$A:$D,1,0)</f>
        <v>6123</v>
      </c>
      <c r="U294" s="656" t="str">
        <f>+VLOOKUP($L294,Data_Validation!$A:$D,3,0)</f>
        <v>Véhicules neufs</v>
      </c>
      <c r="V294" s="656" t="str">
        <f>+VLOOKUP($L294,Data_Validation!$A:$D,4,0)</f>
        <v>Salaires commis</v>
      </c>
      <c r="W294" s="656" t="str">
        <f>+VLOOKUP($L294,Data_Validation!$A:$E,5,0)</f>
        <v>$</v>
      </c>
      <c r="X294" s="656">
        <f>+VLOOKUP($L294,Data_Validation!$A:$F,6,0)</f>
        <v>0</v>
      </c>
    </row>
    <row r="295" spans="1:24" ht="15" customHeight="1">
      <c r="A295" s="1052" t="s">
        <v>1175</v>
      </c>
      <c r="B295" s="1052" t="s">
        <v>1176</v>
      </c>
      <c r="C295" s="1054">
        <v>45852.26</v>
      </c>
      <c r="D295" s="1054">
        <v>6556.67</v>
      </c>
      <c r="E295" s="1054">
        <v>52408.93</v>
      </c>
      <c r="F295" s="1052" t="s">
        <v>1154</v>
      </c>
      <c r="G295" s="1052" t="s">
        <v>1176</v>
      </c>
      <c r="H295" s="1029"/>
      <c r="I295" s="1030"/>
      <c r="J295" s="1030"/>
      <c r="K295" s="1030"/>
      <c r="L295" s="653" t="str">
        <f t="shared" si="263"/>
        <v>6124</v>
      </c>
      <c r="M295" s="654" t="str">
        <f t="shared" si="260"/>
        <v>SALAIRES &amp; RENUM. - AUTRES</v>
      </c>
      <c r="N295" s="655">
        <f>+IF(OR($Q295=Parametres!$G$2,$Q295=Parametres!$G$3),I295,C295)</f>
        <v>45852.26</v>
      </c>
      <c r="O295" s="655">
        <f>+IF(OR($Q295=Parametres!$G$2,$Q295=Parametres!$G$3),J295,D295)</f>
        <v>6556.67</v>
      </c>
      <c r="P295" s="655">
        <f>+IF(OR($Q295=Parametres!$G$2,$Q295=Parametres!$G$3),K295,E295)</f>
        <v>52408.93</v>
      </c>
      <c r="Q295" s="654" t="str">
        <f t="shared" ref="Q295:S295" si="300">+F295</f>
        <v>7-Dépenses</v>
      </c>
      <c r="R295" s="653" t="str">
        <f t="shared" si="300"/>
        <v>6124</v>
      </c>
      <c r="S295" s="654">
        <f t="shared" si="300"/>
        <v>0</v>
      </c>
      <c r="T295" s="656" t="str">
        <f>+VLOOKUP($L295,Data_Validation!$A:$D,1,0)</f>
        <v>6124</v>
      </c>
      <c r="U295" s="656" t="str">
        <f>+VLOOKUP($L295,Data_Validation!$A:$D,3,0)</f>
        <v>Véhicules neufs</v>
      </c>
      <c r="V295" s="656" t="str">
        <f>+VLOOKUP($L295,Data_Validation!$A:$D,4,0)</f>
        <v>Salaires autres</v>
      </c>
      <c r="W295" s="656" t="str">
        <f>+VLOOKUP($L295,Data_Validation!$A:$E,5,0)</f>
        <v>$</v>
      </c>
      <c r="X295" s="656">
        <f>+VLOOKUP($L295,Data_Validation!$A:$F,6,0)</f>
        <v>0</v>
      </c>
    </row>
    <row r="296" spans="1:24" ht="15" customHeight="1">
      <c r="A296" s="1052" t="s">
        <v>1177</v>
      </c>
      <c r="B296" s="1052" t="s">
        <v>1178</v>
      </c>
      <c r="C296" s="1054">
        <v>152615.57</v>
      </c>
      <c r="D296" s="1054">
        <v>33705.11</v>
      </c>
      <c r="E296" s="1054">
        <v>186320.68</v>
      </c>
      <c r="F296" s="1052" t="s">
        <v>1154</v>
      </c>
      <c r="G296" s="1052" t="s">
        <v>1178</v>
      </c>
      <c r="H296" s="1029"/>
      <c r="I296" s="1030"/>
      <c r="J296" s="1030"/>
      <c r="K296" s="1030"/>
      <c r="L296" s="653" t="str">
        <f t="shared" si="263"/>
        <v>6129</v>
      </c>
      <c r="M296" s="654" t="str">
        <f t="shared" si="260"/>
        <v>ABS., VACANCE &amp; SAL. JOURS FER</v>
      </c>
      <c r="N296" s="655">
        <f>+IF(OR($Q296=Parametres!$G$2,$Q296=Parametres!$G$3),I296,C296)</f>
        <v>152615.57</v>
      </c>
      <c r="O296" s="655">
        <f>+IF(OR($Q296=Parametres!$G$2,$Q296=Parametres!$G$3),J296,D296)</f>
        <v>33705.11</v>
      </c>
      <c r="P296" s="655">
        <f>+IF(OR($Q296=Parametres!$G$2,$Q296=Parametres!$G$3),K296,E296)</f>
        <v>186320.68</v>
      </c>
      <c r="Q296" s="654" t="str">
        <f t="shared" ref="Q296:S296" si="301">+F296</f>
        <v>7-Dépenses</v>
      </c>
      <c r="R296" s="653" t="str">
        <f t="shared" si="301"/>
        <v>6129</v>
      </c>
      <c r="S296" s="654">
        <f t="shared" si="301"/>
        <v>0</v>
      </c>
      <c r="T296" s="656" t="str">
        <f>+VLOOKUP($L296,Data_Validation!$A:$D,1,0)</f>
        <v>6129</v>
      </c>
      <c r="U296" s="656" t="str">
        <f>+VLOOKUP($L296,Data_Validation!$A:$D,3,0)</f>
        <v>Véhicules neufs</v>
      </c>
      <c r="V296" s="656" t="str">
        <f>+VLOOKUP($L296,Data_Validation!$A:$D,4,0)</f>
        <v>Salaires en absences</v>
      </c>
      <c r="W296" s="656" t="str">
        <f>+VLOOKUP($L296,Data_Validation!$A:$E,5,0)</f>
        <v>$</v>
      </c>
      <c r="X296" s="656">
        <f>+VLOOKUP($L296,Data_Validation!$A:$F,6,0)</f>
        <v>0</v>
      </c>
    </row>
    <row r="297" spans="1:24" ht="15.75" customHeight="1">
      <c r="A297" s="1052" t="s">
        <v>1179</v>
      </c>
      <c r="B297" s="1052" t="s">
        <v>1180</v>
      </c>
      <c r="C297" s="1054">
        <v>33970.050000000003</v>
      </c>
      <c r="D297" s="1054">
        <v>9053.94</v>
      </c>
      <c r="E297" s="1054">
        <v>43023.99</v>
      </c>
      <c r="F297" s="1052" t="s">
        <v>1154</v>
      </c>
      <c r="G297" s="1052" t="s">
        <v>1180</v>
      </c>
      <c r="H297" s="1029"/>
      <c r="I297" s="1030"/>
      <c r="J297" s="1030"/>
      <c r="K297" s="1030"/>
      <c r="L297" s="653" t="str">
        <f t="shared" si="263"/>
        <v>6131</v>
      </c>
      <c r="M297" s="654" t="str">
        <f t="shared" si="260"/>
        <v>CSST</v>
      </c>
      <c r="N297" s="655">
        <f>+IF(OR($Q297=Parametres!$G$2,$Q297=Parametres!$G$3),I297,C297)</f>
        <v>33970.050000000003</v>
      </c>
      <c r="O297" s="655">
        <f>+IF(OR($Q297=Parametres!$G$2,$Q297=Parametres!$G$3),J297,D297)</f>
        <v>9053.94</v>
      </c>
      <c r="P297" s="655">
        <f>+IF(OR($Q297=Parametres!$G$2,$Q297=Parametres!$G$3),K297,E297)</f>
        <v>43023.99</v>
      </c>
      <c r="Q297" s="654" t="str">
        <f t="shared" ref="Q297:S297" si="302">+F297</f>
        <v>7-Dépenses</v>
      </c>
      <c r="R297" s="653" t="str">
        <f t="shared" si="302"/>
        <v>6131</v>
      </c>
      <c r="S297" s="654">
        <f t="shared" si="302"/>
        <v>0</v>
      </c>
      <c r="T297" s="656" t="str">
        <f>+VLOOKUP($L297,Data_Validation!$A:$D,1,0)</f>
        <v>6131</v>
      </c>
      <c r="U297" s="656" t="str">
        <f>+VLOOKUP($L297,Data_Validation!$A:$D,3,0)</f>
        <v>Véhicules neufs</v>
      </c>
      <c r="V297" s="656" t="str">
        <f>+VLOOKUP($L297,Data_Validation!$A:$D,4,0)</f>
        <v>Csst</v>
      </c>
      <c r="W297" s="656" t="str">
        <f>+VLOOKUP($L297,Data_Validation!$A:$E,5,0)</f>
        <v>$</v>
      </c>
      <c r="X297" s="656">
        <f>+VLOOKUP($L297,Data_Validation!$A:$F,6,0)</f>
        <v>0</v>
      </c>
    </row>
    <row r="298" spans="1:24" ht="15" customHeight="1">
      <c r="A298" s="1052" t="s">
        <v>1181</v>
      </c>
      <c r="B298" s="1052" t="s">
        <v>1182</v>
      </c>
      <c r="C298" s="1054">
        <v>175165.9</v>
      </c>
      <c r="D298" s="1054">
        <v>22415.47</v>
      </c>
      <c r="E298" s="1054">
        <v>197581.37</v>
      </c>
      <c r="F298" s="1052" t="s">
        <v>1154</v>
      </c>
      <c r="G298" s="1052" t="s">
        <v>1182</v>
      </c>
      <c r="H298" s="1029"/>
      <c r="I298" s="1030"/>
      <c r="J298" s="1030"/>
      <c r="K298" s="1030"/>
      <c r="L298" s="653" t="str">
        <f t="shared" si="263"/>
        <v>6132</v>
      </c>
      <c r="M298" s="654" t="str">
        <f t="shared" si="260"/>
        <v>RRQ RAMQ AC</v>
      </c>
      <c r="N298" s="655">
        <f>+IF(OR($Q298=Parametres!$G$2,$Q298=Parametres!$G$3),I298,C298)</f>
        <v>175165.9</v>
      </c>
      <c r="O298" s="655">
        <f>+IF(OR($Q298=Parametres!$G$2,$Q298=Parametres!$G$3),J298,D298)</f>
        <v>22415.47</v>
      </c>
      <c r="P298" s="655">
        <f>+IF(OR($Q298=Parametres!$G$2,$Q298=Parametres!$G$3),K298,E298)</f>
        <v>197581.37</v>
      </c>
      <c r="Q298" s="654" t="str">
        <f t="shared" ref="Q298:S298" si="303">+F298</f>
        <v>7-Dépenses</v>
      </c>
      <c r="R298" s="653" t="str">
        <f t="shared" si="303"/>
        <v>6132</v>
      </c>
      <c r="S298" s="654">
        <f t="shared" si="303"/>
        <v>0</v>
      </c>
      <c r="T298" s="656" t="str">
        <f>+VLOOKUP($L298,Data_Validation!$A:$D,1,0)</f>
        <v>6132</v>
      </c>
      <c r="U298" s="656" t="str">
        <f>+VLOOKUP($L298,Data_Validation!$A:$D,3,0)</f>
        <v>Véhicules neufs</v>
      </c>
      <c r="V298" s="656" t="str">
        <f>+VLOOKUP($L298,Data_Validation!$A:$D,4,0)</f>
        <v>Déduction à la source</v>
      </c>
      <c r="W298" s="656" t="str">
        <f>+VLOOKUP($L298,Data_Validation!$A:$E,5,0)</f>
        <v>$</v>
      </c>
      <c r="X298" s="656">
        <f>+VLOOKUP($L298,Data_Validation!$A:$F,6,0)</f>
        <v>0</v>
      </c>
    </row>
    <row r="299" spans="1:24" ht="15" customHeight="1">
      <c r="A299" s="1052" t="s">
        <v>1183</v>
      </c>
      <c r="B299" s="1052" t="s">
        <v>1184</v>
      </c>
      <c r="C299" s="1054">
        <v>0</v>
      </c>
      <c r="D299" s="1054">
        <v>1484.98</v>
      </c>
      <c r="E299" s="1054">
        <v>1484.98</v>
      </c>
      <c r="F299" s="1052" t="s">
        <v>1154</v>
      </c>
      <c r="G299" s="1052" t="s">
        <v>1184</v>
      </c>
      <c r="H299" s="1029"/>
      <c r="I299" s="1030"/>
      <c r="J299" s="1030"/>
      <c r="K299" s="1030"/>
      <c r="L299" s="653" t="str">
        <f t="shared" si="263"/>
        <v>6133</v>
      </c>
      <c r="M299" s="654" t="str">
        <f t="shared" si="260"/>
        <v>FOND PENSION - NEUF</v>
      </c>
      <c r="N299" s="655">
        <f>+IF(OR($Q299=Parametres!$G$2,$Q299=Parametres!$G$3),I299,C299)</f>
        <v>0</v>
      </c>
      <c r="O299" s="655">
        <f>+IF(OR($Q299=Parametres!$G$2,$Q299=Parametres!$G$3),J299,D299)</f>
        <v>1484.98</v>
      </c>
      <c r="P299" s="655">
        <f>+IF(OR($Q299=Parametres!$G$2,$Q299=Parametres!$G$3),K299,E299)</f>
        <v>1484.98</v>
      </c>
      <c r="Q299" s="654" t="str">
        <f t="shared" ref="Q299:S299" si="304">+F299</f>
        <v>7-Dépenses</v>
      </c>
      <c r="R299" s="653" t="str">
        <f t="shared" si="304"/>
        <v>6133</v>
      </c>
      <c r="S299" s="654">
        <f t="shared" si="304"/>
        <v>0</v>
      </c>
      <c r="T299" s="656" t="str">
        <f>+VLOOKUP($L299,Data_Validation!$A:$D,1,0)</f>
        <v>6133</v>
      </c>
      <c r="U299" s="656" t="str">
        <f>+VLOOKUP($L299,Data_Validation!$A:$D,3,0)</f>
        <v>Véhicules neufs</v>
      </c>
      <c r="V299" s="656" t="str">
        <f>+VLOOKUP($L299,Data_Validation!$A:$D,4,0)</f>
        <v>Bénéfices marginaux</v>
      </c>
      <c r="W299" s="656" t="str">
        <f>+VLOOKUP($L299,Data_Validation!$A:$E,5,0)</f>
        <v>$</v>
      </c>
      <c r="X299" s="656">
        <f>+VLOOKUP($L299,Data_Validation!$A:$F,6,0)</f>
        <v>0</v>
      </c>
    </row>
    <row r="300" spans="1:24" ht="15" customHeight="1">
      <c r="A300" s="1052" t="s">
        <v>1185</v>
      </c>
      <c r="B300" s="1052" t="s">
        <v>1186</v>
      </c>
      <c r="C300" s="1054">
        <v>69862.69</v>
      </c>
      <c r="D300" s="1054">
        <v>5142.59</v>
      </c>
      <c r="E300" s="1054">
        <v>75005.279999999999</v>
      </c>
      <c r="F300" s="1052" t="s">
        <v>1154</v>
      </c>
      <c r="G300" s="1052" t="s">
        <v>1186</v>
      </c>
      <c r="H300" s="1029"/>
      <c r="I300" s="1030"/>
      <c r="J300" s="1030"/>
      <c r="K300" s="1030"/>
      <c r="L300" s="653" t="str">
        <f t="shared" si="263"/>
        <v>6139</v>
      </c>
      <c r="M300" s="654" t="str">
        <f t="shared" si="260"/>
        <v>ASSURANCE GROUPS</v>
      </c>
      <c r="N300" s="655">
        <f>+IF(OR($Q300=Parametres!$G$2,$Q300=Parametres!$G$3),I300,C300)</f>
        <v>69862.69</v>
      </c>
      <c r="O300" s="655">
        <f>+IF(OR($Q300=Parametres!$G$2,$Q300=Parametres!$G$3),J300,D300)</f>
        <v>5142.59</v>
      </c>
      <c r="P300" s="655">
        <f>+IF(OR($Q300=Parametres!$G$2,$Q300=Parametres!$G$3),K300,E300)</f>
        <v>75005.279999999999</v>
      </c>
      <c r="Q300" s="654" t="str">
        <f t="shared" ref="Q300:S300" si="305">+F300</f>
        <v>7-Dépenses</v>
      </c>
      <c r="R300" s="653" t="str">
        <f t="shared" si="305"/>
        <v>6139</v>
      </c>
      <c r="S300" s="654">
        <f t="shared" si="305"/>
        <v>0</v>
      </c>
      <c r="T300" s="656" t="str">
        <f>+VLOOKUP($L300,Data_Validation!$A:$D,1,0)</f>
        <v>6139</v>
      </c>
      <c r="U300" s="656" t="str">
        <f>+VLOOKUP($L300,Data_Validation!$A:$D,3,0)</f>
        <v>Véhicules neufs</v>
      </c>
      <c r="V300" s="656" t="str">
        <f>+VLOOKUP($L300,Data_Validation!$A:$D,4,0)</f>
        <v>Bénéfices marginaux</v>
      </c>
      <c r="W300" s="656" t="str">
        <f>+VLOOKUP($L300,Data_Validation!$A:$E,5,0)</f>
        <v>$</v>
      </c>
      <c r="X300" s="656">
        <f>+VLOOKUP($L300,Data_Validation!$A:$F,6,0)</f>
        <v>0</v>
      </c>
    </row>
    <row r="301" spans="1:24" ht="15.75" customHeight="1">
      <c r="A301" s="1052" t="s">
        <v>1187</v>
      </c>
      <c r="B301" s="1052" t="s">
        <v>1188</v>
      </c>
      <c r="C301" s="1054">
        <v>339.81</v>
      </c>
      <c r="D301" s="1054">
        <v>0</v>
      </c>
      <c r="E301" s="1054">
        <v>339.81</v>
      </c>
      <c r="F301" s="1052" t="s">
        <v>1154</v>
      </c>
      <c r="G301" s="1052" t="s">
        <v>1188</v>
      </c>
      <c r="H301" s="1029"/>
      <c r="I301" s="1030"/>
      <c r="J301" s="1030"/>
      <c r="K301" s="1030"/>
      <c r="L301" s="653" t="str">
        <f t="shared" si="263"/>
        <v>6142</v>
      </c>
      <c r="M301" s="654" t="str">
        <f t="shared" si="260"/>
        <v>FOURNITURES &amp; PETITS OUTILS</v>
      </c>
      <c r="N301" s="655">
        <f>+IF(OR($Q301=Parametres!$G$2,$Q301=Parametres!$G$3),I301,C301)</f>
        <v>339.81</v>
      </c>
      <c r="O301" s="655">
        <f>+IF(OR($Q301=Parametres!$G$2,$Q301=Parametres!$G$3),J301,D301)</f>
        <v>0</v>
      </c>
      <c r="P301" s="655">
        <f>+IF(OR($Q301=Parametres!$G$2,$Q301=Parametres!$G$3),K301,E301)</f>
        <v>339.81</v>
      </c>
      <c r="Q301" s="654" t="str">
        <f t="shared" ref="Q301:S301" si="306">+F301</f>
        <v>7-Dépenses</v>
      </c>
      <c r="R301" s="653" t="str">
        <f t="shared" si="306"/>
        <v>6142</v>
      </c>
      <c r="S301" s="654">
        <f t="shared" si="306"/>
        <v>0</v>
      </c>
      <c r="T301" s="656" t="str">
        <f>+VLOOKUP($L301,Data_Validation!$A:$D,1,0)</f>
        <v>6142</v>
      </c>
      <c r="U301" s="656" t="str">
        <f>+VLOOKUP($L301,Data_Validation!$A:$D,3,0)</f>
        <v>Véhicules neufs</v>
      </c>
      <c r="V301" s="656" t="str">
        <f>+VLOOKUP($L301,Data_Validation!$A:$D,4,0)</f>
        <v>Fournitures autres</v>
      </c>
      <c r="W301" s="656" t="str">
        <f>+VLOOKUP($L301,Data_Validation!$A:$E,5,0)</f>
        <v>$</v>
      </c>
      <c r="X301" s="656">
        <f>+VLOOKUP($L301,Data_Validation!$A:$F,6,0)</f>
        <v>0</v>
      </c>
    </row>
    <row r="302" spans="1:24" ht="15" customHeight="1">
      <c r="A302" s="1052" t="s">
        <v>1189</v>
      </c>
      <c r="B302" s="1052" t="s">
        <v>1190</v>
      </c>
      <c r="C302" s="1054">
        <v>113.99</v>
      </c>
      <c r="D302" s="1054">
        <v>0</v>
      </c>
      <c r="E302" s="1054">
        <v>113.99</v>
      </c>
      <c r="F302" s="1052" t="s">
        <v>1154</v>
      </c>
      <c r="G302" s="1052" t="s">
        <v>1190</v>
      </c>
      <c r="H302" s="1029"/>
      <c r="I302" s="1030"/>
      <c r="J302" s="1030"/>
      <c r="K302" s="1030"/>
      <c r="L302" s="653" t="str">
        <f t="shared" si="263"/>
        <v>6143</v>
      </c>
      <c r="M302" s="654" t="str">
        <f t="shared" si="260"/>
        <v>UNIFORMES &amp; LESSIVE</v>
      </c>
      <c r="N302" s="655">
        <f>+IF(OR($Q302=Parametres!$G$2,$Q302=Parametres!$G$3),I302,C302)</f>
        <v>113.99</v>
      </c>
      <c r="O302" s="655">
        <f>+IF(OR($Q302=Parametres!$G$2,$Q302=Parametres!$G$3),J302,D302)</f>
        <v>0</v>
      </c>
      <c r="P302" s="655">
        <f>+IF(OR($Q302=Parametres!$G$2,$Q302=Parametres!$G$3),K302,E302)</f>
        <v>113.99</v>
      </c>
      <c r="Q302" s="654" t="str">
        <f t="shared" ref="Q302:S302" si="307">+F302</f>
        <v>7-Dépenses</v>
      </c>
      <c r="R302" s="653" t="str">
        <f t="shared" si="307"/>
        <v>6143</v>
      </c>
      <c r="S302" s="654">
        <f t="shared" si="307"/>
        <v>0</v>
      </c>
      <c r="T302" s="656" t="str">
        <f>+VLOOKUP($L302,Data_Validation!$A:$D,1,0)</f>
        <v>6143</v>
      </c>
      <c r="U302" s="656" t="str">
        <f>+VLOOKUP($L302,Data_Validation!$A:$D,3,0)</f>
        <v>Véhicules neufs</v>
      </c>
      <c r="V302" s="656" t="str">
        <f>+VLOOKUP($L302,Data_Validation!$A:$D,4,0)</f>
        <v>Uniformes</v>
      </c>
      <c r="W302" s="656" t="str">
        <f>+VLOOKUP($L302,Data_Validation!$A:$E,5,0)</f>
        <v>$</v>
      </c>
      <c r="X302" s="656">
        <f>+VLOOKUP($L302,Data_Validation!$A:$F,6,0)</f>
        <v>0</v>
      </c>
    </row>
    <row r="303" spans="1:24" ht="15" customHeight="1">
      <c r="A303" s="1052" t="s">
        <v>1191</v>
      </c>
      <c r="B303" s="1052" t="s">
        <v>1192</v>
      </c>
      <c r="C303" s="1054">
        <v>13726.62</v>
      </c>
      <c r="D303" s="1054">
        <v>2965.24</v>
      </c>
      <c r="E303" s="1054">
        <v>16691.86</v>
      </c>
      <c r="F303" s="1052" t="s">
        <v>1154</v>
      </c>
      <c r="G303" s="1052" t="s">
        <v>1192</v>
      </c>
      <c r="H303" s="1029"/>
      <c r="I303" s="1030"/>
      <c r="J303" s="1030"/>
      <c r="K303" s="1030"/>
      <c r="L303" s="653" t="str">
        <f t="shared" si="263"/>
        <v>6144</v>
      </c>
      <c r="M303" s="654" t="str">
        <f t="shared" si="260"/>
        <v>FORMATION</v>
      </c>
      <c r="N303" s="655">
        <f>+IF(OR($Q303=Parametres!$G$2,$Q303=Parametres!$G$3),I303,C303)</f>
        <v>13726.62</v>
      </c>
      <c r="O303" s="655">
        <f>+IF(OR($Q303=Parametres!$G$2,$Q303=Parametres!$G$3),J303,D303)</f>
        <v>2965.24</v>
      </c>
      <c r="P303" s="655">
        <f>+IF(OR($Q303=Parametres!$G$2,$Q303=Parametres!$G$3),K303,E303)</f>
        <v>16691.86</v>
      </c>
      <c r="Q303" s="654" t="str">
        <f t="shared" ref="Q303:S303" si="308">+F303</f>
        <v>7-Dépenses</v>
      </c>
      <c r="R303" s="653" t="str">
        <f t="shared" si="308"/>
        <v>6144</v>
      </c>
      <c r="S303" s="654">
        <f t="shared" si="308"/>
        <v>0</v>
      </c>
      <c r="T303" s="656" t="str">
        <f>+VLOOKUP($L303,Data_Validation!$A:$D,1,0)</f>
        <v>6144</v>
      </c>
      <c r="U303" s="656" t="str">
        <f>+VLOOKUP($L303,Data_Validation!$A:$D,3,0)</f>
        <v>Véhicules neufs</v>
      </c>
      <c r="V303" s="656" t="str">
        <f>+VLOOKUP($L303,Data_Validation!$A:$D,4,0)</f>
        <v>Formation</v>
      </c>
      <c r="W303" s="656" t="str">
        <f>+VLOOKUP($L303,Data_Validation!$A:$E,5,0)</f>
        <v>$</v>
      </c>
      <c r="X303" s="656">
        <f>+VLOOKUP($L303,Data_Validation!$A:$F,6,0)</f>
        <v>0</v>
      </c>
    </row>
    <row r="304" spans="1:24" ht="15" customHeight="1">
      <c r="A304" s="1052" t="s">
        <v>1193</v>
      </c>
      <c r="B304" s="1052" t="s">
        <v>1194</v>
      </c>
      <c r="C304" s="1054">
        <v>91428.6</v>
      </c>
      <c r="D304" s="1054">
        <v>12232.5</v>
      </c>
      <c r="E304" s="1054">
        <v>103661.1</v>
      </c>
      <c r="F304" s="1052" t="s">
        <v>1154</v>
      </c>
      <c r="G304" s="1052" t="s">
        <v>1194</v>
      </c>
      <c r="H304" s="1029"/>
      <c r="I304" s="1030"/>
      <c r="J304" s="1030"/>
      <c r="K304" s="1030"/>
      <c r="L304" s="653" t="str">
        <f t="shared" si="263"/>
        <v>6145</v>
      </c>
      <c r="M304" s="654" t="str">
        <f t="shared" si="260"/>
        <v>VEHICULE DE COMPAGNIE - DEPENS</v>
      </c>
      <c r="N304" s="655">
        <f>+IF(OR($Q304=Parametres!$G$2,$Q304=Parametres!$G$3),I304,C304)</f>
        <v>91428.6</v>
      </c>
      <c r="O304" s="655">
        <f>+IF(OR($Q304=Parametres!$G$2,$Q304=Parametres!$G$3),J304,D304)</f>
        <v>12232.5</v>
      </c>
      <c r="P304" s="655">
        <f>+IF(OR($Q304=Parametres!$G$2,$Q304=Parametres!$G$3),K304,E304)</f>
        <v>103661.1</v>
      </c>
      <c r="Q304" s="654" t="str">
        <f t="shared" ref="Q304:S304" si="309">+F304</f>
        <v>7-Dépenses</v>
      </c>
      <c r="R304" s="653" t="str">
        <f t="shared" si="309"/>
        <v>6145</v>
      </c>
      <c r="S304" s="654">
        <f t="shared" si="309"/>
        <v>0</v>
      </c>
      <c r="T304" s="656" t="str">
        <f>+VLOOKUP($L304,Data_Validation!$A:$D,1,0)</f>
        <v>6145</v>
      </c>
      <c r="U304" s="656" t="str">
        <f>+VLOOKUP($L304,Data_Validation!$A:$D,3,0)</f>
        <v>Véhicules neufs</v>
      </c>
      <c r="V304" s="656" t="str">
        <f>+VLOOKUP($L304,Data_Validation!$A:$D,4,0)</f>
        <v>Frais véhicules de cie</v>
      </c>
      <c r="W304" s="656" t="str">
        <f>+VLOOKUP($L304,Data_Validation!$A:$E,5,0)</f>
        <v>$</v>
      </c>
      <c r="X304" s="656">
        <f>+VLOOKUP($L304,Data_Validation!$A:$F,6,0)</f>
        <v>0</v>
      </c>
    </row>
    <row r="305" spans="1:24" ht="15.75" customHeight="1">
      <c r="A305" s="1052" t="s">
        <v>1195</v>
      </c>
      <c r="B305" s="1052" t="s">
        <v>1196</v>
      </c>
      <c r="C305" s="1054">
        <v>1572.14</v>
      </c>
      <c r="D305" s="1054">
        <v>158.28</v>
      </c>
      <c r="E305" s="1054">
        <v>1730.42</v>
      </c>
      <c r="F305" s="1052" t="s">
        <v>1154</v>
      </c>
      <c r="G305" s="1052" t="s">
        <v>1196</v>
      </c>
      <c r="H305" s="1029"/>
      <c r="I305" s="1030"/>
      <c r="J305" s="1030"/>
      <c r="K305" s="1030"/>
      <c r="L305" s="653" t="str">
        <f t="shared" si="263"/>
        <v>6147</v>
      </c>
      <c r="M305" s="654" t="str">
        <f t="shared" si="260"/>
        <v>FRET/EXPRESS/TRANS. PAR CAMION</v>
      </c>
      <c r="N305" s="655">
        <f>+IF(OR($Q305=Parametres!$G$2,$Q305=Parametres!$G$3),I305,C305)</f>
        <v>1572.14</v>
      </c>
      <c r="O305" s="655">
        <f>+IF(OR($Q305=Parametres!$G$2,$Q305=Parametres!$G$3),J305,D305)</f>
        <v>158.28</v>
      </c>
      <c r="P305" s="655">
        <f>+IF(OR($Q305=Parametres!$G$2,$Q305=Parametres!$G$3),K305,E305)</f>
        <v>1730.42</v>
      </c>
      <c r="Q305" s="654" t="str">
        <f t="shared" ref="Q305:S305" si="310">+F305</f>
        <v>7-Dépenses</v>
      </c>
      <c r="R305" s="653" t="str">
        <f t="shared" si="310"/>
        <v>6147</v>
      </c>
      <c r="S305" s="654">
        <f t="shared" si="310"/>
        <v>0</v>
      </c>
      <c r="T305" s="656" t="str">
        <f>+VLOOKUP($L305,Data_Validation!$A:$D,1,0)</f>
        <v>6147</v>
      </c>
      <c r="U305" s="656" t="str">
        <f>+VLOOKUP($L305,Data_Validation!$A:$D,3,0)</f>
        <v>Véhicules neufs</v>
      </c>
      <c r="V305" s="656" t="str">
        <f>+VLOOKUP($L305,Data_Validation!$A:$D,4,0)</f>
        <v>Frais postaux</v>
      </c>
      <c r="W305" s="656" t="str">
        <f>+VLOOKUP($L305,Data_Validation!$A:$E,5,0)</f>
        <v>$</v>
      </c>
      <c r="X305" s="656">
        <f>+VLOOKUP($L305,Data_Validation!$A:$F,6,0)</f>
        <v>0</v>
      </c>
    </row>
    <row r="306" spans="1:24" ht="15" customHeight="1">
      <c r="A306" s="1052" t="s">
        <v>1197</v>
      </c>
      <c r="B306" s="1052" t="s">
        <v>1198</v>
      </c>
      <c r="C306" s="1054">
        <v>83241.56</v>
      </c>
      <c r="D306" s="1054">
        <v>5935.79</v>
      </c>
      <c r="E306" s="1054">
        <v>89177.35</v>
      </c>
      <c r="F306" s="1052" t="s">
        <v>1154</v>
      </c>
      <c r="G306" s="1052" t="s">
        <v>1198</v>
      </c>
      <c r="H306" s="1029"/>
      <c r="I306" s="1030"/>
      <c r="J306" s="1030"/>
      <c r="K306" s="1030"/>
      <c r="L306" s="653" t="str">
        <f t="shared" si="263"/>
        <v>6151</v>
      </c>
      <c r="M306" s="654" t="str">
        <f t="shared" si="260"/>
        <v>DEP. DU TRAITEMENT DES DONNEES</v>
      </c>
      <c r="N306" s="655">
        <f>+IF(OR($Q306=Parametres!$G$2,$Q306=Parametres!$G$3),I306,C306)</f>
        <v>83241.56</v>
      </c>
      <c r="O306" s="655">
        <f>+IF(OR($Q306=Parametres!$G$2,$Q306=Parametres!$G$3),J306,D306)</f>
        <v>5935.79</v>
      </c>
      <c r="P306" s="655">
        <f>+IF(OR($Q306=Parametres!$G$2,$Q306=Parametres!$G$3),K306,E306)</f>
        <v>89177.35</v>
      </c>
      <c r="Q306" s="654" t="str">
        <f t="shared" ref="Q306:S306" si="311">+F306</f>
        <v>7-Dépenses</v>
      </c>
      <c r="R306" s="653" t="str">
        <f t="shared" si="311"/>
        <v>6151</v>
      </c>
      <c r="S306" s="654">
        <f t="shared" si="311"/>
        <v>0</v>
      </c>
      <c r="T306" s="656" t="str">
        <f>+VLOOKUP($L306,Data_Validation!$A:$D,1,0)</f>
        <v>6151</v>
      </c>
      <c r="U306" s="656" t="str">
        <f>+VLOOKUP($L306,Data_Validation!$A:$D,3,0)</f>
        <v>Véhicules neufs</v>
      </c>
      <c r="V306" s="656" t="str">
        <f>+VLOOKUP($L306,Data_Validation!$A:$D,4,0)</f>
        <v>Informatique</v>
      </c>
      <c r="W306" s="656" t="str">
        <f>+VLOOKUP($L306,Data_Validation!$A:$E,5,0)</f>
        <v>$</v>
      </c>
      <c r="X306" s="656">
        <f>+VLOOKUP($L306,Data_Validation!$A:$F,6,0)</f>
        <v>0</v>
      </c>
    </row>
    <row r="307" spans="1:24" ht="15" customHeight="1">
      <c r="A307" s="1052" t="s">
        <v>1199</v>
      </c>
      <c r="B307" s="1052" t="s">
        <v>1200</v>
      </c>
      <c r="C307" s="1054">
        <v>7650.15</v>
      </c>
      <c r="D307" s="1054">
        <v>942.03</v>
      </c>
      <c r="E307" s="1054">
        <v>8592.18</v>
      </c>
      <c r="F307" s="1052" t="s">
        <v>1154</v>
      </c>
      <c r="G307" s="1052" t="s">
        <v>1200</v>
      </c>
      <c r="H307" s="1029"/>
      <c r="I307" s="1030"/>
      <c r="J307" s="1030"/>
      <c r="K307" s="1030"/>
      <c r="L307" s="653" t="str">
        <f t="shared" si="263"/>
        <v>6152</v>
      </c>
      <c r="M307" s="654" t="str">
        <f t="shared" si="260"/>
        <v>PAPETERIE</v>
      </c>
      <c r="N307" s="655">
        <f>+IF(OR($Q307=Parametres!$G$2,$Q307=Parametres!$G$3),I307,C307)</f>
        <v>7650.15</v>
      </c>
      <c r="O307" s="655">
        <f>+IF(OR($Q307=Parametres!$G$2,$Q307=Parametres!$G$3),J307,D307)</f>
        <v>942.03</v>
      </c>
      <c r="P307" s="655">
        <f>+IF(OR($Q307=Parametres!$G$2,$Q307=Parametres!$G$3),K307,E307)</f>
        <v>8592.18</v>
      </c>
      <c r="Q307" s="654" t="str">
        <f t="shared" ref="Q307:S307" si="312">+F307</f>
        <v>7-Dépenses</v>
      </c>
      <c r="R307" s="653" t="str">
        <f t="shared" si="312"/>
        <v>6152</v>
      </c>
      <c r="S307" s="654">
        <f t="shared" si="312"/>
        <v>0</v>
      </c>
      <c r="T307" s="656" t="str">
        <f>+VLOOKUP($L307,Data_Validation!$A:$D,1,0)</f>
        <v>6152</v>
      </c>
      <c r="U307" s="656" t="str">
        <f>+VLOOKUP($L307,Data_Validation!$A:$D,3,0)</f>
        <v>Véhicules neufs</v>
      </c>
      <c r="V307" s="656" t="str">
        <f>+VLOOKUP($L307,Data_Validation!$A:$D,4,0)</f>
        <v>Papeterie</v>
      </c>
      <c r="W307" s="656" t="str">
        <f>+VLOOKUP($L307,Data_Validation!$A:$E,5,0)</f>
        <v>$</v>
      </c>
      <c r="X307" s="656">
        <f>+VLOOKUP($L307,Data_Validation!$A:$F,6,0)</f>
        <v>0</v>
      </c>
    </row>
    <row r="308" spans="1:24" ht="15" customHeight="1">
      <c r="A308" s="1052" t="s">
        <v>1201</v>
      </c>
      <c r="B308" s="1052" t="s">
        <v>1202</v>
      </c>
      <c r="C308" s="1054">
        <v>2959.06</v>
      </c>
      <c r="D308" s="1054">
        <v>241.05</v>
      </c>
      <c r="E308" s="1054">
        <v>3200.11</v>
      </c>
      <c r="F308" s="1052" t="s">
        <v>1154</v>
      </c>
      <c r="G308" s="1052" t="s">
        <v>1202</v>
      </c>
      <c r="H308" s="1029"/>
      <c r="I308" s="1030"/>
      <c r="J308" s="1030"/>
      <c r="K308" s="1030"/>
      <c r="L308" s="653" t="str">
        <f t="shared" si="263"/>
        <v>6153</v>
      </c>
      <c r="M308" s="654" t="str">
        <f t="shared" si="260"/>
        <v>TELEPHONE ET TELEX</v>
      </c>
      <c r="N308" s="655">
        <f>+IF(OR($Q308=Parametres!$G$2,$Q308=Parametres!$G$3),I308,C308)</f>
        <v>2959.06</v>
      </c>
      <c r="O308" s="655">
        <f>+IF(OR($Q308=Parametres!$G$2,$Q308=Parametres!$G$3),J308,D308)</f>
        <v>241.05</v>
      </c>
      <c r="P308" s="655">
        <f>+IF(OR($Q308=Parametres!$G$2,$Q308=Parametres!$G$3),K308,E308)</f>
        <v>3200.11</v>
      </c>
      <c r="Q308" s="654" t="str">
        <f t="shared" ref="Q308:S308" si="313">+F308</f>
        <v>7-Dépenses</v>
      </c>
      <c r="R308" s="653" t="str">
        <f t="shared" si="313"/>
        <v>6153</v>
      </c>
      <c r="S308" s="654">
        <f t="shared" si="313"/>
        <v>0</v>
      </c>
      <c r="T308" s="656" t="str">
        <f>+VLOOKUP($L308,Data_Validation!$A:$D,1,0)</f>
        <v>6153</v>
      </c>
      <c r="U308" s="656" t="str">
        <f>+VLOOKUP($L308,Data_Validation!$A:$D,3,0)</f>
        <v>Véhicules neufs</v>
      </c>
      <c r="V308" s="656" t="str">
        <f>+VLOOKUP($L308,Data_Validation!$A:$D,4,0)</f>
        <v>Téléphone</v>
      </c>
      <c r="W308" s="656" t="str">
        <f>+VLOOKUP($L308,Data_Validation!$A:$E,5,0)</f>
        <v>$</v>
      </c>
      <c r="X308" s="656">
        <f>+VLOOKUP($L308,Data_Validation!$A:$F,6,0)</f>
        <v>0</v>
      </c>
    </row>
    <row r="309" spans="1:24" ht="15.75" customHeight="1">
      <c r="A309" s="1052" t="s">
        <v>1203</v>
      </c>
      <c r="B309" s="1052" t="s">
        <v>1204</v>
      </c>
      <c r="C309" s="1054">
        <v>2931.35</v>
      </c>
      <c r="D309" s="1054">
        <v>-3.75</v>
      </c>
      <c r="E309" s="1054">
        <v>2927.6</v>
      </c>
      <c r="F309" s="1052" t="s">
        <v>1154</v>
      </c>
      <c r="G309" s="1052" t="s">
        <v>1204</v>
      </c>
      <c r="H309" s="1029"/>
      <c r="I309" s="1030"/>
      <c r="J309" s="1030"/>
      <c r="K309" s="1030"/>
      <c r="L309" s="653" t="str">
        <f t="shared" si="263"/>
        <v>6155</v>
      </c>
      <c r="M309" s="654" t="str">
        <f t="shared" si="260"/>
        <v>DEPENSES DIVERS</v>
      </c>
      <c r="N309" s="655">
        <f>+IF(OR($Q309=Parametres!$G$2,$Q309=Parametres!$G$3),I309,C309)</f>
        <v>2931.35</v>
      </c>
      <c r="O309" s="655">
        <f>+IF(OR($Q309=Parametres!$G$2,$Q309=Parametres!$G$3),J309,D309)</f>
        <v>-3.75</v>
      </c>
      <c r="P309" s="655">
        <f>+IF(OR($Q309=Parametres!$G$2,$Q309=Parametres!$G$3),K309,E309)</f>
        <v>2927.6</v>
      </c>
      <c r="Q309" s="654" t="str">
        <f t="shared" ref="Q309:S309" si="314">+F309</f>
        <v>7-Dépenses</v>
      </c>
      <c r="R309" s="653" t="str">
        <f t="shared" si="314"/>
        <v>6155</v>
      </c>
      <c r="S309" s="654">
        <f t="shared" si="314"/>
        <v>0</v>
      </c>
      <c r="T309" s="656" t="str">
        <f>+VLOOKUP($L309,Data_Validation!$A:$D,1,0)</f>
        <v>6155</v>
      </c>
      <c r="U309" s="656" t="str">
        <f>+VLOOKUP($L309,Data_Validation!$A:$D,3,0)</f>
        <v>Véhicules neufs</v>
      </c>
      <c r="V309" s="656" t="str">
        <f>+VLOOKUP($L309,Data_Validation!$A:$D,4,0)</f>
        <v>Divers</v>
      </c>
      <c r="W309" s="656" t="str">
        <f>+VLOOKUP($L309,Data_Validation!$A:$E,5,0)</f>
        <v>$</v>
      </c>
      <c r="X309" s="656">
        <f>+VLOOKUP($L309,Data_Validation!$A:$F,6,0)</f>
        <v>0</v>
      </c>
    </row>
    <row r="310" spans="1:24" ht="15" customHeight="1">
      <c r="A310" s="1052" t="s">
        <v>1205</v>
      </c>
      <c r="B310" s="1052" t="s">
        <v>1206</v>
      </c>
      <c r="C310" s="1054">
        <v>12492.64</v>
      </c>
      <c r="D310" s="1054">
        <v>862.19</v>
      </c>
      <c r="E310" s="1054">
        <v>13354.83</v>
      </c>
      <c r="F310" s="1052" t="s">
        <v>1154</v>
      </c>
      <c r="G310" s="1052" t="s">
        <v>1206</v>
      </c>
      <c r="H310" s="1029"/>
      <c r="I310" s="1030"/>
      <c r="J310" s="1030"/>
      <c r="K310" s="1030"/>
      <c r="L310" s="653" t="str">
        <f t="shared" si="263"/>
        <v>6156</v>
      </c>
      <c r="M310" s="654" t="str">
        <f t="shared" si="260"/>
        <v>FRAIS REPRESENTATION - NEUF</v>
      </c>
      <c r="N310" s="655">
        <f>+IF(OR($Q310=Parametres!$G$2,$Q310=Parametres!$G$3),I310,C310)</f>
        <v>12492.64</v>
      </c>
      <c r="O310" s="655">
        <f>+IF(OR($Q310=Parametres!$G$2,$Q310=Parametres!$G$3),J310,D310)</f>
        <v>862.19</v>
      </c>
      <c r="P310" s="655">
        <f>+IF(OR($Q310=Parametres!$G$2,$Q310=Parametres!$G$3),K310,E310)</f>
        <v>13354.83</v>
      </c>
      <c r="Q310" s="654" t="str">
        <f t="shared" ref="Q310:S310" si="315">+F310</f>
        <v>7-Dépenses</v>
      </c>
      <c r="R310" s="653" t="str">
        <f t="shared" si="315"/>
        <v>6156</v>
      </c>
      <c r="S310" s="654">
        <f t="shared" si="315"/>
        <v>0</v>
      </c>
      <c r="T310" s="656" t="str">
        <f>+VLOOKUP($L310,Data_Validation!$A:$D,1,0)</f>
        <v>6156</v>
      </c>
      <c r="U310" s="656" t="str">
        <f>+VLOOKUP($L310,Data_Validation!$A:$D,3,0)</f>
        <v>Véhicules neufs</v>
      </c>
      <c r="V310" s="656" t="str">
        <f>+VLOOKUP($L310,Data_Validation!$A:$D,4,0)</f>
        <v>Frais de déplacement</v>
      </c>
      <c r="W310" s="656" t="str">
        <f>+VLOOKUP($L310,Data_Validation!$A:$E,5,0)</f>
        <v>$</v>
      </c>
      <c r="X310" s="656">
        <f>+VLOOKUP($L310,Data_Validation!$A:$F,6,0)</f>
        <v>0</v>
      </c>
    </row>
    <row r="311" spans="1:24" ht="15" customHeight="1">
      <c r="A311" s="1052" t="s">
        <v>1207</v>
      </c>
      <c r="B311" s="1052" t="s">
        <v>3388</v>
      </c>
      <c r="C311" s="1054">
        <v>49147.26</v>
      </c>
      <c r="D311" s="1054">
        <v>-3163.38</v>
      </c>
      <c r="E311" s="1054">
        <v>45983.88</v>
      </c>
      <c r="F311" s="1052" t="s">
        <v>1154</v>
      </c>
      <c r="G311" s="1052" t="s">
        <v>1208</v>
      </c>
      <c r="H311" s="1029"/>
      <c r="I311" s="1030"/>
      <c r="J311" s="1030"/>
      <c r="K311" s="1030"/>
      <c r="L311" s="653" t="str">
        <f t="shared" si="263"/>
        <v>6157</v>
      </c>
      <c r="M311" s="654" t="str">
        <f t="shared" si="260"/>
        <v>FRAIS BANCAIRES - NEUF</v>
      </c>
      <c r="N311" s="655">
        <f>+IF(OR($Q311=Parametres!$G$2,$Q311=Parametres!$G$3),I311,C311)</f>
        <v>49147.26</v>
      </c>
      <c r="O311" s="655">
        <f>+IF(OR($Q311=Parametres!$G$2,$Q311=Parametres!$G$3),J311,D311)</f>
        <v>-3163.38</v>
      </c>
      <c r="P311" s="655">
        <f>+IF(OR($Q311=Parametres!$G$2,$Q311=Parametres!$G$3),K311,E311)</f>
        <v>45983.88</v>
      </c>
      <c r="Q311" s="654" t="str">
        <f t="shared" ref="Q311:S311" si="316">+F311</f>
        <v>7-Dépenses</v>
      </c>
      <c r="R311" s="653" t="str">
        <f t="shared" si="316"/>
        <v>615</v>
      </c>
      <c r="S311" s="654">
        <f t="shared" si="316"/>
        <v>0</v>
      </c>
      <c r="T311" s="656" t="str">
        <f>+VLOOKUP($L311,Data_Validation!$A:$D,1,0)</f>
        <v>6157</v>
      </c>
      <c r="U311" s="656" t="str">
        <f>+VLOOKUP($L311,Data_Validation!$A:$D,3,0)</f>
        <v>Véhicules neufs</v>
      </c>
      <c r="V311" s="656" t="str">
        <f>+VLOOKUP($L311,Data_Validation!$A:$D,4,0)</f>
        <v>Frais bancaires</v>
      </c>
      <c r="W311" s="656" t="str">
        <f>+VLOOKUP($L311,Data_Validation!$A:$E,5,0)</f>
        <v>$</v>
      </c>
      <c r="X311" s="656">
        <f>+VLOOKUP($L311,Data_Validation!$A:$F,6,0)</f>
        <v>0</v>
      </c>
    </row>
    <row r="312" spans="1:24" ht="15" customHeight="1">
      <c r="A312" s="1052" t="s">
        <v>1209</v>
      </c>
      <c r="B312" s="1052" t="s">
        <v>1210</v>
      </c>
      <c r="C312" s="1054">
        <v>74595.070000000007</v>
      </c>
      <c r="D312" s="1054">
        <v>6386.01</v>
      </c>
      <c r="E312" s="1054">
        <v>80981.08</v>
      </c>
      <c r="F312" s="1052" t="s">
        <v>1154</v>
      </c>
      <c r="G312" s="1052" t="s">
        <v>1210</v>
      </c>
      <c r="H312" s="1029"/>
      <c r="I312" s="1030"/>
      <c r="J312" s="1030"/>
      <c r="K312" s="1030"/>
      <c r="L312" s="653" t="str">
        <f t="shared" si="263"/>
        <v>6159</v>
      </c>
      <c r="M312" s="654" t="str">
        <f t="shared" si="260"/>
        <v>SERVICE EXTERIEUR</v>
      </c>
      <c r="N312" s="655">
        <f>+IF(OR($Q312=Parametres!$G$2,$Q312=Parametres!$G$3),I312,C312)</f>
        <v>74595.070000000007</v>
      </c>
      <c r="O312" s="655">
        <f>+IF(OR($Q312=Parametres!$G$2,$Q312=Parametres!$G$3),J312,D312)</f>
        <v>6386.01</v>
      </c>
      <c r="P312" s="655">
        <f>+IF(OR($Q312=Parametres!$G$2,$Q312=Parametres!$G$3),K312,E312)</f>
        <v>80981.08</v>
      </c>
      <c r="Q312" s="654" t="str">
        <f t="shared" ref="Q312:S312" si="317">+F312</f>
        <v>7-Dépenses</v>
      </c>
      <c r="R312" s="653" t="str">
        <f t="shared" si="317"/>
        <v>6159</v>
      </c>
      <c r="S312" s="654">
        <f t="shared" si="317"/>
        <v>0</v>
      </c>
      <c r="T312" s="656" t="str">
        <f>+VLOOKUP($L312,Data_Validation!$A:$D,1,0)</f>
        <v>6159</v>
      </c>
      <c r="U312" s="656" t="str">
        <f>+VLOOKUP($L312,Data_Validation!$A:$D,3,0)</f>
        <v>Véhicules neufs</v>
      </c>
      <c r="V312" s="656" t="str">
        <f>+VLOOKUP($L312,Data_Validation!$A:$D,4,0)</f>
        <v>Services extérieurs</v>
      </c>
      <c r="W312" s="656" t="str">
        <f>+VLOOKUP($L312,Data_Validation!$A:$E,5,0)</f>
        <v>$</v>
      </c>
      <c r="X312" s="656">
        <f>+VLOOKUP($L312,Data_Validation!$A:$F,6,0)</f>
        <v>0</v>
      </c>
    </row>
    <row r="313" spans="1:24" ht="15" customHeight="1">
      <c r="A313" s="1052" t="s">
        <v>1211</v>
      </c>
      <c r="B313" s="1052" t="s">
        <v>1212</v>
      </c>
      <c r="C313" s="1054">
        <v>15187.04</v>
      </c>
      <c r="D313" s="1054">
        <v>1380.64</v>
      </c>
      <c r="E313" s="1054">
        <v>16567.68</v>
      </c>
      <c r="F313" s="1052" t="s">
        <v>1154</v>
      </c>
      <c r="G313" s="1052" t="s">
        <v>1212</v>
      </c>
      <c r="H313" s="1029"/>
      <c r="I313" s="1030"/>
      <c r="J313" s="1030"/>
      <c r="K313" s="1030"/>
      <c r="L313" s="653" t="str">
        <f t="shared" si="263"/>
        <v>6161</v>
      </c>
      <c r="M313" s="654" t="str">
        <f t="shared" si="260"/>
        <v>DEPRECIATION EQUIP. &amp; FIXTURES</v>
      </c>
      <c r="N313" s="655">
        <f>+IF(OR($Q313=Parametres!$G$2,$Q313=Parametres!$G$3),I313,C313)</f>
        <v>15187.04</v>
      </c>
      <c r="O313" s="655">
        <f>+IF(OR($Q313=Parametres!$G$2,$Q313=Parametres!$G$3),J313,D313)</f>
        <v>1380.64</v>
      </c>
      <c r="P313" s="655">
        <f>+IF(OR($Q313=Parametres!$G$2,$Q313=Parametres!$G$3),K313,E313)</f>
        <v>16567.68</v>
      </c>
      <c r="Q313" s="654" t="str">
        <f t="shared" ref="Q313:S313" si="318">+F313</f>
        <v>7-Dépenses</v>
      </c>
      <c r="R313" s="653" t="str">
        <f t="shared" si="318"/>
        <v>6161</v>
      </c>
      <c r="S313" s="654">
        <f t="shared" si="318"/>
        <v>0</v>
      </c>
      <c r="T313" s="656" t="str">
        <f>+VLOOKUP($L313,Data_Validation!$A:$D,1,0)</f>
        <v>6161</v>
      </c>
      <c r="U313" s="656" t="str">
        <f>+VLOOKUP($L313,Data_Validation!$A:$D,3,0)</f>
        <v>Véhicules neufs</v>
      </c>
      <c r="V313" s="656" t="str">
        <f>+VLOOKUP($L313,Data_Validation!$A:$D,4,0)</f>
        <v>Amortissement</v>
      </c>
      <c r="W313" s="656" t="str">
        <f>+VLOOKUP($L313,Data_Validation!$A:$E,5,0)</f>
        <v>$</v>
      </c>
      <c r="X313" s="656">
        <f>+VLOOKUP($L313,Data_Validation!$A:$F,6,0)</f>
        <v>0</v>
      </c>
    </row>
    <row r="314" spans="1:24" ht="15" customHeight="1">
      <c r="A314" s="1052" t="s">
        <v>1213</v>
      </c>
      <c r="B314" s="1052" t="s">
        <v>1214</v>
      </c>
      <c r="C314" s="1054">
        <v>8906.51</v>
      </c>
      <c r="D314" s="1054">
        <v>297.87</v>
      </c>
      <c r="E314" s="1054">
        <v>9204.3799999999992</v>
      </c>
      <c r="F314" s="1052" t="s">
        <v>1154</v>
      </c>
      <c r="G314" s="1052" t="s">
        <v>1214</v>
      </c>
      <c r="H314" s="1029"/>
      <c r="I314" s="1030"/>
      <c r="J314" s="1030"/>
      <c r="K314" s="1030"/>
      <c r="L314" s="653" t="str">
        <f t="shared" si="263"/>
        <v>6181</v>
      </c>
      <c r="M314" s="654" t="str">
        <f t="shared" si="260"/>
        <v>ELECTRICITE CHAUFFAGE</v>
      </c>
      <c r="N314" s="655">
        <f>+IF(OR($Q314=Parametres!$G$2,$Q314=Parametres!$G$3),I314,C314)</f>
        <v>8906.51</v>
      </c>
      <c r="O314" s="655">
        <f>+IF(OR($Q314=Parametres!$G$2,$Q314=Parametres!$G$3),J314,D314)</f>
        <v>297.87</v>
      </c>
      <c r="P314" s="655">
        <f>+IF(OR($Q314=Parametres!$G$2,$Q314=Parametres!$G$3),K314,E314)</f>
        <v>9204.3799999999992</v>
      </c>
      <c r="Q314" s="654" t="str">
        <f t="shared" ref="Q314:S314" si="319">+F314</f>
        <v>7-Dépenses</v>
      </c>
      <c r="R314" s="653" t="str">
        <f t="shared" si="319"/>
        <v>6181</v>
      </c>
      <c r="S314" s="654">
        <f t="shared" si="319"/>
        <v>0</v>
      </c>
      <c r="T314" s="656" t="str">
        <f>+VLOOKUP($L314,Data_Validation!$A:$D,1,0)</f>
        <v>6181</v>
      </c>
      <c r="U314" s="656" t="str">
        <f>+VLOOKUP($L314,Data_Validation!$A:$D,3,0)</f>
        <v>Véhicules neufs</v>
      </c>
      <c r="V314" s="656" t="str">
        <f>+VLOOKUP($L314,Data_Validation!$A:$D,4,0)</f>
        <v>Chauffage, éclairage</v>
      </c>
      <c r="W314" s="656" t="str">
        <f>+VLOOKUP($L314,Data_Validation!$A:$E,5,0)</f>
        <v>$</v>
      </c>
      <c r="X314" s="656">
        <f>+VLOOKUP($L314,Data_Validation!$A:$F,6,0)</f>
        <v>0</v>
      </c>
    </row>
    <row r="315" spans="1:24" ht="15" customHeight="1">
      <c r="A315" s="1052" t="s">
        <v>1215</v>
      </c>
      <c r="B315" s="1052" t="s">
        <v>1216</v>
      </c>
      <c r="C315" s="1054">
        <v>91520</v>
      </c>
      <c r="D315" s="1054">
        <v>8320</v>
      </c>
      <c r="E315" s="1054">
        <v>99840</v>
      </c>
      <c r="F315" s="1052" t="s">
        <v>1154</v>
      </c>
      <c r="G315" s="1052" t="s">
        <v>1216</v>
      </c>
      <c r="H315" s="1029"/>
      <c r="I315" s="1030"/>
      <c r="J315" s="1030"/>
      <c r="K315" s="1030"/>
      <c r="L315" s="653" t="str">
        <f t="shared" si="263"/>
        <v>6182</v>
      </c>
      <c r="M315" s="654" t="str">
        <f t="shared" si="260"/>
        <v>LOYER NEUFS</v>
      </c>
      <c r="N315" s="655">
        <f>+IF(OR($Q315=Parametres!$G$2,$Q315=Parametres!$G$3),I315,C315)</f>
        <v>91520</v>
      </c>
      <c r="O315" s="655">
        <f>+IF(OR($Q315=Parametres!$G$2,$Q315=Parametres!$G$3),J315,D315)</f>
        <v>8320</v>
      </c>
      <c r="P315" s="655">
        <f>+IF(OR($Q315=Parametres!$G$2,$Q315=Parametres!$G$3),K315,E315)</f>
        <v>99840</v>
      </c>
      <c r="Q315" s="654" t="str">
        <f t="shared" ref="Q315:S315" si="320">+F315</f>
        <v>7-Dépenses</v>
      </c>
      <c r="R315" s="653" t="str">
        <f t="shared" si="320"/>
        <v>6182</v>
      </c>
      <c r="S315" s="654">
        <f t="shared" si="320"/>
        <v>0</v>
      </c>
      <c r="T315" s="656" t="str">
        <f>+VLOOKUP($L315,Data_Validation!$A:$D,1,0)</f>
        <v>6182</v>
      </c>
      <c r="U315" s="656" t="str">
        <f>+VLOOKUP($L315,Data_Validation!$A:$D,3,0)</f>
        <v>Véhicules neufs</v>
      </c>
      <c r="V315" s="656" t="str">
        <f>+VLOOKUP($L315,Data_Validation!$A:$D,4,0)</f>
        <v>Loyer</v>
      </c>
      <c r="W315" s="656" t="str">
        <f>+VLOOKUP($L315,Data_Validation!$A:$E,5,0)</f>
        <v>$</v>
      </c>
      <c r="X315" s="656">
        <f>+VLOOKUP($L315,Data_Validation!$A:$F,6,0)</f>
        <v>0</v>
      </c>
    </row>
    <row r="316" spans="1:24" ht="15" customHeight="1">
      <c r="A316" s="1052" t="s">
        <v>1217</v>
      </c>
      <c r="B316" s="1052" t="s">
        <v>1218</v>
      </c>
      <c r="C316" s="1054">
        <v>15033.92</v>
      </c>
      <c r="D316" s="1054">
        <v>1366.72</v>
      </c>
      <c r="E316" s="1054">
        <v>16400.64</v>
      </c>
      <c r="F316" s="1052" t="s">
        <v>1154</v>
      </c>
      <c r="G316" s="1052" t="s">
        <v>1218</v>
      </c>
      <c r="H316" s="1029"/>
      <c r="I316" s="1030"/>
      <c r="J316" s="1030"/>
      <c r="K316" s="1030"/>
      <c r="L316" s="653" t="str">
        <f t="shared" si="263"/>
        <v>6186</v>
      </c>
      <c r="M316" s="654" t="str">
        <f t="shared" si="260"/>
        <v>ASSURANCE BATIMENT</v>
      </c>
      <c r="N316" s="655">
        <f>+IF(OR($Q316=Parametres!$G$2,$Q316=Parametres!$G$3),I316,C316)</f>
        <v>15033.92</v>
      </c>
      <c r="O316" s="655">
        <f>+IF(OR($Q316=Parametres!$G$2,$Q316=Parametres!$G$3),J316,D316)</f>
        <v>1366.72</v>
      </c>
      <c r="P316" s="655">
        <f>+IF(OR($Q316=Parametres!$G$2,$Q316=Parametres!$G$3),K316,E316)</f>
        <v>16400.64</v>
      </c>
      <c r="Q316" s="654" t="str">
        <f t="shared" ref="Q316:S316" si="321">+F316</f>
        <v>7-Dépenses</v>
      </c>
      <c r="R316" s="653" t="str">
        <f t="shared" si="321"/>
        <v>6186</v>
      </c>
      <c r="S316" s="654">
        <f t="shared" si="321"/>
        <v>0</v>
      </c>
      <c r="T316" s="656" t="str">
        <f>+VLOOKUP($L316,Data_Validation!$A:$D,1,0)</f>
        <v>6186</v>
      </c>
      <c r="U316" s="656" t="str">
        <f>+VLOOKUP($L316,Data_Validation!$A:$D,3,0)</f>
        <v>Véhicules neufs</v>
      </c>
      <c r="V316" s="656" t="str">
        <f>+VLOOKUP($L316,Data_Validation!$A:$D,4,0)</f>
        <v>Assurances</v>
      </c>
      <c r="W316" s="656" t="str">
        <f>+VLOOKUP($L316,Data_Validation!$A:$E,5,0)</f>
        <v>$</v>
      </c>
      <c r="X316" s="656">
        <f>+VLOOKUP($L316,Data_Validation!$A:$F,6,0)</f>
        <v>0</v>
      </c>
    </row>
    <row r="317" spans="1:24" ht="15" customHeight="1">
      <c r="A317" s="1052" t="s">
        <v>1219</v>
      </c>
      <c r="B317" s="1052" t="s">
        <v>1220</v>
      </c>
      <c r="C317" s="1054">
        <v>17353.599999999999</v>
      </c>
      <c r="D317" s="1054">
        <v>529.92999999999995</v>
      </c>
      <c r="E317" s="1054">
        <v>17883.53</v>
      </c>
      <c r="F317" s="1052" t="s">
        <v>1154</v>
      </c>
      <c r="G317" s="1052" t="s">
        <v>1220</v>
      </c>
      <c r="H317" s="1029"/>
      <c r="I317" s="1030"/>
      <c r="J317" s="1030"/>
      <c r="K317" s="1030"/>
      <c r="L317" s="653" t="str">
        <f t="shared" si="263"/>
        <v>6187</v>
      </c>
      <c r="M317" s="654" t="str">
        <f t="shared" si="260"/>
        <v>TAXE SUR PROPRIETE</v>
      </c>
      <c r="N317" s="655">
        <f>+IF(OR($Q317=Parametres!$G$2,$Q317=Parametres!$G$3),I317,C317)</f>
        <v>17353.599999999999</v>
      </c>
      <c r="O317" s="655">
        <f>+IF(OR($Q317=Parametres!$G$2,$Q317=Parametres!$G$3),J317,D317)</f>
        <v>529.92999999999995</v>
      </c>
      <c r="P317" s="655">
        <f>+IF(OR($Q317=Parametres!$G$2,$Q317=Parametres!$G$3),K317,E317)</f>
        <v>17883.53</v>
      </c>
      <c r="Q317" s="654" t="str">
        <f t="shared" ref="Q317:S317" si="322">+F317</f>
        <v>7-Dépenses</v>
      </c>
      <c r="R317" s="653" t="str">
        <f t="shared" si="322"/>
        <v>6187</v>
      </c>
      <c r="S317" s="654">
        <f t="shared" si="322"/>
        <v>0</v>
      </c>
      <c r="T317" s="656" t="str">
        <f>+VLOOKUP($L317,Data_Validation!$A:$D,1,0)</f>
        <v>6187</v>
      </c>
      <c r="U317" s="656" t="str">
        <f>+VLOOKUP($L317,Data_Validation!$A:$D,3,0)</f>
        <v>Véhicules neufs</v>
      </c>
      <c r="V317" s="656" t="str">
        <f>+VLOOKUP($L317,Data_Validation!$A:$D,4,0)</f>
        <v>Taxes foncières</v>
      </c>
      <c r="W317" s="656" t="str">
        <f>+VLOOKUP($L317,Data_Validation!$A:$E,5,0)</f>
        <v>$</v>
      </c>
      <c r="X317" s="656">
        <f>+VLOOKUP($L317,Data_Validation!$A:$F,6,0)</f>
        <v>0</v>
      </c>
    </row>
    <row r="318" spans="1:24" ht="15.75" customHeight="1">
      <c r="A318" s="1052" t="s">
        <v>1221</v>
      </c>
      <c r="B318" s="1052" t="s">
        <v>1222</v>
      </c>
      <c r="C318" s="1054">
        <v>11545.6</v>
      </c>
      <c r="D318" s="1054">
        <v>1049.5999999999999</v>
      </c>
      <c r="E318" s="1054">
        <v>12595.2</v>
      </c>
      <c r="F318" s="1052" t="s">
        <v>1154</v>
      </c>
      <c r="G318" s="1052" t="s">
        <v>1222</v>
      </c>
      <c r="H318" s="1029"/>
      <c r="I318" s="1030"/>
      <c r="J318" s="1030"/>
      <c r="K318" s="1030"/>
      <c r="L318" s="653" t="str">
        <f t="shared" si="263"/>
        <v>6193</v>
      </c>
      <c r="M318" s="654" t="str">
        <f t="shared" si="260"/>
        <v>TAXES AUTRES PERMIS LICENCE</v>
      </c>
      <c r="N318" s="655">
        <f>+IF(OR($Q318=Parametres!$G$2,$Q318=Parametres!$G$3),I318,C318)</f>
        <v>11545.6</v>
      </c>
      <c r="O318" s="655">
        <f>+IF(OR($Q318=Parametres!$G$2,$Q318=Parametres!$G$3),J318,D318)</f>
        <v>1049.5999999999999</v>
      </c>
      <c r="P318" s="655">
        <f>+IF(OR($Q318=Parametres!$G$2,$Q318=Parametres!$G$3),K318,E318)</f>
        <v>12595.2</v>
      </c>
      <c r="Q318" s="654" t="str">
        <f t="shared" ref="Q318:S318" si="323">+F318</f>
        <v>7-Dépenses</v>
      </c>
      <c r="R318" s="653" t="str">
        <f t="shared" si="323"/>
        <v>6193</v>
      </c>
      <c r="S318" s="654">
        <f t="shared" si="323"/>
        <v>0</v>
      </c>
      <c r="T318" s="656" t="str">
        <f>+VLOOKUP($L318,Data_Validation!$A:$D,1,0)</f>
        <v>6193</v>
      </c>
      <c r="U318" s="656" t="str">
        <f>+VLOOKUP($L318,Data_Validation!$A:$D,3,0)</f>
        <v>Véhicules neufs</v>
      </c>
      <c r="V318" s="656" t="str">
        <f>+VLOOKUP($L318,Data_Validation!$A:$D,4,0)</f>
        <v>Taxes d`affaires</v>
      </c>
      <c r="W318" s="656" t="str">
        <f>+VLOOKUP($L318,Data_Validation!$A:$E,5,0)</f>
        <v>$</v>
      </c>
      <c r="X318" s="656">
        <f>+VLOOKUP($L318,Data_Validation!$A:$F,6,0)</f>
        <v>0</v>
      </c>
    </row>
    <row r="319" spans="1:24" ht="15" customHeight="1">
      <c r="A319" s="1052" t="s">
        <v>1223</v>
      </c>
      <c r="B319" s="1052" t="s">
        <v>1224</v>
      </c>
      <c r="C319" s="1054">
        <v>21554.17</v>
      </c>
      <c r="D319" s="1054">
        <v>1959.47</v>
      </c>
      <c r="E319" s="1054">
        <v>23513.64</v>
      </c>
      <c r="F319" s="1052" t="s">
        <v>1154</v>
      </c>
      <c r="G319" s="1052" t="s">
        <v>1224</v>
      </c>
      <c r="H319" s="1029"/>
      <c r="I319" s="1030"/>
      <c r="J319" s="1030"/>
      <c r="K319" s="1030"/>
      <c r="L319" s="653" t="str">
        <f t="shared" si="263"/>
        <v>6194</v>
      </c>
      <c r="M319" s="654" t="str">
        <f t="shared" si="260"/>
        <v>HONORAIRES PROFESSIONNELS</v>
      </c>
      <c r="N319" s="655">
        <f>+IF(OR($Q319=Parametres!$G$2,$Q319=Parametres!$G$3),I319,C319)</f>
        <v>21554.17</v>
      </c>
      <c r="O319" s="655">
        <f>+IF(OR($Q319=Parametres!$G$2,$Q319=Parametres!$G$3),J319,D319)</f>
        <v>1959.47</v>
      </c>
      <c r="P319" s="655">
        <f>+IF(OR($Q319=Parametres!$G$2,$Q319=Parametres!$G$3),K319,E319)</f>
        <v>23513.64</v>
      </c>
      <c r="Q319" s="654" t="str">
        <f t="shared" ref="Q319:S319" si="324">+F319</f>
        <v>7-Dépenses</v>
      </c>
      <c r="R319" s="653" t="str">
        <f t="shared" si="324"/>
        <v>6194</v>
      </c>
      <c r="S319" s="654">
        <f t="shared" si="324"/>
        <v>0</v>
      </c>
      <c r="T319" s="656" t="str">
        <f>+VLOOKUP($L319,Data_Validation!$A:$D,1,0)</f>
        <v>6194</v>
      </c>
      <c r="U319" s="656" t="str">
        <f>+VLOOKUP($L319,Data_Validation!$A:$D,3,0)</f>
        <v>Véhicules neufs</v>
      </c>
      <c r="V319" s="656" t="str">
        <f>+VLOOKUP($L319,Data_Validation!$A:$D,4,0)</f>
        <v>Honoraires</v>
      </c>
      <c r="W319" s="656" t="str">
        <f>+VLOOKUP($L319,Data_Validation!$A:$E,5,0)</f>
        <v>$</v>
      </c>
      <c r="X319" s="656">
        <f>+VLOOKUP($L319,Data_Validation!$A:$F,6,0)</f>
        <v>0</v>
      </c>
    </row>
    <row r="320" spans="1:24" ht="15" customHeight="1">
      <c r="A320" s="1052" t="s">
        <v>1225</v>
      </c>
      <c r="B320" s="1052" t="s">
        <v>2319</v>
      </c>
      <c r="C320" s="1054">
        <v>276749.90000000002</v>
      </c>
      <c r="D320" s="1054">
        <v>10925.41</v>
      </c>
      <c r="E320" s="1054">
        <v>287675.31</v>
      </c>
      <c r="F320" s="1052" t="s">
        <v>1154</v>
      </c>
      <c r="G320" s="1052" t="s">
        <v>1155</v>
      </c>
      <c r="H320" s="1029"/>
      <c r="I320" s="1030"/>
      <c r="J320" s="1030"/>
      <c r="K320" s="1030"/>
      <c r="L320" s="653" t="str">
        <f t="shared" si="263"/>
        <v>6201</v>
      </c>
      <c r="M320" s="654" t="str">
        <f t="shared" si="260"/>
        <v>COMMISSION USAGES</v>
      </c>
      <c r="N320" s="655">
        <f>+IF(OR($Q320=Parametres!$G$2,$Q320=Parametres!$G$3),I320,C320)</f>
        <v>276749.90000000002</v>
      </c>
      <c r="O320" s="655">
        <f>+IF(OR($Q320=Parametres!$G$2,$Q320=Parametres!$G$3),J320,D320)</f>
        <v>10925.41</v>
      </c>
      <c r="P320" s="655">
        <f>+IF(OR($Q320=Parametres!$G$2,$Q320=Parametres!$G$3),K320,E320)</f>
        <v>287675.31</v>
      </c>
      <c r="Q320" s="654" t="str">
        <f t="shared" ref="Q320:S320" si="325">+F320</f>
        <v>7-Dépenses</v>
      </c>
      <c r="R320" s="653" t="str">
        <f t="shared" si="325"/>
        <v>6101</v>
      </c>
      <c r="S320" s="654">
        <f t="shared" si="325"/>
        <v>0</v>
      </c>
      <c r="T320" s="656" t="str">
        <f>+VLOOKUP($L320,Data_Validation!$A:$D,1,0)</f>
        <v>6201</v>
      </c>
      <c r="U320" s="656" t="str">
        <f>+VLOOKUP($L320,Data_Validation!$A:$D,3,0)</f>
        <v>Véhicules usagés</v>
      </c>
      <c r="V320" s="656" t="str">
        <f>+VLOOKUP($L320,Data_Validation!$A:$D,4,0)</f>
        <v>Comm. vendeurs</v>
      </c>
      <c r="W320" s="656" t="str">
        <f>+VLOOKUP($L320,Data_Validation!$A:$E,5,0)</f>
        <v>$</v>
      </c>
      <c r="X320" s="656">
        <f>+VLOOKUP($L320,Data_Validation!$A:$F,6,0)</f>
        <v>0</v>
      </c>
    </row>
    <row r="321" spans="1:24" ht="15" customHeight="1">
      <c r="A321" s="1052" t="s">
        <v>1156</v>
      </c>
      <c r="B321" s="1052" t="s">
        <v>2322</v>
      </c>
      <c r="C321" s="1054">
        <v>244478.97</v>
      </c>
      <c r="D321" s="1054">
        <v>13256.64</v>
      </c>
      <c r="E321" s="1054">
        <v>257735.61</v>
      </c>
      <c r="F321" s="1052" t="s">
        <v>1154</v>
      </c>
      <c r="G321" s="1052" t="s">
        <v>1157</v>
      </c>
      <c r="H321" s="1029"/>
      <c r="I321" s="1030"/>
      <c r="J321" s="1030"/>
      <c r="K321" s="1030"/>
      <c r="L321" s="653" t="str">
        <f t="shared" si="263"/>
        <v>6202</v>
      </c>
      <c r="M321" s="654" t="str">
        <f t="shared" si="260"/>
        <v>RENUMERATION F &amp; I</v>
      </c>
      <c r="N321" s="655">
        <f>+IF(OR($Q321=Parametres!$G$2,$Q321=Parametres!$G$3),I321,C321)</f>
        <v>244478.97</v>
      </c>
      <c r="O321" s="655">
        <f>+IF(OR($Q321=Parametres!$G$2,$Q321=Parametres!$G$3),J321,D321)</f>
        <v>13256.64</v>
      </c>
      <c r="P321" s="655">
        <f>+IF(OR($Q321=Parametres!$G$2,$Q321=Parametres!$G$3),K321,E321)</f>
        <v>257735.61</v>
      </c>
      <c r="Q321" s="654" t="str">
        <f t="shared" ref="Q321:S321" si="326">+F321</f>
        <v>7-Dépenses</v>
      </c>
      <c r="R321" s="653" t="str">
        <f t="shared" si="326"/>
        <v>6102</v>
      </c>
      <c r="S321" s="654">
        <f t="shared" si="326"/>
        <v>0</v>
      </c>
      <c r="T321" s="656" t="str">
        <f>+VLOOKUP($L321,Data_Validation!$A:$D,1,0)</f>
        <v>6202</v>
      </c>
      <c r="U321" s="656" t="str">
        <f>+VLOOKUP($L321,Data_Validation!$A:$D,3,0)</f>
        <v>Véhicules usagés</v>
      </c>
      <c r="V321" s="656" t="str">
        <f>+VLOOKUP($L321,Data_Validation!$A:$D,4,0)</f>
        <v>Comm. F&amp;I</v>
      </c>
      <c r="W321" s="656" t="str">
        <f>+VLOOKUP($L321,Data_Validation!$A:$E,5,0)</f>
        <v>$</v>
      </c>
      <c r="X321" s="656">
        <f>+VLOOKUP($L321,Data_Validation!$A:$F,6,0)</f>
        <v>0</v>
      </c>
    </row>
    <row r="322" spans="1:24" ht="15.75" customHeight="1">
      <c r="A322" s="1052" t="s">
        <v>1226</v>
      </c>
      <c r="B322" s="1052" t="s">
        <v>2325</v>
      </c>
      <c r="C322" s="1054">
        <v>1812.09</v>
      </c>
      <c r="D322" s="1054">
        <v>0</v>
      </c>
      <c r="E322" s="1054">
        <v>1812.09</v>
      </c>
      <c r="F322" s="1052" t="s">
        <v>1154</v>
      </c>
      <c r="G322" s="1052" t="s">
        <v>1159</v>
      </c>
      <c r="H322" s="1029"/>
      <c r="I322" s="1030"/>
      <c r="J322" s="1030"/>
      <c r="K322" s="1030"/>
      <c r="L322" s="653" t="str">
        <f t="shared" si="263"/>
        <v>6203</v>
      </c>
      <c r="M322" s="654" t="str">
        <f t="shared" si="260"/>
        <v>RELAT. A LA CLIENTELLE &amp; AJUST</v>
      </c>
      <c r="N322" s="655">
        <f>+IF(OR($Q322=Parametres!$G$2,$Q322=Parametres!$G$3),I322,C322)</f>
        <v>1812.09</v>
      </c>
      <c r="O322" s="655">
        <f>+IF(OR($Q322=Parametres!$G$2,$Q322=Parametres!$G$3),J322,D322)</f>
        <v>0</v>
      </c>
      <c r="P322" s="655">
        <f>+IF(OR($Q322=Parametres!$G$2,$Q322=Parametres!$G$3),K322,E322)</f>
        <v>1812.09</v>
      </c>
      <c r="Q322" s="654" t="str">
        <f t="shared" ref="Q322:S322" si="327">+F322</f>
        <v>7-Dépenses</v>
      </c>
      <c r="R322" s="653" t="str">
        <f t="shared" si="327"/>
        <v>6103</v>
      </c>
      <c r="S322" s="654">
        <f t="shared" si="327"/>
        <v>0</v>
      </c>
      <c r="T322" s="656" t="str">
        <f>+VLOOKUP($L322,Data_Validation!$A:$D,1,0)</f>
        <v>6203</v>
      </c>
      <c r="U322" s="656" t="str">
        <f>+VLOOKUP($L322,Data_Validation!$A:$D,3,0)</f>
        <v>Véhicules usagés</v>
      </c>
      <c r="V322" s="656" t="str">
        <f>+VLOOKUP($L322,Data_Validation!$A:$D,4,0)</f>
        <v>Service gratuit 1</v>
      </c>
      <c r="W322" s="656" t="str">
        <f>+VLOOKUP($L322,Data_Validation!$A:$E,5,0)</f>
        <v>$</v>
      </c>
      <c r="X322" s="656">
        <f>+VLOOKUP($L322,Data_Validation!$A:$F,6,0)</f>
        <v>0</v>
      </c>
    </row>
    <row r="323" spans="1:24" ht="15" customHeight="1">
      <c r="A323" s="1052" t="s">
        <v>1160</v>
      </c>
      <c r="B323" s="1052" t="s">
        <v>2328</v>
      </c>
      <c r="C323" s="1054">
        <v>51151.41</v>
      </c>
      <c r="D323" s="1054">
        <v>4374.82</v>
      </c>
      <c r="E323" s="1054">
        <v>55526.23</v>
      </c>
      <c r="F323" s="1052" t="s">
        <v>1154</v>
      </c>
      <c r="G323" s="1052" t="s">
        <v>1161</v>
      </c>
      <c r="H323" s="1029"/>
      <c r="I323" s="1030"/>
      <c r="J323" s="1030"/>
      <c r="K323" s="1030"/>
      <c r="L323" s="653" t="str">
        <f t="shared" ref="L323:L386" si="328">TEXT(B323,0)</f>
        <v>6206</v>
      </c>
      <c r="M323" s="654" t="str">
        <f t="shared" si="260"/>
        <v>ENTRETIEN DES STOCKS</v>
      </c>
      <c r="N323" s="655">
        <f>+IF(OR($Q323=Parametres!$G$2,$Q323=Parametres!$G$3),I323,C323)</f>
        <v>51151.41</v>
      </c>
      <c r="O323" s="655">
        <f>+IF(OR($Q323=Parametres!$G$2,$Q323=Parametres!$G$3),J323,D323)</f>
        <v>4374.82</v>
      </c>
      <c r="P323" s="655">
        <f>+IF(OR($Q323=Parametres!$G$2,$Q323=Parametres!$G$3),K323,E323)</f>
        <v>55526.23</v>
      </c>
      <c r="Q323" s="654" t="str">
        <f t="shared" ref="Q323:S323" si="329">+F323</f>
        <v>7-Dépenses</v>
      </c>
      <c r="R323" s="653" t="str">
        <f t="shared" si="329"/>
        <v>6106</v>
      </c>
      <c r="S323" s="654">
        <f t="shared" si="329"/>
        <v>0</v>
      </c>
      <c r="T323" s="656" t="str">
        <f>+VLOOKUP($L323,Data_Validation!$A:$D,1,0)</f>
        <v>6206</v>
      </c>
      <c r="U323" s="656" t="str">
        <f>+VLOOKUP($L323,Data_Validation!$A:$D,3,0)</f>
        <v>Véhicules usagés</v>
      </c>
      <c r="V323" s="656" t="str">
        <f>+VLOOKUP($L323,Data_Validation!$A:$D,4,0)</f>
        <v>Entretien stock</v>
      </c>
      <c r="W323" s="656" t="str">
        <f>+VLOOKUP($L323,Data_Validation!$A:$E,5,0)</f>
        <v>$</v>
      </c>
      <c r="X323" s="656">
        <f>+VLOOKUP($L323,Data_Validation!$A:$F,6,0)</f>
        <v>0</v>
      </c>
    </row>
    <row r="324" spans="1:24" ht="15" customHeight="1">
      <c r="A324" s="1052" t="s">
        <v>1162</v>
      </c>
      <c r="B324" s="1052" t="s">
        <v>2331</v>
      </c>
      <c r="C324" s="1054">
        <v>28976.73</v>
      </c>
      <c r="D324" s="1054">
        <v>9450.74</v>
      </c>
      <c r="E324" s="1054">
        <v>38427.47</v>
      </c>
      <c r="F324" s="1052" t="s">
        <v>1154</v>
      </c>
      <c r="G324" s="1052" t="s">
        <v>1163</v>
      </c>
      <c r="H324" s="1029"/>
      <c r="I324" s="1030"/>
      <c r="J324" s="1030"/>
      <c r="K324" s="1030"/>
      <c r="L324" s="653" t="str">
        <f t="shared" si="328"/>
        <v>6207</v>
      </c>
      <c r="M324" s="654" t="str">
        <f t="shared" si="260"/>
        <v>INTERET-PLAN DE FINANCEMENT</v>
      </c>
      <c r="N324" s="655">
        <f>+IF(OR($Q324=Parametres!$G$2,$Q324=Parametres!$G$3),I324,C324)</f>
        <v>28976.73</v>
      </c>
      <c r="O324" s="655">
        <f>+IF(OR($Q324=Parametres!$G$2,$Q324=Parametres!$G$3),J324,D324)</f>
        <v>9450.74</v>
      </c>
      <c r="P324" s="655">
        <f>+IF(OR($Q324=Parametres!$G$2,$Q324=Parametres!$G$3),K324,E324)</f>
        <v>38427.47</v>
      </c>
      <c r="Q324" s="654" t="str">
        <f t="shared" ref="Q324:S324" si="330">+F324</f>
        <v>7-Dépenses</v>
      </c>
      <c r="R324" s="653" t="str">
        <f t="shared" si="330"/>
        <v>6107</v>
      </c>
      <c r="S324" s="654">
        <f t="shared" si="330"/>
        <v>0</v>
      </c>
      <c r="T324" s="656" t="str">
        <f>+VLOOKUP($L324,Data_Validation!$A:$D,1,0)</f>
        <v>6207</v>
      </c>
      <c r="U324" s="656" t="str">
        <f>+VLOOKUP($L324,Data_Validation!$A:$D,3,0)</f>
        <v>Véhicules usagés</v>
      </c>
      <c r="V324" s="656" t="str">
        <f>+VLOOKUP($L324,Data_Validation!$A:$D,4,0)</f>
        <v>Intérêt de gros</v>
      </c>
      <c r="W324" s="656" t="str">
        <f>+VLOOKUP($L324,Data_Validation!$A:$E,5,0)</f>
        <v>$</v>
      </c>
      <c r="X324" s="656">
        <f>+VLOOKUP($L324,Data_Validation!$A:$F,6,0)</f>
        <v>0</v>
      </c>
    </row>
    <row r="325" spans="1:24" ht="15" customHeight="1">
      <c r="A325" s="1052" t="s">
        <v>1164</v>
      </c>
      <c r="B325" s="1052" t="s">
        <v>2334</v>
      </c>
      <c r="C325" s="1054">
        <v>7787.54</v>
      </c>
      <c r="D325" s="1054">
        <v>2310.11</v>
      </c>
      <c r="E325" s="1054">
        <v>10097.65</v>
      </c>
      <c r="F325" s="1052" t="s">
        <v>1154</v>
      </c>
      <c r="G325" s="1052" t="s">
        <v>1165</v>
      </c>
      <c r="H325" s="1029"/>
      <c r="I325" s="1030"/>
      <c r="J325" s="1030"/>
      <c r="K325" s="1030"/>
      <c r="L325" s="653" t="str">
        <f t="shared" si="328"/>
        <v>6208</v>
      </c>
      <c r="M325" s="654" t="str">
        <f t="shared" si="260"/>
        <v>FRAIS DE LIVRAISON</v>
      </c>
      <c r="N325" s="655">
        <f>+IF(OR($Q325=Parametres!$G$2,$Q325=Parametres!$G$3),I325,C325)</f>
        <v>7787.54</v>
      </c>
      <c r="O325" s="655">
        <f>+IF(OR($Q325=Parametres!$G$2,$Q325=Parametres!$G$3),J325,D325)</f>
        <v>2310.11</v>
      </c>
      <c r="P325" s="655">
        <f>+IF(OR($Q325=Parametres!$G$2,$Q325=Parametres!$G$3),K325,E325)</f>
        <v>10097.65</v>
      </c>
      <c r="Q325" s="654" t="str">
        <f t="shared" ref="Q325:S325" si="331">+F325</f>
        <v>7-Dépenses</v>
      </c>
      <c r="R325" s="653" t="str">
        <f t="shared" si="331"/>
        <v>6108</v>
      </c>
      <c r="S325" s="654">
        <f t="shared" si="331"/>
        <v>0</v>
      </c>
      <c r="T325" s="656" t="str">
        <f>+VLOOKUP($L325,Data_Validation!$A:$D,1,0)</f>
        <v>6208</v>
      </c>
      <c r="U325" s="656" t="str">
        <f>+VLOOKUP($L325,Data_Validation!$A:$D,3,0)</f>
        <v>Véhicules usagés</v>
      </c>
      <c r="V325" s="656" t="str">
        <f>+VLOOKUP($L325,Data_Validation!$A:$D,4,0)</f>
        <v>Frais de livraison</v>
      </c>
      <c r="W325" s="656" t="str">
        <f>+VLOOKUP($L325,Data_Validation!$A:$E,5,0)</f>
        <v>$</v>
      </c>
      <c r="X325" s="656">
        <f>+VLOOKUP($L325,Data_Validation!$A:$F,6,0)</f>
        <v>0</v>
      </c>
    </row>
    <row r="326" spans="1:24" ht="15" customHeight="1">
      <c r="A326" s="1052" t="s">
        <v>1166</v>
      </c>
      <c r="B326" s="1052" t="s">
        <v>2340</v>
      </c>
      <c r="C326" s="1054">
        <v>97727.83</v>
      </c>
      <c r="D326" s="1054">
        <v>11744.93</v>
      </c>
      <c r="E326" s="1054">
        <v>109472.76</v>
      </c>
      <c r="F326" s="1052" t="s">
        <v>1154</v>
      </c>
      <c r="G326" s="1052" t="s">
        <v>1167</v>
      </c>
      <c r="H326" s="1029"/>
      <c r="I326" s="1030"/>
      <c r="J326" s="1030"/>
      <c r="K326" s="1030"/>
      <c r="L326" s="653" t="str">
        <f t="shared" si="328"/>
        <v>6214</v>
      </c>
      <c r="M326" s="654" t="str">
        <f t="shared" si="260"/>
        <v>PUBLICITE</v>
      </c>
      <c r="N326" s="655">
        <f>+IF(OR($Q326=Parametres!$G$2,$Q326=Parametres!$G$3),I326,C326)</f>
        <v>97727.83</v>
      </c>
      <c r="O326" s="655">
        <f>+IF(OR($Q326=Parametres!$G$2,$Q326=Parametres!$G$3),J326,D326)</f>
        <v>11744.93</v>
      </c>
      <c r="P326" s="655">
        <f>+IF(OR($Q326=Parametres!$G$2,$Q326=Parametres!$G$3),K326,E326)</f>
        <v>109472.76</v>
      </c>
      <c r="Q326" s="654" t="str">
        <f t="shared" ref="Q326:S326" si="332">+F326</f>
        <v>7-Dépenses</v>
      </c>
      <c r="R326" s="653" t="str">
        <f t="shared" si="332"/>
        <v>6114</v>
      </c>
      <c r="S326" s="654">
        <f t="shared" si="332"/>
        <v>0</v>
      </c>
      <c r="T326" s="656" t="str">
        <f>+VLOOKUP($L326,Data_Validation!$A:$D,1,0)</f>
        <v>6214</v>
      </c>
      <c r="U326" s="656" t="str">
        <f>+VLOOKUP($L326,Data_Validation!$A:$D,3,0)</f>
        <v>Véhicules usagés</v>
      </c>
      <c r="V326" s="656" t="str">
        <f>+VLOOKUP($L326,Data_Validation!$A:$D,4,0)</f>
        <v>Publicité 1</v>
      </c>
      <c r="W326" s="656" t="str">
        <f>+VLOOKUP($L326,Data_Validation!$A:$E,5,0)</f>
        <v>$</v>
      </c>
      <c r="X326" s="656">
        <f>+VLOOKUP($L326,Data_Validation!$A:$F,6,0)</f>
        <v>0</v>
      </c>
    </row>
    <row r="327" spans="1:24" ht="15.75" customHeight="1">
      <c r="A327" s="1052" t="s">
        <v>1227</v>
      </c>
      <c r="B327" s="1052" t="s">
        <v>2343</v>
      </c>
      <c r="C327" s="1054">
        <v>-35300</v>
      </c>
      <c r="D327" s="1054">
        <v>-2400</v>
      </c>
      <c r="E327" s="1054">
        <v>-37700</v>
      </c>
      <c r="F327" s="1052" t="s">
        <v>1154</v>
      </c>
      <c r="G327" s="1052" t="s">
        <v>1167</v>
      </c>
      <c r="H327" s="1029"/>
      <c r="I327" s="1030"/>
      <c r="J327" s="1030"/>
      <c r="K327" s="1030"/>
      <c r="L327" s="653" t="str">
        <f t="shared" si="328"/>
        <v>6215</v>
      </c>
      <c r="M327" s="654" t="str">
        <f t="shared" si="260"/>
        <v>CREDIT PUBLICITE USAGES</v>
      </c>
      <c r="N327" s="655">
        <f>+IF(OR($Q327=Parametres!$G$2,$Q327=Parametres!$G$3),I327,C327)</f>
        <v>-35300</v>
      </c>
      <c r="O327" s="655">
        <f>+IF(OR($Q327=Parametres!$G$2,$Q327=Parametres!$G$3),J327,D327)</f>
        <v>-2400</v>
      </c>
      <c r="P327" s="655">
        <f>+IF(OR($Q327=Parametres!$G$2,$Q327=Parametres!$G$3),K327,E327)</f>
        <v>-37700</v>
      </c>
      <c r="Q327" s="654" t="str">
        <f t="shared" ref="Q327:S327" si="333">+F327</f>
        <v>7-Dépenses</v>
      </c>
      <c r="R327" s="653" t="str">
        <f t="shared" si="333"/>
        <v>6114</v>
      </c>
      <c r="S327" s="654">
        <f t="shared" si="333"/>
        <v>0</v>
      </c>
      <c r="T327" s="656" t="str">
        <f>+VLOOKUP($L327,Data_Validation!$A:$D,1,0)</f>
        <v>6215</v>
      </c>
      <c r="U327" s="656" t="str">
        <f>+VLOOKUP($L327,Data_Validation!$A:$D,3,0)</f>
        <v>Véhicules usagés</v>
      </c>
      <c r="V327" s="656" t="str">
        <f>+VLOOKUP($L327,Data_Validation!$A:$D,4,0)</f>
        <v>Publicité 1</v>
      </c>
      <c r="W327" s="656" t="str">
        <f>+VLOOKUP($L327,Data_Validation!$A:$E,5,0)</f>
        <v>$</v>
      </c>
      <c r="X327" s="656">
        <f>+VLOOKUP($L327,Data_Validation!$A:$F,6,0)</f>
        <v>0</v>
      </c>
    </row>
    <row r="328" spans="1:24" ht="15" customHeight="1">
      <c r="A328" s="1052" t="s">
        <v>1169</v>
      </c>
      <c r="B328" s="1052" t="s">
        <v>2349</v>
      </c>
      <c r="C328" s="1054">
        <v>17798.060000000001</v>
      </c>
      <c r="D328" s="1054">
        <v>1859.92</v>
      </c>
      <c r="E328" s="1054">
        <v>19657.98</v>
      </c>
      <c r="F328" s="1052" t="s">
        <v>1154</v>
      </c>
      <c r="G328" s="1052" t="s">
        <v>1170</v>
      </c>
      <c r="H328" s="1029"/>
      <c r="I328" s="1030"/>
      <c r="J328" s="1030"/>
      <c r="K328" s="1030"/>
      <c r="L328" s="653" t="str">
        <f t="shared" si="328"/>
        <v>6221</v>
      </c>
      <c r="M328" s="654" t="str">
        <f t="shared" si="260"/>
        <v>SALAIRES - PROPRIETAIRES</v>
      </c>
      <c r="N328" s="655">
        <f>+IF(OR($Q328=Parametres!$G$2,$Q328=Parametres!$G$3),I328,C328)</f>
        <v>17798.060000000001</v>
      </c>
      <c r="O328" s="655">
        <f>+IF(OR($Q328=Parametres!$G$2,$Q328=Parametres!$G$3),J328,D328)</f>
        <v>1859.92</v>
      </c>
      <c r="P328" s="655">
        <f>+IF(OR($Q328=Parametres!$G$2,$Q328=Parametres!$G$3),K328,E328)</f>
        <v>19657.98</v>
      </c>
      <c r="Q328" s="654" t="str">
        <f t="shared" ref="Q328:S328" si="334">+F328</f>
        <v>7-Dépenses</v>
      </c>
      <c r="R328" s="653" t="str">
        <f t="shared" si="334"/>
        <v>6121</v>
      </c>
      <c r="S328" s="654">
        <f t="shared" si="334"/>
        <v>0</v>
      </c>
      <c r="T328" s="656" t="str">
        <f>+VLOOKUP($L328,Data_Validation!$A:$D,1,0)</f>
        <v>6221</v>
      </c>
      <c r="U328" s="656" t="str">
        <f>+VLOOKUP($L328,Data_Validation!$A:$D,3,0)</f>
        <v>Véhicules usagés</v>
      </c>
      <c r="V328" s="656" t="str">
        <f>+VLOOKUP($L328,Data_Validation!$A:$D,4,0)</f>
        <v>Salaires propriétaire</v>
      </c>
      <c r="W328" s="656" t="str">
        <f>+VLOOKUP($L328,Data_Validation!$A:$E,5,0)</f>
        <v>$</v>
      </c>
      <c r="X328" s="656">
        <f>+VLOOKUP($L328,Data_Validation!$A:$F,6,0)</f>
        <v>0</v>
      </c>
    </row>
    <row r="329" spans="1:24" ht="15" customHeight="1">
      <c r="A329" s="1052" t="s">
        <v>1171</v>
      </c>
      <c r="B329" s="1052" t="s">
        <v>2352</v>
      </c>
      <c r="C329" s="1054">
        <v>108665.56</v>
      </c>
      <c r="D329" s="1054">
        <v>7995.62</v>
      </c>
      <c r="E329" s="1054">
        <v>116661.18</v>
      </c>
      <c r="F329" s="1052" t="s">
        <v>1154</v>
      </c>
      <c r="G329" s="1052" t="s">
        <v>1172</v>
      </c>
      <c r="H329" s="1029"/>
      <c r="I329" s="1030"/>
      <c r="J329" s="1030"/>
      <c r="K329" s="1030"/>
      <c r="L329" s="653" t="str">
        <f t="shared" si="328"/>
        <v>6222</v>
      </c>
      <c r="M329" s="654" t="str">
        <f t="shared" si="260"/>
        <v>SAL SUPERVISION / GERANT</v>
      </c>
      <c r="N329" s="655">
        <f>+IF(OR($Q329=Parametres!$G$2,$Q329=Parametres!$G$3),I329,C329)</f>
        <v>108665.56</v>
      </c>
      <c r="O329" s="655">
        <f>+IF(OR($Q329=Parametres!$G$2,$Q329=Parametres!$G$3),J329,D329)</f>
        <v>7995.62</v>
      </c>
      <c r="P329" s="655">
        <f>+IF(OR($Q329=Parametres!$G$2,$Q329=Parametres!$G$3),K329,E329)</f>
        <v>116661.18</v>
      </c>
      <c r="Q329" s="654" t="str">
        <f t="shared" ref="Q329:S329" si="335">+F329</f>
        <v>7-Dépenses</v>
      </c>
      <c r="R329" s="653" t="str">
        <f t="shared" si="335"/>
        <v>6122</v>
      </c>
      <c r="S329" s="654">
        <f t="shared" si="335"/>
        <v>0</v>
      </c>
      <c r="T329" s="656" t="str">
        <f>+VLOOKUP($L329,Data_Validation!$A:$D,1,0)</f>
        <v>6222</v>
      </c>
      <c r="U329" s="656" t="str">
        <f>+VLOOKUP($L329,Data_Validation!$A:$D,3,0)</f>
        <v>Véhicules usagés</v>
      </c>
      <c r="V329" s="656" t="str">
        <f>+VLOOKUP($L329,Data_Validation!$A:$D,4,0)</f>
        <v>Salaires cadres</v>
      </c>
      <c r="W329" s="656" t="str">
        <f>+VLOOKUP($L329,Data_Validation!$A:$E,5,0)</f>
        <v>$</v>
      </c>
      <c r="X329" s="656">
        <f>+VLOOKUP($L329,Data_Validation!$A:$F,6,0)</f>
        <v>0</v>
      </c>
    </row>
    <row r="330" spans="1:24" ht="15" customHeight="1">
      <c r="A330" s="1052" t="s">
        <v>1173</v>
      </c>
      <c r="B330" s="1052" t="s">
        <v>2355</v>
      </c>
      <c r="C330" s="1054">
        <v>19007.28</v>
      </c>
      <c r="D330" s="1054">
        <v>2858.19</v>
      </c>
      <c r="E330" s="1054">
        <v>21865.47</v>
      </c>
      <c r="F330" s="1052" t="s">
        <v>1154</v>
      </c>
      <c r="G330" s="1052" t="s">
        <v>1174</v>
      </c>
      <c r="H330" s="1029"/>
      <c r="I330" s="1030"/>
      <c r="J330" s="1030"/>
      <c r="K330" s="1030"/>
      <c r="L330" s="653" t="str">
        <f t="shared" si="328"/>
        <v>6223</v>
      </c>
      <c r="M330" s="654" t="str">
        <f t="shared" si="260"/>
        <v>SAL. &amp; RENUM. - CLERICAL</v>
      </c>
      <c r="N330" s="655">
        <f>+IF(OR($Q330=Parametres!$G$2,$Q330=Parametres!$G$3),I330,C330)</f>
        <v>19007.28</v>
      </c>
      <c r="O330" s="655">
        <f>+IF(OR($Q330=Parametres!$G$2,$Q330=Parametres!$G$3),J330,D330)</f>
        <v>2858.19</v>
      </c>
      <c r="P330" s="655">
        <f>+IF(OR($Q330=Parametres!$G$2,$Q330=Parametres!$G$3),K330,E330)</f>
        <v>21865.47</v>
      </c>
      <c r="Q330" s="654" t="str">
        <f t="shared" ref="Q330:S330" si="336">+F330</f>
        <v>7-Dépenses</v>
      </c>
      <c r="R330" s="653" t="str">
        <f t="shared" si="336"/>
        <v>6123</v>
      </c>
      <c r="S330" s="654">
        <f t="shared" si="336"/>
        <v>0</v>
      </c>
      <c r="T330" s="656" t="str">
        <f>+VLOOKUP($L330,Data_Validation!$A:$D,1,0)</f>
        <v>6223</v>
      </c>
      <c r="U330" s="656" t="str">
        <f>+VLOOKUP($L330,Data_Validation!$A:$D,3,0)</f>
        <v>Véhicules usagés</v>
      </c>
      <c r="V330" s="656" t="str">
        <f>+VLOOKUP($L330,Data_Validation!$A:$D,4,0)</f>
        <v>Salaires commis</v>
      </c>
      <c r="W330" s="656" t="str">
        <f>+VLOOKUP($L330,Data_Validation!$A:$E,5,0)</f>
        <v>$</v>
      </c>
      <c r="X330" s="656">
        <f>+VLOOKUP($L330,Data_Validation!$A:$F,6,0)</f>
        <v>0</v>
      </c>
    </row>
    <row r="331" spans="1:24" ht="15" customHeight="1">
      <c r="A331" s="1052" t="s">
        <v>1228</v>
      </c>
      <c r="B331" s="1052" t="s">
        <v>2358</v>
      </c>
      <c r="C331" s="1054">
        <v>83330.259999999995</v>
      </c>
      <c r="D331" s="1054">
        <v>8410.67</v>
      </c>
      <c r="E331" s="1054">
        <v>91740.93</v>
      </c>
      <c r="F331" s="1052" t="s">
        <v>1154</v>
      </c>
      <c r="G331" s="1052" t="s">
        <v>1176</v>
      </c>
      <c r="H331" s="1029"/>
      <c r="I331" s="1030"/>
      <c r="J331" s="1030"/>
      <c r="K331" s="1030"/>
      <c r="L331" s="653" t="str">
        <f t="shared" si="328"/>
        <v>6224</v>
      </c>
      <c r="M331" s="654" t="str">
        <f t="shared" si="260"/>
        <v>SALAIRE &amp; RENUM. - AUTRES</v>
      </c>
      <c r="N331" s="655">
        <f>+IF(OR($Q331=Parametres!$G$2,$Q331=Parametres!$G$3),I331,C331)</f>
        <v>83330.259999999995</v>
      </c>
      <c r="O331" s="655">
        <f>+IF(OR($Q331=Parametres!$G$2,$Q331=Parametres!$G$3),J331,D331)</f>
        <v>8410.67</v>
      </c>
      <c r="P331" s="655">
        <f>+IF(OR($Q331=Parametres!$G$2,$Q331=Parametres!$G$3),K331,E331)</f>
        <v>91740.93</v>
      </c>
      <c r="Q331" s="654" t="str">
        <f t="shared" ref="Q331:S331" si="337">+F331</f>
        <v>7-Dépenses</v>
      </c>
      <c r="R331" s="653" t="str">
        <f t="shared" si="337"/>
        <v>6124</v>
      </c>
      <c r="S331" s="654">
        <f t="shared" si="337"/>
        <v>0</v>
      </c>
      <c r="T331" s="656" t="str">
        <f>+VLOOKUP($L331,Data_Validation!$A:$D,1,0)</f>
        <v>6224</v>
      </c>
      <c r="U331" s="656" t="str">
        <f>+VLOOKUP($L331,Data_Validation!$A:$D,3,0)</f>
        <v>Véhicules usagés</v>
      </c>
      <c r="V331" s="656" t="str">
        <f>+VLOOKUP($L331,Data_Validation!$A:$D,4,0)</f>
        <v>Salaires autres</v>
      </c>
      <c r="W331" s="656" t="str">
        <f>+VLOOKUP($L331,Data_Validation!$A:$E,5,0)</f>
        <v>$</v>
      </c>
      <c r="X331" s="656">
        <f>+VLOOKUP($L331,Data_Validation!$A:$F,6,0)</f>
        <v>0</v>
      </c>
    </row>
    <row r="332" spans="1:24" ht="15" customHeight="1">
      <c r="A332" s="1052" t="s">
        <v>1229</v>
      </c>
      <c r="B332" s="1052" t="s">
        <v>2359</v>
      </c>
      <c r="C332" s="1054">
        <v>40448.980000000003</v>
      </c>
      <c r="D332" s="1054">
        <v>8469.86</v>
      </c>
      <c r="E332" s="1054">
        <v>48918.84</v>
      </c>
      <c r="F332" s="1052" t="s">
        <v>1154</v>
      </c>
      <c r="G332" s="1052" t="s">
        <v>1178</v>
      </c>
      <c r="H332" s="1029"/>
      <c r="I332" s="1030"/>
      <c r="J332" s="1030"/>
      <c r="K332" s="1030"/>
      <c r="L332" s="653" t="str">
        <f t="shared" si="328"/>
        <v>6229</v>
      </c>
      <c r="M332" s="654" t="str">
        <f t="shared" si="260"/>
        <v>ABS.,VACANCES &amp; SAL. JOURS FER</v>
      </c>
      <c r="N332" s="655">
        <f>+IF(OR($Q332=Parametres!$G$2,$Q332=Parametres!$G$3),I332,C332)</f>
        <v>40448.980000000003</v>
      </c>
      <c r="O332" s="655">
        <f>+IF(OR($Q332=Parametres!$G$2,$Q332=Parametres!$G$3),J332,D332)</f>
        <v>8469.86</v>
      </c>
      <c r="P332" s="655">
        <f>+IF(OR($Q332=Parametres!$G$2,$Q332=Parametres!$G$3),K332,E332)</f>
        <v>48918.84</v>
      </c>
      <c r="Q332" s="654" t="str">
        <f t="shared" ref="Q332:S332" si="338">+F332</f>
        <v>7-Dépenses</v>
      </c>
      <c r="R332" s="653" t="str">
        <f t="shared" si="338"/>
        <v>6129</v>
      </c>
      <c r="S332" s="654">
        <f t="shared" si="338"/>
        <v>0</v>
      </c>
      <c r="T332" s="656" t="str">
        <f>+VLOOKUP($L332,Data_Validation!$A:$D,1,0)</f>
        <v>6229</v>
      </c>
      <c r="U332" s="656" t="str">
        <f>+VLOOKUP($L332,Data_Validation!$A:$D,3,0)</f>
        <v>Véhicules usagés</v>
      </c>
      <c r="V332" s="656" t="str">
        <f>+VLOOKUP($L332,Data_Validation!$A:$D,4,0)</f>
        <v>Salaires en absences</v>
      </c>
      <c r="W332" s="656" t="str">
        <f>+VLOOKUP($L332,Data_Validation!$A:$E,5,0)</f>
        <v>$</v>
      </c>
      <c r="X332" s="656">
        <f>+VLOOKUP($L332,Data_Validation!$A:$F,6,0)</f>
        <v>0</v>
      </c>
    </row>
    <row r="333" spans="1:24" ht="15.75" customHeight="1">
      <c r="A333" s="1052" t="s">
        <v>1179</v>
      </c>
      <c r="B333" s="1052" t="s">
        <v>2362</v>
      </c>
      <c r="C333" s="1054">
        <v>17573.97</v>
      </c>
      <c r="D333" s="1054">
        <v>4570.97</v>
      </c>
      <c r="E333" s="1054">
        <v>22144.94</v>
      </c>
      <c r="F333" s="1052" t="s">
        <v>1154</v>
      </c>
      <c r="G333" s="1052" t="s">
        <v>1180</v>
      </c>
      <c r="H333" s="1029"/>
      <c r="I333" s="1030"/>
      <c r="J333" s="1030"/>
      <c r="K333" s="1030"/>
      <c r="L333" s="653" t="str">
        <f t="shared" si="328"/>
        <v>6231</v>
      </c>
      <c r="M333" s="654" t="str">
        <f t="shared" si="260"/>
        <v>CSST</v>
      </c>
      <c r="N333" s="655">
        <f>+IF(OR($Q333=Parametres!$G$2,$Q333=Parametres!$G$3),I333,C333)</f>
        <v>17573.97</v>
      </c>
      <c r="O333" s="655">
        <f>+IF(OR($Q333=Parametres!$G$2,$Q333=Parametres!$G$3),J333,D333)</f>
        <v>4570.97</v>
      </c>
      <c r="P333" s="655">
        <f>+IF(OR($Q333=Parametres!$G$2,$Q333=Parametres!$G$3),K333,E333)</f>
        <v>22144.94</v>
      </c>
      <c r="Q333" s="654" t="str">
        <f t="shared" ref="Q333:S333" si="339">+F333</f>
        <v>7-Dépenses</v>
      </c>
      <c r="R333" s="653" t="str">
        <f t="shared" si="339"/>
        <v>6131</v>
      </c>
      <c r="S333" s="654">
        <f t="shared" si="339"/>
        <v>0</v>
      </c>
      <c r="T333" s="656" t="str">
        <f>+VLOOKUP($L333,Data_Validation!$A:$D,1,0)</f>
        <v>6231</v>
      </c>
      <c r="U333" s="656" t="str">
        <f>+VLOOKUP($L333,Data_Validation!$A:$D,3,0)</f>
        <v>Véhicules usagés</v>
      </c>
      <c r="V333" s="656" t="str">
        <f>+VLOOKUP($L333,Data_Validation!$A:$D,4,0)</f>
        <v>Csst</v>
      </c>
      <c r="W333" s="656" t="str">
        <f>+VLOOKUP($L333,Data_Validation!$A:$E,5,0)</f>
        <v>$</v>
      </c>
      <c r="X333" s="656">
        <f>+VLOOKUP($L333,Data_Validation!$A:$F,6,0)</f>
        <v>0</v>
      </c>
    </row>
    <row r="334" spans="1:24" ht="15.75" customHeight="1">
      <c r="A334" s="1052" t="s">
        <v>1181</v>
      </c>
      <c r="B334" s="1052" t="s">
        <v>2365</v>
      </c>
      <c r="C334" s="1054">
        <v>47352.15</v>
      </c>
      <c r="D334" s="1054">
        <v>6702.32</v>
      </c>
      <c r="E334" s="1054">
        <v>54054.47</v>
      </c>
      <c r="F334" s="1052" t="s">
        <v>1154</v>
      </c>
      <c r="G334" s="1052" t="s">
        <v>1182</v>
      </c>
      <c r="H334" s="1029"/>
      <c r="I334" s="1030"/>
      <c r="J334" s="1030"/>
      <c r="K334" s="1030"/>
      <c r="L334" s="653" t="str">
        <f t="shared" si="328"/>
        <v>6232</v>
      </c>
      <c r="M334" s="654" t="str">
        <f t="shared" si="260"/>
        <v>RRQ RAMQ AC</v>
      </c>
      <c r="N334" s="655">
        <f>+IF(OR($Q334=Parametres!$G$2,$Q334=Parametres!$G$3),I334,C334)</f>
        <v>47352.15</v>
      </c>
      <c r="O334" s="655">
        <f>+IF(OR($Q334=Parametres!$G$2,$Q334=Parametres!$G$3),J334,D334)</f>
        <v>6702.32</v>
      </c>
      <c r="P334" s="655">
        <f>+IF(OR($Q334=Parametres!$G$2,$Q334=Parametres!$G$3),K334,E334)</f>
        <v>54054.47</v>
      </c>
      <c r="Q334" s="654" t="str">
        <f t="shared" ref="Q334:S334" si="340">+F334</f>
        <v>7-Dépenses</v>
      </c>
      <c r="R334" s="653" t="str">
        <f t="shared" si="340"/>
        <v>6132</v>
      </c>
      <c r="S334" s="654">
        <f t="shared" si="340"/>
        <v>0</v>
      </c>
      <c r="T334" s="656" t="str">
        <f>+VLOOKUP($L334,Data_Validation!$A:$D,1,0)</f>
        <v>6232</v>
      </c>
      <c r="U334" s="656" t="str">
        <f>+VLOOKUP($L334,Data_Validation!$A:$D,3,0)</f>
        <v>Véhicules usagés</v>
      </c>
      <c r="V334" s="656" t="str">
        <f>+VLOOKUP($L334,Data_Validation!$A:$D,4,0)</f>
        <v>Déduction à la source</v>
      </c>
      <c r="W334" s="656" t="str">
        <f>+VLOOKUP($L334,Data_Validation!$A:$E,5,0)</f>
        <v>$</v>
      </c>
      <c r="X334" s="656">
        <f>+VLOOKUP($L334,Data_Validation!$A:$F,6,0)</f>
        <v>0</v>
      </c>
    </row>
    <row r="335" spans="1:24" ht="15" customHeight="1">
      <c r="A335" s="1052" t="s">
        <v>1230</v>
      </c>
      <c r="B335" s="1052" t="s">
        <v>3390</v>
      </c>
      <c r="C335" s="1054">
        <v>0</v>
      </c>
      <c r="D335" s="1054">
        <v>267.44</v>
      </c>
      <c r="E335" s="1054">
        <v>267.44</v>
      </c>
      <c r="F335" s="1052" t="s">
        <v>1154</v>
      </c>
      <c r="G335" s="1052" t="s">
        <v>1184</v>
      </c>
      <c r="H335" s="1029"/>
      <c r="I335" s="1030"/>
      <c r="J335" s="1030"/>
      <c r="K335" s="1030"/>
      <c r="L335" s="653" t="str">
        <f t="shared" si="328"/>
        <v>6233</v>
      </c>
      <c r="M335" s="654" t="str">
        <f t="shared" si="260"/>
        <v>FOND PENSION - USAGE</v>
      </c>
      <c r="N335" s="655">
        <f>+IF(OR($Q335=Parametres!$G$2,$Q335=Parametres!$G$3),I335,C335)</f>
        <v>0</v>
      </c>
      <c r="O335" s="655">
        <f>+IF(OR($Q335=Parametres!$G$2,$Q335=Parametres!$G$3),J335,D335)</f>
        <v>267.44</v>
      </c>
      <c r="P335" s="655">
        <f>+IF(OR($Q335=Parametres!$G$2,$Q335=Parametres!$G$3),K335,E335)</f>
        <v>267.44</v>
      </c>
      <c r="Q335" s="654" t="str">
        <f t="shared" ref="Q335:S335" si="341">+F335</f>
        <v>7-Dépenses</v>
      </c>
      <c r="R335" s="653" t="str">
        <f t="shared" si="341"/>
        <v>6133</v>
      </c>
      <c r="S335" s="654">
        <f t="shared" si="341"/>
        <v>0</v>
      </c>
      <c r="T335" s="656" t="str">
        <f>+VLOOKUP($L335,Data_Validation!$A:$D,1,0)</f>
        <v>6233</v>
      </c>
      <c r="U335" s="656" t="str">
        <f>+VLOOKUP($L335,Data_Validation!$A:$D,3,0)</f>
        <v>Véhicules usagés</v>
      </c>
      <c r="V335" s="656" t="str">
        <f>+VLOOKUP($L335,Data_Validation!$A:$D,4,0)</f>
        <v>Bénéfices marginaux</v>
      </c>
      <c r="W335" s="656" t="str">
        <f>+VLOOKUP($L335,Data_Validation!$A:$E,5,0)</f>
        <v>$</v>
      </c>
      <c r="X335" s="656">
        <f>+VLOOKUP($L335,Data_Validation!$A:$F,6,0)</f>
        <v>0</v>
      </c>
    </row>
    <row r="336" spans="1:24" ht="15" customHeight="1">
      <c r="A336" s="1052" t="s">
        <v>1231</v>
      </c>
      <c r="B336" s="1052" t="s">
        <v>2368</v>
      </c>
      <c r="C336" s="1054">
        <v>31408.639999999999</v>
      </c>
      <c r="D336" s="1054">
        <v>1869.15</v>
      </c>
      <c r="E336" s="1054">
        <v>33277.79</v>
      </c>
      <c r="F336" s="1052" t="s">
        <v>1154</v>
      </c>
      <c r="G336" s="1052" t="s">
        <v>1186</v>
      </c>
      <c r="H336" s="1029"/>
      <c r="I336" s="1030"/>
      <c r="J336" s="1030"/>
      <c r="K336" s="1030"/>
      <c r="L336" s="653" t="str">
        <f t="shared" si="328"/>
        <v>6239</v>
      </c>
      <c r="M336" s="654" t="str">
        <f t="shared" si="260"/>
        <v>ASSURANCE GROUPE</v>
      </c>
      <c r="N336" s="655">
        <f>+IF(OR($Q336=Parametres!$G$2,$Q336=Parametres!$G$3),I336,C336)</f>
        <v>31408.639999999999</v>
      </c>
      <c r="O336" s="655">
        <f>+IF(OR($Q336=Parametres!$G$2,$Q336=Parametres!$G$3),J336,D336)</f>
        <v>1869.15</v>
      </c>
      <c r="P336" s="655">
        <f>+IF(OR($Q336=Parametres!$G$2,$Q336=Parametres!$G$3),K336,E336)</f>
        <v>33277.79</v>
      </c>
      <c r="Q336" s="654" t="str">
        <f t="shared" ref="Q336:S336" si="342">+F336</f>
        <v>7-Dépenses</v>
      </c>
      <c r="R336" s="653" t="str">
        <f t="shared" si="342"/>
        <v>6139</v>
      </c>
      <c r="S336" s="654">
        <f t="shared" si="342"/>
        <v>0</v>
      </c>
      <c r="T336" s="656" t="str">
        <f>+VLOOKUP($L336,Data_Validation!$A:$D,1,0)</f>
        <v>6239</v>
      </c>
      <c r="U336" s="656" t="str">
        <f>+VLOOKUP($L336,Data_Validation!$A:$D,3,0)</f>
        <v>Véhicules usagés</v>
      </c>
      <c r="V336" s="656" t="str">
        <f>+VLOOKUP($L336,Data_Validation!$A:$D,4,0)</f>
        <v>Bénéfices marginaux</v>
      </c>
      <c r="W336" s="656" t="str">
        <f>+VLOOKUP($L336,Data_Validation!$A:$E,5,0)</f>
        <v>$</v>
      </c>
      <c r="X336" s="656">
        <f>+VLOOKUP($L336,Data_Validation!$A:$F,6,0)</f>
        <v>0</v>
      </c>
    </row>
    <row r="337" spans="1:24" ht="15" customHeight="1">
      <c r="A337" s="1052" t="s">
        <v>1187</v>
      </c>
      <c r="B337" s="1052" t="s">
        <v>2374</v>
      </c>
      <c r="C337" s="1054">
        <v>1707.74</v>
      </c>
      <c r="D337" s="1054">
        <v>0</v>
      </c>
      <c r="E337" s="1054">
        <v>1707.74</v>
      </c>
      <c r="F337" s="1052" t="s">
        <v>1154</v>
      </c>
      <c r="G337" s="1052" t="s">
        <v>1188</v>
      </c>
      <c r="H337" s="1029"/>
      <c r="I337" s="1031"/>
      <c r="J337" s="1031"/>
      <c r="K337" s="1031"/>
      <c r="L337" s="653" t="str">
        <f t="shared" si="328"/>
        <v>6242</v>
      </c>
      <c r="M337" s="654" t="str">
        <f t="shared" si="260"/>
        <v>FOURNITURES &amp; PETITS OUTILS</v>
      </c>
      <c r="N337" s="655">
        <f>+IF(OR($Q337=Parametres!$G$2,$Q337=Parametres!$G$3),I337,C337)</f>
        <v>1707.74</v>
      </c>
      <c r="O337" s="655">
        <f>+IF(OR($Q337=Parametres!$G$2,$Q337=Parametres!$G$3),J337,D337)</f>
        <v>0</v>
      </c>
      <c r="P337" s="655">
        <f>+IF(OR($Q337=Parametres!$G$2,$Q337=Parametres!$G$3),K337,E337)</f>
        <v>1707.74</v>
      </c>
      <c r="Q337" s="654" t="str">
        <f t="shared" ref="Q337:S337" si="343">+F337</f>
        <v>7-Dépenses</v>
      </c>
      <c r="R337" s="653" t="str">
        <f t="shared" si="343"/>
        <v>6142</v>
      </c>
      <c r="S337" s="654">
        <f t="shared" si="343"/>
        <v>0</v>
      </c>
      <c r="T337" s="656" t="str">
        <f>+VLOOKUP($L337,Data_Validation!$A:$D,1,0)</f>
        <v>6242</v>
      </c>
      <c r="U337" s="656" t="str">
        <f>+VLOOKUP($L337,Data_Validation!$A:$D,3,0)</f>
        <v>Véhicules usagés</v>
      </c>
      <c r="V337" s="656" t="str">
        <f>+VLOOKUP($L337,Data_Validation!$A:$D,4,0)</f>
        <v>Fournitures autres</v>
      </c>
      <c r="W337" s="656" t="str">
        <f>+VLOOKUP($L337,Data_Validation!$A:$E,5,0)</f>
        <v>$</v>
      </c>
      <c r="X337" s="656">
        <f>+VLOOKUP($L337,Data_Validation!$A:$F,6,0)</f>
        <v>0</v>
      </c>
    </row>
    <row r="338" spans="1:24" ht="15.75" customHeight="1">
      <c r="A338" s="1052" t="s">
        <v>1191</v>
      </c>
      <c r="B338" s="1052" t="s">
        <v>2379</v>
      </c>
      <c r="C338" s="1054">
        <v>2291.85</v>
      </c>
      <c r="D338" s="1054">
        <v>1249.67</v>
      </c>
      <c r="E338" s="1054">
        <v>3541.52</v>
      </c>
      <c r="F338" s="1052" t="s">
        <v>1154</v>
      </c>
      <c r="G338" s="1052" t="s">
        <v>1192</v>
      </c>
      <c r="H338" s="1029"/>
      <c r="I338" s="1031"/>
      <c r="J338" s="1031"/>
      <c r="K338" s="1031"/>
      <c r="L338" s="653" t="str">
        <f t="shared" si="328"/>
        <v>6244</v>
      </c>
      <c r="M338" s="654" t="str">
        <f t="shared" si="260"/>
        <v>FORMATION</v>
      </c>
      <c r="N338" s="655">
        <f>+IF(OR($Q338=Parametres!$G$2,$Q338=Parametres!$G$3),I338,C338)</f>
        <v>2291.85</v>
      </c>
      <c r="O338" s="655">
        <f>+IF(OR($Q338=Parametres!$G$2,$Q338=Parametres!$G$3),J338,D338)</f>
        <v>1249.67</v>
      </c>
      <c r="P338" s="655">
        <f>+IF(OR($Q338=Parametres!$G$2,$Q338=Parametres!$G$3),K338,E338)</f>
        <v>3541.52</v>
      </c>
      <c r="Q338" s="654" t="str">
        <f t="shared" ref="Q338:S338" si="344">+F338</f>
        <v>7-Dépenses</v>
      </c>
      <c r="R338" s="653" t="str">
        <f t="shared" si="344"/>
        <v>6144</v>
      </c>
      <c r="S338" s="654">
        <f t="shared" si="344"/>
        <v>0</v>
      </c>
      <c r="T338" s="656" t="str">
        <f>+VLOOKUP($L338,Data_Validation!$A:$D,1,0)</f>
        <v>6244</v>
      </c>
      <c r="U338" s="656" t="str">
        <f>+VLOOKUP($L338,Data_Validation!$A:$D,3,0)</f>
        <v>Véhicules usagés</v>
      </c>
      <c r="V338" s="656" t="str">
        <f>+VLOOKUP($L338,Data_Validation!$A:$D,4,0)</f>
        <v>Formation</v>
      </c>
      <c r="W338" s="656" t="str">
        <f>+VLOOKUP($L338,Data_Validation!$A:$E,5,0)</f>
        <v>$</v>
      </c>
      <c r="X338" s="656">
        <f>+VLOOKUP($L338,Data_Validation!$A:$F,6,0)</f>
        <v>0</v>
      </c>
    </row>
    <row r="339" spans="1:24" ht="15" customHeight="1">
      <c r="A339" s="1052" t="s">
        <v>1193</v>
      </c>
      <c r="B339" s="1052" t="s">
        <v>2382</v>
      </c>
      <c r="C339" s="1054">
        <v>2438.73</v>
      </c>
      <c r="D339" s="1054">
        <v>1106.7</v>
      </c>
      <c r="E339" s="1054">
        <v>3545.43</v>
      </c>
      <c r="F339" s="1052" t="s">
        <v>1154</v>
      </c>
      <c r="G339" s="1052" t="s">
        <v>1194</v>
      </c>
      <c r="H339" s="1029"/>
      <c r="I339" s="1031"/>
      <c r="J339" s="1031"/>
      <c r="K339" s="1031"/>
      <c r="L339" s="653" t="str">
        <f t="shared" si="328"/>
        <v>6245</v>
      </c>
      <c r="M339" s="654" t="str">
        <f t="shared" si="260"/>
        <v>VEHICULE DE COMPAGNIE - DEPENS</v>
      </c>
      <c r="N339" s="655">
        <f>+IF(OR($Q339=Parametres!$G$2,$Q339=Parametres!$G$3),I339,C339)</f>
        <v>2438.73</v>
      </c>
      <c r="O339" s="655">
        <f>+IF(OR($Q339=Parametres!$G$2,$Q339=Parametres!$G$3),J339,D339)</f>
        <v>1106.7</v>
      </c>
      <c r="P339" s="655">
        <f>+IF(OR($Q339=Parametres!$G$2,$Q339=Parametres!$G$3),K339,E339)</f>
        <v>3545.43</v>
      </c>
      <c r="Q339" s="654" t="str">
        <f t="shared" ref="Q339:S339" si="345">+F339</f>
        <v>7-Dépenses</v>
      </c>
      <c r="R339" s="653" t="str">
        <f t="shared" si="345"/>
        <v>6145</v>
      </c>
      <c r="S339" s="654">
        <f t="shared" si="345"/>
        <v>0</v>
      </c>
      <c r="T339" s="656" t="str">
        <f>+VLOOKUP($L339,Data_Validation!$A:$D,1,0)</f>
        <v>6245</v>
      </c>
      <c r="U339" s="656" t="str">
        <f>+VLOOKUP($L339,Data_Validation!$A:$D,3,0)</f>
        <v>Véhicules usagés</v>
      </c>
      <c r="V339" s="656" t="str">
        <f>+VLOOKUP($L339,Data_Validation!$A:$D,4,0)</f>
        <v>Frais véhicules de cie</v>
      </c>
      <c r="W339" s="656" t="str">
        <f>+VLOOKUP($L339,Data_Validation!$A:$E,5,0)</f>
        <v>$</v>
      </c>
      <c r="X339" s="656">
        <f>+VLOOKUP($L339,Data_Validation!$A:$F,6,0)</f>
        <v>0</v>
      </c>
    </row>
    <row r="340" spans="1:24" ht="15" customHeight="1">
      <c r="A340" s="1052" t="s">
        <v>1195</v>
      </c>
      <c r="B340" s="1052" t="s">
        <v>2385</v>
      </c>
      <c r="C340" s="1054">
        <v>772.4</v>
      </c>
      <c r="D340" s="1054">
        <v>59.36</v>
      </c>
      <c r="E340" s="1054">
        <v>831.76</v>
      </c>
      <c r="F340" s="1052" t="s">
        <v>1154</v>
      </c>
      <c r="G340" s="1052" t="s">
        <v>1196</v>
      </c>
      <c r="H340" s="1029"/>
      <c r="I340" s="1031"/>
      <c r="J340" s="1031"/>
      <c r="K340" s="1031"/>
      <c r="L340" s="653" t="str">
        <f t="shared" si="328"/>
        <v>6247</v>
      </c>
      <c r="M340" s="654" t="str">
        <f t="shared" si="260"/>
        <v>FRET/EXPRESS/TRANS. PAR CAMION</v>
      </c>
      <c r="N340" s="655">
        <f>+IF(OR($Q340=Parametres!$G$2,$Q340=Parametres!$G$3),I340,C340)</f>
        <v>772.4</v>
      </c>
      <c r="O340" s="655">
        <f>+IF(OR($Q340=Parametres!$G$2,$Q340=Parametres!$G$3),J340,D340)</f>
        <v>59.36</v>
      </c>
      <c r="P340" s="655">
        <f>+IF(OR($Q340=Parametres!$G$2,$Q340=Parametres!$G$3),K340,E340)</f>
        <v>831.76</v>
      </c>
      <c r="Q340" s="654" t="str">
        <f t="shared" ref="Q340:S340" si="346">+F340</f>
        <v>7-Dépenses</v>
      </c>
      <c r="R340" s="653" t="str">
        <f t="shared" si="346"/>
        <v>6147</v>
      </c>
      <c r="S340" s="654">
        <f t="shared" si="346"/>
        <v>0</v>
      </c>
      <c r="T340" s="656" t="str">
        <f>+VLOOKUP($L340,Data_Validation!$A:$D,1,0)</f>
        <v>6247</v>
      </c>
      <c r="U340" s="656" t="str">
        <f>+VLOOKUP($L340,Data_Validation!$A:$D,3,0)</f>
        <v>Véhicules usagés</v>
      </c>
      <c r="V340" s="656" t="str">
        <f>+VLOOKUP($L340,Data_Validation!$A:$D,4,0)</f>
        <v>Frais postaux</v>
      </c>
      <c r="W340" s="656" t="str">
        <f>+VLOOKUP($L340,Data_Validation!$A:$E,5,0)</f>
        <v>$</v>
      </c>
      <c r="X340" s="656">
        <f>+VLOOKUP($L340,Data_Validation!$A:$F,6,0)</f>
        <v>0</v>
      </c>
    </row>
    <row r="341" spans="1:24" ht="15" customHeight="1">
      <c r="A341" s="1052" t="s">
        <v>1197</v>
      </c>
      <c r="B341" s="1052" t="s">
        <v>2388</v>
      </c>
      <c r="C341" s="1054">
        <v>32409.72</v>
      </c>
      <c r="D341" s="1054">
        <v>3407.82</v>
      </c>
      <c r="E341" s="1054">
        <v>35817.54</v>
      </c>
      <c r="F341" s="1052" t="s">
        <v>1154</v>
      </c>
      <c r="G341" s="1052" t="s">
        <v>1198</v>
      </c>
      <c r="H341" s="1029"/>
      <c r="I341" s="1032"/>
      <c r="J341" s="1032"/>
      <c r="K341" s="1032"/>
      <c r="L341" s="653" t="str">
        <f t="shared" si="328"/>
        <v>6251</v>
      </c>
      <c r="M341" s="654" t="str">
        <f t="shared" si="260"/>
        <v>DEP. DU TRAITEMENT DES DONNEES</v>
      </c>
      <c r="N341" s="655">
        <f>+IF(OR($Q341=Parametres!$G$2,$Q341=Parametres!$G$3),I341,C341)</f>
        <v>32409.72</v>
      </c>
      <c r="O341" s="655">
        <f>+IF(OR($Q341=Parametres!$G$2,$Q341=Parametres!$G$3),J341,D341)</f>
        <v>3407.82</v>
      </c>
      <c r="P341" s="655">
        <f>+IF(OR($Q341=Parametres!$G$2,$Q341=Parametres!$G$3),K341,E341)</f>
        <v>35817.54</v>
      </c>
      <c r="Q341" s="654" t="str">
        <f t="shared" ref="Q341:S341" si="347">+F341</f>
        <v>7-Dépenses</v>
      </c>
      <c r="R341" s="653" t="str">
        <f t="shared" si="347"/>
        <v>6151</v>
      </c>
      <c r="S341" s="654">
        <f t="shared" si="347"/>
        <v>0</v>
      </c>
      <c r="T341" s="656" t="str">
        <f>+VLOOKUP($L341,Data_Validation!$A:$D,1,0)</f>
        <v>6251</v>
      </c>
      <c r="U341" s="656" t="str">
        <f>+VLOOKUP($L341,Data_Validation!$A:$D,3,0)</f>
        <v>Véhicules usagés</v>
      </c>
      <c r="V341" s="656" t="str">
        <f>+VLOOKUP($L341,Data_Validation!$A:$D,4,0)</f>
        <v>Informatique</v>
      </c>
      <c r="W341" s="656" t="str">
        <f>+VLOOKUP($L341,Data_Validation!$A:$E,5,0)</f>
        <v>$</v>
      </c>
      <c r="X341" s="656">
        <f>+VLOOKUP($L341,Data_Validation!$A:$F,6,0)</f>
        <v>0</v>
      </c>
    </row>
    <row r="342" spans="1:24" ht="15" customHeight="1">
      <c r="A342" s="1052" t="s">
        <v>1199</v>
      </c>
      <c r="B342" s="1052" t="s">
        <v>2391</v>
      </c>
      <c r="C342" s="1054">
        <v>2868.84</v>
      </c>
      <c r="D342" s="1054">
        <v>353.27</v>
      </c>
      <c r="E342" s="1054">
        <v>3222.11</v>
      </c>
      <c r="F342" s="1052" t="s">
        <v>1154</v>
      </c>
      <c r="G342" s="1052" t="s">
        <v>1200</v>
      </c>
      <c r="H342" s="1029"/>
      <c r="I342" s="1032"/>
      <c r="J342" s="1032"/>
      <c r="K342" s="1032"/>
      <c r="L342" s="653" t="str">
        <f t="shared" si="328"/>
        <v>6252</v>
      </c>
      <c r="M342" s="654" t="str">
        <f t="shared" si="260"/>
        <v>PAPETERIE</v>
      </c>
      <c r="N342" s="655">
        <f>+IF(OR($Q342=Parametres!$G$2,$Q342=Parametres!$G$3),I342,C342)</f>
        <v>2868.84</v>
      </c>
      <c r="O342" s="655">
        <f>+IF(OR($Q342=Parametres!$G$2,$Q342=Parametres!$G$3),J342,D342)</f>
        <v>353.27</v>
      </c>
      <c r="P342" s="655">
        <f>+IF(OR($Q342=Parametres!$G$2,$Q342=Parametres!$G$3),K342,E342)</f>
        <v>3222.11</v>
      </c>
      <c r="Q342" s="654" t="str">
        <f t="shared" ref="Q342:S342" si="348">+F342</f>
        <v>7-Dépenses</v>
      </c>
      <c r="R342" s="653" t="str">
        <f t="shared" si="348"/>
        <v>6152</v>
      </c>
      <c r="S342" s="654">
        <f t="shared" si="348"/>
        <v>0</v>
      </c>
      <c r="T342" s="656" t="str">
        <f>+VLOOKUP($L342,Data_Validation!$A:$D,1,0)</f>
        <v>6252</v>
      </c>
      <c r="U342" s="656" t="str">
        <f>+VLOOKUP($L342,Data_Validation!$A:$D,3,0)</f>
        <v>Véhicules usagés</v>
      </c>
      <c r="V342" s="656" t="str">
        <f>+VLOOKUP($L342,Data_Validation!$A:$D,4,0)</f>
        <v>Papeterie</v>
      </c>
      <c r="W342" s="656" t="str">
        <f>+VLOOKUP($L342,Data_Validation!$A:$E,5,0)</f>
        <v>$</v>
      </c>
      <c r="X342" s="656">
        <f>+VLOOKUP($L342,Data_Validation!$A:$F,6,0)</f>
        <v>0</v>
      </c>
    </row>
    <row r="343" spans="1:24" ht="15.75" customHeight="1">
      <c r="A343" s="1052" t="s">
        <v>1201</v>
      </c>
      <c r="B343" s="1052" t="s">
        <v>2394</v>
      </c>
      <c r="C343" s="1054">
        <v>562.15</v>
      </c>
      <c r="D343" s="1054">
        <v>109.4</v>
      </c>
      <c r="E343" s="1054">
        <v>671.55</v>
      </c>
      <c r="F343" s="1052" t="s">
        <v>1154</v>
      </c>
      <c r="G343" s="1052" t="s">
        <v>1202</v>
      </c>
      <c r="H343" s="1029"/>
      <c r="I343" s="1032"/>
      <c r="J343" s="1032"/>
      <c r="K343" s="1032"/>
      <c r="L343" s="653" t="str">
        <f t="shared" si="328"/>
        <v>6253</v>
      </c>
      <c r="M343" s="654" t="str">
        <f t="shared" si="260"/>
        <v>TELEPHONE ET TELEX</v>
      </c>
      <c r="N343" s="655">
        <f>+IF(OR($Q343=Parametres!$G$2,$Q343=Parametres!$G$3),I343,C343)</f>
        <v>562.15</v>
      </c>
      <c r="O343" s="655">
        <f>+IF(OR($Q343=Parametres!$G$2,$Q343=Parametres!$G$3),J343,D343)</f>
        <v>109.4</v>
      </c>
      <c r="P343" s="655">
        <f>+IF(OR($Q343=Parametres!$G$2,$Q343=Parametres!$G$3),K343,E343)</f>
        <v>671.55</v>
      </c>
      <c r="Q343" s="654" t="str">
        <f t="shared" ref="Q343:S343" si="349">+F343</f>
        <v>7-Dépenses</v>
      </c>
      <c r="R343" s="653" t="str">
        <f t="shared" si="349"/>
        <v>6153</v>
      </c>
      <c r="S343" s="654">
        <f t="shared" si="349"/>
        <v>0</v>
      </c>
      <c r="T343" s="656" t="str">
        <f>+VLOOKUP($L343,Data_Validation!$A:$D,1,0)</f>
        <v>6253</v>
      </c>
      <c r="U343" s="656" t="str">
        <f>+VLOOKUP($L343,Data_Validation!$A:$D,3,0)</f>
        <v>Véhicules usagés</v>
      </c>
      <c r="V343" s="656" t="str">
        <f>+VLOOKUP($L343,Data_Validation!$A:$D,4,0)</f>
        <v>Téléphone</v>
      </c>
      <c r="W343" s="656" t="str">
        <f>+VLOOKUP($L343,Data_Validation!$A:$E,5,0)</f>
        <v>$</v>
      </c>
      <c r="X343" s="656">
        <f>+VLOOKUP($L343,Data_Validation!$A:$F,6,0)</f>
        <v>0</v>
      </c>
    </row>
    <row r="344" spans="1:24" ht="15" customHeight="1">
      <c r="A344" s="1052" t="s">
        <v>1203</v>
      </c>
      <c r="B344" s="1052" t="s">
        <v>2397</v>
      </c>
      <c r="C344" s="1054">
        <v>1099.24</v>
      </c>
      <c r="D344" s="1054">
        <v>-1.41</v>
      </c>
      <c r="E344" s="1054">
        <v>1097.83</v>
      </c>
      <c r="F344" s="1052" t="s">
        <v>1154</v>
      </c>
      <c r="G344" s="1052" t="s">
        <v>1204</v>
      </c>
      <c r="H344" s="1029"/>
      <c r="I344" s="1032"/>
      <c r="J344" s="1032"/>
      <c r="K344" s="1032"/>
      <c r="L344" s="653" t="str">
        <f t="shared" si="328"/>
        <v>6255</v>
      </c>
      <c r="M344" s="654" t="str">
        <f t="shared" si="260"/>
        <v>DEPENSES DIVERS</v>
      </c>
      <c r="N344" s="655">
        <f>+IF(OR($Q344=Parametres!$G$2,$Q344=Parametres!$G$3),I344,C344)</f>
        <v>1099.24</v>
      </c>
      <c r="O344" s="655">
        <f>+IF(OR($Q344=Parametres!$G$2,$Q344=Parametres!$G$3),J344,D344)</f>
        <v>-1.41</v>
      </c>
      <c r="P344" s="655">
        <f>+IF(OR($Q344=Parametres!$G$2,$Q344=Parametres!$G$3),K344,E344)</f>
        <v>1097.83</v>
      </c>
      <c r="Q344" s="654" t="str">
        <f t="shared" ref="Q344:S344" si="350">+F344</f>
        <v>7-Dépenses</v>
      </c>
      <c r="R344" s="653" t="str">
        <f t="shared" si="350"/>
        <v>6155</v>
      </c>
      <c r="S344" s="654">
        <f t="shared" si="350"/>
        <v>0</v>
      </c>
      <c r="T344" s="656" t="str">
        <f>+VLOOKUP($L344,Data_Validation!$A:$D,1,0)</f>
        <v>6255</v>
      </c>
      <c r="U344" s="656" t="str">
        <f>+VLOOKUP($L344,Data_Validation!$A:$D,3,0)</f>
        <v>Véhicules usagés</v>
      </c>
      <c r="V344" s="656" t="str">
        <f>+VLOOKUP($L344,Data_Validation!$A:$D,4,0)</f>
        <v>Divers</v>
      </c>
      <c r="W344" s="656" t="str">
        <f>+VLOOKUP($L344,Data_Validation!$A:$E,5,0)</f>
        <v>$</v>
      </c>
      <c r="X344" s="656">
        <f>+VLOOKUP($L344,Data_Validation!$A:$F,6,0)</f>
        <v>0</v>
      </c>
    </row>
    <row r="345" spans="1:24" ht="15" customHeight="1">
      <c r="A345" s="1052" t="s">
        <v>1232</v>
      </c>
      <c r="B345" s="1052" t="s">
        <v>2400</v>
      </c>
      <c r="C345" s="1054">
        <v>4273.12</v>
      </c>
      <c r="D345" s="1054">
        <v>456.83</v>
      </c>
      <c r="E345" s="1054">
        <v>4729.95</v>
      </c>
      <c r="F345" s="1052" t="s">
        <v>1154</v>
      </c>
      <c r="G345" s="1052" t="s">
        <v>1206</v>
      </c>
      <c r="H345" s="1029"/>
      <c r="I345" s="1032"/>
      <c r="J345" s="1032"/>
      <c r="K345" s="1032"/>
      <c r="L345" s="653" t="str">
        <f t="shared" si="328"/>
        <v>6256</v>
      </c>
      <c r="M345" s="654" t="str">
        <f t="shared" si="260"/>
        <v>FRAIS REPRESENTATION - USAGE</v>
      </c>
      <c r="N345" s="655">
        <f>+IF(OR($Q345=Parametres!$G$2,$Q345=Parametres!$G$3),I345,C345)</f>
        <v>4273.12</v>
      </c>
      <c r="O345" s="655">
        <f>+IF(OR($Q345=Parametres!$G$2,$Q345=Parametres!$G$3),J345,D345)</f>
        <v>456.83</v>
      </c>
      <c r="P345" s="655">
        <f>+IF(OR($Q345=Parametres!$G$2,$Q345=Parametres!$G$3),K345,E345)</f>
        <v>4729.95</v>
      </c>
      <c r="Q345" s="654" t="str">
        <f t="shared" ref="Q345:S345" si="351">+F345</f>
        <v>7-Dépenses</v>
      </c>
      <c r="R345" s="653" t="str">
        <f t="shared" si="351"/>
        <v>6156</v>
      </c>
      <c r="S345" s="654">
        <f t="shared" si="351"/>
        <v>0</v>
      </c>
      <c r="T345" s="656" t="str">
        <f>+VLOOKUP($L345,Data_Validation!$A:$D,1,0)</f>
        <v>6256</v>
      </c>
      <c r="U345" s="656" t="str">
        <f>+VLOOKUP($L345,Data_Validation!$A:$D,3,0)</f>
        <v>Véhicules usagés</v>
      </c>
      <c r="V345" s="656" t="str">
        <f>+VLOOKUP($L345,Data_Validation!$A:$D,4,0)</f>
        <v>Frais de déplacement</v>
      </c>
      <c r="W345" s="656" t="str">
        <f>+VLOOKUP($L345,Data_Validation!$A:$E,5,0)</f>
        <v>$</v>
      </c>
      <c r="X345" s="656">
        <f>+VLOOKUP($L345,Data_Validation!$A:$F,6,0)</f>
        <v>0</v>
      </c>
    </row>
    <row r="346" spans="1:24" ht="15" customHeight="1">
      <c r="A346" s="1052" t="s">
        <v>1233</v>
      </c>
      <c r="B346" s="1052" t="s">
        <v>3391</v>
      </c>
      <c r="C346" s="1054">
        <v>13171.01</v>
      </c>
      <c r="D346" s="1054">
        <v>-3375.5</v>
      </c>
      <c r="E346" s="1054">
        <v>9795.51</v>
      </c>
      <c r="F346" s="1052" t="s">
        <v>1154</v>
      </c>
      <c r="G346" s="1052" t="s">
        <v>1234</v>
      </c>
      <c r="H346" s="1029"/>
      <c r="I346" s="1032"/>
      <c r="J346" s="1032"/>
      <c r="K346" s="1032"/>
      <c r="L346" s="653" t="str">
        <f t="shared" si="328"/>
        <v>6257</v>
      </c>
      <c r="M346" s="654" t="str">
        <f t="shared" si="260"/>
        <v>FRAIS BANCAIRES - USAGE</v>
      </c>
      <c r="N346" s="655">
        <f>+IF(OR($Q346=Parametres!$G$2,$Q346=Parametres!$G$3),I346,C346)</f>
        <v>13171.01</v>
      </c>
      <c r="O346" s="655">
        <f>+IF(OR($Q346=Parametres!$G$2,$Q346=Parametres!$G$3),J346,D346)</f>
        <v>-3375.5</v>
      </c>
      <c r="P346" s="655">
        <f>+IF(OR($Q346=Parametres!$G$2,$Q346=Parametres!$G$3),K346,E346)</f>
        <v>9795.51</v>
      </c>
      <c r="Q346" s="654" t="str">
        <f t="shared" ref="Q346:S346" si="352">+F346</f>
        <v>7-Dépenses</v>
      </c>
      <c r="R346" s="653" t="str">
        <f t="shared" si="352"/>
        <v>625</v>
      </c>
      <c r="S346" s="654">
        <f t="shared" si="352"/>
        <v>0</v>
      </c>
      <c r="T346" s="656" t="str">
        <f>+VLOOKUP($L346,Data_Validation!$A:$D,1,0)</f>
        <v>6257</v>
      </c>
      <c r="U346" s="656" t="str">
        <f>+VLOOKUP($L346,Data_Validation!$A:$D,3,0)</f>
        <v>Véhicules usagés</v>
      </c>
      <c r="V346" s="656" t="str">
        <f>+VLOOKUP($L346,Data_Validation!$A:$D,4,0)</f>
        <v>Frais bancaires</v>
      </c>
      <c r="W346" s="656" t="str">
        <f>+VLOOKUP($L346,Data_Validation!$A:$E,5,0)</f>
        <v>$</v>
      </c>
      <c r="X346" s="656">
        <f>+VLOOKUP($L346,Data_Validation!$A:$F,6,0)</f>
        <v>0</v>
      </c>
    </row>
    <row r="347" spans="1:24" ht="15.75" customHeight="1">
      <c r="A347" s="1052" t="s">
        <v>1209</v>
      </c>
      <c r="B347" s="1052" t="s">
        <v>2403</v>
      </c>
      <c r="C347" s="1054">
        <v>11775.24</v>
      </c>
      <c r="D347" s="1054">
        <v>923.2</v>
      </c>
      <c r="E347" s="1054">
        <v>12698.44</v>
      </c>
      <c r="F347" s="1052" t="s">
        <v>1154</v>
      </c>
      <c r="G347" s="1052" t="s">
        <v>1210</v>
      </c>
      <c r="H347" s="1029"/>
      <c r="I347" s="1032"/>
      <c r="J347" s="1032"/>
      <c r="K347" s="1032"/>
      <c r="L347" s="653" t="str">
        <f t="shared" si="328"/>
        <v>6259</v>
      </c>
      <c r="M347" s="654" t="str">
        <f t="shared" si="260"/>
        <v>SERVICE EXTERIEUR</v>
      </c>
      <c r="N347" s="655">
        <f>+IF(OR($Q347=Parametres!$G$2,$Q347=Parametres!$G$3),I347,C347)</f>
        <v>11775.24</v>
      </c>
      <c r="O347" s="655">
        <f>+IF(OR($Q347=Parametres!$G$2,$Q347=Parametres!$G$3),J347,D347)</f>
        <v>923.2</v>
      </c>
      <c r="P347" s="655">
        <f>+IF(OR($Q347=Parametres!$G$2,$Q347=Parametres!$G$3),K347,E347)</f>
        <v>12698.44</v>
      </c>
      <c r="Q347" s="654" t="str">
        <f t="shared" ref="Q347:S347" si="353">+F347</f>
        <v>7-Dépenses</v>
      </c>
      <c r="R347" s="653" t="str">
        <f t="shared" si="353"/>
        <v>6159</v>
      </c>
      <c r="S347" s="654">
        <f t="shared" si="353"/>
        <v>0</v>
      </c>
      <c r="T347" s="656" t="str">
        <f>+VLOOKUP($L347,Data_Validation!$A:$D,1,0)</f>
        <v>6259</v>
      </c>
      <c r="U347" s="656" t="str">
        <f>+VLOOKUP($L347,Data_Validation!$A:$D,3,0)</f>
        <v>Véhicules usagés</v>
      </c>
      <c r="V347" s="656" t="str">
        <f>+VLOOKUP($L347,Data_Validation!$A:$D,4,0)</f>
        <v>Services extérieurs</v>
      </c>
      <c r="W347" s="656" t="str">
        <f>+VLOOKUP($L347,Data_Validation!$A:$E,5,0)</f>
        <v>$</v>
      </c>
      <c r="X347" s="656">
        <f>+VLOOKUP($L347,Data_Validation!$A:$F,6,0)</f>
        <v>0</v>
      </c>
    </row>
    <row r="348" spans="1:24" ht="15" customHeight="1">
      <c r="A348" s="1052" t="s">
        <v>1211</v>
      </c>
      <c r="B348" s="1052" t="s">
        <v>2406</v>
      </c>
      <c r="C348" s="1054">
        <v>5695.14</v>
      </c>
      <c r="D348" s="1054">
        <v>517.74</v>
      </c>
      <c r="E348" s="1054">
        <v>6212.88</v>
      </c>
      <c r="F348" s="1052" t="s">
        <v>1154</v>
      </c>
      <c r="G348" s="1052" t="s">
        <v>1212</v>
      </c>
      <c r="H348" s="1029"/>
      <c r="I348" s="1032"/>
      <c r="J348" s="1032"/>
      <c r="K348" s="1032"/>
      <c r="L348" s="653" t="str">
        <f t="shared" si="328"/>
        <v>6261</v>
      </c>
      <c r="M348" s="654" t="str">
        <f t="shared" si="260"/>
        <v>DEPRECIATION EQUIP. &amp; FIXTURES</v>
      </c>
      <c r="N348" s="655">
        <f>+IF(OR($Q348=Parametres!$G$2,$Q348=Parametres!$G$3),I348,C348)</f>
        <v>5695.14</v>
      </c>
      <c r="O348" s="655">
        <f>+IF(OR($Q348=Parametres!$G$2,$Q348=Parametres!$G$3),J348,D348)</f>
        <v>517.74</v>
      </c>
      <c r="P348" s="655">
        <f>+IF(OR($Q348=Parametres!$G$2,$Q348=Parametres!$G$3),K348,E348)</f>
        <v>6212.88</v>
      </c>
      <c r="Q348" s="654" t="str">
        <f t="shared" ref="Q348:S348" si="354">+F348</f>
        <v>7-Dépenses</v>
      </c>
      <c r="R348" s="653" t="str">
        <f t="shared" si="354"/>
        <v>6161</v>
      </c>
      <c r="S348" s="654">
        <f t="shared" si="354"/>
        <v>0</v>
      </c>
      <c r="T348" s="656" t="str">
        <f>+VLOOKUP($L348,Data_Validation!$A:$D,1,0)</f>
        <v>6261</v>
      </c>
      <c r="U348" s="656" t="str">
        <f>+VLOOKUP($L348,Data_Validation!$A:$D,3,0)</f>
        <v>Véhicules usagés</v>
      </c>
      <c r="V348" s="656" t="str">
        <f>+VLOOKUP($L348,Data_Validation!$A:$D,4,0)</f>
        <v>Amortissement</v>
      </c>
      <c r="W348" s="656" t="str">
        <f>+VLOOKUP($L348,Data_Validation!$A:$E,5,0)</f>
        <v>$</v>
      </c>
      <c r="X348" s="656">
        <f>+VLOOKUP($L348,Data_Validation!$A:$F,6,0)</f>
        <v>0</v>
      </c>
    </row>
    <row r="349" spans="1:24" ht="15" customHeight="1">
      <c r="A349" s="1052" t="s">
        <v>1235</v>
      </c>
      <c r="B349" s="1052" t="s">
        <v>2412</v>
      </c>
      <c r="C349" s="1054">
        <v>3339.93</v>
      </c>
      <c r="D349" s="1054">
        <v>111.7</v>
      </c>
      <c r="E349" s="1054">
        <v>3451.63</v>
      </c>
      <c r="F349" s="1052" t="s">
        <v>1154</v>
      </c>
      <c r="G349" s="1052" t="s">
        <v>1214</v>
      </c>
      <c r="H349" s="1029"/>
      <c r="I349" s="1032"/>
      <c r="J349" s="1032"/>
      <c r="K349" s="1032"/>
      <c r="L349" s="653" t="str">
        <f t="shared" si="328"/>
        <v>6281</v>
      </c>
      <c r="M349" s="654" t="str">
        <f t="shared" si="260"/>
        <v>CHAUFFAGE,ELECTRICITE,EAU-USAGE</v>
      </c>
      <c r="N349" s="655">
        <f>+IF(OR($Q349=Parametres!$G$2,$Q349=Parametres!$G$3),I349,C349)</f>
        <v>3339.93</v>
      </c>
      <c r="O349" s="655">
        <f>+IF(OR($Q349=Parametres!$G$2,$Q349=Parametres!$G$3),J349,D349)</f>
        <v>111.7</v>
      </c>
      <c r="P349" s="655">
        <f>+IF(OR($Q349=Parametres!$G$2,$Q349=Parametres!$G$3),K349,E349)</f>
        <v>3451.63</v>
      </c>
      <c r="Q349" s="654" t="str">
        <f t="shared" ref="Q349:S349" si="355">+F349</f>
        <v>7-Dépenses</v>
      </c>
      <c r="R349" s="653" t="str">
        <f t="shared" si="355"/>
        <v>6181</v>
      </c>
      <c r="S349" s="654">
        <f t="shared" si="355"/>
        <v>0</v>
      </c>
      <c r="T349" s="656" t="str">
        <f>+VLOOKUP($L349,Data_Validation!$A:$D,1,0)</f>
        <v>6281</v>
      </c>
      <c r="U349" s="656" t="str">
        <f>+VLOOKUP($L349,Data_Validation!$A:$D,3,0)</f>
        <v>Véhicules usagés</v>
      </c>
      <c r="V349" s="656" t="str">
        <f>+VLOOKUP($L349,Data_Validation!$A:$D,4,0)</f>
        <v>Chauffage, éclairage</v>
      </c>
      <c r="W349" s="656" t="str">
        <f>+VLOOKUP($L349,Data_Validation!$A:$E,5,0)</f>
        <v>$</v>
      </c>
      <c r="X349" s="656">
        <f>+VLOOKUP($L349,Data_Validation!$A:$F,6,0)</f>
        <v>0</v>
      </c>
    </row>
    <row r="350" spans="1:24" ht="15" customHeight="1">
      <c r="A350" s="1052" t="s">
        <v>1236</v>
      </c>
      <c r="B350" s="1052" t="s">
        <v>2415</v>
      </c>
      <c r="C350" s="1054">
        <v>34320</v>
      </c>
      <c r="D350" s="1054">
        <v>3120</v>
      </c>
      <c r="E350" s="1054">
        <v>37440</v>
      </c>
      <c r="F350" s="1052" t="s">
        <v>1154</v>
      </c>
      <c r="G350" s="1052" t="s">
        <v>1216</v>
      </c>
      <c r="H350" s="1029"/>
      <c r="I350" s="1032"/>
      <c r="J350" s="1032"/>
      <c r="K350" s="1032"/>
      <c r="L350" s="653" t="str">
        <f t="shared" si="328"/>
        <v>6282</v>
      </c>
      <c r="M350" s="654" t="str">
        <f t="shared" si="260"/>
        <v>LOYER - USAGE</v>
      </c>
      <c r="N350" s="655">
        <f>+IF(OR($Q350=Parametres!$G$2,$Q350=Parametres!$G$3),I350,C350)</f>
        <v>34320</v>
      </c>
      <c r="O350" s="655">
        <f>+IF(OR($Q350=Parametres!$G$2,$Q350=Parametres!$G$3),J350,D350)</f>
        <v>3120</v>
      </c>
      <c r="P350" s="655">
        <f>+IF(OR($Q350=Parametres!$G$2,$Q350=Parametres!$G$3),K350,E350)</f>
        <v>37440</v>
      </c>
      <c r="Q350" s="654" t="str">
        <f t="shared" ref="Q350:S350" si="356">+F350</f>
        <v>7-Dépenses</v>
      </c>
      <c r="R350" s="653" t="str">
        <f t="shared" si="356"/>
        <v>6182</v>
      </c>
      <c r="S350" s="654">
        <f t="shared" si="356"/>
        <v>0</v>
      </c>
      <c r="T350" s="656" t="str">
        <f>+VLOOKUP($L350,Data_Validation!$A:$D,1,0)</f>
        <v>6282</v>
      </c>
      <c r="U350" s="656" t="str">
        <f>+VLOOKUP($L350,Data_Validation!$A:$D,3,0)</f>
        <v>Véhicules usagés</v>
      </c>
      <c r="V350" s="656" t="str">
        <f>+VLOOKUP($L350,Data_Validation!$A:$D,4,0)</f>
        <v>Loyer</v>
      </c>
      <c r="W350" s="656" t="str">
        <f>+VLOOKUP($L350,Data_Validation!$A:$E,5,0)</f>
        <v>$</v>
      </c>
      <c r="X350" s="656">
        <f>+VLOOKUP($L350,Data_Validation!$A:$F,6,0)</f>
        <v>0</v>
      </c>
    </row>
    <row r="351" spans="1:24" ht="15" customHeight="1">
      <c r="A351" s="1052" t="s">
        <v>1237</v>
      </c>
      <c r="B351" s="1052" t="s">
        <v>2418</v>
      </c>
      <c r="C351" s="1054">
        <v>5637.72</v>
      </c>
      <c r="D351" s="1054">
        <v>512.52</v>
      </c>
      <c r="E351" s="1054">
        <v>6150.24</v>
      </c>
      <c r="F351" s="1052" t="s">
        <v>1154</v>
      </c>
      <c r="G351" s="1052" t="s">
        <v>1218</v>
      </c>
      <c r="H351" s="1029"/>
      <c r="I351" s="1032"/>
      <c r="J351" s="1032"/>
      <c r="K351" s="1032"/>
      <c r="L351" s="653" t="str">
        <f t="shared" si="328"/>
        <v>6286</v>
      </c>
      <c r="M351" s="654" t="str">
        <f t="shared" si="260"/>
        <v>ASSURANCE BATISSE &amp; AMEL.-USAGE</v>
      </c>
      <c r="N351" s="655">
        <f>+IF(OR($Q351=Parametres!$G$2,$Q351=Parametres!$G$3),I351,C351)</f>
        <v>5637.72</v>
      </c>
      <c r="O351" s="655">
        <f>+IF(OR($Q351=Parametres!$G$2,$Q351=Parametres!$G$3),J351,D351)</f>
        <v>512.52</v>
      </c>
      <c r="P351" s="655">
        <f>+IF(OR($Q351=Parametres!$G$2,$Q351=Parametres!$G$3),K351,E351)</f>
        <v>6150.24</v>
      </c>
      <c r="Q351" s="654" t="str">
        <f t="shared" ref="Q351:S351" si="357">+F351</f>
        <v>7-Dépenses</v>
      </c>
      <c r="R351" s="653" t="str">
        <f t="shared" si="357"/>
        <v>6186</v>
      </c>
      <c r="S351" s="654">
        <f t="shared" si="357"/>
        <v>0</v>
      </c>
      <c r="T351" s="656" t="str">
        <f>+VLOOKUP($L351,Data_Validation!$A:$D,1,0)</f>
        <v>6286</v>
      </c>
      <c r="U351" s="656" t="str">
        <f>+VLOOKUP($L351,Data_Validation!$A:$D,3,0)</f>
        <v>Véhicules usagés</v>
      </c>
      <c r="V351" s="656" t="str">
        <f>+VLOOKUP($L351,Data_Validation!$A:$D,4,0)</f>
        <v>Assurances</v>
      </c>
      <c r="W351" s="656" t="str">
        <f>+VLOOKUP($L351,Data_Validation!$A:$E,5,0)</f>
        <v>$</v>
      </c>
      <c r="X351" s="656">
        <f>+VLOOKUP($L351,Data_Validation!$A:$F,6,0)</f>
        <v>0</v>
      </c>
    </row>
    <row r="352" spans="1:24" ht="15.75" customHeight="1">
      <c r="A352" s="1052" t="s">
        <v>1238</v>
      </c>
      <c r="B352" s="1052" t="s">
        <v>2421</v>
      </c>
      <c r="C352" s="1054">
        <v>6507.6</v>
      </c>
      <c r="D352" s="1054">
        <v>198.72</v>
      </c>
      <c r="E352" s="1054">
        <v>6706.32</v>
      </c>
      <c r="F352" s="1052" t="s">
        <v>1154</v>
      </c>
      <c r="G352" s="1052" t="s">
        <v>1220</v>
      </c>
      <c r="H352" s="1029"/>
      <c r="I352" s="1032"/>
      <c r="J352" s="1032"/>
      <c r="K352" s="1032"/>
      <c r="L352" s="653" t="str">
        <f t="shared" si="328"/>
        <v>6287</v>
      </c>
      <c r="M352" s="654" t="str">
        <f t="shared" si="260"/>
        <v>TAXES FONCIERES - USAGE</v>
      </c>
      <c r="N352" s="655">
        <f>+IF(OR($Q352=Parametres!$G$2,$Q352=Parametres!$G$3),I352,C352)</f>
        <v>6507.6</v>
      </c>
      <c r="O352" s="655">
        <f>+IF(OR($Q352=Parametres!$G$2,$Q352=Parametres!$G$3),J352,D352)</f>
        <v>198.72</v>
      </c>
      <c r="P352" s="655">
        <f>+IF(OR($Q352=Parametres!$G$2,$Q352=Parametres!$G$3),K352,E352)</f>
        <v>6706.32</v>
      </c>
      <c r="Q352" s="654" t="str">
        <f t="shared" ref="Q352:S352" si="358">+F352</f>
        <v>7-Dépenses</v>
      </c>
      <c r="R352" s="653" t="str">
        <f t="shared" si="358"/>
        <v>6187</v>
      </c>
      <c r="S352" s="654">
        <f t="shared" si="358"/>
        <v>0</v>
      </c>
      <c r="T352" s="656" t="str">
        <f>+VLOOKUP($L352,Data_Validation!$A:$D,1,0)</f>
        <v>6287</v>
      </c>
      <c r="U352" s="656" t="str">
        <f>+VLOOKUP($L352,Data_Validation!$A:$D,3,0)</f>
        <v>Véhicules usagés</v>
      </c>
      <c r="V352" s="656" t="str">
        <f>+VLOOKUP($L352,Data_Validation!$A:$D,4,0)</f>
        <v>Taxes foncières</v>
      </c>
      <c r="W352" s="656" t="str">
        <f>+VLOOKUP($L352,Data_Validation!$A:$E,5,0)</f>
        <v>$</v>
      </c>
      <c r="X352" s="656">
        <f>+VLOOKUP($L352,Data_Validation!$A:$F,6,0)</f>
        <v>0</v>
      </c>
    </row>
    <row r="353" spans="1:24" ht="15" customHeight="1">
      <c r="A353" s="1052" t="s">
        <v>1239</v>
      </c>
      <c r="B353" s="1052" t="s">
        <v>2424</v>
      </c>
      <c r="C353" s="1054">
        <v>4329.6000000000004</v>
      </c>
      <c r="D353" s="1054">
        <v>393.6</v>
      </c>
      <c r="E353" s="1054">
        <v>4723.2</v>
      </c>
      <c r="F353" s="1052" t="s">
        <v>1154</v>
      </c>
      <c r="G353" s="1052" t="s">
        <v>1222</v>
      </c>
      <c r="H353" s="1029"/>
      <c r="I353" s="1032"/>
      <c r="J353" s="1032"/>
      <c r="K353" s="1032"/>
      <c r="L353" s="653" t="str">
        <f t="shared" si="328"/>
        <v>6293</v>
      </c>
      <c r="M353" s="654" t="str">
        <f t="shared" si="260"/>
        <v>AUTRE TAXES - USAGES</v>
      </c>
      <c r="N353" s="655">
        <f>+IF(OR($Q353=Parametres!$G$2,$Q353=Parametres!$G$3),I353,C353)</f>
        <v>4329.6000000000004</v>
      </c>
      <c r="O353" s="655">
        <f>+IF(OR($Q353=Parametres!$G$2,$Q353=Parametres!$G$3),J353,D353)</f>
        <v>393.6</v>
      </c>
      <c r="P353" s="655">
        <f>+IF(OR($Q353=Parametres!$G$2,$Q353=Parametres!$G$3),K353,E353)</f>
        <v>4723.2</v>
      </c>
      <c r="Q353" s="654" t="str">
        <f t="shared" ref="Q353:S353" si="359">+F353</f>
        <v>7-Dépenses</v>
      </c>
      <c r="R353" s="653" t="str">
        <f t="shared" si="359"/>
        <v>6193</v>
      </c>
      <c r="S353" s="654">
        <f t="shared" si="359"/>
        <v>0</v>
      </c>
      <c r="T353" s="656" t="str">
        <f>+VLOOKUP($L353,Data_Validation!$A:$D,1,0)</f>
        <v>6293</v>
      </c>
      <c r="U353" s="656" t="str">
        <f>+VLOOKUP($L353,Data_Validation!$A:$D,3,0)</f>
        <v>Véhicules usagés</v>
      </c>
      <c r="V353" s="656" t="str">
        <f>+VLOOKUP($L353,Data_Validation!$A:$D,4,0)</f>
        <v>Taxes d`affaires</v>
      </c>
      <c r="W353" s="656" t="str">
        <f>+VLOOKUP($L353,Data_Validation!$A:$E,5,0)</f>
        <v>$</v>
      </c>
      <c r="X353" s="656">
        <f>+VLOOKUP($L353,Data_Validation!$A:$F,6,0)</f>
        <v>0</v>
      </c>
    </row>
    <row r="354" spans="1:24" ht="15" customHeight="1">
      <c r="A354" s="1052" t="s">
        <v>1240</v>
      </c>
      <c r="B354" s="1052" t="s">
        <v>2427</v>
      </c>
      <c r="C354" s="1054">
        <v>8082.8</v>
      </c>
      <c r="D354" s="1054">
        <v>734.8</v>
      </c>
      <c r="E354" s="1054">
        <v>8817.6</v>
      </c>
      <c r="F354" s="1052" t="s">
        <v>1154</v>
      </c>
      <c r="G354" s="1052" t="s">
        <v>1224</v>
      </c>
      <c r="H354" s="1029"/>
      <c r="I354" s="1032"/>
      <c r="J354" s="1032"/>
      <c r="K354" s="1032"/>
      <c r="L354" s="653" t="str">
        <f t="shared" si="328"/>
        <v>6294</v>
      </c>
      <c r="M354" s="654" t="str">
        <f t="shared" si="260"/>
        <v>FRAIS PROFESSIONNEL-USAGE</v>
      </c>
      <c r="N354" s="655">
        <f>+IF(OR($Q354=Parametres!$G$2,$Q354=Parametres!$G$3),I354,C354)</f>
        <v>8082.8</v>
      </c>
      <c r="O354" s="655">
        <f>+IF(OR($Q354=Parametres!$G$2,$Q354=Parametres!$G$3),J354,D354)</f>
        <v>734.8</v>
      </c>
      <c r="P354" s="655">
        <f>+IF(OR($Q354=Parametres!$G$2,$Q354=Parametres!$G$3),K354,E354)</f>
        <v>8817.6</v>
      </c>
      <c r="Q354" s="654" t="str">
        <f t="shared" ref="Q354:S354" si="360">+F354</f>
        <v>7-Dépenses</v>
      </c>
      <c r="R354" s="653" t="str">
        <f t="shared" si="360"/>
        <v>6194</v>
      </c>
      <c r="S354" s="654">
        <f t="shared" si="360"/>
        <v>0</v>
      </c>
      <c r="T354" s="656" t="str">
        <f>+VLOOKUP($L354,Data_Validation!$A:$D,1,0)</f>
        <v>6294</v>
      </c>
      <c r="U354" s="656" t="str">
        <f>+VLOOKUP($L354,Data_Validation!$A:$D,3,0)</f>
        <v>Véhicules usagés</v>
      </c>
      <c r="V354" s="656" t="str">
        <f>+VLOOKUP($L354,Data_Validation!$A:$D,4,0)</f>
        <v>Honoraires</v>
      </c>
      <c r="W354" s="656" t="str">
        <f>+VLOOKUP($L354,Data_Validation!$A:$E,5,0)</f>
        <v>$</v>
      </c>
      <c r="X354" s="656">
        <f>+VLOOKUP($L354,Data_Validation!$A:$F,6,0)</f>
        <v>0</v>
      </c>
    </row>
    <row r="355" spans="1:24" ht="15" customHeight="1">
      <c r="A355" s="1052" t="s">
        <v>1241</v>
      </c>
      <c r="B355" s="1052" t="s">
        <v>2430</v>
      </c>
      <c r="C355" s="1054">
        <v>31136.54</v>
      </c>
      <c r="D355" s="1054">
        <v>3968.13</v>
      </c>
      <c r="E355" s="1054">
        <v>35104.67</v>
      </c>
      <c r="F355" s="1052" t="s">
        <v>1154</v>
      </c>
      <c r="G355" s="1052" t="s">
        <v>1242</v>
      </c>
      <c r="H355" s="1029"/>
      <c r="I355" s="1032"/>
      <c r="J355" s="1032"/>
      <c r="K355" s="1032"/>
      <c r="L355" s="653" t="str">
        <f t="shared" si="328"/>
        <v>6403</v>
      </c>
      <c r="M355" s="654" t="str">
        <f t="shared" si="260"/>
        <v>RELAT. A LA CLIENTELE &amp; AJUST</v>
      </c>
      <c r="N355" s="655">
        <f>+IF(OR($Q355=Parametres!$G$2,$Q355=Parametres!$G$3),I355,C355)</f>
        <v>31136.54</v>
      </c>
      <c r="O355" s="655">
        <f>+IF(OR($Q355=Parametres!$G$2,$Q355=Parametres!$G$3),J355,D355)</f>
        <v>3968.13</v>
      </c>
      <c r="P355" s="655">
        <f>+IF(OR($Q355=Parametres!$G$2,$Q355=Parametres!$G$3),K355,E355)</f>
        <v>35104.67</v>
      </c>
      <c r="Q355" s="654" t="str">
        <f t="shared" ref="Q355:S355" si="361">+F355</f>
        <v>7-Dépenses</v>
      </c>
      <c r="R355" s="653" t="str">
        <f t="shared" si="361"/>
        <v>6112</v>
      </c>
      <c r="S355" s="654">
        <f t="shared" si="361"/>
        <v>0</v>
      </c>
      <c r="T355" s="656" t="str">
        <f>+VLOOKUP($L355,Data_Validation!$A:$D,1,0)</f>
        <v>6403</v>
      </c>
      <c r="U355" s="656" t="str">
        <f>+VLOOKUP($L355,Data_Validation!$A:$D,3,0)</f>
        <v>Service</v>
      </c>
      <c r="V355" s="656" t="str">
        <f>+VLOOKUP($L355,Data_Validation!$A:$D,4,0)</f>
        <v>Service gratuit 2</v>
      </c>
      <c r="W355" s="656" t="str">
        <f>+VLOOKUP($L355,Data_Validation!$A:$E,5,0)</f>
        <v>$</v>
      </c>
      <c r="X355" s="656">
        <f>+VLOOKUP($L355,Data_Validation!$A:$F,6,0)</f>
        <v>0</v>
      </c>
    </row>
    <row r="356" spans="1:24" ht="15" customHeight="1">
      <c r="A356" s="1052" t="s">
        <v>1243</v>
      </c>
      <c r="B356" s="1052" t="s">
        <v>2433</v>
      </c>
      <c r="C356" s="1054">
        <v>701.93</v>
      </c>
      <c r="D356" s="1054">
        <v>-22.28</v>
      </c>
      <c r="E356" s="1054">
        <v>679.65</v>
      </c>
      <c r="F356" s="1052" t="s">
        <v>1154</v>
      </c>
      <c r="G356" s="1052" t="s">
        <v>1242</v>
      </c>
      <c r="H356" s="1029"/>
      <c r="I356" s="1032"/>
      <c r="J356" s="1032"/>
      <c r="K356" s="1032"/>
      <c r="L356" s="653" t="str">
        <f t="shared" si="328"/>
        <v>6412</v>
      </c>
      <c r="M356" s="654" t="str">
        <f t="shared" si="260"/>
        <v>AUTORISATION &amp; GAR./VEH. USA</v>
      </c>
      <c r="N356" s="655">
        <f>+IF(OR($Q356=Parametres!$G$2,$Q356=Parametres!$G$3),I356,C356)</f>
        <v>701.93</v>
      </c>
      <c r="O356" s="655">
        <f>+IF(OR($Q356=Parametres!$G$2,$Q356=Parametres!$G$3),J356,D356)</f>
        <v>-22.28</v>
      </c>
      <c r="P356" s="655">
        <f>+IF(OR($Q356=Parametres!$G$2,$Q356=Parametres!$G$3),K356,E356)</f>
        <v>679.65</v>
      </c>
      <c r="Q356" s="654" t="str">
        <f t="shared" ref="Q356:S356" si="362">+F356</f>
        <v>7-Dépenses</v>
      </c>
      <c r="R356" s="653" t="str">
        <f t="shared" si="362"/>
        <v>6112</v>
      </c>
      <c r="S356" s="654">
        <f t="shared" si="362"/>
        <v>0</v>
      </c>
      <c r="T356" s="656" t="str">
        <f>+VLOOKUP($L356,Data_Validation!$A:$D,1,0)</f>
        <v>6412</v>
      </c>
      <c r="U356" s="656" t="str">
        <f>+VLOOKUP($L356,Data_Validation!$A:$D,3,0)</f>
        <v>Service</v>
      </c>
      <c r="V356" s="656" t="str">
        <f>+VLOOKUP($L356,Data_Validation!$A:$D,4,0)</f>
        <v>Service gratuit 2</v>
      </c>
      <c r="W356" s="656" t="str">
        <f>+VLOOKUP($L356,Data_Validation!$A:$E,5,0)</f>
        <v>$</v>
      </c>
      <c r="X356" s="656">
        <f>+VLOOKUP($L356,Data_Validation!$A:$F,6,0)</f>
        <v>0</v>
      </c>
    </row>
    <row r="357" spans="1:24" ht="15" customHeight="1">
      <c r="A357" s="1052" t="s">
        <v>1166</v>
      </c>
      <c r="B357" s="1052" t="s">
        <v>2436</v>
      </c>
      <c r="C357" s="1054">
        <v>122101.18</v>
      </c>
      <c r="D357" s="1054">
        <v>10808.55</v>
      </c>
      <c r="E357" s="1054">
        <v>132909.73000000001</v>
      </c>
      <c r="F357" s="1052" t="s">
        <v>1154</v>
      </c>
      <c r="G357" s="1052" t="s">
        <v>1167</v>
      </c>
      <c r="H357" s="1029"/>
      <c r="I357" s="1032"/>
      <c r="J357" s="1032"/>
      <c r="K357" s="1032"/>
      <c r="L357" s="653" t="str">
        <f t="shared" si="328"/>
        <v>6414</v>
      </c>
      <c r="M357" s="654" t="str">
        <f t="shared" si="260"/>
        <v>PUBLICITE</v>
      </c>
      <c r="N357" s="655">
        <f>+IF(OR($Q357=Parametres!$G$2,$Q357=Parametres!$G$3),I357,C357)</f>
        <v>122101.18</v>
      </c>
      <c r="O357" s="655">
        <f>+IF(OR($Q357=Parametres!$G$2,$Q357=Parametres!$G$3),J357,D357)</f>
        <v>10808.55</v>
      </c>
      <c r="P357" s="655">
        <f>+IF(OR($Q357=Parametres!$G$2,$Q357=Parametres!$G$3),K357,E357)</f>
        <v>132909.73000000001</v>
      </c>
      <c r="Q357" s="654" t="str">
        <f t="shared" ref="Q357:S357" si="363">+F357</f>
        <v>7-Dépenses</v>
      </c>
      <c r="R357" s="653" t="str">
        <f t="shared" si="363"/>
        <v>6114</v>
      </c>
      <c r="S357" s="654">
        <f t="shared" si="363"/>
        <v>0</v>
      </c>
      <c r="T357" s="656" t="str">
        <f>+VLOOKUP($L357,Data_Validation!$A:$D,1,0)</f>
        <v>6414</v>
      </c>
      <c r="U357" s="656" t="str">
        <f>+VLOOKUP($L357,Data_Validation!$A:$D,3,0)</f>
        <v>Service</v>
      </c>
      <c r="V357" s="656" t="str">
        <f>+VLOOKUP($L357,Data_Validation!$A:$D,4,0)</f>
        <v>Publicité 2</v>
      </c>
      <c r="W357" s="656" t="str">
        <f>+VLOOKUP($L357,Data_Validation!$A:$E,5,0)</f>
        <v>$</v>
      </c>
      <c r="X357" s="656">
        <f>+VLOOKUP($L357,Data_Validation!$A:$F,6,0)</f>
        <v>0</v>
      </c>
    </row>
    <row r="358" spans="1:24" ht="15.75" customHeight="1">
      <c r="A358" s="1052" t="s">
        <v>1169</v>
      </c>
      <c r="B358" s="1052" t="s">
        <v>2439</v>
      </c>
      <c r="C358" s="1054">
        <v>40046.239999999998</v>
      </c>
      <c r="D358" s="1054">
        <v>4184.87</v>
      </c>
      <c r="E358" s="1054">
        <v>44231.11</v>
      </c>
      <c r="F358" s="1052" t="s">
        <v>1154</v>
      </c>
      <c r="G358" s="1052" t="s">
        <v>1170</v>
      </c>
      <c r="H358" s="1029"/>
      <c r="I358" s="1032"/>
      <c r="J358" s="1032"/>
      <c r="K358" s="1032"/>
      <c r="L358" s="653" t="str">
        <f t="shared" si="328"/>
        <v>6421</v>
      </c>
      <c r="M358" s="654" t="str">
        <f t="shared" si="260"/>
        <v>SALAIRES - PROPRIETAIRES</v>
      </c>
      <c r="N358" s="655">
        <f>+IF(OR($Q358=Parametres!$G$2,$Q358=Parametres!$G$3),I358,C358)</f>
        <v>40046.239999999998</v>
      </c>
      <c r="O358" s="655">
        <f>+IF(OR($Q358=Parametres!$G$2,$Q358=Parametres!$G$3),J358,D358)</f>
        <v>4184.87</v>
      </c>
      <c r="P358" s="655">
        <f>+IF(OR($Q358=Parametres!$G$2,$Q358=Parametres!$G$3),K358,E358)</f>
        <v>44231.11</v>
      </c>
      <c r="Q358" s="654" t="str">
        <f t="shared" ref="Q358:S358" si="364">+F358</f>
        <v>7-Dépenses</v>
      </c>
      <c r="R358" s="653" t="str">
        <f t="shared" si="364"/>
        <v>6121</v>
      </c>
      <c r="S358" s="654">
        <f t="shared" si="364"/>
        <v>0</v>
      </c>
      <c r="T358" s="656" t="str">
        <f>+VLOOKUP($L358,Data_Validation!$A:$D,1,0)</f>
        <v>6421</v>
      </c>
      <c r="U358" s="656" t="str">
        <f>+VLOOKUP($L358,Data_Validation!$A:$D,3,0)</f>
        <v>Service</v>
      </c>
      <c r="V358" s="656" t="str">
        <f>+VLOOKUP($L358,Data_Validation!$A:$D,4,0)</f>
        <v>Salaires propriétaire</v>
      </c>
      <c r="W358" s="656" t="str">
        <f>+VLOOKUP($L358,Data_Validation!$A:$E,5,0)</f>
        <v>$</v>
      </c>
      <c r="X358" s="656">
        <f>+VLOOKUP($L358,Data_Validation!$A:$F,6,0)</f>
        <v>0</v>
      </c>
    </row>
    <row r="359" spans="1:24" ht="15" customHeight="1">
      <c r="A359" s="1052" t="s">
        <v>1171</v>
      </c>
      <c r="B359" s="1052" t="s">
        <v>2442</v>
      </c>
      <c r="C359" s="1054">
        <v>108686.24</v>
      </c>
      <c r="D359" s="1054">
        <v>10130.92</v>
      </c>
      <c r="E359" s="1054">
        <v>118817.16</v>
      </c>
      <c r="F359" s="1052" t="s">
        <v>1154</v>
      </c>
      <c r="G359" s="1052" t="s">
        <v>1172</v>
      </c>
      <c r="H359" s="1029"/>
      <c r="I359" s="1032"/>
      <c r="J359" s="1032"/>
      <c r="K359" s="1032"/>
      <c r="L359" s="653" t="str">
        <f t="shared" si="328"/>
        <v>6422</v>
      </c>
      <c r="M359" s="654" t="str">
        <f t="shared" si="260"/>
        <v>SAL SUPERVISION / GERANT</v>
      </c>
      <c r="N359" s="655">
        <f>+IF(OR($Q359=Parametres!$G$2,$Q359=Parametres!$G$3),I359,C359)</f>
        <v>108686.24</v>
      </c>
      <c r="O359" s="655">
        <f>+IF(OR($Q359=Parametres!$G$2,$Q359=Parametres!$G$3),J359,D359)</f>
        <v>10130.92</v>
      </c>
      <c r="P359" s="655">
        <f>+IF(OR($Q359=Parametres!$G$2,$Q359=Parametres!$G$3),K359,E359)</f>
        <v>118817.16</v>
      </c>
      <c r="Q359" s="654" t="str">
        <f t="shared" ref="Q359:S359" si="365">+F359</f>
        <v>7-Dépenses</v>
      </c>
      <c r="R359" s="653" t="str">
        <f t="shared" si="365"/>
        <v>6122</v>
      </c>
      <c r="S359" s="654">
        <f t="shared" si="365"/>
        <v>0</v>
      </c>
      <c r="T359" s="656" t="str">
        <f>+VLOOKUP($L359,Data_Validation!$A:$D,1,0)</f>
        <v>6422</v>
      </c>
      <c r="U359" s="656" t="str">
        <f>+VLOOKUP($L359,Data_Validation!$A:$D,3,0)</f>
        <v>Service</v>
      </c>
      <c r="V359" s="656" t="str">
        <f>+VLOOKUP($L359,Data_Validation!$A:$D,4,0)</f>
        <v>Salaires cadres</v>
      </c>
      <c r="W359" s="656" t="str">
        <f>+VLOOKUP($L359,Data_Validation!$A:$E,5,0)</f>
        <v>$</v>
      </c>
      <c r="X359" s="656">
        <f>+VLOOKUP($L359,Data_Validation!$A:$F,6,0)</f>
        <v>0</v>
      </c>
    </row>
    <row r="360" spans="1:24" ht="15" customHeight="1">
      <c r="A360" s="1052" t="s">
        <v>1244</v>
      </c>
      <c r="B360" s="1052" t="s">
        <v>2445</v>
      </c>
      <c r="C360" s="1054">
        <v>86725.91</v>
      </c>
      <c r="D360" s="1054">
        <v>7284.98</v>
      </c>
      <c r="E360" s="1054">
        <v>94010.89</v>
      </c>
      <c r="F360" s="1052" t="s">
        <v>1154</v>
      </c>
      <c r="G360" s="1052" t="s">
        <v>1174</v>
      </c>
      <c r="H360" s="1029"/>
      <c r="I360" s="1032"/>
      <c r="J360" s="1032"/>
      <c r="K360" s="1032"/>
      <c r="L360" s="653" t="str">
        <f t="shared" si="328"/>
        <v>6423</v>
      </c>
      <c r="M360" s="654" t="str">
        <f t="shared" si="260"/>
        <v>SAL. &amp; RENUM. CLERICAL</v>
      </c>
      <c r="N360" s="655">
        <f>+IF(OR($Q360=Parametres!$G$2,$Q360=Parametres!$G$3),I360,C360)</f>
        <v>86725.91</v>
      </c>
      <c r="O360" s="655">
        <f>+IF(OR($Q360=Parametres!$G$2,$Q360=Parametres!$G$3),J360,D360)</f>
        <v>7284.98</v>
      </c>
      <c r="P360" s="655">
        <f>+IF(OR($Q360=Parametres!$G$2,$Q360=Parametres!$G$3),K360,E360)</f>
        <v>94010.89</v>
      </c>
      <c r="Q360" s="654" t="str">
        <f t="shared" ref="Q360:S360" si="366">+F360</f>
        <v>7-Dépenses</v>
      </c>
      <c r="R360" s="653" t="str">
        <f t="shared" si="366"/>
        <v>6123</v>
      </c>
      <c r="S360" s="654">
        <f t="shared" si="366"/>
        <v>0</v>
      </c>
      <c r="T360" s="656" t="str">
        <f>+VLOOKUP($L360,Data_Validation!$A:$D,1,0)</f>
        <v>6423</v>
      </c>
      <c r="U360" s="656" t="str">
        <f>+VLOOKUP($L360,Data_Validation!$A:$D,3,0)</f>
        <v>Service</v>
      </c>
      <c r="V360" s="656" t="str">
        <f>+VLOOKUP($L360,Data_Validation!$A:$D,4,0)</f>
        <v>Salaires commis</v>
      </c>
      <c r="W360" s="656" t="str">
        <f>+VLOOKUP($L360,Data_Validation!$A:$E,5,0)</f>
        <v>$</v>
      </c>
      <c r="X360" s="656">
        <f>+VLOOKUP($L360,Data_Validation!$A:$F,6,0)</f>
        <v>0</v>
      </c>
    </row>
    <row r="361" spans="1:24" ht="15" customHeight="1">
      <c r="A361" s="1052" t="s">
        <v>1175</v>
      </c>
      <c r="B361" s="1052" t="s">
        <v>2448</v>
      </c>
      <c r="C361" s="1054">
        <v>222448.85</v>
      </c>
      <c r="D361" s="1054">
        <v>15114.01</v>
      </c>
      <c r="E361" s="1054">
        <v>237562.86</v>
      </c>
      <c r="F361" s="1052" t="s">
        <v>1154</v>
      </c>
      <c r="G361" s="1052" t="s">
        <v>1176</v>
      </c>
      <c r="H361" s="1029"/>
      <c r="I361" s="1032"/>
      <c r="J361" s="1032"/>
      <c r="K361" s="1032"/>
      <c r="L361" s="653" t="str">
        <f t="shared" si="328"/>
        <v>6424</v>
      </c>
      <c r="M361" s="654" t="str">
        <f t="shared" si="260"/>
        <v>SALAIRES &amp; RENUM. - AUTRES</v>
      </c>
      <c r="N361" s="655">
        <f>+IF(OR($Q361=Parametres!$G$2,$Q361=Parametres!$G$3),I361,C361)</f>
        <v>222448.85</v>
      </c>
      <c r="O361" s="655">
        <f>+IF(OR($Q361=Parametres!$G$2,$Q361=Parametres!$G$3),J361,D361)</f>
        <v>15114.01</v>
      </c>
      <c r="P361" s="655">
        <f>+IF(OR($Q361=Parametres!$G$2,$Q361=Parametres!$G$3),K361,E361)</f>
        <v>237562.86</v>
      </c>
      <c r="Q361" s="654" t="str">
        <f t="shared" ref="Q361:S361" si="367">+F361</f>
        <v>7-Dépenses</v>
      </c>
      <c r="R361" s="653" t="str">
        <f t="shared" si="367"/>
        <v>6124</v>
      </c>
      <c r="S361" s="654">
        <f t="shared" si="367"/>
        <v>0</v>
      </c>
      <c r="T361" s="656" t="str">
        <f>+VLOOKUP($L361,Data_Validation!$A:$D,1,0)</f>
        <v>6424</v>
      </c>
      <c r="U361" s="656" t="str">
        <f>+VLOOKUP($L361,Data_Validation!$A:$D,3,0)</f>
        <v>Service</v>
      </c>
      <c r="V361" s="656" t="str">
        <f>+VLOOKUP($L361,Data_Validation!$A:$D,4,0)</f>
        <v>Salaires autres</v>
      </c>
      <c r="W361" s="656" t="str">
        <f>+VLOOKUP($L361,Data_Validation!$A:$E,5,0)</f>
        <v>$</v>
      </c>
      <c r="X361" s="656">
        <f>+VLOOKUP($L361,Data_Validation!$A:$F,6,0)</f>
        <v>0</v>
      </c>
    </row>
    <row r="362" spans="1:24" ht="15.75" customHeight="1">
      <c r="A362" s="1052" t="s">
        <v>1245</v>
      </c>
      <c r="B362" s="1052" t="s">
        <v>2451</v>
      </c>
      <c r="C362" s="1054">
        <v>320279.23</v>
      </c>
      <c r="D362" s="1054">
        <v>34633.07</v>
      </c>
      <c r="E362" s="1054">
        <v>354912.3</v>
      </c>
      <c r="F362" s="1052" t="s">
        <v>1154</v>
      </c>
      <c r="G362" s="1052" t="s">
        <v>1246</v>
      </c>
      <c r="H362" s="1029"/>
      <c r="I362" s="1032"/>
      <c r="J362" s="1032"/>
      <c r="K362" s="1032"/>
      <c r="L362" s="653" t="str">
        <f t="shared" si="328"/>
        <v>6425</v>
      </c>
      <c r="M362" s="654" t="str">
        <f t="shared" si="260"/>
        <v>SALAIRE SPECIALISTES</v>
      </c>
      <c r="N362" s="655">
        <f>+IF(OR($Q362=Parametres!$G$2,$Q362=Parametres!$G$3),I362,C362)</f>
        <v>320279.23</v>
      </c>
      <c r="O362" s="655">
        <f>+IF(OR($Q362=Parametres!$G$2,$Q362=Parametres!$G$3),J362,D362)</f>
        <v>34633.07</v>
      </c>
      <c r="P362" s="655">
        <f>+IF(OR($Q362=Parametres!$G$2,$Q362=Parametres!$G$3),K362,E362)</f>
        <v>354912.3</v>
      </c>
      <c r="Q362" s="654" t="str">
        <f t="shared" ref="Q362:S362" si="368">+F362</f>
        <v>7-Dépenses</v>
      </c>
      <c r="R362" s="653" t="str">
        <f t="shared" si="368"/>
        <v>6125</v>
      </c>
      <c r="S362" s="654">
        <f t="shared" si="368"/>
        <v>0</v>
      </c>
      <c r="T362" s="656" t="str">
        <f>+VLOOKUP($L362,Data_Validation!$A:$D,1,0)</f>
        <v>6425</v>
      </c>
      <c r="U362" s="656" t="str">
        <f>+VLOOKUP($L362,Data_Validation!$A:$D,3,0)</f>
        <v>Service</v>
      </c>
      <c r="V362" s="656" t="str">
        <f>+VLOOKUP($L362,Data_Validation!$A:$D,4,0)</f>
        <v>Salaires spécialistes</v>
      </c>
      <c r="W362" s="656" t="str">
        <f>+VLOOKUP($L362,Data_Validation!$A:$E,5,0)</f>
        <v>$</v>
      </c>
      <c r="X362" s="656">
        <f>+VLOOKUP($L362,Data_Validation!$A:$F,6,0)</f>
        <v>0</v>
      </c>
    </row>
    <row r="363" spans="1:24" ht="15.75" customHeight="1">
      <c r="A363" s="1052" t="s">
        <v>1247</v>
      </c>
      <c r="B363" s="1052" t="s">
        <v>2454</v>
      </c>
      <c r="C363" s="1054">
        <v>168727.9</v>
      </c>
      <c r="D363" s="1054">
        <v>40715.89</v>
      </c>
      <c r="E363" s="1054">
        <v>209443.79</v>
      </c>
      <c r="F363" s="1052" t="s">
        <v>1154</v>
      </c>
      <c r="G363" s="1052" t="s">
        <v>1178</v>
      </c>
      <c r="H363" s="1029"/>
      <c r="I363" s="1032"/>
      <c r="J363" s="1032"/>
      <c r="K363" s="1032"/>
      <c r="L363" s="653" t="str">
        <f t="shared" si="328"/>
        <v>6429</v>
      </c>
      <c r="M363" s="654" t="str">
        <f t="shared" si="260"/>
        <v>SAL.,VACANCE, &amp; SAL. JOURS FER</v>
      </c>
      <c r="N363" s="655">
        <f>+IF(OR($Q363=Parametres!$G$2,$Q363=Parametres!$G$3),I363,C363)</f>
        <v>168727.9</v>
      </c>
      <c r="O363" s="655">
        <f>+IF(OR($Q363=Parametres!$G$2,$Q363=Parametres!$G$3),J363,D363)</f>
        <v>40715.89</v>
      </c>
      <c r="P363" s="655">
        <f>+IF(OR($Q363=Parametres!$G$2,$Q363=Parametres!$G$3),K363,E363)</f>
        <v>209443.79</v>
      </c>
      <c r="Q363" s="654" t="str">
        <f t="shared" ref="Q363:S363" si="369">+F363</f>
        <v>7-Dépenses</v>
      </c>
      <c r="R363" s="653" t="str">
        <f t="shared" si="369"/>
        <v>6129</v>
      </c>
      <c r="S363" s="654">
        <f t="shared" si="369"/>
        <v>0</v>
      </c>
      <c r="T363" s="656" t="str">
        <f>+VLOOKUP($L363,Data_Validation!$A:$D,1,0)</f>
        <v>6429</v>
      </c>
      <c r="U363" s="656" t="str">
        <f>+VLOOKUP($L363,Data_Validation!$A:$D,3,0)</f>
        <v>Service</v>
      </c>
      <c r="V363" s="656" t="str">
        <f>+VLOOKUP($L363,Data_Validation!$A:$D,4,0)</f>
        <v>Salaires en absences</v>
      </c>
      <c r="W363" s="656" t="str">
        <f>+VLOOKUP($L363,Data_Validation!$A:$E,5,0)</f>
        <v>$</v>
      </c>
      <c r="X363" s="656">
        <f>+VLOOKUP($L363,Data_Validation!$A:$F,6,0)</f>
        <v>0</v>
      </c>
    </row>
    <row r="364" spans="1:24" ht="15" customHeight="1">
      <c r="A364" s="1052" t="s">
        <v>1179</v>
      </c>
      <c r="B364" s="1052" t="s">
        <v>2457</v>
      </c>
      <c r="C364" s="1054">
        <v>50044.19</v>
      </c>
      <c r="D364" s="1054">
        <v>13474.23</v>
      </c>
      <c r="E364" s="1054">
        <v>63518.42</v>
      </c>
      <c r="F364" s="1052" t="s">
        <v>1154</v>
      </c>
      <c r="G364" s="1052" t="s">
        <v>1180</v>
      </c>
      <c r="H364" s="1029"/>
      <c r="I364" s="1032"/>
      <c r="J364" s="1032"/>
      <c r="K364" s="1032"/>
      <c r="L364" s="653" t="str">
        <f t="shared" si="328"/>
        <v>6431</v>
      </c>
      <c r="M364" s="654" t="str">
        <f t="shared" si="260"/>
        <v>CSST</v>
      </c>
      <c r="N364" s="655">
        <f>+IF(OR($Q364=Parametres!$G$2,$Q364=Parametres!$G$3),I364,C364)</f>
        <v>50044.19</v>
      </c>
      <c r="O364" s="655">
        <f>+IF(OR($Q364=Parametres!$G$2,$Q364=Parametres!$G$3),J364,D364)</f>
        <v>13474.23</v>
      </c>
      <c r="P364" s="655">
        <f>+IF(OR($Q364=Parametres!$G$2,$Q364=Parametres!$G$3),K364,E364)</f>
        <v>63518.42</v>
      </c>
      <c r="Q364" s="654" t="str">
        <f t="shared" ref="Q364:S364" si="370">+F364</f>
        <v>7-Dépenses</v>
      </c>
      <c r="R364" s="653" t="str">
        <f t="shared" si="370"/>
        <v>6131</v>
      </c>
      <c r="S364" s="654">
        <f t="shared" si="370"/>
        <v>0</v>
      </c>
      <c r="T364" s="656" t="str">
        <f>+VLOOKUP($L364,Data_Validation!$A:$D,1,0)</f>
        <v>6431</v>
      </c>
      <c r="U364" s="656" t="str">
        <f>+VLOOKUP($L364,Data_Validation!$A:$D,3,0)</f>
        <v>Service</v>
      </c>
      <c r="V364" s="656" t="str">
        <f>+VLOOKUP($L364,Data_Validation!$A:$D,4,0)</f>
        <v>Csst</v>
      </c>
      <c r="W364" s="656" t="str">
        <f>+VLOOKUP($L364,Data_Validation!$A:$E,5,0)</f>
        <v>$</v>
      </c>
      <c r="X364" s="656">
        <f>+VLOOKUP($L364,Data_Validation!$A:$F,6,0)</f>
        <v>0</v>
      </c>
    </row>
    <row r="365" spans="1:24" ht="15" customHeight="1">
      <c r="A365" s="1052" t="s">
        <v>1181</v>
      </c>
      <c r="B365" s="1052" t="s">
        <v>2460</v>
      </c>
      <c r="C365" s="1054">
        <v>178263.07</v>
      </c>
      <c r="D365" s="1054">
        <v>21128.01</v>
      </c>
      <c r="E365" s="1054">
        <v>199391.08</v>
      </c>
      <c r="F365" s="1052" t="s">
        <v>1154</v>
      </c>
      <c r="G365" s="1052" t="s">
        <v>1182</v>
      </c>
      <c r="H365" s="1029"/>
      <c r="I365" s="1032"/>
      <c r="J365" s="1032"/>
      <c r="K365" s="1032"/>
      <c r="L365" s="653" t="str">
        <f t="shared" si="328"/>
        <v>6432</v>
      </c>
      <c r="M365" s="654" t="str">
        <f t="shared" si="260"/>
        <v>RRQ RAMQ AC</v>
      </c>
      <c r="N365" s="655">
        <f>+IF(OR($Q365=Parametres!$G$2,$Q365=Parametres!$G$3),I365,C365)</f>
        <v>178263.07</v>
      </c>
      <c r="O365" s="655">
        <f>+IF(OR($Q365=Parametres!$G$2,$Q365=Parametres!$G$3),J365,D365)</f>
        <v>21128.01</v>
      </c>
      <c r="P365" s="655">
        <f>+IF(OR($Q365=Parametres!$G$2,$Q365=Parametres!$G$3),K365,E365)</f>
        <v>199391.08</v>
      </c>
      <c r="Q365" s="654" t="str">
        <f t="shared" ref="Q365:S365" si="371">+F365</f>
        <v>7-Dépenses</v>
      </c>
      <c r="R365" s="653" t="str">
        <f t="shared" si="371"/>
        <v>6132</v>
      </c>
      <c r="S365" s="654">
        <f t="shared" si="371"/>
        <v>0</v>
      </c>
      <c r="T365" s="656" t="str">
        <f>+VLOOKUP($L365,Data_Validation!$A:$D,1,0)</f>
        <v>6432</v>
      </c>
      <c r="U365" s="656" t="str">
        <f>+VLOOKUP($L365,Data_Validation!$A:$D,3,0)</f>
        <v>Service</v>
      </c>
      <c r="V365" s="656" t="str">
        <f>+VLOOKUP($L365,Data_Validation!$A:$D,4,0)</f>
        <v>Déduction à la source</v>
      </c>
      <c r="W365" s="656" t="str">
        <f>+VLOOKUP($L365,Data_Validation!$A:$E,5,0)</f>
        <v>$</v>
      </c>
      <c r="X365" s="656">
        <f>+VLOOKUP($L365,Data_Validation!$A:$F,6,0)</f>
        <v>0</v>
      </c>
    </row>
    <row r="366" spans="1:24" ht="15" customHeight="1">
      <c r="A366" s="1052" t="s">
        <v>1248</v>
      </c>
      <c r="B366" s="1052" t="s">
        <v>2463</v>
      </c>
      <c r="C366" s="1054">
        <v>3194.34</v>
      </c>
      <c r="D366" s="1054">
        <v>2880.8</v>
      </c>
      <c r="E366" s="1054">
        <v>6075.14</v>
      </c>
      <c r="F366" s="1052" t="s">
        <v>1154</v>
      </c>
      <c r="G366" s="1052" t="s">
        <v>1184</v>
      </c>
      <c r="H366" s="1029"/>
      <c r="I366" s="1032"/>
      <c r="J366" s="1032"/>
      <c r="K366" s="1032"/>
      <c r="L366" s="653" t="str">
        <f t="shared" si="328"/>
        <v>6433</v>
      </c>
      <c r="M366" s="654" t="str">
        <f t="shared" si="260"/>
        <v>FOND PENSION - SERVICE</v>
      </c>
      <c r="N366" s="655">
        <f>+IF(OR($Q366=Parametres!$G$2,$Q366=Parametres!$G$3),I366,C366)</f>
        <v>3194.34</v>
      </c>
      <c r="O366" s="655">
        <f>+IF(OR($Q366=Parametres!$G$2,$Q366=Parametres!$G$3),J366,D366)</f>
        <v>2880.8</v>
      </c>
      <c r="P366" s="655">
        <f>+IF(OR($Q366=Parametres!$G$2,$Q366=Parametres!$G$3),K366,E366)</f>
        <v>6075.14</v>
      </c>
      <c r="Q366" s="654" t="str">
        <f t="shared" ref="Q366:S366" si="372">+F366</f>
        <v>7-Dépenses</v>
      </c>
      <c r="R366" s="653" t="str">
        <f t="shared" si="372"/>
        <v>6133</v>
      </c>
      <c r="S366" s="654">
        <f t="shared" si="372"/>
        <v>0</v>
      </c>
      <c r="T366" s="656" t="str">
        <f>+VLOOKUP($L366,Data_Validation!$A:$D,1,0)</f>
        <v>6433</v>
      </c>
      <c r="U366" s="656" t="str">
        <f>+VLOOKUP($L366,Data_Validation!$A:$D,3,0)</f>
        <v>Service</v>
      </c>
      <c r="V366" s="656" t="str">
        <f>+VLOOKUP($L366,Data_Validation!$A:$D,4,0)</f>
        <v>Bénéfices marginaux</v>
      </c>
      <c r="W366" s="656" t="str">
        <f>+VLOOKUP($L366,Data_Validation!$A:$E,5,0)</f>
        <v>$</v>
      </c>
      <c r="X366" s="656">
        <f>+VLOOKUP($L366,Data_Validation!$A:$F,6,0)</f>
        <v>0</v>
      </c>
    </row>
    <row r="367" spans="1:24" ht="15" customHeight="1">
      <c r="A367" s="1052" t="s">
        <v>1231</v>
      </c>
      <c r="B367" s="1052" t="s">
        <v>2466</v>
      </c>
      <c r="C367" s="1054">
        <v>60907.26</v>
      </c>
      <c r="D367" s="1054">
        <v>5108.53</v>
      </c>
      <c r="E367" s="1054">
        <v>66015.789999999994</v>
      </c>
      <c r="F367" s="1052" t="s">
        <v>1154</v>
      </c>
      <c r="G367" s="1052" t="s">
        <v>1186</v>
      </c>
      <c r="H367" s="1029"/>
      <c r="I367" s="1032"/>
      <c r="J367" s="1032"/>
      <c r="K367" s="1032"/>
      <c r="L367" s="653" t="str">
        <f t="shared" si="328"/>
        <v>6439</v>
      </c>
      <c r="M367" s="654" t="str">
        <f t="shared" si="260"/>
        <v>ASSURANCE GROUPE</v>
      </c>
      <c r="N367" s="655">
        <f>+IF(OR($Q367=Parametres!$G$2,$Q367=Parametres!$G$3),I367,C367)</f>
        <v>60907.26</v>
      </c>
      <c r="O367" s="655">
        <f>+IF(OR($Q367=Parametres!$G$2,$Q367=Parametres!$G$3),J367,D367)</f>
        <v>5108.53</v>
      </c>
      <c r="P367" s="655">
        <f>+IF(OR($Q367=Parametres!$G$2,$Q367=Parametres!$G$3),K367,E367)</f>
        <v>66015.789999999994</v>
      </c>
      <c r="Q367" s="654" t="str">
        <f t="shared" ref="Q367:S367" si="373">+F367</f>
        <v>7-Dépenses</v>
      </c>
      <c r="R367" s="653" t="str">
        <f t="shared" si="373"/>
        <v>6139</v>
      </c>
      <c r="S367" s="654">
        <f t="shared" si="373"/>
        <v>0</v>
      </c>
      <c r="T367" s="656" t="str">
        <f>+VLOOKUP($L367,Data_Validation!$A:$D,1,0)</f>
        <v>6439</v>
      </c>
      <c r="U367" s="656" t="str">
        <f>+VLOOKUP($L367,Data_Validation!$A:$D,3,0)</f>
        <v>Service</v>
      </c>
      <c r="V367" s="656" t="str">
        <f>+VLOOKUP($L367,Data_Validation!$A:$D,4,0)</f>
        <v>Bénéfices marginaux</v>
      </c>
      <c r="W367" s="656" t="str">
        <f>+VLOOKUP($L367,Data_Validation!$A:$E,5,0)</f>
        <v>$</v>
      </c>
      <c r="X367" s="656">
        <f>+VLOOKUP($L367,Data_Validation!$A:$F,6,0)</f>
        <v>0</v>
      </c>
    </row>
    <row r="368" spans="1:24" ht="15" customHeight="1">
      <c r="A368" s="1052" t="s">
        <v>1249</v>
      </c>
      <c r="B368" s="1052" t="s">
        <v>2472</v>
      </c>
      <c r="C368" s="1054">
        <v>7526.67</v>
      </c>
      <c r="D368" s="1054">
        <v>253.25</v>
      </c>
      <c r="E368" s="1054">
        <v>7779.92</v>
      </c>
      <c r="F368" s="1052" t="s">
        <v>1154</v>
      </c>
      <c r="G368" s="1052" t="s">
        <v>1242</v>
      </c>
      <c r="H368" s="1029"/>
      <c r="I368" s="1032"/>
      <c r="J368" s="1032"/>
      <c r="K368" s="1032"/>
      <c r="L368" s="653" t="str">
        <f t="shared" si="328"/>
        <v>6441</v>
      </c>
      <c r="M368" s="654" t="str">
        <f t="shared" si="260"/>
        <v>RETOURS</v>
      </c>
      <c r="N368" s="655">
        <f>+IF(OR($Q368=Parametres!$G$2,$Q368=Parametres!$G$3),I368,C368)</f>
        <v>7526.67</v>
      </c>
      <c r="O368" s="655">
        <f>+IF(OR($Q368=Parametres!$G$2,$Q368=Parametres!$G$3),J368,D368)</f>
        <v>253.25</v>
      </c>
      <c r="P368" s="655">
        <f>+IF(OR($Q368=Parametres!$G$2,$Q368=Parametres!$G$3),K368,E368)</f>
        <v>7779.92</v>
      </c>
      <c r="Q368" s="654" t="str">
        <f t="shared" ref="Q368:S368" si="374">+F368</f>
        <v>7-Dépenses</v>
      </c>
      <c r="R368" s="653" t="str">
        <f t="shared" si="374"/>
        <v>6112</v>
      </c>
      <c r="S368" s="654">
        <f t="shared" si="374"/>
        <v>0</v>
      </c>
      <c r="T368" s="656" t="str">
        <f>+VLOOKUP($L368,Data_Validation!$A:$D,1,0)</f>
        <v>6441</v>
      </c>
      <c r="U368" s="656" t="str">
        <f>+VLOOKUP($L368,Data_Validation!$A:$D,3,0)</f>
        <v>Service</v>
      </c>
      <c r="V368" s="656" t="str">
        <f>+VLOOKUP($L368,Data_Validation!$A:$D,4,0)</f>
        <v>Service gratuit 2</v>
      </c>
      <c r="W368" s="656" t="str">
        <f>+VLOOKUP($L368,Data_Validation!$A:$E,5,0)</f>
        <v>$</v>
      </c>
      <c r="X368" s="656">
        <f>+VLOOKUP($L368,Data_Validation!$A:$F,6,0)</f>
        <v>0</v>
      </c>
    </row>
    <row r="369" spans="1:24" ht="15.75" customHeight="1">
      <c r="A369" s="1052" t="s">
        <v>1187</v>
      </c>
      <c r="B369" s="1052" t="s">
        <v>2475</v>
      </c>
      <c r="C369" s="1054">
        <v>24618.91</v>
      </c>
      <c r="D369" s="1054">
        <v>3022.65</v>
      </c>
      <c r="E369" s="1054">
        <v>27641.56</v>
      </c>
      <c r="F369" s="1052" t="s">
        <v>1154</v>
      </c>
      <c r="G369" s="1052" t="s">
        <v>1188</v>
      </c>
      <c r="H369" s="1029"/>
      <c r="I369" s="1032"/>
      <c r="J369" s="1032"/>
      <c r="K369" s="1032"/>
      <c r="L369" s="653" t="str">
        <f t="shared" si="328"/>
        <v>6442</v>
      </c>
      <c r="M369" s="654" t="str">
        <f t="shared" si="260"/>
        <v>FOURNITURES &amp; PETITS OUTILS</v>
      </c>
      <c r="N369" s="655">
        <f>+IF(OR($Q369=Parametres!$G$2,$Q369=Parametres!$G$3),I369,C369)</f>
        <v>24618.91</v>
      </c>
      <c r="O369" s="655">
        <f>+IF(OR($Q369=Parametres!$G$2,$Q369=Parametres!$G$3),J369,D369)</f>
        <v>3022.65</v>
      </c>
      <c r="P369" s="655">
        <f>+IF(OR($Q369=Parametres!$G$2,$Q369=Parametres!$G$3),K369,E369)</f>
        <v>27641.56</v>
      </c>
      <c r="Q369" s="654" t="str">
        <f t="shared" ref="Q369:S369" si="375">+F369</f>
        <v>7-Dépenses</v>
      </c>
      <c r="R369" s="653" t="str">
        <f t="shared" si="375"/>
        <v>6142</v>
      </c>
      <c r="S369" s="654">
        <f t="shared" si="375"/>
        <v>0</v>
      </c>
      <c r="T369" s="656" t="str">
        <f>+VLOOKUP($L369,Data_Validation!$A:$D,1,0)</f>
        <v>6442</v>
      </c>
      <c r="U369" s="656" t="str">
        <f>+VLOOKUP($L369,Data_Validation!$A:$D,3,0)</f>
        <v>Service</v>
      </c>
      <c r="V369" s="656" t="str">
        <f>+VLOOKUP($L369,Data_Validation!$A:$D,4,0)</f>
        <v>Fournitures autres</v>
      </c>
      <c r="W369" s="656" t="str">
        <f>+VLOOKUP($L369,Data_Validation!$A:$E,5,0)</f>
        <v>$</v>
      </c>
      <c r="X369" s="656">
        <f>+VLOOKUP($L369,Data_Validation!$A:$F,6,0)</f>
        <v>0</v>
      </c>
    </row>
    <row r="370" spans="1:24" ht="15" customHeight="1">
      <c r="A370" s="1052" t="s">
        <v>1189</v>
      </c>
      <c r="B370" s="1052" t="s">
        <v>2478</v>
      </c>
      <c r="C370" s="1054">
        <v>13842.34</v>
      </c>
      <c r="D370" s="1054">
        <v>852.51</v>
      </c>
      <c r="E370" s="1054">
        <v>14694.85</v>
      </c>
      <c r="F370" s="1052" t="s">
        <v>1154</v>
      </c>
      <c r="G370" s="1052" t="s">
        <v>1190</v>
      </c>
      <c r="H370" s="1029"/>
      <c r="I370" s="1032"/>
      <c r="J370" s="1032"/>
      <c r="K370" s="1032"/>
      <c r="L370" s="653" t="str">
        <f t="shared" si="328"/>
        <v>6443</v>
      </c>
      <c r="M370" s="654" t="str">
        <f t="shared" si="260"/>
        <v>UNIFORMES &amp; LESSIVE</v>
      </c>
      <c r="N370" s="655">
        <f>+IF(OR($Q370=Parametres!$G$2,$Q370=Parametres!$G$3),I370,C370)</f>
        <v>13842.34</v>
      </c>
      <c r="O370" s="655">
        <f>+IF(OR($Q370=Parametres!$G$2,$Q370=Parametres!$G$3),J370,D370)</f>
        <v>852.51</v>
      </c>
      <c r="P370" s="655">
        <f>+IF(OR($Q370=Parametres!$G$2,$Q370=Parametres!$G$3),K370,E370)</f>
        <v>14694.85</v>
      </c>
      <c r="Q370" s="654" t="str">
        <f t="shared" ref="Q370:S370" si="376">+F370</f>
        <v>7-Dépenses</v>
      </c>
      <c r="R370" s="653" t="str">
        <f t="shared" si="376"/>
        <v>6143</v>
      </c>
      <c r="S370" s="654">
        <f t="shared" si="376"/>
        <v>0</v>
      </c>
      <c r="T370" s="656" t="str">
        <f>+VLOOKUP($L370,Data_Validation!$A:$D,1,0)</f>
        <v>6443</v>
      </c>
      <c r="U370" s="656" t="str">
        <f>+VLOOKUP($L370,Data_Validation!$A:$D,3,0)</f>
        <v>Service</v>
      </c>
      <c r="V370" s="656" t="str">
        <f>+VLOOKUP($L370,Data_Validation!$A:$D,4,0)</f>
        <v>Uniformes</v>
      </c>
      <c r="W370" s="656" t="str">
        <f>+VLOOKUP($L370,Data_Validation!$A:$E,5,0)</f>
        <v>$</v>
      </c>
      <c r="X370" s="656">
        <f>+VLOOKUP($L370,Data_Validation!$A:$F,6,0)</f>
        <v>0</v>
      </c>
    </row>
    <row r="371" spans="1:24" ht="15" customHeight="1">
      <c r="A371" s="1052" t="s">
        <v>1191</v>
      </c>
      <c r="B371" s="1052" t="s">
        <v>2481</v>
      </c>
      <c r="C371" s="1054">
        <v>14620.18</v>
      </c>
      <c r="D371" s="1054">
        <v>705.24</v>
      </c>
      <c r="E371" s="1054">
        <v>15325.42</v>
      </c>
      <c r="F371" s="1052" t="s">
        <v>1154</v>
      </c>
      <c r="G371" s="1052" t="s">
        <v>1192</v>
      </c>
      <c r="H371" s="1029"/>
      <c r="I371" s="1032"/>
      <c r="J371" s="1032"/>
      <c r="K371" s="1032"/>
      <c r="L371" s="653" t="str">
        <f t="shared" si="328"/>
        <v>6444</v>
      </c>
      <c r="M371" s="654" t="str">
        <f t="shared" si="260"/>
        <v>FORMATION</v>
      </c>
      <c r="N371" s="655">
        <f>+IF(OR($Q371=Parametres!$G$2,$Q371=Parametres!$G$3),I371,C371)</f>
        <v>14620.18</v>
      </c>
      <c r="O371" s="655">
        <f>+IF(OR($Q371=Parametres!$G$2,$Q371=Parametres!$G$3),J371,D371)</f>
        <v>705.24</v>
      </c>
      <c r="P371" s="655">
        <f>+IF(OR($Q371=Parametres!$G$2,$Q371=Parametres!$G$3),K371,E371)</f>
        <v>15325.42</v>
      </c>
      <c r="Q371" s="654" t="str">
        <f t="shared" ref="Q371:S371" si="377">+F371</f>
        <v>7-Dépenses</v>
      </c>
      <c r="R371" s="653" t="str">
        <f t="shared" si="377"/>
        <v>6144</v>
      </c>
      <c r="S371" s="654">
        <f t="shared" si="377"/>
        <v>0</v>
      </c>
      <c r="T371" s="656" t="str">
        <f>+VLOOKUP($L371,Data_Validation!$A:$D,1,0)</f>
        <v>6444</v>
      </c>
      <c r="U371" s="656" t="str">
        <f>+VLOOKUP($L371,Data_Validation!$A:$D,3,0)</f>
        <v>Service</v>
      </c>
      <c r="V371" s="656" t="str">
        <f>+VLOOKUP($L371,Data_Validation!$A:$D,4,0)</f>
        <v>Formation</v>
      </c>
      <c r="W371" s="656" t="str">
        <f>+VLOOKUP($L371,Data_Validation!$A:$E,5,0)</f>
        <v>$</v>
      </c>
      <c r="X371" s="656">
        <f>+VLOOKUP($L371,Data_Validation!$A:$F,6,0)</f>
        <v>0</v>
      </c>
    </row>
    <row r="372" spans="1:24" ht="15" customHeight="1">
      <c r="A372" s="1052" t="s">
        <v>1250</v>
      </c>
      <c r="B372" s="1052" t="s">
        <v>2484</v>
      </c>
      <c r="C372" s="1054">
        <v>147830.10999999999</v>
      </c>
      <c r="D372" s="1054">
        <v>18216.68</v>
      </c>
      <c r="E372" s="1054">
        <v>166046.79</v>
      </c>
      <c r="F372" s="1052" t="s">
        <v>1154</v>
      </c>
      <c r="G372" s="1052" t="s">
        <v>1194</v>
      </c>
      <c r="H372" s="1029"/>
      <c r="I372" s="1032"/>
      <c r="J372" s="1032"/>
      <c r="K372" s="1032"/>
      <c r="L372" s="653" t="str">
        <f t="shared" si="328"/>
        <v>6445</v>
      </c>
      <c r="M372" s="654" t="str">
        <f t="shared" si="260"/>
        <v>LOCATION COURTOISIE</v>
      </c>
      <c r="N372" s="655">
        <f>+IF(OR($Q372=Parametres!$G$2,$Q372=Parametres!$G$3),I372,C372)</f>
        <v>147830.10999999999</v>
      </c>
      <c r="O372" s="655">
        <f>+IF(OR($Q372=Parametres!$G$2,$Q372=Parametres!$G$3),J372,D372)</f>
        <v>18216.68</v>
      </c>
      <c r="P372" s="655">
        <f>+IF(OR($Q372=Parametres!$G$2,$Q372=Parametres!$G$3),K372,E372)</f>
        <v>166046.79</v>
      </c>
      <c r="Q372" s="654" t="str">
        <f t="shared" ref="Q372:S372" si="378">+F372</f>
        <v>7-Dépenses</v>
      </c>
      <c r="R372" s="653" t="str">
        <f t="shared" si="378"/>
        <v>6145</v>
      </c>
      <c r="S372" s="654">
        <f t="shared" si="378"/>
        <v>0</v>
      </c>
      <c r="T372" s="656" t="str">
        <f>+VLOOKUP($L372,Data_Validation!$A:$D,1,0)</f>
        <v>6445</v>
      </c>
      <c r="U372" s="656" t="str">
        <f>+VLOOKUP($L372,Data_Validation!$A:$D,3,0)</f>
        <v>Service</v>
      </c>
      <c r="V372" s="656" t="str">
        <f>+VLOOKUP($L372,Data_Validation!$A:$D,4,0)</f>
        <v>Frais véhicules de cie</v>
      </c>
      <c r="W372" s="656" t="str">
        <f>+VLOOKUP($L372,Data_Validation!$A:$E,5,0)</f>
        <v>$</v>
      </c>
      <c r="X372" s="656">
        <f>+VLOOKUP($L372,Data_Validation!$A:$F,6,0)</f>
        <v>0</v>
      </c>
    </row>
    <row r="373" spans="1:24" ht="15" customHeight="1">
      <c r="A373" s="1052" t="s">
        <v>1195</v>
      </c>
      <c r="B373" s="1052" t="s">
        <v>2487</v>
      </c>
      <c r="C373" s="1054">
        <v>1179.08</v>
      </c>
      <c r="D373" s="1054">
        <v>118.7</v>
      </c>
      <c r="E373" s="1054">
        <v>1297.78</v>
      </c>
      <c r="F373" s="1052" t="s">
        <v>1154</v>
      </c>
      <c r="G373" s="1052" t="s">
        <v>1196</v>
      </c>
      <c r="H373" s="1029"/>
      <c r="I373" s="1032"/>
      <c r="J373" s="1032"/>
      <c r="K373" s="1032"/>
      <c r="L373" s="653" t="str">
        <f t="shared" si="328"/>
        <v>6447</v>
      </c>
      <c r="M373" s="654" t="str">
        <f t="shared" si="260"/>
        <v>FRET/EXPRESS/TRANS. PAR CAMION</v>
      </c>
      <c r="N373" s="655">
        <f>+IF(OR($Q373=Parametres!$G$2,$Q373=Parametres!$G$3),I373,C373)</f>
        <v>1179.08</v>
      </c>
      <c r="O373" s="655">
        <f>+IF(OR($Q373=Parametres!$G$2,$Q373=Parametres!$G$3),J373,D373)</f>
        <v>118.7</v>
      </c>
      <c r="P373" s="655">
        <f>+IF(OR($Q373=Parametres!$G$2,$Q373=Parametres!$G$3),K373,E373)</f>
        <v>1297.78</v>
      </c>
      <c r="Q373" s="654" t="str">
        <f t="shared" ref="Q373:S373" si="379">+F373</f>
        <v>7-Dépenses</v>
      </c>
      <c r="R373" s="653" t="str">
        <f t="shared" si="379"/>
        <v>6147</v>
      </c>
      <c r="S373" s="654">
        <f t="shared" si="379"/>
        <v>0</v>
      </c>
      <c r="T373" s="656" t="str">
        <f>+VLOOKUP($L373,Data_Validation!$A:$D,1,0)</f>
        <v>6447</v>
      </c>
      <c r="U373" s="656" t="str">
        <f>+VLOOKUP($L373,Data_Validation!$A:$D,3,0)</f>
        <v>Service</v>
      </c>
      <c r="V373" s="656" t="str">
        <f>+VLOOKUP($L373,Data_Validation!$A:$D,4,0)</f>
        <v>Frais postaux</v>
      </c>
      <c r="W373" s="656" t="str">
        <f>+VLOOKUP($L373,Data_Validation!$A:$E,5,0)</f>
        <v>$</v>
      </c>
      <c r="X373" s="656">
        <f>+VLOOKUP($L373,Data_Validation!$A:$F,6,0)</f>
        <v>0</v>
      </c>
    </row>
    <row r="374" spans="1:24" ht="15.75" customHeight="1">
      <c r="A374" s="1052" t="s">
        <v>1197</v>
      </c>
      <c r="B374" s="1052" t="s">
        <v>2490</v>
      </c>
      <c r="C374" s="1054">
        <v>47346.34</v>
      </c>
      <c r="D374" s="1054">
        <v>3672.37</v>
      </c>
      <c r="E374" s="1054">
        <v>51018.71</v>
      </c>
      <c r="F374" s="1052" t="s">
        <v>1154</v>
      </c>
      <c r="G374" s="1052" t="s">
        <v>1198</v>
      </c>
      <c r="H374" s="1029"/>
      <c r="I374" s="1032"/>
      <c r="J374" s="1032"/>
      <c r="K374" s="1032"/>
      <c r="L374" s="653" t="str">
        <f t="shared" si="328"/>
        <v>6451</v>
      </c>
      <c r="M374" s="654" t="str">
        <f t="shared" si="260"/>
        <v>DEP. DU TRAITEMENT DES DONNEES</v>
      </c>
      <c r="N374" s="655">
        <f>+IF(OR($Q374=Parametres!$G$2,$Q374=Parametres!$G$3),I374,C374)</f>
        <v>47346.34</v>
      </c>
      <c r="O374" s="655">
        <f>+IF(OR($Q374=Parametres!$G$2,$Q374=Parametres!$G$3),J374,D374)</f>
        <v>3672.37</v>
      </c>
      <c r="P374" s="655">
        <f>+IF(OR($Q374=Parametres!$G$2,$Q374=Parametres!$G$3),K374,E374)</f>
        <v>51018.71</v>
      </c>
      <c r="Q374" s="654" t="str">
        <f t="shared" ref="Q374:S374" si="380">+F374</f>
        <v>7-Dépenses</v>
      </c>
      <c r="R374" s="653" t="str">
        <f t="shared" si="380"/>
        <v>6151</v>
      </c>
      <c r="S374" s="654">
        <f t="shared" si="380"/>
        <v>0</v>
      </c>
      <c r="T374" s="656" t="str">
        <f>+VLOOKUP($L374,Data_Validation!$A:$D,1,0)</f>
        <v>6451</v>
      </c>
      <c r="U374" s="656" t="str">
        <f>+VLOOKUP($L374,Data_Validation!$A:$D,3,0)</f>
        <v>Service</v>
      </c>
      <c r="V374" s="656" t="str">
        <f>+VLOOKUP($L374,Data_Validation!$A:$D,4,0)</f>
        <v>Informatique</v>
      </c>
      <c r="W374" s="656" t="str">
        <f>+VLOOKUP($L374,Data_Validation!$A:$E,5,0)</f>
        <v>$</v>
      </c>
      <c r="X374" s="656">
        <f>+VLOOKUP($L374,Data_Validation!$A:$F,6,0)</f>
        <v>0</v>
      </c>
    </row>
    <row r="375" spans="1:24" ht="15" customHeight="1">
      <c r="A375" s="1052" t="s">
        <v>1199</v>
      </c>
      <c r="B375" s="1052" t="s">
        <v>2493</v>
      </c>
      <c r="C375" s="1054">
        <v>8002.42</v>
      </c>
      <c r="D375" s="1054">
        <v>706.52</v>
      </c>
      <c r="E375" s="1054">
        <v>8708.94</v>
      </c>
      <c r="F375" s="1052" t="s">
        <v>1154</v>
      </c>
      <c r="G375" s="1052" t="s">
        <v>1200</v>
      </c>
      <c r="H375" s="1029"/>
      <c r="I375" s="1032"/>
      <c r="J375" s="1032"/>
      <c r="K375" s="1032"/>
      <c r="L375" s="653" t="str">
        <f t="shared" si="328"/>
        <v>6452</v>
      </c>
      <c r="M375" s="654" t="str">
        <f t="shared" si="260"/>
        <v>PAPETERIE</v>
      </c>
      <c r="N375" s="655">
        <f>+IF(OR($Q375=Parametres!$G$2,$Q375=Parametres!$G$3),I375,C375)</f>
        <v>8002.42</v>
      </c>
      <c r="O375" s="655">
        <f>+IF(OR($Q375=Parametres!$G$2,$Q375=Parametres!$G$3),J375,D375)</f>
        <v>706.52</v>
      </c>
      <c r="P375" s="655">
        <f>+IF(OR($Q375=Parametres!$G$2,$Q375=Parametres!$G$3),K375,E375)</f>
        <v>8708.94</v>
      </c>
      <c r="Q375" s="654" t="str">
        <f t="shared" ref="Q375:S375" si="381">+F375</f>
        <v>7-Dépenses</v>
      </c>
      <c r="R375" s="653" t="str">
        <f t="shared" si="381"/>
        <v>6152</v>
      </c>
      <c r="S375" s="654">
        <f t="shared" si="381"/>
        <v>0</v>
      </c>
      <c r="T375" s="656" t="str">
        <f>+VLOOKUP($L375,Data_Validation!$A:$D,1,0)</f>
        <v>6452</v>
      </c>
      <c r="U375" s="656" t="str">
        <f>+VLOOKUP($L375,Data_Validation!$A:$D,3,0)</f>
        <v>Service</v>
      </c>
      <c r="V375" s="656" t="str">
        <f>+VLOOKUP($L375,Data_Validation!$A:$D,4,0)</f>
        <v>Papeterie</v>
      </c>
      <c r="W375" s="656" t="str">
        <f>+VLOOKUP($L375,Data_Validation!$A:$E,5,0)</f>
        <v>$</v>
      </c>
      <c r="X375" s="656">
        <f>+VLOOKUP($L375,Data_Validation!$A:$F,6,0)</f>
        <v>0</v>
      </c>
    </row>
    <row r="376" spans="1:24" ht="15" customHeight="1">
      <c r="A376" s="1052" t="s">
        <v>1201</v>
      </c>
      <c r="B376" s="1052" t="s">
        <v>2496</v>
      </c>
      <c r="C376" s="1054">
        <v>2872.32</v>
      </c>
      <c r="D376" s="1054">
        <v>183.61</v>
      </c>
      <c r="E376" s="1054">
        <v>3055.93</v>
      </c>
      <c r="F376" s="1052" t="s">
        <v>1154</v>
      </c>
      <c r="G376" s="1052" t="s">
        <v>1202</v>
      </c>
      <c r="H376" s="1029"/>
      <c r="I376" s="1032"/>
      <c r="J376" s="1032"/>
      <c r="K376" s="1032"/>
      <c r="L376" s="653" t="str">
        <f t="shared" si="328"/>
        <v>6453</v>
      </c>
      <c r="M376" s="654" t="str">
        <f t="shared" si="260"/>
        <v>TELEPHONE ET TELEX</v>
      </c>
      <c r="N376" s="655">
        <f>+IF(OR($Q376=Parametres!$G$2,$Q376=Parametres!$G$3),I376,C376)</f>
        <v>2872.32</v>
      </c>
      <c r="O376" s="655">
        <f>+IF(OR($Q376=Parametres!$G$2,$Q376=Parametres!$G$3),J376,D376)</f>
        <v>183.61</v>
      </c>
      <c r="P376" s="655">
        <f>+IF(OR($Q376=Parametres!$G$2,$Q376=Parametres!$G$3),K376,E376)</f>
        <v>3055.93</v>
      </c>
      <c r="Q376" s="654" t="str">
        <f t="shared" ref="Q376:S376" si="382">+F376</f>
        <v>7-Dépenses</v>
      </c>
      <c r="R376" s="653" t="str">
        <f t="shared" si="382"/>
        <v>6153</v>
      </c>
      <c r="S376" s="654">
        <f t="shared" si="382"/>
        <v>0</v>
      </c>
      <c r="T376" s="656" t="str">
        <f>+VLOOKUP($L376,Data_Validation!$A:$D,1,0)</f>
        <v>6453</v>
      </c>
      <c r="U376" s="656" t="str">
        <f>+VLOOKUP($L376,Data_Validation!$A:$D,3,0)</f>
        <v>Service</v>
      </c>
      <c r="V376" s="656" t="str">
        <f>+VLOOKUP($L376,Data_Validation!$A:$D,4,0)</f>
        <v>Téléphone</v>
      </c>
      <c r="W376" s="656" t="str">
        <f>+VLOOKUP($L376,Data_Validation!$A:$E,5,0)</f>
        <v>$</v>
      </c>
      <c r="X376" s="656">
        <f>+VLOOKUP($L376,Data_Validation!$A:$F,6,0)</f>
        <v>0</v>
      </c>
    </row>
    <row r="377" spans="1:24" ht="15" customHeight="1">
      <c r="A377" s="1052" t="s">
        <v>1203</v>
      </c>
      <c r="B377" s="1052" t="s">
        <v>2499</v>
      </c>
      <c r="C377" s="1054">
        <v>2198.48</v>
      </c>
      <c r="D377" s="1054">
        <v>198.38</v>
      </c>
      <c r="E377" s="1054">
        <v>2396.86</v>
      </c>
      <c r="F377" s="1052" t="s">
        <v>1154</v>
      </c>
      <c r="G377" s="1052" t="s">
        <v>1204</v>
      </c>
      <c r="H377" s="1029"/>
      <c r="I377" s="1032"/>
      <c r="J377" s="1032"/>
      <c r="K377" s="1032"/>
      <c r="L377" s="653" t="str">
        <f t="shared" si="328"/>
        <v>6455</v>
      </c>
      <c r="M377" s="654" t="str">
        <f t="shared" si="260"/>
        <v>DEPENSES DIVERS</v>
      </c>
      <c r="N377" s="655">
        <f>+IF(OR($Q377=Parametres!$G$2,$Q377=Parametres!$G$3),I377,C377)</f>
        <v>2198.48</v>
      </c>
      <c r="O377" s="655">
        <f>+IF(OR($Q377=Parametres!$G$2,$Q377=Parametres!$G$3),J377,D377)</f>
        <v>198.38</v>
      </c>
      <c r="P377" s="655">
        <f>+IF(OR($Q377=Parametres!$G$2,$Q377=Parametres!$G$3),K377,E377)</f>
        <v>2396.86</v>
      </c>
      <c r="Q377" s="654" t="str">
        <f t="shared" ref="Q377:S377" si="383">+F377</f>
        <v>7-Dépenses</v>
      </c>
      <c r="R377" s="653" t="str">
        <f t="shared" si="383"/>
        <v>6155</v>
      </c>
      <c r="S377" s="654">
        <f t="shared" si="383"/>
        <v>0</v>
      </c>
      <c r="T377" s="656" t="str">
        <f>+VLOOKUP($L377,Data_Validation!$A:$D,1,0)</f>
        <v>6455</v>
      </c>
      <c r="U377" s="656" t="str">
        <f>+VLOOKUP($L377,Data_Validation!$A:$D,3,0)</f>
        <v>Service</v>
      </c>
      <c r="V377" s="656" t="str">
        <f>+VLOOKUP($L377,Data_Validation!$A:$D,4,0)</f>
        <v>Divers</v>
      </c>
      <c r="W377" s="656" t="str">
        <f>+VLOOKUP($L377,Data_Validation!$A:$E,5,0)</f>
        <v>$</v>
      </c>
      <c r="X377" s="656">
        <f>+VLOOKUP($L377,Data_Validation!$A:$F,6,0)</f>
        <v>0</v>
      </c>
    </row>
    <row r="378" spans="1:24" ht="15" customHeight="1">
      <c r="A378" s="1052" t="s">
        <v>1251</v>
      </c>
      <c r="B378" s="1052" t="s">
        <v>2502</v>
      </c>
      <c r="C378" s="1054">
        <v>12345.83</v>
      </c>
      <c r="D378" s="1054">
        <v>961.16</v>
      </c>
      <c r="E378" s="1054">
        <v>13306.99</v>
      </c>
      <c r="F378" s="1052" t="s">
        <v>1154</v>
      </c>
      <c r="G378" s="1052" t="s">
        <v>1206</v>
      </c>
      <c r="H378" s="1029"/>
      <c r="I378" s="1032"/>
      <c r="J378" s="1032"/>
      <c r="K378" s="1032"/>
      <c r="L378" s="653" t="str">
        <f t="shared" si="328"/>
        <v>6456</v>
      </c>
      <c r="M378" s="654" t="str">
        <f t="shared" si="260"/>
        <v>FRAIS REPRESENTATION - SERVICE</v>
      </c>
      <c r="N378" s="655">
        <f>+IF(OR($Q378=Parametres!$G$2,$Q378=Parametres!$G$3),I378,C378)</f>
        <v>12345.83</v>
      </c>
      <c r="O378" s="655">
        <f>+IF(OR($Q378=Parametres!$G$2,$Q378=Parametres!$G$3),J378,D378)</f>
        <v>961.16</v>
      </c>
      <c r="P378" s="655">
        <f>+IF(OR($Q378=Parametres!$G$2,$Q378=Parametres!$G$3),K378,E378)</f>
        <v>13306.99</v>
      </c>
      <c r="Q378" s="654" t="str">
        <f t="shared" ref="Q378:S378" si="384">+F378</f>
        <v>7-Dépenses</v>
      </c>
      <c r="R378" s="653" t="str">
        <f t="shared" si="384"/>
        <v>6156</v>
      </c>
      <c r="S378" s="654">
        <f t="shared" si="384"/>
        <v>0</v>
      </c>
      <c r="T378" s="656" t="str">
        <f>+VLOOKUP($L378,Data_Validation!$A:$D,1,0)</f>
        <v>6456</v>
      </c>
      <c r="U378" s="656" t="str">
        <f>+VLOOKUP($L378,Data_Validation!$A:$D,3,0)</f>
        <v>Service</v>
      </c>
      <c r="V378" s="656" t="str">
        <f>+VLOOKUP($L378,Data_Validation!$A:$D,4,0)</f>
        <v>Frais de déplacement</v>
      </c>
      <c r="W378" s="656" t="str">
        <f>+VLOOKUP($L378,Data_Validation!$A:$E,5,0)</f>
        <v>$</v>
      </c>
      <c r="X378" s="656">
        <f>+VLOOKUP($L378,Data_Validation!$A:$F,6,0)</f>
        <v>0</v>
      </c>
    </row>
    <row r="379" spans="1:24" ht="15.75" customHeight="1">
      <c r="A379" s="1052" t="s">
        <v>1252</v>
      </c>
      <c r="B379" s="1052" t="s">
        <v>3394</v>
      </c>
      <c r="C379" s="1054">
        <v>20065.53</v>
      </c>
      <c r="D379" s="1054">
        <v>1834.29</v>
      </c>
      <c r="E379" s="1054">
        <v>21899.82</v>
      </c>
      <c r="F379" s="1052" t="s">
        <v>1154</v>
      </c>
      <c r="G379" s="1052" t="s">
        <v>1253</v>
      </c>
      <c r="H379" s="1029"/>
      <c r="I379" s="1032"/>
      <c r="J379" s="1032"/>
      <c r="K379" s="1032"/>
      <c r="L379" s="653" t="str">
        <f t="shared" si="328"/>
        <v>6457</v>
      </c>
      <c r="M379" s="654" t="str">
        <f t="shared" si="260"/>
        <v>FRAIS BANCAIRES - SERVICE</v>
      </c>
      <c r="N379" s="655">
        <f>+IF(OR($Q379=Parametres!$G$2,$Q379=Parametres!$G$3),I379,C379)</f>
        <v>20065.53</v>
      </c>
      <c r="O379" s="655">
        <f>+IF(OR($Q379=Parametres!$G$2,$Q379=Parametres!$G$3),J379,D379)</f>
        <v>1834.29</v>
      </c>
      <c r="P379" s="655">
        <f>+IF(OR($Q379=Parametres!$G$2,$Q379=Parametres!$G$3),K379,E379)</f>
        <v>21899.82</v>
      </c>
      <c r="Q379" s="654" t="str">
        <f t="shared" ref="Q379:S379" si="385">+F379</f>
        <v>7-Dépenses</v>
      </c>
      <c r="R379" s="653" t="str">
        <f t="shared" si="385"/>
        <v>645</v>
      </c>
      <c r="S379" s="654">
        <f t="shared" si="385"/>
        <v>0</v>
      </c>
      <c r="T379" s="656" t="str">
        <f>+VLOOKUP($L379,Data_Validation!$A:$D,1,0)</f>
        <v>6457</v>
      </c>
      <c r="U379" s="656" t="str">
        <f>+VLOOKUP($L379,Data_Validation!$A:$D,3,0)</f>
        <v>Service</v>
      </c>
      <c r="V379" s="656" t="str">
        <f>+VLOOKUP($L379,Data_Validation!$A:$D,4,0)</f>
        <v>Frais bancaires</v>
      </c>
      <c r="W379" s="656" t="str">
        <f>+VLOOKUP($L379,Data_Validation!$A:$E,5,0)</f>
        <v>$</v>
      </c>
      <c r="X379" s="656">
        <f>+VLOOKUP($L379,Data_Validation!$A:$F,6,0)</f>
        <v>0</v>
      </c>
    </row>
    <row r="380" spans="1:24" ht="15" customHeight="1">
      <c r="A380" s="1052" t="s">
        <v>1209</v>
      </c>
      <c r="B380" s="1052" t="s">
        <v>2505</v>
      </c>
      <c r="C380" s="1054">
        <v>24793.53</v>
      </c>
      <c r="D380" s="1054">
        <v>2398.16</v>
      </c>
      <c r="E380" s="1054">
        <v>27191.69</v>
      </c>
      <c r="F380" s="1052" t="s">
        <v>1154</v>
      </c>
      <c r="G380" s="1052" t="s">
        <v>1210</v>
      </c>
      <c r="H380" s="1029"/>
      <c r="I380" s="1032"/>
      <c r="J380" s="1032"/>
      <c r="K380" s="1032"/>
      <c r="L380" s="653" t="str">
        <f t="shared" si="328"/>
        <v>6459</v>
      </c>
      <c r="M380" s="654" t="str">
        <f t="shared" si="260"/>
        <v>SERVICE EXTERIEUR</v>
      </c>
      <c r="N380" s="655">
        <f>+IF(OR($Q380=Parametres!$G$2,$Q380=Parametres!$G$3),I380,C380)</f>
        <v>24793.53</v>
      </c>
      <c r="O380" s="655">
        <f>+IF(OR($Q380=Parametres!$G$2,$Q380=Parametres!$G$3),J380,D380)</f>
        <v>2398.16</v>
      </c>
      <c r="P380" s="655">
        <f>+IF(OR($Q380=Parametres!$G$2,$Q380=Parametres!$G$3),K380,E380)</f>
        <v>27191.69</v>
      </c>
      <c r="Q380" s="654" t="str">
        <f t="shared" ref="Q380:S380" si="386">+F380</f>
        <v>7-Dépenses</v>
      </c>
      <c r="R380" s="653" t="str">
        <f t="shared" si="386"/>
        <v>6159</v>
      </c>
      <c r="S380" s="654">
        <f t="shared" si="386"/>
        <v>0</v>
      </c>
      <c r="T380" s="656" t="str">
        <f>+VLOOKUP($L380,Data_Validation!$A:$D,1,0)</f>
        <v>6459</v>
      </c>
      <c r="U380" s="656" t="str">
        <f>+VLOOKUP($L380,Data_Validation!$A:$D,3,0)</f>
        <v>Service</v>
      </c>
      <c r="V380" s="656" t="str">
        <f>+VLOOKUP($L380,Data_Validation!$A:$D,4,0)</f>
        <v>Services extérieurs</v>
      </c>
      <c r="W380" s="656" t="str">
        <f>+VLOOKUP($L380,Data_Validation!$A:$E,5,0)</f>
        <v>$</v>
      </c>
      <c r="X380" s="656">
        <f>+VLOOKUP($L380,Data_Validation!$A:$F,6,0)</f>
        <v>0</v>
      </c>
    </row>
    <row r="381" spans="1:24" ht="15" customHeight="1">
      <c r="A381" s="1052" t="s">
        <v>1211</v>
      </c>
      <c r="B381" s="1052" t="s">
        <v>2508</v>
      </c>
      <c r="C381" s="1054">
        <v>11390.28</v>
      </c>
      <c r="D381" s="1054">
        <v>1035.48</v>
      </c>
      <c r="E381" s="1054">
        <v>12425.76</v>
      </c>
      <c r="F381" s="1052" t="s">
        <v>1154</v>
      </c>
      <c r="G381" s="1052" t="s">
        <v>1212</v>
      </c>
      <c r="H381" s="1029"/>
      <c r="I381" s="1032"/>
      <c r="J381" s="1032"/>
      <c r="K381" s="1032"/>
      <c r="L381" s="653" t="str">
        <f t="shared" si="328"/>
        <v>6461</v>
      </c>
      <c r="M381" s="654" t="str">
        <f t="shared" si="260"/>
        <v>DEPRECIATION EQUIP. &amp; FIXTURES</v>
      </c>
      <c r="N381" s="655">
        <f>+IF(OR($Q381=Parametres!$G$2,$Q381=Parametres!$G$3),I381,C381)</f>
        <v>11390.28</v>
      </c>
      <c r="O381" s="655">
        <f>+IF(OR($Q381=Parametres!$G$2,$Q381=Parametres!$G$3),J381,D381)</f>
        <v>1035.48</v>
      </c>
      <c r="P381" s="655">
        <f>+IF(OR($Q381=Parametres!$G$2,$Q381=Parametres!$G$3),K381,E381)</f>
        <v>12425.76</v>
      </c>
      <c r="Q381" s="654" t="str">
        <f t="shared" ref="Q381:S381" si="387">+F381</f>
        <v>7-Dépenses</v>
      </c>
      <c r="R381" s="653" t="str">
        <f t="shared" si="387"/>
        <v>6161</v>
      </c>
      <c r="S381" s="654">
        <f t="shared" si="387"/>
        <v>0</v>
      </c>
      <c r="T381" s="656" t="str">
        <f>+VLOOKUP($L381,Data_Validation!$A:$D,1,0)</f>
        <v>6461</v>
      </c>
      <c r="U381" s="656" t="str">
        <f>+VLOOKUP($L381,Data_Validation!$A:$D,3,0)</f>
        <v>Service</v>
      </c>
      <c r="V381" s="656" t="str">
        <f>+VLOOKUP($L381,Data_Validation!$A:$D,4,0)</f>
        <v>Amortissement</v>
      </c>
      <c r="W381" s="656" t="str">
        <f>+VLOOKUP($L381,Data_Validation!$A:$E,5,0)</f>
        <v>$</v>
      </c>
      <c r="X381" s="656">
        <f>+VLOOKUP($L381,Data_Validation!$A:$F,6,0)</f>
        <v>0</v>
      </c>
    </row>
    <row r="382" spans="1:24" ht="15" customHeight="1">
      <c r="A382" s="1052" t="s">
        <v>1254</v>
      </c>
      <c r="B382" s="1052" t="s">
        <v>2514</v>
      </c>
      <c r="C382" s="1054">
        <v>17496.59</v>
      </c>
      <c r="D382" s="1054">
        <v>1186.6300000000001</v>
      </c>
      <c r="E382" s="1054">
        <v>18683.22</v>
      </c>
      <c r="F382" s="1052" t="s">
        <v>1154</v>
      </c>
      <c r="G382" s="1052" t="s">
        <v>1255</v>
      </c>
      <c r="H382" s="1029"/>
      <c r="I382" s="1032"/>
      <c r="J382" s="1032"/>
      <c r="K382" s="1032"/>
      <c r="L382" s="653" t="str">
        <f t="shared" si="328"/>
        <v>6463</v>
      </c>
      <c r="M382" s="654" t="str">
        <f t="shared" si="260"/>
        <v>REPARATION &amp; ENT. - EQUIP.</v>
      </c>
      <c r="N382" s="655">
        <f>+IF(OR($Q382=Parametres!$G$2,$Q382=Parametres!$G$3),I382,C382)</f>
        <v>17496.59</v>
      </c>
      <c r="O382" s="655">
        <f>+IF(OR($Q382=Parametres!$G$2,$Q382=Parametres!$G$3),J382,D382)</f>
        <v>1186.6300000000001</v>
      </c>
      <c r="P382" s="655">
        <f>+IF(OR($Q382=Parametres!$G$2,$Q382=Parametres!$G$3),K382,E382)</f>
        <v>18683.22</v>
      </c>
      <c r="Q382" s="654" t="str">
        <f t="shared" ref="Q382:S382" si="388">+F382</f>
        <v>7-Dépenses</v>
      </c>
      <c r="R382" s="653" t="str">
        <f t="shared" si="388"/>
        <v>6163</v>
      </c>
      <c r="S382" s="654">
        <f t="shared" si="388"/>
        <v>0</v>
      </c>
      <c r="T382" s="656" t="str">
        <f>+VLOOKUP($L382,Data_Validation!$A:$D,1,0)</f>
        <v>6463</v>
      </c>
      <c r="U382" s="656" t="str">
        <f>+VLOOKUP($L382,Data_Validation!$A:$D,3,0)</f>
        <v>Service</v>
      </c>
      <c r="V382" s="656" t="str">
        <f>+VLOOKUP($L382,Data_Validation!$A:$D,4,0)</f>
        <v>Réparation équipement</v>
      </c>
      <c r="W382" s="656" t="str">
        <f>+VLOOKUP($L382,Data_Validation!$A:$E,5,0)</f>
        <v>$</v>
      </c>
      <c r="X382" s="656">
        <f>+VLOOKUP($L382,Data_Validation!$A:$F,6,0)</f>
        <v>0</v>
      </c>
    </row>
    <row r="383" spans="1:24" ht="15.75" customHeight="1">
      <c r="A383" s="1052" t="s">
        <v>1256</v>
      </c>
      <c r="B383" s="1052" t="s">
        <v>2517</v>
      </c>
      <c r="C383" s="1054">
        <v>6679.89</v>
      </c>
      <c r="D383" s="1054">
        <v>223.4</v>
      </c>
      <c r="E383" s="1054">
        <v>6903.29</v>
      </c>
      <c r="F383" s="1052" t="s">
        <v>1154</v>
      </c>
      <c r="G383" s="1052" t="s">
        <v>1214</v>
      </c>
      <c r="H383" s="1029"/>
      <c r="I383" s="1032"/>
      <c r="J383" s="1032"/>
      <c r="K383" s="1032"/>
      <c r="L383" s="653" t="str">
        <f t="shared" si="328"/>
        <v>6481</v>
      </c>
      <c r="M383" s="654" t="str">
        <f t="shared" si="260"/>
        <v>CHAUFFAGE,ELECTRICITE,EAU-SERVICE</v>
      </c>
      <c r="N383" s="655">
        <f>+IF(OR($Q383=Parametres!$G$2,$Q383=Parametres!$G$3),I383,C383)</f>
        <v>6679.89</v>
      </c>
      <c r="O383" s="655">
        <f>+IF(OR($Q383=Parametres!$G$2,$Q383=Parametres!$G$3),J383,D383)</f>
        <v>223.4</v>
      </c>
      <c r="P383" s="655">
        <f>+IF(OR($Q383=Parametres!$G$2,$Q383=Parametres!$G$3),K383,E383)</f>
        <v>6903.29</v>
      </c>
      <c r="Q383" s="654" t="str">
        <f t="shared" ref="Q383:S383" si="389">+F383</f>
        <v>7-Dépenses</v>
      </c>
      <c r="R383" s="653" t="str">
        <f t="shared" si="389"/>
        <v>6181</v>
      </c>
      <c r="S383" s="654">
        <f t="shared" si="389"/>
        <v>0</v>
      </c>
      <c r="T383" s="656" t="str">
        <f>+VLOOKUP($L383,Data_Validation!$A:$D,1,0)</f>
        <v>6481</v>
      </c>
      <c r="U383" s="656" t="str">
        <f>+VLOOKUP($L383,Data_Validation!$A:$D,3,0)</f>
        <v>Service</v>
      </c>
      <c r="V383" s="656" t="str">
        <f>+VLOOKUP($L383,Data_Validation!$A:$D,4,0)</f>
        <v>Chauffage, éclairage</v>
      </c>
      <c r="W383" s="656" t="str">
        <f>+VLOOKUP($L383,Data_Validation!$A:$E,5,0)</f>
        <v>$</v>
      </c>
      <c r="X383" s="656">
        <f>+VLOOKUP($L383,Data_Validation!$A:$F,6,0)</f>
        <v>0</v>
      </c>
    </row>
    <row r="384" spans="1:24" ht="15" customHeight="1">
      <c r="A384" s="1052" t="s">
        <v>1257</v>
      </c>
      <c r="B384" s="1052" t="s">
        <v>2520</v>
      </c>
      <c r="C384" s="1054">
        <v>68640</v>
      </c>
      <c r="D384" s="1054">
        <v>6240</v>
      </c>
      <c r="E384" s="1054">
        <v>74880</v>
      </c>
      <c r="F384" s="1052" t="s">
        <v>1154</v>
      </c>
      <c r="G384" s="1052" t="s">
        <v>1216</v>
      </c>
      <c r="H384" s="1029"/>
      <c r="I384" s="1032"/>
      <c r="J384" s="1032"/>
      <c r="K384" s="1032"/>
      <c r="L384" s="653" t="str">
        <f t="shared" si="328"/>
        <v>6482</v>
      </c>
      <c r="M384" s="654" t="str">
        <f t="shared" si="260"/>
        <v>LOYER - SERVICE</v>
      </c>
      <c r="N384" s="655">
        <f>+IF(OR($Q384=Parametres!$G$2,$Q384=Parametres!$G$3),I384,C384)</f>
        <v>68640</v>
      </c>
      <c r="O384" s="655">
        <f>+IF(OR($Q384=Parametres!$G$2,$Q384=Parametres!$G$3),J384,D384)</f>
        <v>6240</v>
      </c>
      <c r="P384" s="655">
        <f>+IF(OR($Q384=Parametres!$G$2,$Q384=Parametres!$G$3),K384,E384)</f>
        <v>74880</v>
      </c>
      <c r="Q384" s="654" t="str">
        <f t="shared" ref="Q384:S384" si="390">+F384</f>
        <v>7-Dépenses</v>
      </c>
      <c r="R384" s="653" t="str">
        <f t="shared" si="390"/>
        <v>6182</v>
      </c>
      <c r="S384" s="654">
        <f t="shared" si="390"/>
        <v>0</v>
      </c>
      <c r="T384" s="656" t="str">
        <f>+VLOOKUP($L384,Data_Validation!$A:$D,1,0)</f>
        <v>6482</v>
      </c>
      <c r="U384" s="656" t="str">
        <f>+VLOOKUP($L384,Data_Validation!$A:$D,3,0)</f>
        <v>Service</v>
      </c>
      <c r="V384" s="656" t="str">
        <f>+VLOOKUP($L384,Data_Validation!$A:$D,4,0)</f>
        <v>Loyer</v>
      </c>
      <c r="W384" s="656" t="str">
        <f>+VLOOKUP($L384,Data_Validation!$A:$E,5,0)</f>
        <v>$</v>
      </c>
      <c r="X384" s="656">
        <f>+VLOOKUP($L384,Data_Validation!$A:$F,6,0)</f>
        <v>0</v>
      </c>
    </row>
    <row r="385" spans="1:24" ht="15" customHeight="1">
      <c r="A385" s="1052" t="s">
        <v>1258</v>
      </c>
      <c r="B385" s="1052" t="s">
        <v>2523</v>
      </c>
      <c r="C385" s="1054">
        <v>11275.44</v>
      </c>
      <c r="D385" s="1054">
        <v>1025.04</v>
      </c>
      <c r="E385" s="1054">
        <v>12300.48</v>
      </c>
      <c r="F385" s="1052" t="s">
        <v>1154</v>
      </c>
      <c r="G385" s="1052" t="s">
        <v>1218</v>
      </c>
      <c r="H385" s="1029"/>
      <c r="I385" s="1032"/>
      <c r="J385" s="1032"/>
      <c r="K385" s="1032"/>
      <c r="L385" s="653" t="str">
        <f t="shared" si="328"/>
        <v>6486</v>
      </c>
      <c r="M385" s="654" t="str">
        <f t="shared" si="260"/>
        <v>ASSURANCE BATISSE &amp; AMEL.-SERVICE</v>
      </c>
      <c r="N385" s="655">
        <f>+IF(OR($Q385=Parametres!$G$2,$Q385=Parametres!$G$3),I385,C385)</f>
        <v>11275.44</v>
      </c>
      <c r="O385" s="655">
        <f>+IF(OR($Q385=Parametres!$G$2,$Q385=Parametres!$G$3),J385,D385)</f>
        <v>1025.04</v>
      </c>
      <c r="P385" s="655">
        <f>+IF(OR($Q385=Parametres!$G$2,$Q385=Parametres!$G$3),K385,E385)</f>
        <v>12300.48</v>
      </c>
      <c r="Q385" s="654" t="str">
        <f t="shared" ref="Q385:S385" si="391">+F385</f>
        <v>7-Dépenses</v>
      </c>
      <c r="R385" s="653" t="str">
        <f t="shared" si="391"/>
        <v>6186</v>
      </c>
      <c r="S385" s="654">
        <f t="shared" si="391"/>
        <v>0</v>
      </c>
      <c r="T385" s="656" t="str">
        <f>+VLOOKUP($L385,Data_Validation!$A:$D,1,0)</f>
        <v>6486</v>
      </c>
      <c r="U385" s="656" t="str">
        <f>+VLOOKUP($L385,Data_Validation!$A:$D,3,0)</f>
        <v>Service</v>
      </c>
      <c r="V385" s="656" t="str">
        <f>+VLOOKUP($L385,Data_Validation!$A:$D,4,0)</f>
        <v>Assurances</v>
      </c>
      <c r="W385" s="656" t="str">
        <f>+VLOOKUP($L385,Data_Validation!$A:$E,5,0)</f>
        <v>$</v>
      </c>
      <c r="X385" s="656">
        <f>+VLOOKUP($L385,Data_Validation!$A:$F,6,0)</f>
        <v>0</v>
      </c>
    </row>
    <row r="386" spans="1:24" ht="15" customHeight="1">
      <c r="A386" s="1052" t="s">
        <v>1259</v>
      </c>
      <c r="B386" s="1052" t="s">
        <v>2526</v>
      </c>
      <c r="C386" s="1054">
        <v>13015.2</v>
      </c>
      <c r="D386" s="1054">
        <v>397.45</v>
      </c>
      <c r="E386" s="1054">
        <v>13412.65</v>
      </c>
      <c r="F386" s="1052" t="s">
        <v>1154</v>
      </c>
      <c r="G386" s="1052" t="s">
        <v>1220</v>
      </c>
      <c r="H386" s="1029"/>
      <c r="I386" s="1032"/>
      <c r="J386" s="1032"/>
      <c r="K386" s="1032"/>
      <c r="L386" s="653" t="str">
        <f t="shared" si="328"/>
        <v>6487</v>
      </c>
      <c r="M386" s="654" t="str">
        <f t="shared" si="260"/>
        <v>TAXES FONCIERES - SERVICE</v>
      </c>
      <c r="N386" s="655">
        <f>+IF(OR($Q386=Parametres!$G$2,$Q386=Parametres!$G$3),I386,C386)</f>
        <v>13015.2</v>
      </c>
      <c r="O386" s="655">
        <f>+IF(OR($Q386=Parametres!$G$2,$Q386=Parametres!$G$3),J386,D386)</f>
        <v>397.45</v>
      </c>
      <c r="P386" s="655">
        <f>+IF(OR($Q386=Parametres!$G$2,$Q386=Parametres!$G$3),K386,E386)</f>
        <v>13412.65</v>
      </c>
      <c r="Q386" s="654" t="str">
        <f t="shared" ref="Q386:S386" si="392">+F386</f>
        <v>7-Dépenses</v>
      </c>
      <c r="R386" s="653" t="str">
        <f t="shared" si="392"/>
        <v>6187</v>
      </c>
      <c r="S386" s="654">
        <f t="shared" si="392"/>
        <v>0</v>
      </c>
      <c r="T386" s="656" t="str">
        <f>+VLOOKUP($L386,Data_Validation!$A:$D,1,0)</f>
        <v>6487</v>
      </c>
      <c r="U386" s="656" t="str">
        <f>+VLOOKUP($L386,Data_Validation!$A:$D,3,0)</f>
        <v>Service</v>
      </c>
      <c r="V386" s="656" t="str">
        <f>+VLOOKUP($L386,Data_Validation!$A:$D,4,0)</f>
        <v>Taxes foncières</v>
      </c>
      <c r="W386" s="656" t="str">
        <f>+VLOOKUP($L386,Data_Validation!$A:$E,5,0)</f>
        <v>$</v>
      </c>
      <c r="X386" s="656">
        <f>+VLOOKUP($L386,Data_Validation!$A:$F,6,0)</f>
        <v>0</v>
      </c>
    </row>
    <row r="387" spans="1:24" ht="15.75" customHeight="1">
      <c r="A387" s="1052" t="s">
        <v>1260</v>
      </c>
      <c r="B387" s="1052" t="s">
        <v>2529</v>
      </c>
      <c r="C387" s="1054">
        <v>8659.2000000000007</v>
      </c>
      <c r="D387" s="1054">
        <v>787.2</v>
      </c>
      <c r="E387" s="1054">
        <v>9446.4</v>
      </c>
      <c r="F387" s="1052" t="s">
        <v>1154</v>
      </c>
      <c r="G387" s="1052" t="s">
        <v>1222</v>
      </c>
      <c r="H387" s="1029"/>
      <c r="I387" s="1032"/>
      <c r="J387" s="1032"/>
      <c r="K387" s="1032"/>
      <c r="L387" s="653" t="str">
        <f t="shared" ref="L387:L450" si="393">TEXT(B387,0)</f>
        <v>6493</v>
      </c>
      <c r="M387" s="654" t="str">
        <f t="shared" si="260"/>
        <v>AUTRE TAXES-SERVICE</v>
      </c>
      <c r="N387" s="655">
        <f>+IF(OR($Q387=Parametres!$G$2,$Q387=Parametres!$G$3),I387,C387)</f>
        <v>8659.2000000000007</v>
      </c>
      <c r="O387" s="655">
        <f>+IF(OR($Q387=Parametres!$G$2,$Q387=Parametres!$G$3),J387,D387)</f>
        <v>787.2</v>
      </c>
      <c r="P387" s="655">
        <f>+IF(OR($Q387=Parametres!$G$2,$Q387=Parametres!$G$3),K387,E387)</f>
        <v>9446.4</v>
      </c>
      <c r="Q387" s="654" t="str">
        <f t="shared" ref="Q387:S387" si="394">+F387</f>
        <v>7-Dépenses</v>
      </c>
      <c r="R387" s="653" t="str">
        <f t="shared" si="394"/>
        <v>6193</v>
      </c>
      <c r="S387" s="654">
        <f t="shared" si="394"/>
        <v>0</v>
      </c>
      <c r="T387" s="656" t="str">
        <f>+VLOOKUP($L387,Data_Validation!$A:$D,1,0)</f>
        <v>6493</v>
      </c>
      <c r="U387" s="656" t="str">
        <f>+VLOOKUP($L387,Data_Validation!$A:$D,3,0)</f>
        <v>Service</v>
      </c>
      <c r="V387" s="656" t="str">
        <f>+VLOOKUP($L387,Data_Validation!$A:$D,4,0)</f>
        <v>Taxes d`affaires</v>
      </c>
      <c r="W387" s="656" t="str">
        <f>+VLOOKUP($L387,Data_Validation!$A:$E,5,0)</f>
        <v>$</v>
      </c>
      <c r="X387" s="656">
        <f>+VLOOKUP($L387,Data_Validation!$A:$F,6,0)</f>
        <v>0</v>
      </c>
    </row>
    <row r="388" spans="1:24" ht="15" customHeight="1">
      <c r="A388" s="1052" t="s">
        <v>1261</v>
      </c>
      <c r="B388" s="1052" t="s">
        <v>2532</v>
      </c>
      <c r="C388" s="1054">
        <v>16409.599999999999</v>
      </c>
      <c r="D388" s="1054">
        <v>1469.6</v>
      </c>
      <c r="E388" s="1054">
        <v>17879.2</v>
      </c>
      <c r="F388" s="1052" t="s">
        <v>1154</v>
      </c>
      <c r="G388" s="1052" t="s">
        <v>1224</v>
      </c>
      <c r="H388" s="1029"/>
      <c r="I388" s="1032"/>
      <c r="J388" s="1032"/>
      <c r="K388" s="1032"/>
      <c r="L388" s="653" t="str">
        <f t="shared" si="393"/>
        <v>6494</v>
      </c>
      <c r="M388" s="654" t="str">
        <f t="shared" si="260"/>
        <v>FRAIS PROFESSIONNEL-SERVICE</v>
      </c>
      <c r="N388" s="655">
        <f>+IF(OR($Q388=Parametres!$G$2,$Q388=Parametres!$G$3),I388,C388)</f>
        <v>16409.599999999999</v>
      </c>
      <c r="O388" s="655">
        <f>+IF(OR($Q388=Parametres!$G$2,$Q388=Parametres!$G$3),J388,D388)</f>
        <v>1469.6</v>
      </c>
      <c r="P388" s="655">
        <f>+IF(OR($Q388=Parametres!$G$2,$Q388=Parametres!$G$3),K388,E388)</f>
        <v>17879.2</v>
      </c>
      <c r="Q388" s="654" t="str">
        <f t="shared" ref="Q388:S388" si="395">+F388</f>
        <v>7-Dépenses</v>
      </c>
      <c r="R388" s="653" t="str">
        <f t="shared" si="395"/>
        <v>6194</v>
      </c>
      <c r="S388" s="654">
        <f t="shared" si="395"/>
        <v>0</v>
      </c>
      <c r="T388" s="656" t="str">
        <f>+VLOOKUP($L388,Data_Validation!$A:$D,1,0)</f>
        <v>6494</v>
      </c>
      <c r="U388" s="656" t="str">
        <f>+VLOOKUP($L388,Data_Validation!$A:$D,3,0)</f>
        <v>Service</v>
      </c>
      <c r="V388" s="656" t="str">
        <f>+VLOOKUP($L388,Data_Validation!$A:$D,4,0)</f>
        <v>Honoraires</v>
      </c>
      <c r="W388" s="656" t="str">
        <f>+VLOOKUP($L388,Data_Validation!$A:$E,5,0)</f>
        <v>$</v>
      </c>
      <c r="X388" s="656">
        <f>+VLOOKUP($L388,Data_Validation!$A:$F,6,0)</f>
        <v>0</v>
      </c>
    </row>
    <row r="389" spans="1:24" ht="15" customHeight="1">
      <c r="A389" s="1052" t="s">
        <v>1262</v>
      </c>
      <c r="B389" s="1052" t="s">
        <v>3396</v>
      </c>
      <c r="C389" s="1054">
        <v>326.92</v>
      </c>
      <c r="D389" s="1054">
        <v>0</v>
      </c>
      <c r="E389" s="1054">
        <v>326.92</v>
      </c>
      <c r="F389" s="1052" t="s">
        <v>1154</v>
      </c>
      <c r="G389" s="1052" t="s">
        <v>1263</v>
      </c>
      <c r="H389" s="1029"/>
      <c r="I389" s="1032"/>
      <c r="J389" s="1032"/>
      <c r="K389" s="1032"/>
      <c r="L389" s="653" t="str">
        <f t="shared" si="393"/>
        <v>6496</v>
      </c>
      <c r="M389" s="654" t="str">
        <f t="shared" si="260"/>
        <v>MAUVAISES CREANCES - SERVICE</v>
      </c>
      <c r="N389" s="655">
        <f>+IF(OR($Q389=Parametres!$G$2,$Q389=Parametres!$G$3),I389,C389)</f>
        <v>326.92</v>
      </c>
      <c r="O389" s="655">
        <f>+IF(OR($Q389=Parametres!$G$2,$Q389=Parametres!$G$3),J389,D389)</f>
        <v>0</v>
      </c>
      <c r="P389" s="655">
        <f>+IF(OR($Q389=Parametres!$G$2,$Q389=Parametres!$G$3),K389,E389)</f>
        <v>326.92</v>
      </c>
      <c r="Q389" s="654" t="str">
        <f t="shared" ref="Q389:S389" si="396">+F389</f>
        <v>7-Dépenses</v>
      </c>
      <c r="R389" s="653" t="str">
        <f t="shared" si="396"/>
        <v>6196</v>
      </c>
      <c r="S389" s="654">
        <f t="shared" si="396"/>
        <v>0</v>
      </c>
      <c r="T389" s="656" t="str">
        <f>+VLOOKUP($L389,Data_Validation!$A:$D,1,0)</f>
        <v>6496</v>
      </c>
      <c r="U389" s="656" t="str">
        <f>+VLOOKUP($L389,Data_Validation!$A:$D,3,0)</f>
        <v>Service</v>
      </c>
      <c r="V389" s="656" t="str">
        <f>+VLOOKUP($L389,Data_Validation!$A:$D,4,0)</f>
        <v>Divers</v>
      </c>
      <c r="W389" s="656" t="str">
        <f>+VLOOKUP($L389,Data_Validation!$A:$E,5,0)</f>
        <v>$</v>
      </c>
      <c r="X389" s="656">
        <f>+VLOOKUP($L389,Data_Validation!$A:$F,6,0)</f>
        <v>0</v>
      </c>
    </row>
    <row r="390" spans="1:24" ht="15" customHeight="1">
      <c r="A390" s="1052" t="s">
        <v>1158</v>
      </c>
      <c r="B390" s="1052" t="s">
        <v>2535</v>
      </c>
      <c r="C390" s="1054">
        <v>4867.87</v>
      </c>
      <c r="D390" s="1054">
        <v>1987.13</v>
      </c>
      <c r="E390" s="1054">
        <v>6855</v>
      </c>
      <c r="F390" s="1052" t="s">
        <v>1154</v>
      </c>
      <c r="G390" s="1052" t="s">
        <v>1242</v>
      </c>
      <c r="H390" s="1029"/>
      <c r="I390" s="1032"/>
      <c r="J390" s="1032"/>
      <c r="K390" s="1032"/>
      <c r="L390" s="653" t="str">
        <f t="shared" si="393"/>
        <v>6503</v>
      </c>
      <c r="M390" s="654" t="str">
        <f t="shared" si="260"/>
        <v>RELAT. A LA CLIENTELE &amp; AJUST.</v>
      </c>
      <c r="N390" s="655">
        <f>+IF(OR($Q390=Parametres!$G$2,$Q390=Parametres!$G$3),I390,C390)</f>
        <v>4867.87</v>
      </c>
      <c r="O390" s="655">
        <f>+IF(OR($Q390=Parametres!$G$2,$Q390=Parametres!$G$3),J390,D390)</f>
        <v>1987.13</v>
      </c>
      <c r="P390" s="655">
        <f>+IF(OR($Q390=Parametres!$G$2,$Q390=Parametres!$G$3),K390,E390)</f>
        <v>6855</v>
      </c>
      <c r="Q390" s="654" t="str">
        <f t="shared" ref="Q390:S390" si="397">+F390</f>
        <v>7-Dépenses</v>
      </c>
      <c r="R390" s="653" t="str">
        <f t="shared" si="397"/>
        <v>6112</v>
      </c>
      <c r="S390" s="654">
        <f t="shared" si="397"/>
        <v>0</v>
      </c>
      <c r="T390" s="656" t="str">
        <f>+VLOOKUP($L390,Data_Validation!$A:$D,1,0)</f>
        <v>6503</v>
      </c>
      <c r="U390" s="656" t="str">
        <f>+VLOOKUP($L390,Data_Validation!$A:$D,3,0)</f>
        <v>Carrosserie</v>
      </c>
      <c r="V390" s="656" t="str">
        <f>+VLOOKUP($L390,Data_Validation!$A:$D,4,0)</f>
        <v>Service gratuit 2</v>
      </c>
      <c r="W390" s="656" t="str">
        <f>+VLOOKUP($L390,Data_Validation!$A:$E,5,0)</f>
        <v>$</v>
      </c>
      <c r="X390" s="656">
        <f>+VLOOKUP($L390,Data_Validation!$A:$F,6,0)</f>
        <v>0</v>
      </c>
    </row>
    <row r="391" spans="1:24" ht="15.75" customHeight="1">
      <c r="A391" s="1052" t="s">
        <v>1166</v>
      </c>
      <c r="B391" s="1052" t="s">
        <v>2541</v>
      </c>
      <c r="C391" s="1054">
        <v>264.8</v>
      </c>
      <c r="D391" s="1054">
        <v>0.09</v>
      </c>
      <c r="E391" s="1054">
        <v>264.89</v>
      </c>
      <c r="F391" s="1052" t="s">
        <v>1154</v>
      </c>
      <c r="G391" s="1052" t="s">
        <v>1167</v>
      </c>
      <c r="H391" s="1029"/>
      <c r="I391" s="1032"/>
      <c r="J391" s="1032"/>
      <c r="K391" s="1032"/>
      <c r="L391" s="653" t="str">
        <f t="shared" si="393"/>
        <v>6514</v>
      </c>
      <c r="M391" s="654" t="str">
        <f t="shared" si="260"/>
        <v>PUBLICITE</v>
      </c>
      <c r="N391" s="655">
        <f>+IF(OR($Q391=Parametres!$G$2,$Q391=Parametres!$G$3),I391,C391)</f>
        <v>264.8</v>
      </c>
      <c r="O391" s="655">
        <f>+IF(OR($Q391=Parametres!$G$2,$Q391=Parametres!$G$3),J391,D391)</f>
        <v>0.09</v>
      </c>
      <c r="P391" s="655">
        <f>+IF(OR($Q391=Parametres!$G$2,$Q391=Parametres!$G$3),K391,E391)</f>
        <v>264.89</v>
      </c>
      <c r="Q391" s="654" t="str">
        <f t="shared" ref="Q391:S391" si="398">+F391</f>
        <v>7-Dépenses</v>
      </c>
      <c r="R391" s="653" t="str">
        <f t="shared" si="398"/>
        <v>6114</v>
      </c>
      <c r="S391" s="654">
        <f t="shared" si="398"/>
        <v>0</v>
      </c>
      <c r="T391" s="656" t="str">
        <f>+VLOOKUP($L391,Data_Validation!$A:$D,1,0)</f>
        <v>6514</v>
      </c>
      <c r="U391" s="656" t="str">
        <f>+VLOOKUP($L391,Data_Validation!$A:$D,3,0)</f>
        <v>Carrosserie</v>
      </c>
      <c r="V391" s="656" t="str">
        <f>+VLOOKUP($L391,Data_Validation!$A:$D,4,0)</f>
        <v>Publicité 2</v>
      </c>
      <c r="W391" s="656" t="str">
        <f>+VLOOKUP($L391,Data_Validation!$A:$E,5,0)</f>
        <v>$</v>
      </c>
      <c r="X391" s="656">
        <f>+VLOOKUP($L391,Data_Validation!$A:$F,6,0)</f>
        <v>0</v>
      </c>
    </row>
    <row r="392" spans="1:24" ht="15" customHeight="1">
      <c r="A392" s="1052" t="s">
        <v>1169</v>
      </c>
      <c r="B392" s="1052" t="s">
        <v>2547</v>
      </c>
      <c r="C392" s="1054">
        <v>4449.6899999999996</v>
      </c>
      <c r="D392" s="1054">
        <v>464.99</v>
      </c>
      <c r="E392" s="1054">
        <v>4914.68</v>
      </c>
      <c r="F392" s="1052" t="s">
        <v>1154</v>
      </c>
      <c r="G392" s="1052" t="s">
        <v>1170</v>
      </c>
      <c r="H392" s="1029"/>
      <c r="I392" s="1032"/>
      <c r="J392" s="1032"/>
      <c r="K392" s="1032"/>
      <c r="L392" s="653" t="str">
        <f t="shared" si="393"/>
        <v>6521</v>
      </c>
      <c r="M392" s="654" t="str">
        <f t="shared" si="260"/>
        <v>SALAIRES - PROPRIETAIRES</v>
      </c>
      <c r="N392" s="655">
        <f>+IF(OR($Q392=Parametres!$G$2,$Q392=Parametres!$G$3),I392,C392)</f>
        <v>4449.6899999999996</v>
      </c>
      <c r="O392" s="655">
        <f>+IF(OR($Q392=Parametres!$G$2,$Q392=Parametres!$G$3),J392,D392)</f>
        <v>464.99</v>
      </c>
      <c r="P392" s="655">
        <f>+IF(OR($Q392=Parametres!$G$2,$Q392=Parametres!$G$3),K392,E392)</f>
        <v>4914.68</v>
      </c>
      <c r="Q392" s="654" t="str">
        <f t="shared" ref="Q392:S392" si="399">+F392</f>
        <v>7-Dépenses</v>
      </c>
      <c r="R392" s="653" t="str">
        <f t="shared" si="399"/>
        <v>6121</v>
      </c>
      <c r="S392" s="654">
        <f t="shared" si="399"/>
        <v>0</v>
      </c>
      <c r="T392" s="656" t="str">
        <f>+VLOOKUP($L392,Data_Validation!$A:$D,1,0)</f>
        <v>6521</v>
      </c>
      <c r="U392" s="656" t="str">
        <f>+VLOOKUP($L392,Data_Validation!$A:$D,3,0)</f>
        <v>Carrosserie</v>
      </c>
      <c r="V392" s="656" t="str">
        <f>+VLOOKUP($L392,Data_Validation!$A:$D,4,0)</f>
        <v>Salaires propriétaire</v>
      </c>
      <c r="W392" s="656" t="str">
        <f>+VLOOKUP($L392,Data_Validation!$A:$E,5,0)</f>
        <v>$</v>
      </c>
      <c r="X392" s="656">
        <f>+VLOOKUP($L392,Data_Validation!$A:$F,6,0)</f>
        <v>0</v>
      </c>
    </row>
    <row r="393" spans="1:24" ht="15" customHeight="1">
      <c r="A393" s="1052" t="s">
        <v>1171</v>
      </c>
      <c r="B393" s="1052" t="s">
        <v>2550</v>
      </c>
      <c r="C393" s="1054">
        <v>10420.68</v>
      </c>
      <c r="D393" s="1054">
        <v>901.88</v>
      </c>
      <c r="E393" s="1054">
        <v>11322.56</v>
      </c>
      <c r="F393" s="1052" t="s">
        <v>1154</v>
      </c>
      <c r="G393" s="1052" t="s">
        <v>1172</v>
      </c>
      <c r="H393" s="1029"/>
      <c r="I393" s="1032"/>
      <c r="J393" s="1032"/>
      <c r="K393" s="1032"/>
      <c r="L393" s="653" t="str">
        <f t="shared" si="393"/>
        <v>6522</v>
      </c>
      <c r="M393" s="654" t="str">
        <f t="shared" si="260"/>
        <v>SAL SUPERVISION / GERANT</v>
      </c>
      <c r="N393" s="655">
        <f>+IF(OR($Q393=Parametres!$G$2,$Q393=Parametres!$G$3),I393,C393)</f>
        <v>10420.68</v>
      </c>
      <c r="O393" s="655">
        <f>+IF(OR($Q393=Parametres!$G$2,$Q393=Parametres!$G$3),J393,D393)</f>
        <v>901.88</v>
      </c>
      <c r="P393" s="655">
        <f>+IF(OR($Q393=Parametres!$G$2,$Q393=Parametres!$G$3),K393,E393)</f>
        <v>11322.56</v>
      </c>
      <c r="Q393" s="654" t="str">
        <f t="shared" ref="Q393:S393" si="400">+F393</f>
        <v>7-Dépenses</v>
      </c>
      <c r="R393" s="653" t="str">
        <f t="shared" si="400"/>
        <v>6122</v>
      </c>
      <c r="S393" s="654">
        <f t="shared" si="400"/>
        <v>0</v>
      </c>
      <c r="T393" s="656" t="str">
        <f>+VLOOKUP($L393,Data_Validation!$A:$D,1,0)</f>
        <v>6522</v>
      </c>
      <c r="U393" s="656" t="str">
        <f>+VLOOKUP($L393,Data_Validation!$A:$D,3,0)</f>
        <v>Carrosserie</v>
      </c>
      <c r="V393" s="656" t="str">
        <f>+VLOOKUP($L393,Data_Validation!$A:$D,4,0)</f>
        <v>Salaires cadres</v>
      </c>
      <c r="W393" s="656" t="str">
        <f>+VLOOKUP($L393,Data_Validation!$A:$E,5,0)</f>
        <v>$</v>
      </c>
      <c r="X393" s="656">
        <f>+VLOOKUP($L393,Data_Validation!$A:$F,6,0)</f>
        <v>0</v>
      </c>
    </row>
    <row r="394" spans="1:24" ht="15" customHeight="1">
      <c r="A394" s="1052" t="s">
        <v>1244</v>
      </c>
      <c r="B394" s="1052" t="s">
        <v>2553</v>
      </c>
      <c r="C394" s="1054">
        <v>4751.8599999999997</v>
      </c>
      <c r="D394" s="1054">
        <v>1093.06</v>
      </c>
      <c r="E394" s="1054">
        <v>5844.92</v>
      </c>
      <c r="F394" s="1052" t="s">
        <v>1154</v>
      </c>
      <c r="G394" s="1052" t="s">
        <v>1174</v>
      </c>
      <c r="H394" s="1029"/>
      <c r="I394" s="1032"/>
      <c r="J394" s="1032"/>
      <c r="K394" s="1032"/>
      <c r="L394" s="653" t="str">
        <f t="shared" si="393"/>
        <v>6523</v>
      </c>
      <c r="M394" s="654" t="str">
        <f t="shared" si="260"/>
        <v>SAL. &amp; RENUM. CLERICAL</v>
      </c>
      <c r="N394" s="655">
        <f>+IF(OR($Q394=Parametres!$G$2,$Q394=Parametres!$G$3),I394,C394)</f>
        <v>4751.8599999999997</v>
      </c>
      <c r="O394" s="655">
        <f>+IF(OR($Q394=Parametres!$G$2,$Q394=Parametres!$G$3),J394,D394)</f>
        <v>1093.06</v>
      </c>
      <c r="P394" s="655">
        <f>+IF(OR($Q394=Parametres!$G$2,$Q394=Parametres!$G$3),K394,E394)</f>
        <v>5844.92</v>
      </c>
      <c r="Q394" s="654" t="str">
        <f t="shared" ref="Q394:S394" si="401">+F394</f>
        <v>7-Dépenses</v>
      </c>
      <c r="R394" s="653" t="str">
        <f t="shared" si="401"/>
        <v>6123</v>
      </c>
      <c r="S394" s="654">
        <f t="shared" si="401"/>
        <v>0</v>
      </c>
      <c r="T394" s="656" t="str">
        <f>+VLOOKUP($L394,Data_Validation!$A:$D,1,0)</f>
        <v>6523</v>
      </c>
      <c r="U394" s="656" t="str">
        <f>+VLOOKUP($L394,Data_Validation!$A:$D,3,0)</f>
        <v>Carrosserie</v>
      </c>
      <c r="V394" s="656" t="str">
        <f>+VLOOKUP($L394,Data_Validation!$A:$D,4,0)</f>
        <v>Salaires commis</v>
      </c>
      <c r="W394" s="656" t="str">
        <f>+VLOOKUP($L394,Data_Validation!$A:$E,5,0)</f>
        <v>$</v>
      </c>
      <c r="X394" s="656">
        <f>+VLOOKUP($L394,Data_Validation!$A:$F,6,0)</f>
        <v>0</v>
      </c>
    </row>
    <row r="395" spans="1:24" ht="15.75" customHeight="1">
      <c r="A395" s="1052" t="s">
        <v>1175</v>
      </c>
      <c r="B395" s="1052" t="s">
        <v>2556</v>
      </c>
      <c r="C395" s="1054">
        <v>4798.2</v>
      </c>
      <c r="D395" s="1054">
        <v>0.83</v>
      </c>
      <c r="E395" s="1054">
        <v>4799.03</v>
      </c>
      <c r="F395" s="1052" t="s">
        <v>1154</v>
      </c>
      <c r="G395" s="1052" t="s">
        <v>1176</v>
      </c>
      <c r="H395" s="1029"/>
      <c r="I395" s="1032"/>
      <c r="J395" s="1032"/>
      <c r="K395" s="1032"/>
      <c r="L395" s="653" t="str">
        <f t="shared" si="393"/>
        <v>6524</v>
      </c>
      <c r="M395" s="654" t="str">
        <f t="shared" si="260"/>
        <v>SALAIRES &amp; RENUM. - AUTRES</v>
      </c>
      <c r="N395" s="655">
        <f>+IF(OR($Q395=Parametres!$G$2,$Q395=Parametres!$G$3),I395,C395)</f>
        <v>4798.2</v>
      </c>
      <c r="O395" s="655">
        <f>+IF(OR($Q395=Parametres!$G$2,$Q395=Parametres!$G$3),J395,D395)</f>
        <v>0.83</v>
      </c>
      <c r="P395" s="655">
        <f>+IF(OR($Q395=Parametres!$G$2,$Q395=Parametres!$G$3),K395,E395)</f>
        <v>4799.03</v>
      </c>
      <c r="Q395" s="654" t="str">
        <f t="shared" ref="Q395:S395" si="402">+F395</f>
        <v>7-Dépenses</v>
      </c>
      <c r="R395" s="653" t="str">
        <f t="shared" si="402"/>
        <v>6124</v>
      </c>
      <c r="S395" s="654">
        <f t="shared" si="402"/>
        <v>0</v>
      </c>
      <c r="T395" s="656" t="str">
        <f>+VLOOKUP($L395,Data_Validation!$A:$D,1,0)</f>
        <v>6524</v>
      </c>
      <c r="U395" s="656" t="str">
        <f>+VLOOKUP($L395,Data_Validation!$A:$D,3,0)</f>
        <v>Carrosserie</v>
      </c>
      <c r="V395" s="656" t="str">
        <f>+VLOOKUP($L395,Data_Validation!$A:$D,4,0)</f>
        <v>Salaires autres</v>
      </c>
      <c r="W395" s="656" t="str">
        <f>+VLOOKUP($L395,Data_Validation!$A:$E,5,0)</f>
        <v>$</v>
      </c>
      <c r="X395" s="656">
        <f>+VLOOKUP($L395,Data_Validation!$A:$F,6,0)</f>
        <v>0</v>
      </c>
    </row>
    <row r="396" spans="1:24" ht="15" customHeight="1">
      <c r="A396" s="1052" t="s">
        <v>1245</v>
      </c>
      <c r="B396" s="1052" t="s">
        <v>2559</v>
      </c>
      <c r="C396" s="1054">
        <v>43101.17</v>
      </c>
      <c r="D396" s="1054">
        <v>1713.86</v>
      </c>
      <c r="E396" s="1054">
        <v>44815.03</v>
      </c>
      <c r="F396" s="1052" t="s">
        <v>1154</v>
      </c>
      <c r="G396" s="1052" t="s">
        <v>1246</v>
      </c>
      <c r="H396" s="1029"/>
      <c r="I396" s="1032"/>
      <c r="J396" s="1032"/>
      <c r="K396" s="1032"/>
      <c r="L396" s="653" t="str">
        <f t="shared" si="393"/>
        <v>6525</v>
      </c>
      <c r="M396" s="654" t="str">
        <f t="shared" si="260"/>
        <v>SALAIRE SPECIALISTES</v>
      </c>
      <c r="N396" s="655">
        <f>+IF(OR($Q396=Parametres!$G$2,$Q396=Parametres!$G$3),I396,C396)</f>
        <v>43101.17</v>
      </c>
      <c r="O396" s="655">
        <f>+IF(OR($Q396=Parametres!$G$2,$Q396=Parametres!$G$3),J396,D396)</f>
        <v>1713.86</v>
      </c>
      <c r="P396" s="655">
        <f>+IF(OR($Q396=Parametres!$G$2,$Q396=Parametres!$G$3),K396,E396)</f>
        <v>44815.03</v>
      </c>
      <c r="Q396" s="654" t="str">
        <f t="shared" ref="Q396:S396" si="403">+F396</f>
        <v>7-Dépenses</v>
      </c>
      <c r="R396" s="653" t="str">
        <f t="shared" si="403"/>
        <v>6125</v>
      </c>
      <c r="S396" s="654">
        <f t="shared" si="403"/>
        <v>0</v>
      </c>
      <c r="T396" s="656" t="str">
        <f>+VLOOKUP($L396,Data_Validation!$A:$D,1,0)</f>
        <v>6525</v>
      </c>
      <c r="U396" s="656" t="str">
        <f>+VLOOKUP($L396,Data_Validation!$A:$D,3,0)</f>
        <v>Carrosserie</v>
      </c>
      <c r="V396" s="656" t="str">
        <f>+VLOOKUP($L396,Data_Validation!$A:$D,4,0)</f>
        <v>Salaires spécialistes</v>
      </c>
      <c r="W396" s="656" t="str">
        <f>+VLOOKUP($L396,Data_Validation!$A:$E,5,0)</f>
        <v>$</v>
      </c>
      <c r="X396" s="656">
        <f>+VLOOKUP($L396,Data_Validation!$A:$F,6,0)</f>
        <v>0</v>
      </c>
    </row>
    <row r="397" spans="1:24" ht="15" customHeight="1">
      <c r="A397" s="1052" t="s">
        <v>1229</v>
      </c>
      <c r="B397" s="1052" t="s">
        <v>2562</v>
      </c>
      <c r="C397" s="1054">
        <v>7570.51</v>
      </c>
      <c r="D397" s="1054">
        <v>1911.82</v>
      </c>
      <c r="E397" s="1054">
        <v>9482.33</v>
      </c>
      <c r="F397" s="1052" t="s">
        <v>1154</v>
      </c>
      <c r="G397" s="1052" t="s">
        <v>1178</v>
      </c>
      <c r="H397" s="1029"/>
      <c r="I397" s="1032"/>
      <c r="J397" s="1032"/>
      <c r="K397" s="1032"/>
      <c r="L397" s="653" t="str">
        <f t="shared" si="393"/>
        <v>6529</v>
      </c>
      <c r="M397" s="654" t="str">
        <f t="shared" si="260"/>
        <v>ABS.,VACANCES &amp; SAL. JOURS FER</v>
      </c>
      <c r="N397" s="655">
        <f>+IF(OR($Q397=Parametres!$G$2,$Q397=Parametres!$G$3),I397,C397)</f>
        <v>7570.51</v>
      </c>
      <c r="O397" s="655">
        <f>+IF(OR($Q397=Parametres!$G$2,$Q397=Parametres!$G$3),J397,D397)</f>
        <v>1911.82</v>
      </c>
      <c r="P397" s="655">
        <f>+IF(OR($Q397=Parametres!$G$2,$Q397=Parametres!$G$3),K397,E397)</f>
        <v>9482.33</v>
      </c>
      <c r="Q397" s="654" t="str">
        <f t="shared" ref="Q397:S397" si="404">+F397</f>
        <v>7-Dépenses</v>
      </c>
      <c r="R397" s="653" t="str">
        <f t="shared" si="404"/>
        <v>6129</v>
      </c>
      <c r="S397" s="654">
        <f t="shared" si="404"/>
        <v>0</v>
      </c>
      <c r="T397" s="656" t="str">
        <f>+VLOOKUP($L397,Data_Validation!$A:$D,1,0)</f>
        <v>6529</v>
      </c>
      <c r="U397" s="656" t="str">
        <f>+VLOOKUP($L397,Data_Validation!$A:$D,3,0)</f>
        <v>Carrosserie</v>
      </c>
      <c r="V397" s="656" t="str">
        <f>+VLOOKUP($L397,Data_Validation!$A:$D,4,0)</f>
        <v>Salaires en absences</v>
      </c>
      <c r="W397" s="656" t="str">
        <f>+VLOOKUP($L397,Data_Validation!$A:$E,5,0)</f>
        <v>$</v>
      </c>
      <c r="X397" s="656">
        <f>+VLOOKUP($L397,Data_Validation!$A:$F,6,0)</f>
        <v>0</v>
      </c>
    </row>
    <row r="398" spans="1:24" ht="15" customHeight="1">
      <c r="A398" s="1052" t="s">
        <v>1179</v>
      </c>
      <c r="B398" s="1052" t="s">
        <v>2565</v>
      </c>
      <c r="C398" s="1054">
        <v>3076.99</v>
      </c>
      <c r="D398" s="1054">
        <v>792.61</v>
      </c>
      <c r="E398" s="1054">
        <v>3869.6</v>
      </c>
      <c r="F398" s="1052" t="s">
        <v>1154</v>
      </c>
      <c r="G398" s="1052" t="s">
        <v>1180</v>
      </c>
      <c r="H398" s="1029"/>
      <c r="I398" s="1032"/>
      <c r="J398" s="1032"/>
      <c r="K398" s="1032"/>
      <c r="L398" s="653" t="str">
        <f t="shared" si="393"/>
        <v>6531</v>
      </c>
      <c r="M398" s="654" t="str">
        <f t="shared" si="260"/>
        <v>CSST</v>
      </c>
      <c r="N398" s="655">
        <f>+IF(OR($Q398=Parametres!$G$2,$Q398=Parametres!$G$3),I398,C398)</f>
        <v>3076.99</v>
      </c>
      <c r="O398" s="655">
        <f>+IF(OR($Q398=Parametres!$G$2,$Q398=Parametres!$G$3),J398,D398)</f>
        <v>792.61</v>
      </c>
      <c r="P398" s="655">
        <f>+IF(OR($Q398=Parametres!$G$2,$Q398=Parametres!$G$3),K398,E398)</f>
        <v>3869.6</v>
      </c>
      <c r="Q398" s="654" t="str">
        <f t="shared" ref="Q398:S398" si="405">+F398</f>
        <v>7-Dépenses</v>
      </c>
      <c r="R398" s="653" t="str">
        <f t="shared" si="405"/>
        <v>6131</v>
      </c>
      <c r="S398" s="654">
        <f t="shared" si="405"/>
        <v>0</v>
      </c>
      <c r="T398" s="656" t="str">
        <f>+VLOOKUP($L398,Data_Validation!$A:$D,1,0)</f>
        <v>6531</v>
      </c>
      <c r="U398" s="656" t="str">
        <f>+VLOOKUP($L398,Data_Validation!$A:$D,3,0)</f>
        <v>Carrosserie</v>
      </c>
      <c r="V398" s="656" t="str">
        <f>+VLOOKUP($L398,Data_Validation!$A:$D,4,0)</f>
        <v>Csst</v>
      </c>
      <c r="W398" s="656" t="str">
        <f>+VLOOKUP($L398,Data_Validation!$A:$E,5,0)</f>
        <v>$</v>
      </c>
      <c r="X398" s="656">
        <f>+VLOOKUP($L398,Data_Validation!$A:$F,6,0)</f>
        <v>0</v>
      </c>
    </row>
    <row r="399" spans="1:24" ht="15.75" customHeight="1">
      <c r="A399" s="1052" t="s">
        <v>1181</v>
      </c>
      <c r="B399" s="1052" t="s">
        <v>2568</v>
      </c>
      <c r="C399" s="1054">
        <v>17061.650000000001</v>
      </c>
      <c r="D399" s="1054">
        <v>3312.66</v>
      </c>
      <c r="E399" s="1054">
        <v>20374.310000000001</v>
      </c>
      <c r="F399" s="1052" t="s">
        <v>1154</v>
      </c>
      <c r="G399" s="1052" t="s">
        <v>1182</v>
      </c>
      <c r="H399" s="1029"/>
      <c r="I399" s="1032"/>
      <c r="J399" s="1032"/>
      <c r="K399" s="1032"/>
      <c r="L399" s="653" t="str">
        <f t="shared" si="393"/>
        <v>6532</v>
      </c>
      <c r="M399" s="654" t="str">
        <f t="shared" si="260"/>
        <v>RRQ RAMQ AC</v>
      </c>
      <c r="N399" s="655">
        <f>+IF(OR($Q399=Parametres!$G$2,$Q399=Parametres!$G$3),I399,C399)</f>
        <v>17061.650000000001</v>
      </c>
      <c r="O399" s="655">
        <f>+IF(OR($Q399=Parametres!$G$2,$Q399=Parametres!$G$3),J399,D399)</f>
        <v>3312.66</v>
      </c>
      <c r="P399" s="655">
        <f>+IF(OR($Q399=Parametres!$G$2,$Q399=Parametres!$G$3),K399,E399)</f>
        <v>20374.310000000001</v>
      </c>
      <c r="Q399" s="654" t="str">
        <f t="shared" ref="Q399:S399" si="406">+F399</f>
        <v>7-Dépenses</v>
      </c>
      <c r="R399" s="653" t="str">
        <f t="shared" si="406"/>
        <v>6132</v>
      </c>
      <c r="S399" s="654">
        <f t="shared" si="406"/>
        <v>0</v>
      </c>
      <c r="T399" s="656" t="str">
        <f>+VLOOKUP($L399,Data_Validation!$A:$D,1,0)</f>
        <v>6532</v>
      </c>
      <c r="U399" s="656" t="str">
        <f>+VLOOKUP($L399,Data_Validation!$A:$D,3,0)</f>
        <v>Carrosserie</v>
      </c>
      <c r="V399" s="656" t="str">
        <f>+VLOOKUP($L399,Data_Validation!$A:$D,4,0)</f>
        <v>Déduction à la source</v>
      </c>
      <c r="W399" s="656" t="str">
        <f>+VLOOKUP($L399,Data_Validation!$A:$E,5,0)</f>
        <v>$</v>
      </c>
      <c r="X399" s="656">
        <f>+VLOOKUP($L399,Data_Validation!$A:$F,6,0)</f>
        <v>0</v>
      </c>
    </row>
    <row r="400" spans="1:24" ht="15" customHeight="1">
      <c r="A400" s="1052" t="s">
        <v>1264</v>
      </c>
      <c r="B400" s="1052" t="s">
        <v>3397</v>
      </c>
      <c r="C400" s="1054">
        <v>0</v>
      </c>
      <c r="D400" s="1054">
        <v>69.39</v>
      </c>
      <c r="E400" s="1054">
        <v>69.39</v>
      </c>
      <c r="F400" s="1052" t="s">
        <v>1154</v>
      </c>
      <c r="G400" s="1052" t="s">
        <v>1184</v>
      </c>
      <c r="H400" s="1029"/>
      <c r="I400" s="1032"/>
      <c r="J400" s="1032"/>
      <c r="K400" s="1032"/>
      <c r="L400" s="653" t="str">
        <f t="shared" si="393"/>
        <v>6533</v>
      </c>
      <c r="M400" s="654" t="str">
        <f t="shared" si="260"/>
        <v>FOND PENSION - CARROSSERIE</v>
      </c>
      <c r="N400" s="655">
        <f>+IF(OR($Q400=Parametres!$G$2,$Q400=Parametres!$G$3),I400,C400)</f>
        <v>0</v>
      </c>
      <c r="O400" s="655">
        <f>+IF(OR($Q400=Parametres!$G$2,$Q400=Parametres!$G$3),J400,D400)</f>
        <v>69.39</v>
      </c>
      <c r="P400" s="655">
        <f>+IF(OR($Q400=Parametres!$G$2,$Q400=Parametres!$G$3),K400,E400)</f>
        <v>69.39</v>
      </c>
      <c r="Q400" s="654" t="str">
        <f t="shared" ref="Q400:S400" si="407">+F400</f>
        <v>7-Dépenses</v>
      </c>
      <c r="R400" s="653" t="str">
        <f t="shared" si="407"/>
        <v>6133</v>
      </c>
      <c r="S400" s="654">
        <f t="shared" si="407"/>
        <v>0</v>
      </c>
      <c r="T400" s="656" t="str">
        <f>+VLOOKUP($L400,Data_Validation!$A:$D,1,0)</f>
        <v>6533</v>
      </c>
      <c r="U400" s="656" t="str">
        <f>+VLOOKUP($L400,Data_Validation!$A:$D,3,0)</f>
        <v>Carrosserie</v>
      </c>
      <c r="V400" s="656" t="str">
        <f>+VLOOKUP($L400,Data_Validation!$A:$D,4,0)</f>
        <v>Bénéfices marginaux</v>
      </c>
      <c r="W400" s="656" t="str">
        <f>+VLOOKUP($L400,Data_Validation!$A:$E,5,0)</f>
        <v>$</v>
      </c>
      <c r="X400" s="656">
        <f>+VLOOKUP($L400,Data_Validation!$A:$F,6,0)</f>
        <v>0</v>
      </c>
    </row>
    <row r="401" spans="1:24" ht="15" customHeight="1">
      <c r="A401" s="1052" t="s">
        <v>1231</v>
      </c>
      <c r="B401" s="1052" t="s">
        <v>2571</v>
      </c>
      <c r="C401" s="1054">
        <v>13891.64</v>
      </c>
      <c r="D401" s="1054">
        <v>967.02</v>
      </c>
      <c r="E401" s="1054">
        <v>14858.66</v>
      </c>
      <c r="F401" s="1052" t="s">
        <v>1154</v>
      </c>
      <c r="G401" s="1052" t="s">
        <v>1186</v>
      </c>
      <c r="H401" s="1029"/>
      <c r="I401" s="1032"/>
      <c r="J401" s="1032"/>
      <c r="K401" s="1032"/>
      <c r="L401" s="653" t="str">
        <f t="shared" si="393"/>
        <v>6539</v>
      </c>
      <c r="M401" s="654" t="str">
        <f t="shared" si="260"/>
        <v>ASSURANCE GROUPE</v>
      </c>
      <c r="N401" s="655">
        <f>+IF(OR($Q401=Parametres!$G$2,$Q401=Parametres!$G$3),I401,C401)</f>
        <v>13891.64</v>
      </c>
      <c r="O401" s="655">
        <f>+IF(OR($Q401=Parametres!$G$2,$Q401=Parametres!$G$3),J401,D401)</f>
        <v>967.02</v>
      </c>
      <c r="P401" s="655">
        <f>+IF(OR($Q401=Parametres!$G$2,$Q401=Parametres!$G$3),K401,E401)</f>
        <v>14858.66</v>
      </c>
      <c r="Q401" s="654" t="str">
        <f t="shared" ref="Q401:S401" si="408">+F401</f>
        <v>7-Dépenses</v>
      </c>
      <c r="R401" s="653" t="str">
        <f t="shared" si="408"/>
        <v>6139</v>
      </c>
      <c r="S401" s="654">
        <f t="shared" si="408"/>
        <v>0</v>
      </c>
      <c r="T401" s="656" t="str">
        <f>+VLOOKUP($L401,Data_Validation!$A:$D,1,0)</f>
        <v>6539</v>
      </c>
      <c r="U401" s="656" t="str">
        <f>+VLOOKUP($L401,Data_Validation!$A:$D,3,0)</f>
        <v>Carrosserie</v>
      </c>
      <c r="V401" s="656" t="str">
        <f>+VLOOKUP($L401,Data_Validation!$A:$D,4,0)</f>
        <v>Bénéfices marginaux</v>
      </c>
      <c r="W401" s="656" t="str">
        <f>+VLOOKUP($L401,Data_Validation!$A:$E,5,0)</f>
        <v>$</v>
      </c>
      <c r="X401" s="656">
        <f>+VLOOKUP($L401,Data_Validation!$A:$F,6,0)</f>
        <v>0</v>
      </c>
    </row>
    <row r="402" spans="1:24" ht="15" customHeight="1">
      <c r="A402" s="1052" t="s">
        <v>1187</v>
      </c>
      <c r="B402" s="1052" t="s">
        <v>2577</v>
      </c>
      <c r="C402" s="1054">
        <v>71.010000000000005</v>
      </c>
      <c r="D402" s="1054">
        <v>0</v>
      </c>
      <c r="E402" s="1054">
        <v>71.010000000000005</v>
      </c>
      <c r="F402" s="1052" t="s">
        <v>1154</v>
      </c>
      <c r="G402" s="1052" t="s">
        <v>1188</v>
      </c>
      <c r="H402" s="1029"/>
      <c r="I402" s="1032"/>
      <c r="J402" s="1032"/>
      <c r="K402" s="1032"/>
      <c r="L402" s="653" t="str">
        <f t="shared" si="393"/>
        <v>6542</v>
      </c>
      <c r="M402" s="654" t="str">
        <f t="shared" si="260"/>
        <v>FOURNITURES &amp; PETITS OUTILS</v>
      </c>
      <c r="N402" s="655">
        <f>+IF(OR($Q402=Parametres!$G$2,$Q402=Parametres!$G$3),I402,C402)</f>
        <v>71.010000000000005</v>
      </c>
      <c r="O402" s="655">
        <f>+IF(OR($Q402=Parametres!$G$2,$Q402=Parametres!$G$3),J402,D402)</f>
        <v>0</v>
      </c>
      <c r="P402" s="655">
        <f>+IF(OR($Q402=Parametres!$G$2,$Q402=Parametres!$G$3),K402,E402)</f>
        <v>71.010000000000005</v>
      </c>
      <c r="Q402" s="654" t="str">
        <f t="shared" ref="Q402:S402" si="409">+F402</f>
        <v>7-Dépenses</v>
      </c>
      <c r="R402" s="653" t="str">
        <f t="shared" si="409"/>
        <v>6142</v>
      </c>
      <c r="S402" s="654">
        <f t="shared" si="409"/>
        <v>0</v>
      </c>
      <c r="T402" s="656" t="str">
        <f>+VLOOKUP($L402,Data_Validation!$A:$D,1,0)</f>
        <v>6542</v>
      </c>
      <c r="U402" s="656" t="str">
        <f>+VLOOKUP($L402,Data_Validation!$A:$D,3,0)</f>
        <v>Carrosserie</v>
      </c>
      <c r="V402" s="656" t="str">
        <f>+VLOOKUP($L402,Data_Validation!$A:$D,4,0)</f>
        <v>Fournitures autres</v>
      </c>
      <c r="W402" s="656" t="str">
        <f>+VLOOKUP($L402,Data_Validation!$A:$E,5,0)</f>
        <v>$</v>
      </c>
      <c r="X402" s="656">
        <f>+VLOOKUP($L402,Data_Validation!$A:$F,6,0)</f>
        <v>0</v>
      </c>
    </row>
    <row r="403" spans="1:24" ht="15.75" customHeight="1">
      <c r="A403" s="1052" t="s">
        <v>1191</v>
      </c>
      <c r="B403" s="1052" t="s">
        <v>2583</v>
      </c>
      <c r="C403" s="1054">
        <v>645.66999999999996</v>
      </c>
      <c r="D403" s="1054">
        <v>151.47</v>
      </c>
      <c r="E403" s="1054">
        <v>797.14</v>
      </c>
      <c r="F403" s="1052" t="s">
        <v>1154</v>
      </c>
      <c r="G403" s="1052" t="s">
        <v>1192</v>
      </c>
      <c r="H403" s="1029"/>
      <c r="I403" s="1032"/>
      <c r="J403" s="1032"/>
      <c r="K403" s="1032"/>
      <c r="L403" s="653" t="str">
        <f t="shared" si="393"/>
        <v>6544</v>
      </c>
      <c r="M403" s="654" t="str">
        <f t="shared" si="260"/>
        <v>FORMATION</v>
      </c>
      <c r="N403" s="655">
        <f>+IF(OR($Q403=Parametres!$G$2,$Q403=Parametres!$G$3),I403,C403)</f>
        <v>645.66999999999996</v>
      </c>
      <c r="O403" s="655">
        <f>+IF(OR($Q403=Parametres!$G$2,$Q403=Parametres!$G$3),J403,D403)</f>
        <v>151.47</v>
      </c>
      <c r="P403" s="655">
        <f>+IF(OR($Q403=Parametres!$G$2,$Q403=Parametres!$G$3),K403,E403)</f>
        <v>797.14</v>
      </c>
      <c r="Q403" s="654" t="str">
        <f t="shared" ref="Q403:S403" si="410">+F403</f>
        <v>7-Dépenses</v>
      </c>
      <c r="R403" s="653" t="str">
        <f t="shared" si="410"/>
        <v>6144</v>
      </c>
      <c r="S403" s="654">
        <f t="shared" si="410"/>
        <v>0</v>
      </c>
      <c r="T403" s="656" t="str">
        <f>+VLOOKUP($L403,Data_Validation!$A:$D,1,0)</f>
        <v>6544</v>
      </c>
      <c r="U403" s="656" t="str">
        <f>+VLOOKUP($L403,Data_Validation!$A:$D,3,0)</f>
        <v>Carrosserie</v>
      </c>
      <c r="V403" s="656" t="str">
        <f>+VLOOKUP($L403,Data_Validation!$A:$D,4,0)</f>
        <v>Formation</v>
      </c>
      <c r="W403" s="656" t="str">
        <f>+VLOOKUP($L403,Data_Validation!$A:$E,5,0)</f>
        <v>$</v>
      </c>
      <c r="X403" s="656">
        <f>+VLOOKUP($L403,Data_Validation!$A:$F,6,0)</f>
        <v>0</v>
      </c>
    </row>
    <row r="404" spans="1:24" ht="15" customHeight="1">
      <c r="A404" s="1052" t="s">
        <v>1193</v>
      </c>
      <c r="B404" s="1052" t="s">
        <v>2586</v>
      </c>
      <c r="C404" s="1054">
        <v>5989.78</v>
      </c>
      <c r="D404" s="1054">
        <v>1413.08</v>
      </c>
      <c r="E404" s="1054">
        <v>7402.86</v>
      </c>
      <c r="F404" s="1052" t="s">
        <v>1154</v>
      </c>
      <c r="G404" s="1052" t="s">
        <v>1194</v>
      </c>
      <c r="H404" s="1029"/>
      <c r="I404" s="1032"/>
      <c r="J404" s="1032"/>
      <c r="K404" s="1032"/>
      <c r="L404" s="653" t="str">
        <f t="shared" si="393"/>
        <v>6545</v>
      </c>
      <c r="M404" s="654" t="str">
        <f t="shared" si="260"/>
        <v>VEHICULE DE COMPAGNIE - DEPENS</v>
      </c>
      <c r="N404" s="655">
        <f>+IF(OR($Q404=Parametres!$G$2,$Q404=Parametres!$G$3),I404,C404)</f>
        <v>5989.78</v>
      </c>
      <c r="O404" s="655">
        <f>+IF(OR($Q404=Parametres!$G$2,$Q404=Parametres!$G$3),J404,D404)</f>
        <v>1413.08</v>
      </c>
      <c r="P404" s="655">
        <f>+IF(OR($Q404=Parametres!$G$2,$Q404=Parametres!$G$3),K404,E404)</f>
        <v>7402.86</v>
      </c>
      <c r="Q404" s="654" t="str">
        <f t="shared" ref="Q404:S404" si="411">+F404</f>
        <v>7-Dépenses</v>
      </c>
      <c r="R404" s="653" t="str">
        <f t="shared" si="411"/>
        <v>6145</v>
      </c>
      <c r="S404" s="654">
        <f t="shared" si="411"/>
        <v>0</v>
      </c>
      <c r="T404" s="656" t="str">
        <f>+VLOOKUP($L404,Data_Validation!$A:$D,1,0)</f>
        <v>6545</v>
      </c>
      <c r="U404" s="656" t="str">
        <f>+VLOOKUP($L404,Data_Validation!$A:$D,3,0)</f>
        <v>Carrosserie</v>
      </c>
      <c r="V404" s="656" t="str">
        <f>+VLOOKUP($L404,Data_Validation!$A:$D,4,0)</f>
        <v>Frais véhicules de cie</v>
      </c>
      <c r="W404" s="656" t="str">
        <f>+VLOOKUP($L404,Data_Validation!$A:$E,5,0)</f>
        <v>$</v>
      </c>
      <c r="X404" s="656">
        <f>+VLOOKUP($L404,Data_Validation!$A:$F,6,0)</f>
        <v>0</v>
      </c>
    </row>
    <row r="405" spans="1:24" ht="15" customHeight="1">
      <c r="A405" s="1052" t="s">
        <v>1195</v>
      </c>
      <c r="B405" s="1052" t="s">
        <v>2589</v>
      </c>
      <c r="C405" s="1054">
        <v>343.91</v>
      </c>
      <c r="D405" s="1054">
        <v>34.619999999999997</v>
      </c>
      <c r="E405" s="1054">
        <v>378.53</v>
      </c>
      <c r="F405" s="1052" t="s">
        <v>1154</v>
      </c>
      <c r="G405" s="1052" t="s">
        <v>1196</v>
      </c>
      <c r="H405" s="1029"/>
      <c r="I405" s="1032"/>
      <c r="J405" s="1032"/>
      <c r="K405" s="1032"/>
      <c r="L405" s="653" t="str">
        <f t="shared" si="393"/>
        <v>6547</v>
      </c>
      <c r="M405" s="654" t="str">
        <f t="shared" si="260"/>
        <v>FRET/EXPRESS/TRANS. PAR CAMION</v>
      </c>
      <c r="N405" s="655">
        <f>+IF(OR($Q405=Parametres!$G$2,$Q405=Parametres!$G$3),I405,C405)</f>
        <v>343.91</v>
      </c>
      <c r="O405" s="655">
        <f>+IF(OR($Q405=Parametres!$G$2,$Q405=Parametres!$G$3),J405,D405)</f>
        <v>34.619999999999997</v>
      </c>
      <c r="P405" s="655">
        <f>+IF(OR($Q405=Parametres!$G$2,$Q405=Parametres!$G$3),K405,E405)</f>
        <v>378.53</v>
      </c>
      <c r="Q405" s="654" t="str">
        <f t="shared" ref="Q405:S405" si="412">+F405</f>
        <v>7-Dépenses</v>
      </c>
      <c r="R405" s="653" t="str">
        <f t="shared" si="412"/>
        <v>6147</v>
      </c>
      <c r="S405" s="654">
        <f t="shared" si="412"/>
        <v>0</v>
      </c>
      <c r="T405" s="656" t="str">
        <f>+VLOOKUP($L405,Data_Validation!$A:$D,1,0)</f>
        <v>6547</v>
      </c>
      <c r="U405" s="656" t="str">
        <f>+VLOOKUP($L405,Data_Validation!$A:$D,3,0)</f>
        <v>Carrosserie</v>
      </c>
      <c r="V405" s="656" t="str">
        <f>+VLOOKUP($L405,Data_Validation!$A:$D,4,0)</f>
        <v>Frais postaux</v>
      </c>
      <c r="W405" s="656" t="str">
        <f>+VLOOKUP($L405,Data_Validation!$A:$E,5,0)</f>
        <v>$</v>
      </c>
      <c r="X405" s="656">
        <f>+VLOOKUP($L405,Data_Validation!$A:$F,6,0)</f>
        <v>0</v>
      </c>
    </row>
    <row r="406" spans="1:24" ht="15" customHeight="1">
      <c r="A406" s="1052" t="s">
        <v>1197</v>
      </c>
      <c r="B406" s="1052" t="s">
        <v>2594</v>
      </c>
      <c r="C406" s="1054">
        <v>15576.16</v>
      </c>
      <c r="D406" s="1054">
        <v>1539.65</v>
      </c>
      <c r="E406" s="1054">
        <v>17115.810000000001</v>
      </c>
      <c r="F406" s="1052" t="s">
        <v>1154</v>
      </c>
      <c r="G406" s="1052" t="s">
        <v>1198</v>
      </c>
      <c r="H406" s="1029"/>
      <c r="I406" s="1032"/>
      <c r="J406" s="1032"/>
      <c r="K406" s="1032"/>
      <c r="L406" s="653" t="str">
        <f t="shared" si="393"/>
        <v>6551</v>
      </c>
      <c r="M406" s="654" t="str">
        <f t="shared" si="260"/>
        <v>DEP. DU TRAITEMENT DES DONNEES</v>
      </c>
      <c r="N406" s="655">
        <f>+IF(OR($Q406=Parametres!$G$2,$Q406=Parametres!$G$3),I406,C406)</f>
        <v>15576.16</v>
      </c>
      <c r="O406" s="655">
        <f>+IF(OR($Q406=Parametres!$G$2,$Q406=Parametres!$G$3),J406,D406)</f>
        <v>1539.65</v>
      </c>
      <c r="P406" s="655">
        <f>+IF(OR($Q406=Parametres!$G$2,$Q406=Parametres!$G$3),K406,E406)</f>
        <v>17115.810000000001</v>
      </c>
      <c r="Q406" s="654" t="str">
        <f t="shared" ref="Q406:S406" si="413">+F406</f>
        <v>7-Dépenses</v>
      </c>
      <c r="R406" s="653" t="str">
        <f t="shared" si="413"/>
        <v>6151</v>
      </c>
      <c r="S406" s="654">
        <f t="shared" si="413"/>
        <v>0</v>
      </c>
      <c r="T406" s="656" t="str">
        <f>+VLOOKUP($L406,Data_Validation!$A:$D,1,0)</f>
        <v>6551</v>
      </c>
      <c r="U406" s="656" t="str">
        <f>+VLOOKUP($L406,Data_Validation!$A:$D,3,0)</f>
        <v>Carrosserie</v>
      </c>
      <c r="V406" s="656" t="str">
        <f>+VLOOKUP($L406,Data_Validation!$A:$D,4,0)</f>
        <v>Informatique</v>
      </c>
      <c r="W406" s="656" t="str">
        <f>+VLOOKUP($L406,Data_Validation!$A:$E,5,0)</f>
        <v>$</v>
      </c>
      <c r="X406" s="656">
        <f>+VLOOKUP($L406,Data_Validation!$A:$F,6,0)</f>
        <v>0</v>
      </c>
    </row>
    <row r="407" spans="1:24" ht="15.75" customHeight="1">
      <c r="A407" s="1052" t="s">
        <v>1199</v>
      </c>
      <c r="B407" s="1052" t="s">
        <v>2597</v>
      </c>
      <c r="C407" s="1054">
        <v>1673.49</v>
      </c>
      <c r="D407" s="1054">
        <v>206.08</v>
      </c>
      <c r="E407" s="1054">
        <v>1879.57</v>
      </c>
      <c r="F407" s="1052" t="s">
        <v>1154</v>
      </c>
      <c r="G407" s="1052" t="s">
        <v>1200</v>
      </c>
      <c r="H407" s="1029"/>
      <c r="I407" s="1032"/>
      <c r="J407" s="1032"/>
      <c r="K407" s="1032"/>
      <c r="L407" s="653" t="str">
        <f t="shared" si="393"/>
        <v>6552</v>
      </c>
      <c r="M407" s="654" t="str">
        <f t="shared" si="260"/>
        <v>PAPETERIE</v>
      </c>
      <c r="N407" s="655">
        <f>+IF(OR($Q407=Parametres!$G$2,$Q407=Parametres!$G$3),I407,C407)</f>
        <v>1673.49</v>
      </c>
      <c r="O407" s="655">
        <f>+IF(OR($Q407=Parametres!$G$2,$Q407=Parametres!$G$3),J407,D407)</f>
        <v>206.08</v>
      </c>
      <c r="P407" s="655">
        <f>+IF(OR($Q407=Parametres!$G$2,$Q407=Parametres!$G$3),K407,E407)</f>
        <v>1879.57</v>
      </c>
      <c r="Q407" s="654" t="str">
        <f t="shared" ref="Q407:S407" si="414">+F407</f>
        <v>7-Dépenses</v>
      </c>
      <c r="R407" s="653" t="str">
        <f t="shared" si="414"/>
        <v>6152</v>
      </c>
      <c r="S407" s="654">
        <f t="shared" si="414"/>
        <v>0</v>
      </c>
      <c r="T407" s="656" t="str">
        <f>+VLOOKUP($L407,Data_Validation!$A:$D,1,0)</f>
        <v>6552</v>
      </c>
      <c r="U407" s="656" t="str">
        <f>+VLOOKUP($L407,Data_Validation!$A:$D,3,0)</f>
        <v>Carrosserie</v>
      </c>
      <c r="V407" s="656" t="str">
        <f>+VLOOKUP($L407,Data_Validation!$A:$D,4,0)</f>
        <v>Papeterie</v>
      </c>
      <c r="W407" s="656" t="str">
        <f>+VLOOKUP($L407,Data_Validation!$A:$E,5,0)</f>
        <v>$</v>
      </c>
      <c r="X407" s="656">
        <f>+VLOOKUP($L407,Data_Validation!$A:$F,6,0)</f>
        <v>0</v>
      </c>
    </row>
    <row r="408" spans="1:24" ht="15" customHeight="1">
      <c r="A408" s="1052" t="s">
        <v>1201</v>
      </c>
      <c r="B408" s="1052" t="s">
        <v>2600</v>
      </c>
      <c r="C408" s="1054">
        <v>532.5</v>
      </c>
      <c r="D408" s="1054">
        <v>22.77</v>
      </c>
      <c r="E408" s="1054">
        <v>555.27</v>
      </c>
      <c r="F408" s="1052" t="s">
        <v>1154</v>
      </c>
      <c r="G408" s="1052" t="s">
        <v>1202</v>
      </c>
      <c r="H408" s="1029"/>
      <c r="I408" s="1032"/>
      <c r="J408" s="1032"/>
      <c r="K408" s="1032"/>
      <c r="L408" s="653" t="str">
        <f t="shared" si="393"/>
        <v>6553</v>
      </c>
      <c r="M408" s="654" t="str">
        <f t="shared" si="260"/>
        <v>TELEPHONE ET TELEX</v>
      </c>
      <c r="N408" s="655">
        <f>+IF(OR($Q408=Parametres!$G$2,$Q408=Parametres!$G$3),I408,C408)</f>
        <v>532.5</v>
      </c>
      <c r="O408" s="655">
        <f>+IF(OR($Q408=Parametres!$G$2,$Q408=Parametres!$G$3),J408,D408)</f>
        <v>22.77</v>
      </c>
      <c r="P408" s="655">
        <f>+IF(OR($Q408=Parametres!$G$2,$Q408=Parametres!$G$3),K408,E408)</f>
        <v>555.27</v>
      </c>
      <c r="Q408" s="654" t="str">
        <f t="shared" ref="Q408:S408" si="415">+F408</f>
        <v>7-Dépenses</v>
      </c>
      <c r="R408" s="653" t="str">
        <f t="shared" si="415"/>
        <v>6153</v>
      </c>
      <c r="S408" s="654">
        <f t="shared" si="415"/>
        <v>0</v>
      </c>
      <c r="T408" s="656" t="str">
        <f>+VLOOKUP($L408,Data_Validation!$A:$D,1,0)</f>
        <v>6553</v>
      </c>
      <c r="U408" s="656" t="str">
        <f>+VLOOKUP($L408,Data_Validation!$A:$D,3,0)</f>
        <v>Carrosserie</v>
      </c>
      <c r="V408" s="656" t="str">
        <f>+VLOOKUP($L408,Data_Validation!$A:$D,4,0)</f>
        <v>Téléphone</v>
      </c>
      <c r="W408" s="656" t="str">
        <f>+VLOOKUP($L408,Data_Validation!$A:$E,5,0)</f>
        <v>$</v>
      </c>
      <c r="X408" s="656">
        <f>+VLOOKUP($L408,Data_Validation!$A:$F,6,0)</f>
        <v>0</v>
      </c>
    </row>
    <row r="409" spans="1:24" ht="15" customHeight="1">
      <c r="A409" s="1052" t="s">
        <v>1203</v>
      </c>
      <c r="B409" s="1052" t="s">
        <v>2603</v>
      </c>
      <c r="C409" s="1054">
        <v>641.25</v>
      </c>
      <c r="D409" s="1054">
        <v>-0.82</v>
      </c>
      <c r="E409" s="1054">
        <v>640.42999999999995</v>
      </c>
      <c r="F409" s="1052" t="s">
        <v>1154</v>
      </c>
      <c r="G409" s="1052" t="s">
        <v>1204</v>
      </c>
      <c r="H409" s="1029"/>
      <c r="I409" s="1032"/>
      <c r="J409" s="1032"/>
      <c r="K409" s="1032"/>
      <c r="L409" s="653" t="str">
        <f t="shared" si="393"/>
        <v>6555</v>
      </c>
      <c r="M409" s="654" t="str">
        <f t="shared" si="260"/>
        <v>DEPENSES DIVERS</v>
      </c>
      <c r="N409" s="655">
        <f>+IF(OR($Q409=Parametres!$G$2,$Q409=Parametres!$G$3),I409,C409)</f>
        <v>641.25</v>
      </c>
      <c r="O409" s="655">
        <f>+IF(OR($Q409=Parametres!$G$2,$Q409=Parametres!$G$3),J409,D409)</f>
        <v>-0.82</v>
      </c>
      <c r="P409" s="655">
        <f>+IF(OR($Q409=Parametres!$G$2,$Q409=Parametres!$G$3),K409,E409)</f>
        <v>640.42999999999995</v>
      </c>
      <c r="Q409" s="654" t="str">
        <f t="shared" ref="Q409:S409" si="416">+F409</f>
        <v>7-Dépenses</v>
      </c>
      <c r="R409" s="653" t="str">
        <f t="shared" si="416"/>
        <v>6155</v>
      </c>
      <c r="S409" s="654">
        <f t="shared" si="416"/>
        <v>0</v>
      </c>
      <c r="T409" s="656" t="str">
        <f>+VLOOKUP($L409,Data_Validation!$A:$D,1,0)</f>
        <v>6555</v>
      </c>
      <c r="U409" s="656" t="str">
        <f>+VLOOKUP($L409,Data_Validation!$A:$D,3,0)</f>
        <v>Carrosserie</v>
      </c>
      <c r="V409" s="656" t="str">
        <f>+VLOOKUP($L409,Data_Validation!$A:$D,4,0)</f>
        <v>Divers</v>
      </c>
      <c r="W409" s="656" t="str">
        <f>+VLOOKUP($L409,Data_Validation!$A:$E,5,0)</f>
        <v>$</v>
      </c>
      <c r="X409" s="656">
        <f>+VLOOKUP($L409,Data_Validation!$A:$F,6,0)</f>
        <v>0</v>
      </c>
    </row>
    <row r="410" spans="1:24" ht="15" customHeight="1">
      <c r="A410" s="1052" t="s">
        <v>1265</v>
      </c>
      <c r="B410" s="1052" t="s">
        <v>2606</v>
      </c>
      <c r="C410" s="1054">
        <v>2093.86</v>
      </c>
      <c r="D410" s="1054">
        <v>163.26</v>
      </c>
      <c r="E410" s="1054">
        <v>2257.12</v>
      </c>
      <c r="F410" s="1052" t="s">
        <v>1154</v>
      </c>
      <c r="G410" s="1052" t="s">
        <v>1206</v>
      </c>
      <c r="H410" s="1029"/>
      <c r="I410" s="1032"/>
      <c r="J410" s="1032"/>
      <c r="K410" s="1032"/>
      <c r="L410" s="653" t="str">
        <f t="shared" si="393"/>
        <v>6556</v>
      </c>
      <c r="M410" s="654" t="str">
        <f t="shared" si="260"/>
        <v>FRAIS REPRESENTATION</v>
      </c>
      <c r="N410" s="655">
        <f>+IF(OR($Q410=Parametres!$G$2,$Q410=Parametres!$G$3),I410,C410)</f>
        <v>2093.86</v>
      </c>
      <c r="O410" s="655">
        <f>+IF(OR($Q410=Parametres!$G$2,$Q410=Parametres!$G$3),J410,D410)</f>
        <v>163.26</v>
      </c>
      <c r="P410" s="655">
        <f>+IF(OR($Q410=Parametres!$G$2,$Q410=Parametres!$G$3),K410,E410)</f>
        <v>2257.12</v>
      </c>
      <c r="Q410" s="654" t="str">
        <f t="shared" ref="Q410:S410" si="417">+F410</f>
        <v>7-Dépenses</v>
      </c>
      <c r="R410" s="653" t="str">
        <f t="shared" si="417"/>
        <v>6156</v>
      </c>
      <c r="S410" s="654">
        <f t="shared" si="417"/>
        <v>0</v>
      </c>
      <c r="T410" s="656" t="str">
        <f>+VLOOKUP($L410,Data_Validation!$A:$D,1,0)</f>
        <v>6556</v>
      </c>
      <c r="U410" s="656" t="str">
        <f>+VLOOKUP($L410,Data_Validation!$A:$D,3,0)</f>
        <v>Carrosserie</v>
      </c>
      <c r="V410" s="656" t="str">
        <f>+VLOOKUP($L410,Data_Validation!$A:$D,4,0)</f>
        <v>Frais de déplacement</v>
      </c>
      <c r="W410" s="656" t="str">
        <f>+VLOOKUP($L410,Data_Validation!$A:$E,5,0)</f>
        <v>$</v>
      </c>
      <c r="X410" s="656">
        <f>+VLOOKUP($L410,Data_Validation!$A:$F,6,0)</f>
        <v>0</v>
      </c>
    </row>
    <row r="411" spans="1:24" ht="15.75" customHeight="1">
      <c r="A411" s="1052" t="s">
        <v>1266</v>
      </c>
      <c r="B411" s="1052" t="s">
        <v>3398</v>
      </c>
      <c r="C411" s="1054">
        <v>2205.9699999999998</v>
      </c>
      <c r="D411" s="1054">
        <v>203.8</v>
      </c>
      <c r="E411" s="1054">
        <v>2409.77</v>
      </c>
      <c r="F411" s="1052" t="s">
        <v>1154</v>
      </c>
      <c r="G411" s="1052" t="s">
        <v>1267</v>
      </c>
      <c r="H411" s="1029"/>
      <c r="I411" s="1032"/>
      <c r="J411" s="1032"/>
      <c r="K411" s="1032"/>
      <c r="L411" s="653" t="str">
        <f t="shared" si="393"/>
        <v>6557</v>
      </c>
      <c r="M411" s="654" t="str">
        <f t="shared" si="260"/>
        <v>FRAIS BANCAIRES - CARROSSERIE</v>
      </c>
      <c r="N411" s="655">
        <f>+IF(OR($Q411=Parametres!$G$2,$Q411=Parametres!$G$3),I411,C411)</f>
        <v>2205.9699999999998</v>
      </c>
      <c r="O411" s="655">
        <f>+IF(OR($Q411=Parametres!$G$2,$Q411=Parametres!$G$3),J411,D411)</f>
        <v>203.8</v>
      </c>
      <c r="P411" s="655">
        <f>+IF(OR($Q411=Parametres!$G$2,$Q411=Parametres!$G$3),K411,E411)</f>
        <v>2409.77</v>
      </c>
      <c r="Q411" s="654" t="str">
        <f t="shared" ref="Q411:S411" si="418">+F411</f>
        <v>7-Dépenses</v>
      </c>
      <c r="R411" s="653" t="str">
        <f t="shared" si="418"/>
        <v>655</v>
      </c>
      <c r="S411" s="654">
        <f t="shared" si="418"/>
        <v>0</v>
      </c>
      <c r="T411" s="656" t="str">
        <f>+VLOOKUP($L411,Data_Validation!$A:$D,1,0)</f>
        <v>6557</v>
      </c>
      <c r="U411" s="656" t="str">
        <f>+VLOOKUP($L411,Data_Validation!$A:$D,3,0)</f>
        <v>Carrosserie</v>
      </c>
      <c r="V411" s="656" t="str">
        <f>+VLOOKUP($L411,Data_Validation!$A:$D,4,0)</f>
        <v>Frais bancaires</v>
      </c>
      <c r="W411" s="656" t="str">
        <f>+VLOOKUP($L411,Data_Validation!$A:$E,5,0)</f>
        <v>$</v>
      </c>
      <c r="X411" s="656">
        <f>+VLOOKUP($L411,Data_Validation!$A:$F,6,0)</f>
        <v>0</v>
      </c>
    </row>
    <row r="412" spans="1:24" ht="15" customHeight="1">
      <c r="A412" s="1052" t="s">
        <v>1209</v>
      </c>
      <c r="B412" s="1052" t="s">
        <v>2609</v>
      </c>
      <c r="C412" s="1054">
        <v>6593.62</v>
      </c>
      <c r="D412" s="1054">
        <v>538.54999999999995</v>
      </c>
      <c r="E412" s="1054">
        <v>7132.17</v>
      </c>
      <c r="F412" s="1052" t="s">
        <v>1154</v>
      </c>
      <c r="G412" s="1052" t="s">
        <v>1210</v>
      </c>
      <c r="H412" s="1029"/>
      <c r="I412" s="1032"/>
      <c r="J412" s="1032"/>
      <c r="K412" s="1032"/>
      <c r="L412" s="653" t="str">
        <f t="shared" si="393"/>
        <v>6559</v>
      </c>
      <c r="M412" s="654" t="str">
        <f t="shared" si="260"/>
        <v>SERVICE EXTERIEUR</v>
      </c>
      <c r="N412" s="655">
        <f>+IF(OR($Q412=Parametres!$G$2,$Q412=Parametres!$G$3),I412,C412)</f>
        <v>6593.62</v>
      </c>
      <c r="O412" s="655">
        <f>+IF(OR($Q412=Parametres!$G$2,$Q412=Parametres!$G$3),J412,D412)</f>
        <v>538.54999999999995</v>
      </c>
      <c r="P412" s="655">
        <f>+IF(OR($Q412=Parametres!$G$2,$Q412=Parametres!$G$3),K412,E412)</f>
        <v>7132.17</v>
      </c>
      <c r="Q412" s="654" t="str">
        <f t="shared" ref="Q412:S412" si="419">+F412</f>
        <v>7-Dépenses</v>
      </c>
      <c r="R412" s="653" t="str">
        <f t="shared" si="419"/>
        <v>6159</v>
      </c>
      <c r="S412" s="654">
        <f t="shared" si="419"/>
        <v>0</v>
      </c>
      <c r="T412" s="656" t="str">
        <f>+VLOOKUP($L412,Data_Validation!$A:$D,1,0)</f>
        <v>6559</v>
      </c>
      <c r="U412" s="656" t="str">
        <f>+VLOOKUP($L412,Data_Validation!$A:$D,3,0)</f>
        <v>Carrosserie</v>
      </c>
      <c r="V412" s="656" t="str">
        <f>+VLOOKUP($L412,Data_Validation!$A:$D,4,0)</f>
        <v>Services extérieurs</v>
      </c>
      <c r="W412" s="656" t="str">
        <f>+VLOOKUP($L412,Data_Validation!$A:$E,5,0)</f>
        <v>$</v>
      </c>
      <c r="X412" s="656">
        <f>+VLOOKUP($L412,Data_Validation!$A:$F,6,0)</f>
        <v>0</v>
      </c>
    </row>
    <row r="413" spans="1:24" ht="15" customHeight="1">
      <c r="A413" s="1052" t="s">
        <v>1211</v>
      </c>
      <c r="B413" s="1052" t="s">
        <v>2611</v>
      </c>
      <c r="C413" s="1054">
        <v>3322.22</v>
      </c>
      <c r="D413" s="1054">
        <v>302.02</v>
      </c>
      <c r="E413" s="1054">
        <v>3624.24</v>
      </c>
      <c r="F413" s="1052" t="s">
        <v>1154</v>
      </c>
      <c r="G413" s="1052" t="s">
        <v>1212</v>
      </c>
      <c r="H413" s="1029"/>
      <c r="I413" s="1032"/>
      <c r="J413" s="1032"/>
      <c r="K413" s="1032"/>
      <c r="L413" s="653" t="str">
        <f t="shared" si="393"/>
        <v>6561</v>
      </c>
      <c r="M413" s="654" t="str">
        <f t="shared" si="260"/>
        <v>DEPRECIATION EQUIP. &amp; FIXTURES</v>
      </c>
      <c r="N413" s="655">
        <f>+IF(OR($Q413=Parametres!$G$2,$Q413=Parametres!$G$3),I413,C413)</f>
        <v>3322.22</v>
      </c>
      <c r="O413" s="655">
        <f>+IF(OR($Q413=Parametres!$G$2,$Q413=Parametres!$G$3),J413,D413)</f>
        <v>302.02</v>
      </c>
      <c r="P413" s="655">
        <f>+IF(OR($Q413=Parametres!$G$2,$Q413=Parametres!$G$3),K413,E413)</f>
        <v>3624.24</v>
      </c>
      <c r="Q413" s="654" t="str">
        <f t="shared" ref="Q413:S413" si="420">+F413</f>
        <v>7-Dépenses</v>
      </c>
      <c r="R413" s="653" t="str">
        <f t="shared" si="420"/>
        <v>6161</v>
      </c>
      <c r="S413" s="654">
        <f t="shared" si="420"/>
        <v>0</v>
      </c>
      <c r="T413" s="656" t="str">
        <f>+VLOOKUP($L413,Data_Validation!$A:$D,1,0)</f>
        <v>6561</v>
      </c>
      <c r="U413" s="656" t="str">
        <f>+VLOOKUP($L413,Data_Validation!$A:$D,3,0)</f>
        <v>Carrosserie</v>
      </c>
      <c r="V413" s="656" t="str">
        <f>+VLOOKUP($L413,Data_Validation!$A:$D,4,0)</f>
        <v>Amortissement</v>
      </c>
      <c r="W413" s="656" t="str">
        <f>+VLOOKUP($L413,Data_Validation!$A:$E,5,0)</f>
        <v>$</v>
      </c>
      <c r="X413" s="656">
        <f>+VLOOKUP($L413,Data_Validation!$A:$F,6,0)</f>
        <v>0</v>
      </c>
    </row>
    <row r="414" spans="1:24" ht="15" customHeight="1">
      <c r="A414" s="1052" t="s">
        <v>1268</v>
      </c>
      <c r="B414" s="1052" t="s">
        <v>2620</v>
      </c>
      <c r="C414" s="1054">
        <v>1948.32</v>
      </c>
      <c r="D414" s="1054">
        <v>65.17</v>
      </c>
      <c r="E414" s="1054">
        <v>2013.49</v>
      </c>
      <c r="F414" s="1052" t="s">
        <v>1154</v>
      </c>
      <c r="G414" s="1052" t="s">
        <v>1214</v>
      </c>
      <c r="H414" s="1029"/>
      <c r="I414" s="1032"/>
      <c r="J414" s="1032"/>
      <c r="K414" s="1032"/>
      <c r="L414" s="653" t="str">
        <f t="shared" si="393"/>
        <v>6581</v>
      </c>
      <c r="M414" s="654" t="str">
        <f t="shared" si="260"/>
        <v>CHAUFFAGE,ELECTRICITE,EAU-CARROS.</v>
      </c>
      <c r="N414" s="655">
        <f>+IF(OR($Q414=Parametres!$G$2,$Q414=Parametres!$G$3),I414,C414)</f>
        <v>1948.32</v>
      </c>
      <c r="O414" s="655">
        <f>+IF(OR($Q414=Parametres!$G$2,$Q414=Parametres!$G$3),J414,D414)</f>
        <v>65.17</v>
      </c>
      <c r="P414" s="655">
        <f>+IF(OR($Q414=Parametres!$G$2,$Q414=Parametres!$G$3),K414,E414)</f>
        <v>2013.49</v>
      </c>
      <c r="Q414" s="654" t="str">
        <f t="shared" ref="Q414:S414" si="421">+F414</f>
        <v>7-Dépenses</v>
      </c>
      <c r="R414" s="653" t="str">
        <f t="shared" si="421"/>
        <v>6181</v>
      </c>
      <c r="S414" s="654">
        <f t="shared" si="421"/>
        <v>0</v>
      </c>
      <c r="T414" s="656" t="str">
        <f>+VLOOKUP($L414,Data_Validation!$A:$D,1,0)</f>
        <v>6581</v>
      </c>
      <c r="U414" s="656" t="str">
        <f>+VLOOKUP($L414,Data_Validation!$A:$D,3,0)</f>
        <v>Carrosserie</v>
      </c>
      <c r="V414" s="656" t="str">
        <f>+VLOOKUP($L414,Data_Validation!$A:$D,4,0)</f>
        <v>Chauffage, éclairage</v>
      </c>
      <c r="W414" s="656" t="str">
        <f>+VLOOKUP($L414,Data_Validation!$A:$E,5,0)</f>
        <v>$</v>
      </c>
      <c r="X414" s="656">
        <f>+VLOOKUP($L414,Data_Validation!$A:$F,6,0)</f>
        <v>0</v>
      </c>
    </row>
    <row r="415" spans="1:24" ht="15.75" customHeight="1">
      <c r="A415" s="1052" t="s">
        <v>1269</v>
      </c>
      <c r="B415" s="1052" t="s">
        <v>2623</v>
      </c>
      <c r="C415" s="1054">
        <v>20020</v>
      </c>
      <c r="D415" s="1054">
        <v>1820</v>
      </c>
      <c r="E415" s="1054">
        <v>21840</v>
      </c>
      <c r="F415" s="1052" t="s">
        <v>1154</v>
      </c>
      <c r="G415" s="1052" t="s">
        <v>1216</v>
      </c>
      <c r="H415" s="1029"/>
      <c r="I415" s="1032"/>
      <c r="J415" s="1032"/>
      <c r="K415" s="1032"/>
      <c r="L415" s="653" t="str">
        <f t="shared" si="393"/>
        <v>6582</v>
      </c>
      <c r="M415" s="654" t="str">
        <f t="shared" si="260"/>
        <v>LOYER - CARROSSERIE</v>
      </c>
      <c r="N415" s="655">
        <f>+IF(OR($Q415=Parametres!$G$2,$Q415=Parametres!$G$3),I415,C415)</f>
        <v>20020</v>
      </c>
      <c r="O415" s="655">
        <f>+IF(OR($Q415=Parametres!$G$2,$Q415=Parametres!$G$3),J415,D415)</f>
        <v>1820</v>
      </c>
      <c r="P415" s="655">
        <f>+IF(OR($Q415=Parametres!$G$2,$Q415=Parametres!$G$3),K415,E415)</f>
        <v>21840</v>
      </c>
      <c r="Q415" s="654" t="str">
        <f t="shared" ref="Q415:S415" si="422">+F415</f>
        <v>7-Dépenses</v>
      </c>
      <c r="R415" s="653" t="str">
        <f t="shared" si="422"/>
        <v>6182</v>
      </c>
      <c r="S415" s="654">
        <f t="shared" si="422"/>
        <v>0</v>
      </c>
      <c r="T415" s="656" t="str">
        <f>+VLOOKUP($L415,Data_Validation!$A:$D,1,0)</f>
        <v>6582</v>
      </c>
      <c r="U415" s="656" t="str">
        <f>+VLOOKUP($L415,Data_Validation!$A:$D,3,0)</f>
        <v>Carrosserie</v>
      </c>
      <c r="V415" s="656" t="str">
        <f>+VLOOKUP($L415,Data_Validation!$A:$D,4,0)</f>
        <v>Loyer</v>
      </c>
      <c r="W415" s="656" t="str">
        <f>+VLOOKUP($L415,Data_Validation!$A:$E,5,0)</f>
        <v>$</v>
      </c>
      <c r="X415" s="656">
        <f>+VLOOKUP($L415,Data_Validation!$A:$F,6,0)</f>
        <v>0</v>
      </c>
    </row>
    <row r="416" spans="1:24" ht="15" customHeight="1">
      <c r="A416" s="1052" t="s">
        <v>1270</v>
      </c>
      <c r="B416" s="1052" t="s">
        <v>2625</v>
      </c>
      <c r="C416" s="1054">
        <v>3288.67</v>
      </c>
      <c r="D416" s="1054">
        <v>298.97000000000003</v>
      </c>
      <c r="E416" s="1054">
        <v>3587.64</v>
      </c>
      <c r="F416" s="1052" t="s">
        <v>1154</v>
      </c>
      <c r="G416" s="1052" t="s">
        <v>1218</v>
      </c>
      <c r="H416" s="1029"/>
      <c r="I416" s="1032"/>
      <c r="J416" s="1032"/>
      <c r="K416" s="1032"/>
      <c r="L416" s="653" t="str">
        <f t="shared" si="393"/>
        <v>6586</v>
      </c>
      <c r="M416" s="654" t="str">
        <f t="shared" si="260"/>
        <v>ASSURANCE BATISSE &amp; AMEL.-CARROS.</v>
      </c>
      <c r="N416" s="655">
        <f>+IF(OR($Q416=Parametres!$G$2,$Q416=Parametres!$G$3),I416,C416)</f>
        <v>3288.67</v>
      </c>
      <c r="O416" s="655">
        <f>+IF(OR($Q416=Parametres!$G$2,$Q416=Parametres!$G$3),J416,D416)</f>
        <v>298.97000000000003</v>
      </c>
      <c r="P416" s="655">
        <f>+IF(OR($Q416=Parametres!$G$2,$Q416=Parametres!$G$3),K416,E416)</f>
        <v>3587.64</v>
      </c>
      <c r="Q416" s="654" t="str">
        <f t="shared" ref="Q416:S416" si="423">+F416</f>
        <v>7-Dépenses</v>
      </c>
      <c r="R416" s="653" t="str">
        <f t="shared" si="423"/>
        <v>6186</v>
      </c>
      <c r="S416" s="654">
        <f t="shared" si="423"/>
        <v>0</v>
      </c>
      <c r="T416" s="656" t="str">
        <f>+VLOOKUP($L416,Data_Validation!$A:$D,1,0)</f>
        <v>6586</v>
      </c>
      <c r="U416" s="656" t="str">
        <f>+VLOOKUP($L416,Data_Validation!$A:$D,3,0)</f>
        <v>Carrosserie</v>
      </c>
      <c r="V416" s="656" t="str">
        <f>+VLOOKUP($L416,Data_Validation!$A:$D,4,0)</f>
        <v>Assurances</v>
      </c>
      <c r="W416" s="656" t="str">
        <f>+VLOOKUP($L416,Data_Validation!$A:$E,5,0)</f>
        <v>$</v>
      </c>
      <c r="X416" s="656">
        <f>+VLOOKUP($L416,Data_Validation!$A:$F,6,0)</f>
        <v>0</v>
      </c>
    </row>
    <row r="417" spans="1:24" ht="15" customHeight="1">
      <c r="A417" s="1052" t="s">
        <v>1271</v>
      </c>
      <c r="B417" s="1052" t="s">
        <v>2627</v>
      </c>
      <c r="C417" s="1054">
        <v>3796.1</v>
      </c>
      <c r="D417" s="1054">
        <v>115.92</v>
      </c>
      <c r="E417" s="1054">
        <v>3912.02</v>
      </c>
      <c r="F417" s="1052" t="s">
        <v>1154</v>
      </c>
      <c r="G417" s="1052" t="s">
        <v>1220</v>
      </c>
      <c r="H417" s="1027"/>
      <c r="I417" s="1027"/>
      <c r="J417" s="1027"/>
      <c r="K417" s="1027"/>
      <c r="L417" s="653" t="str">
        <f t="shared" si="393"/>
        <v>6587</v>
      </c>
      <c r="M417" s="654" t="str">
        <f t="shared" si="260"/>
        <v>TAXES FONCIERES - CAROSSERIE</v>
      </c>
      <c r="N417" s="655">
        <f>+IF(OR($Q417=Parametres!$G$2,$Q417=Parametres!$G$3),I417,C417)</f>
        <v>3796.1</v>
      </c>
      <c r="O417" s="655">
        <f>+IF(OR($Q417=Parametres!$G$2,$Q417=Parametres!$G$3),J417,D417)</f>
        <v>115.92</v>
      </c>
      <c r="P417" s="655">
        <f>+IF(OR($Q417=Parametres!$G$2,$Q417=Parametres!$G$3),K417,E417)</f>
        <v>3912.02</v>
      </c>
      <c r="Q417" s="654" t="str">
        <f t="shared" ref="Q417:S417" si="424">+F417</f>
        <v>7-Dépenses</v>
      </c>
      <c r="R417" s="653" t="str">
        <f t="shared" si="424"/>
        <v>6187</v>
      </c>
      <c r="S417" s="654">
        <f t="shared" si="424"/>
        <v>0</v>
      </c>
      <c r="T417" s="656" t="str">
        <f>+VLOOKUP($L417,Data_Validation!$A:$D,1,0)</f>
        <v>6587</v>
      </c>
      <c r="U417" s="656" t="str">
        <f>+VLOOKUP($L417,Data_Validation!$A:$D,3,0)</f>
        <v>Carrosserie</v>
      </c>
      <c r="V417" s="656" t="str">
        <f>+VLOOKUP($L417,Data_Validation!$A:$D,4,0)</f>
        <v>Taxes foncières</v>
      </c>
      <c r="W417" s="656" t="str">
        <f>+VLOOKUP($L417,Data_Validation!$A:$E,5,0)</f>
        <v>$</v>
      </c>
      <c r="X417" s="656">
        <f>+VLOOKUP($L417,Data_Validation!$A:$F,6,0)</f>
        <v>0</v>
      </c>
    </row>
    <row r="418" spans="1:24" ht="15" customHeight="1">
      <c r="A418" s="1052" t="s">
        <v>1272</v>
      </c>
      <c r="B418" s="1052" t="s">
        <v>2630</v>
      </c>
      <c r="C418" s="1054">
        <v>2525.6</v>
      </c>
      <c r="D418" s="1054">
        <v>229.6</v>
      </c>
      <c r="E418" s="1054">
        <v>2755.2</v>
      </c>
      <c r="F418" s="1052" t="s">
        <v>1154</v>
      </c>
      <c r="G418" s="1052" t="s">
        <v>1222</v>
      </c>
      <c r="H418" s="1027"/>
      <c r="I418" s="1027"/>
      <c r="J418" s="1027"/>
      <c r="K418" s="1027"/>
      <c r="L418" s="653" t="str">
        <f t="shared" si="393"/>
        <v>6593</v>
      </c>
      <c r="M418" s="654" t="str">
        <f t="shared" si="260"/>
        <v>AUTRES TAXES -CARROSSERIE</v>
      </c>
      <c r="N418" s="655">
        <f>+IF(OR($Q418=Parametres!$G$2,$Q418=Parametres!$G$3),I418,C418)</f>
        <v>2525.6</v>
      </c>
      <c r="O418" s="655">
        <f>+IF(OR($Q418=Parametres!$G$2,$Q418=Parametres!$G$3),J418,D418)</f>
        <v>229.6</v>
      </c>
      <c r="P418" s="655">
        <f>+IF(OR($Q418=Parametres!$G$2,$Q418=Parametres!$G$3),K418,E418)</f>
        <v>2755.2</v>
      </c>
      <c r="Q418" s="654" t="str">
        <f t="shared" ref="Q418:S418" si="425">+F418</f>
        <v>7-Dépenses</v>
      </c>
      <c r="R418" s="653" t="str">
        <f t="shared" si="425"/>
        <v>6193</v>
      </c>
      <c r="S418" s="654">
        <f t="shared" si="425"/>
        <v>0</v>
      </c>
      <c r="T418" s="656" t="str">
        <f>+VLOOKUP($L418,Data_Validation!$A:$D,1,0)</f>
        <v>6593</v>
      </c>
      <c r="U418" s="656" t="str">
        <f>+VLOOKUP($L418,Data_Validation!$A:$D,3,0)</f>
        <v>Carrosserie</v>
      </c>
      <c r="V418" s="656" t="str">
        <f>+VLOOKUP($L418,Data_Validation!$A:$D,4,0)</f>
        <v>Taxes d`affaires</v>
      </c>
      <c r="W418" s="656" t="str">
        <f>+VLOOKUP($L418,Data_Validation!$A:$E,5,0)</f>
        <v>$</v>
      </c>
      <c r="X418" s="656">
        <f>+VLOOKUP($L418,Data_Validation!$A:$F,6,0)</f>
        <v>0</v>
      </c>
    </row>
    <row r="419" spans="1:24" ht="15.75" customHeight="1">
      <c r="A419" s="1052" t="s">
        <v>1273</v>
      </c>
      <c r="B419" s="1052" t="s">
        <v>2632</v>
      </c>
      <c r="C419" s="1054">
        <v>4714.93</v>
      </c>
      <c r="D419" s="1054">
        <v>428.63</v>
      </c>
      <c r="E419" s="1054">
        <v>5143.5600000000004</v>
      </c>
      <c r="F419" s="1052" t="s">
        <v>1154</v>
      </c>
      <c r="G419" s="1052" t="s">
        <v>1224</v>
      </c>
      <c r="H419" s="1027"/>
      <c r="I419" s="1027"/>
      <c r="J419" s="1027"/>
      <c r="K419" s="1027"/>
      <c r="L419" s="653" t="str">
        <f t="shared" si="393"/>
        <v>6594</v>
      </c>
      <c r="M419" s="654" t="str">
        <f t="shared" si="260"/>
        <v>FRAIS PROFESSIONNEL-CARROS.</v>
      </c>
      <c r="N419" s="655">
        <f>+IF(OR($Q419=Parametres!$G$2,$Q419=Parametres!$G$3),I419,C419)</f>
        <v>4714.93</v>
      </c>
      <c r="O419" s="655">
        <f>+IF(OR($Q419=Parametres!$G$2,$Q419=Parametres!$G$3),J419,D419)</f>
        <v>428.63</v>
      </c>
      <c r="P419" s="655">
        <f>+IF(OR($Q419=Parametres!$G$2,$Q419=Parametres!$G$3),K419,E419)</f>
        <v>5143.5600000000004</v>
      </c>
      <c r="Q419" s="654" t="str">
        <f t="shared" ref="Q419:S419" si="426">+F419</f>
        <v>7-Dépenses</v>
      </c>
      <c r="R419" s="653" t="str">
        <f t="shared" si="426"/>
        <v>6194</v>
      </c>
      <c r="S419" s="654">
        <f t="shared" si="426"/>
        <v>0</v>
      </c>
      <c r="T419" s="656" t="str">
        <f>+VLOOKUP($L419,Data_Validation!$A:$D,1,0)</f>
        <v>6594</v>
      </c>
      <c r="U419" s="656" t="str">
        <f>+VLOOKUP($L419,Data_Validation!$A:$D,3,0)</f>
        <v>Carrosserie</v>
      </c>
      <c r="V419" s="656" t="str">
        <f>+VLOOKUP($L419,Data_Validation!$A:$D,4,0)</f>
        <v>Honoraires</v>
      </c>
      <c r="W419" s="656" t="str">
        <f>+VLOOKUP($L419,Data_Validation!$A:$E,5,0)</f>
        <v>$</v>
      </c>
      <c r="X419" s="656">
        <f>+VLOOKUP($L419,Data_Validation!$A:$F,6,0)</f>
        <v>0</v>
      </c>
    </row>
    <row r="420" spans="1:24" ht="15.75" customHeight="1">
      <c r="A420" s="1052" t="s">
        <v>1158</v>
      </c>
      <c r="B420" s="1052" t="s">
        <v>2647</v>
      </c>
      <c r="C420" s="1054">
        <v>15698.2</v>
      </c>
      <c r="D420" s="1054">
        <v>1541.8</v>
      </c>
      <c r="E420" s="1054">
        <v>17240</v>
      </c>
      <c r="F420" s="1052" t="s">
        <v>1154</v>
      </c>
      <c r="G420" s="1052" t="s">
        <v>1242</v>
      </c>
      <c r="H420" s="1027"/>
      <c r="I420" s="1027"/>
      <c r="J420" s="1027"/>
      <c r="K420" s="1027"/>
      <c r="L420" s="653" t="str">
        <f t="shared" si="393"/>
        <v>6703</v>
      </c>
      <c r="M420" s="654" t="str">
        <f t="shared" si="260"/>
        <v>RELAT. A LA CLIENTELE &amp; AJUST.</v>
      </c>
      <c r="N420" s="655">
        <f>+IF(OR($Q420=Parametres!$G$2,$Q420=Parametres!$G$3),I420,C420)</f>
        <v>15698.2</v>
      </c>
      <c r="O420" s="655">
        <f>+IF(OR($Q420=Parametres!$G$2,$Q420=Parametres!$G$3),J420,D420)</f>
        <v>1541.8</v>
      </c>
      <c r="P420" s="655">
        <f>+IF(OR($Q420=Parametres!$G$2,$Q420=Parametres!$G$3),K420,E420)</f>
        <v>17240</v>
      </c>
      <c r="Q420" s="654" t="str">
        <f t="shared" ref="Q420:S420" si="427">+F420</f>
        <v>7-Dépenses</v>
      </c>
      <c r="R420" s="653" t="str">
        <f t="shared" si="427"/>
        <v>6112</v>
      </c>
      <c r="S420" s="654">
        <f t="shared" si="427"/>
        <v>0</v>
      </c>
      <c r="T420" s="656" t="str">
        <f>+VLOOKUP($L420,Data_Validation!$A:$D,1,0)</f>
        <v>6703</v>
      </c>
      <c r="U420" s="656" t="str">
        <f>+VLOOKUP($L420,Data_Validation!$A:$D,3,0)</f>
        <v>Pièces</v>
      </c>
      <c r="V420" s="656" t="str">
        <f>+VLOOKUP($L420,Data_Validation!$A:$D,4,0)</f>
        <v>Service gratuit 2</v>
      </c>
      <c r="W420" s="656" t="str">
        <f>+VLOOKUP($L420,Data_Validation!$A:$E,5,0)</f>
        <v>$</v>
      </c>
      <c r="X420" s="656">
        <f>+VLOOKUP($L420,Data_Validation!$A:$F,6,0)</f>
        <v>0</v>
      </c>
    </row>
    <row r="421" spans="1:24" ht="15" customHeight="1">
      <c r="A421" s="1052" t="s">
        <v>1166</v>
      </c>
      <c r="B421" s="1052" t="s">
        <v>2653</v>
      </c>
      <c r="C421" s="1054">
        <v>40647.550000000003</v>
      </c>
      <c r="D421" s="1054">
        <v>3055.88</v>
      </c>
      <c r="E421" s="1054">
        <v>43703.43</v>
      </c>
      <c r="F421" s="1052" t="s">
        <v>1154</v>
      </c>
      <c r="G421" s="1052" t="s">
        <v>1167</v>
      </c>
      <c r="H421" s="1027"/>
      <c r="I421" s="1027"/>
      <c r="J421" s="1027"/>
      <c r="K421" s="1027"/>
      <c r="L421" s="653" t="str">
        <f t="shared" si="393"/>
        <v>6714</v>
      </c>
      <c r="M421" s="654" t="str">
        <f t="shared" si="260"/>
        <v>PUBLICITE</v>
      </c>
      <c r="N421" s="655">
        <f>+IF(OR($Q421=Parametres!$G$2,$Q421=Parametres!$G$3),I421,C421)</f>
        <v>40647.550000000003</v>
      </c>
      <c r="O421" s="655">
        <f>+IF(OR($Q421=Parametres!$G$2,$Q421=Parametres!$G$3),J421,D421)</f>
        <v>3055.88</v>
      </c>
      <c r="P421" s="655">
        <f>+IF(OR($Q421=Parametres!$G$2,$Q421=Parametres!$G$3),K421,E421)</f>
        <v>43703.43</v>
      </c>
      <c r="Q421" s="654" t="str">
        <f t="shared" ref="Q421:S421" si="428">+F421</f>
        <v>7-Dépenses</v>
      </c>
      <c r="R421" s="653" t="str">
        <f t="shared" si="428"/>
        <v>6114</v>
      </c>
      <c r="S421" s="654">
        <f t="shared" si="428"/>
        <v>0</v>
      </c>
      <c r="T421" s="656" t="str">
        <f>+VLOOKUP($L421,Data_Validation!$A:$D,1,0)</f>
        <v>6714</v>
      </c>
      <c r="U421" s="656" t="str">
        <f>+VLOOKUP($L421,Data_Validation!$A:$D,3,0)</f>
        <v>Pièces</v>
      </c>
      <c r="V421" s="656" t="str">
        <f>+VLOOKUP($L421,Data_Validation!$A:$D,4,0)</f>
        <v>Publicité 2</v>
      </c>
      <c r="W421" s="656" t="str">
        <f>+VLOOKUP($L421,Data_Validation!$A:$E,5,0)</f>
        <v>$</v>
      </c>
      <c r="X421" s="656">
        <f>+VLOOKUP($L421,Data_Validation!$A:$F,6,0)</f>
        <v>0</v>
      </c>
    </row>
    <row r="422" spans="1:24" ht="15" customHeight="1">
      <c r="A422" s="1052" t="s">
        <v>1274</v>
      </c>
      <c r="B422" s="1052" t="s">
        <v>2656</v>
      </c>
      <c r="C422" s="1054">
        <v>35596.42</v>
      </c>
      <c r="D422" s="1054">
        <v>3719.89</v>
      </c>
      <c r="E422" s="1054">
        <v>39316.31</v>
      </c>
      <c r="F422" s="1052" t="s">
        <v>1154</v>
      </c>
      <c r="G422" s="1052" t="s">
        <v>1170</v>
      </c>
      <c r="H422" s="1027"/>
      <c r="I422" s="1027"/>
      <c r="J422" s="1027"/>
      <c r="K422" s="1027"/>
      <c r="L422" s="653" t="str">
        <f t="shared" si="393"/>
        <v>6721</v>
      </c>
      <c r="M422" s="654" t="str">
        <f t="shared" si="260"/>
        <v>SALAIRES - PROPRIEATIRES</v>
      </c>
      <c r="N422" s="655">
        <f>+IF(OR($Q422=Parametres!$G$2,$Q422=Parametres!$G$3),I422,C422)</f>
        <v>35596.42</v>
      </c>
      <c r="O422" s="655">
        <f>+IF(OR($Q422=Parametres!$G$2,$Q422=Parametres!$G$3),J422,D422)</f>
        <v>3719.89</v>
      </c>
      <c r="P422" s="655">
        <f>+IF(OR($Q422=Parametres!$G$2,$Q422=Parametres!$G$3),K422,E422)</f>
        <v>39316.31</v>
      </c>
      <c r="Q422" s="654" t="str">
        <f t="shared" ref="Q422:S422" si="429">+F422</f>
        <v>7-Dépenses</v>
      </c>
      <c r="R422" s="653" t="str">
        <f t="shared" si="429"/>
        <v>6121</v>
      </c>
      <c r="S422" s="654">
        <f t="shared" si="429"/>
        <v>0</v>
      </c>
      <c r="T422" s="656" t="str">
        <f>+VLOOKUP($L422,Data_Validation!$A:$D,1,0)</f>
        <v>6721</v>
      </c>
      <c r="U422" s="656" t="str">
        <f>+VLOOKUP($L422,Data_Validation!$A:$D,3,0)</f>
        <v>Pièces</v>
      </c>
      <c r="V422" s="656" t="str">
        <f>+VLOOKUP($L422,Data_Validation!$A:$D,4,0)</f>
        <v>Salaires propriétaire</v>
      </c>
      <c r="W422" s="656" t="str">
        <f>+VLOOKUP($L422,Data_Validation!$A:$E,5,0)</f>
        <v>$</v>
      </c>
      <c r="X422" s="656">
        <f>+VLOOKUP($L422,Data_Validation!$A:$F,6,0)</f>
        <v>0</v>
      </c>
    </row>
    <row r="423" spans="1:24" ht="15" customHeight="1">
      <c r="A423" s="1052" t="s">
        <v>1171</v>
      </c>
      <c r="B423" s="1052" t="s">
        <v>2659</v>
      </c>
      <c r="C423" s="1054">
        <v>49956</v>
      </c>
      <c r="D423" s="1054">
        <v>5362.67</v>
      </c>
      <c r="E423" s="1054">
        <v>55318.67</v>
      </c>
      <c r="F423" s="1052" t="s">
        <v>1154</v>
      </c>
      <c r="G423" s="1052" t="s">
        <v>1172</v>
      </c>
      <c r="H423" s="1027"/>
      <c r="I423" s="1027"/>
      <c r="J423" s="1027"/>
      <c r="K423" s="1027"/>
      <c r="L423" s="653" t="str">
        <f t="shared" si="393"/>
        <v>6722</v>
      </c>
      <c r="M423" s="654" t="str">
        <f t="shared" si="260"/>
        <v>SAL SUPERVISION / GERANT</v>
      </c>
      <c r="N423" s="655">
        <f>+IF(OR($Q423=Parametres!$G$2,$Q423=Parametres!$G$3),I423,C423)</f>
        <v>49956</v>
      </c>
      <c r="O423" s="655">
        <f>+IF(OR($Q423=Parametres!$G$2,$Q423=Parametres!$G$3),J423,D423)</f>
        <v>5362.67</v>
      </c>
      <c r="P423" s="655">
        <f>+IF(OR($Q423=Parametres!$G$2,$Q423=Parametres!$G$3),K423,E423)</f>
        <v>55318.67</v>
      </c>
      <c r="Q423" s="654" t="str">
        <f t="shared" ref="Q423:S423" si="430">+F423</f>
        <v>7-Dépenses</v>
      </c>
      <c r="R423" s="653" t="str">
        <f t="shared" si="430"/>
        <v>6122</v>
      </c>
      <c r="S423" s="654">
        <f t="shared" si="430"/>
        <v>0</v>
      </c>
      <c r="T423" s="656" t="str">
        <f>+VLOOKUP($L423,Data_Validation!$A:$D,1,0)</f>
        <v>6722</v>
      </c>
      <c r="U423" s="656" t="str">
        <f>+VLOOKUP($L423,Data_Validation!$A:$D,3,0)</f>
        <v>Pièces</v>
      </c>
      <c r="V423" s="656" t="str">
        <f>+VLOOKUP($L423,Data_Validation!$A:$D,4,0)</f>
        <v>Salaires cadres</v>
      </c>
      <c r="W423" s="656" t="str">
        <f>+VLOOKUP($L423,Data_Validation!$A:$E,5,0)</f>
        <v>$</v>
      </c>
      <c r="X423" s="656">
        <f>+VLOOKUP($L423,Data_Validation!$A:$F,6,0)</f>
        <v>0</v>
      </c>
    </row>
    <row r="424" spans="1:24" ht="15" customHeight="1">
      <c r="A424" s="1052" t="s">
        <v>1173</v>
      </c>
      <c r="B424" s="1052" t="s">
        <v>2662</v>
      </c>
      <c r="C424" s="1054">
        <v>38014.53</v>
      </c>
      <c r="D424" s="1054">
        <v>10289.719999999999</v>
      </c>
      <c r="E424" s="1054">
        <v>48304.25</v>
      </c>
      <c r="F424" s="1052" t="s">
        <v>1154</v>
      </c>
      <c r="G424" s="1052" t="s">
        <v>1174</v>
      </c>
      <c r="H424" s="1027"/>
      <c r="I424" s="1027"/>
      <c r="J424" s="1027"/>
      <c r="K424" s="1027"/>
      <c r="L424" s="653" t="str">
        <f t="shared" si="393"/>
        <v>6723</v>
      </c>
      <c r="M424" s="654" t="str">
        <f t="shared" si="260"/>
        <v>SAL. &amp; RENUM. - CLERICAL</v>
      </c>
      <c r="N424" s="655">
        <f>+IF(OR($Q424=Parametres!$G$2,$Q424=Parametres!$G$3),I424,C424)</f>
        <v>38014.53</v>
      </c>
      <c r="O424" s="655">
        <f>+IF(OR($Q424=Parametres!$G$2,$Q424=Parametres!$G$3),J424,D424)</f>
        <v>10289.719999999999</v>
      </c>
      <c r="P424" s="655">
        <f>+IF(OR($Q424=Parametres!$G$2,$Q424=Parametres!$G$3),K424,E424)</f>
        <v>48304.25</v>
      </c>
      <c r="Q424" s="654" t="str">
        <f t="shared" ref="Q424:S424" si="431">+F424</f>
        <v>7-Dépenses</v>
      </c>
      <c r="R424" s="653" t="str">
        <f t="shared" si="431"/>
        <v>6123</v>
      </c>
      <c r="S424" s="654">
        <f t="shared" si="431"/>
        <v>0</v>
      </c>
      <c r="T424" s="656" t="str">
        <f>+VLOOKUP($L424,Data_Validation!$A:$D,1,0)</f>
        <v>6723</v>
      </c>
      <c r="U424" s="656" t="str">
        <f>+VLOOKUP($L424,Data_Validation!$A:$D,3,0)</f>
        <v>Pièces</v>
      </c>
      <c r="V424" s="656" t="str">
        <f>+VLOOKUP($L424,Data_Validation!$A:$D,4,0)</f>
        <v>Salaires commis</v>
      </c>
      <c r="W424" s="656" t="str">
        <f>+VLOOKUP($L424,Data_Validation!$A:$E,5,0)</f>
        <v>$</v>
      </c>
      <c r="X424" s="656">
        <f>+VLOOKUP($L424,Data_Validation!$A:$F,6,0)</f>
        <v>0</v>
      </c>
    </row>
    <row r="425" spans="1:24" ht="15.75" customHeight="1">
      <c r="A425" s="1052" t="s">
        <v>1175</v>
      </c>
      <c r="B425" s="1052" t="s">
        <v>2665</v>
      </c>
      <c r="C425" s="1054">
        <v>249777.5</v>
      </c>
      <c r="D425" s="1054">
        <v>17362.310000000001</v>
      </c>
      <c r="E425" s="1054">
        <v>267139.81</v>
      </c>
      <c r="F425" s="1052" t="s">
        <v>1154</v>
      </c>
      <c r="G425" s="1052" t="s">
        <v>1176</v>
      </c>
      <c r="H425" s="1027"/>
      <c r="I425" s="1028"/>
      <c r="J425" s="1028"/>
      <c r="K425" s="1028"/>
      <c r="L425" s="653" t="str">
        <f t="shared" si="393"/>
        <v>6724</v>
      </c>
      <c r="M425" s="654" t="str">
        <f t="shared" si="260"/>
        <v>SALAIRES &amp; RENUM. - AUTRES</v>
      </c>
      <c r="N425" s="655">
        <f>+IF(OR($Q425=Parametres!$G$2,$Q425=Parametres!$G$3),I425,C425)</f>
        <v>249777.5</v>
      </c>
      <c r="O425" s="655">
        <f>+IF(OR($Q425=Parametres!$G$2,$Q425=Parametres!$G$3),J425,D425)</f>
        <v>17362.310000000001</v>
      </c>
      <c r="P425" s="655">
        <f>+IF(OR($Q425=Parametres!$G$2,$Q425=Parametres!$G$3),K425,E425)</f>
        <v>267139.81</v>
      </c>
      <c r="Q425" s="654" t="str">
        <f t="shared" ref="Q425:S425" si="432">+F425</f>
        <v>7-Dépenses</v>
      </c>
      <c r="R425" s="653" t="str">
        <f t="shared" si="432"/>
        <v>6124</v>
      </c>
      <c r="S425" s="654">
        <f t="shared" si="432"/>
        <v>0</v>
      </c>
      <c r="T425" s="656" t="str">
        <f>+VLOOKUP($L425,Data_Validation!$A:$D,1,0)</f>
        <v>6724</v>
      </c>
      <c r="U425" s="656" t="str">
        <f>+VLOOKUP($L425,Data_Validation!$A:$D,3,0)</f>
        <v>Pièces</v>
      </c>
      <c r="V425" s="656" t="str">
        <f>+VLOOKUP($L425,Data_Validation!$A:$D,4,0)</f>
        <v>Salaires autres</v>
      </c>
      <c r="W425" s="656" t="str">
        <f>+VLOOKUP($L425,Data_Validation!$A:$E,5,0)</f>
        <v>$</v>
      </c>
      <c r="X425" s="656">
        <f>+VLOOKUP($L425,Data_Validation!$A:$F,6,0)</f>
        <v>0</v>
      </c>
    </row>
    <row r="426" spans="1:24" ht="15" customHeight="1">
      <c r="A426" s="1052" t="s">
        <v>1275</v>
      </c>
      <c r="B426" s="1052" t="s">
        <v>2668</v>
      </c>
      <c r="C426" s="1054">
        <v>34926.6</v>
      </c>
      <c r="D426" s="1054">
        <v>7703.06</v>
      </c>
      <c r="E426" s="1054">
        <v>42629.66</v>
      </c>
      <c r="F426" s="1052" t="s">
        <v>1154</v>
      </c>
      <c r="G426" s="1052" t="s">
        <v>1178</v>
      </c>
      <c r="H426" s="1027"/>
      <c r="I426" s="1028"/>
      <c r="J426" s="1028"/>
      <c r="K426" s="1028"/>
      <c r="L426" s="653" t="str">
        <f t="shared" si="393"/>
        <v>6729</v>
      </c>
      <c r="M426" s="654" t="str">
        <f t="shared" si="260"/>
        <v>ABSENCES, VACANCES, ETC</v>
      </c>
      <c r="N426" s="655">
        <f>+IF(OR($Q426=Parametres!$G$2,$Q426=Parametres!$G$3),I426,C426)</f>
        <v>34926.6</v>
      </c>
      <c r="O426" s="655">
        <f>+IF(OR($Q426=Parametres!$G$2,$Q426=Parametres!$G$3),J426,D426)</f>
        <v>7703.06</v>
      </c>
      <c r="P426" s="655">
        <f>+IF(OR($Q426=Parametres!$G$2,$Q426=Parametres!$G$3),K426,E426)</f>
        <v>42629.66</v>
      </c>
      <c r="Q426" s="654" t="str">
        <f t="shared" ref="Q426:S426" si="433">+F426</f>
        <v>7-Dépenses</v>
      </c>
      <c r="R426" s="653" t="str">
        <f t="shared" si="433"/>
        <v>6129</v>
      </c>
      <c r="S426" s="654">
        <f t="shared" si="433"/>
        <v>0</v>
      </c>
      <c r="T426" s="656" t="str">
        <f>+VLOOKUP($L426,Data_Validation!$A:$D,1,0)</f>
        <v>6729</v>
      </c>
      <c r="U426" s="656" t="str">
        <f>+VLOOKUP($L426,Data_Validation!$A:$D,3,0)</f>
        <v>Pièces</v>
      </c>
      <c r="V426" s="656" t="str">
        <f>+VLOOKUP($L426,Data_Validation!$A:$D,4,0)</f>
        <v>Salaires en absences</v>
      </c>
      <c r="W426" s="656" t="str">
        <f>+VLOOKUP($L426,Data_Validation!$A:$E,5,0)</f>
        <v>$</v>
      </c>
      <c r="X426" s="656">
        <f>+VLOOKUP($L426,Data_Validation!$A:$F,6,0)</f>
        <v>0</v>
      </c>
    </row>
    <row r="427" spans="1:24" ht="15" customHeight="1">
      <c r="A427" s="1052" t="s">
        <v>1179</v>
      </c>
      <c r="B427" s="1052" t="s">
        <v>2671</v>
      </c>
      <c r="C427" s="1054">
        <v>-820.61</v>
      </c>
      <c r="D427" s="1054">
        <v>-1941.53</v>
      </c>
      <c r="E427" s="1054">
        <v>-2762.14</v>
      </c>
      <c r="F427" s="1052" t="s">
        <v>1154</v>
      </c>
      <c r="G427" s="1052" t="s">
        <v>1180</v>
      </c>
      <c r="H427" s="1027"/>
      <c r="I427" s="1028"/>
      <c r="J427" s="1028"/>
      <c r="K427" s="1028"/>
      <c r="L427" s="653" t="str">
        <f t="shared" si="393"/>
        <v>6731</v>
      </c>
      <c r="M427" s="654" t="str">
        <f t="shared" si="260"/>
        <v>CSST</v>
      </c>
      <c r="N427" s="655">
        <f>+IF(OR($Q427=Parametres!$G$2,$Q427=Parametres!$G$3),I427,C427)</f>
        <v>-820.61</v>
      </c>
      <c r="O427" s="655">
        <f>+IF(OR($Q427=Parametres!$G$2,$Q427=Parametres!$G$3),J427,D427)</f>
        <v>-1941.53</v>
      </c>
      <c r="P427" s="655">
        <f>+IF(OR($Q427=Parametres!$G$2,$Q427=Parametres!$G$3),K427,E427)</f>
        <v>-2762.14</v>
      </c>
      <c r="Q427" s="654" t="str">
        <f t="shared" ref="Q427:S427" si="434">+F427</f>
        <v>7-Dépenses</v>
      </c>
      <c r="R427" s="653" t="str">
        <f t="shared" si="434"/>
        <v>6131</v>
      </c>
      <c r="S427" s="654">
        <f t="shared" si="434"/>
        <v>0</v>
      </c>
      <c r="T427" s="656" t="str">
        <f>+VLOOKUP($L427,Data_Validation!$A:$D,1,0)</f>
        <v>6731</v>
      </c>
      <c r="U427" s="656" t="str">
        <f>+VLOOKUP($L427,Data_Validation!$A:$D,3,0)</f>
        <v>Pièces</v>
      </c>
      <c r="V427" s="656" t="str">
        <f>+VLOOKUP($L427,Data_Validation!$A:$D,4,0)</f>
        <v>Csst</v>
      </c>
      <c r="W427" s="656" t="str">
        <f>+VLOOKUP($L427,Data_Validation!$A:$E,5,0)</f>
        <v>$</v>
      </c>
      <c r="X427" s="656">
        <f>+VLOOKUP($L427,Data_Validation!$A:$F,6,0)</f>
        <v>0</v>
      </c>
    </row>
    <row r="428" spans="1:24" ht="15" customHeight="1">
      <c r="A428" s="1052" t="s">
        <v>1181</v>
      </c>
      <c r="B428" s="1052" t="s">
        <v>2674</v>
      </c>
      <c r="C428" s="1054">
        <v>71294.55</v>
      </c>
      <c r="D428" s="1054">
        <v>12117.09</v>
      </c>
      <c r="E428" s="1054">
        <v>83411.64</v>
      </c>
      <c r="F428" s="1052" t="s">
        <v>1154</v>
      </c>
      <c r="G428" s="1052" t="s">
        <v>1182</v>
      </c>
      <c r="H428" s="1027"/>
      <c r="I428" s="1028"/>
      <c r="J428" s="1028"/>
      <c r="K428" s="1028"/>
      <c r="L428" s="653" t="str">
        <f t="shared" si="393"/>
        <v>6732</v>
      </c>
      <c r="M428" s="654" t="str">
        <f t="shared" si="260"/>
        <v>RRQ RAMQ AC</v>
      </c>
      <c r="N428" s="655">
        <f>+IF(OR($Q428=Parametres!$G$2,$Q428=Parametres!$G$3),I428,C428)</f>
        <v>71294.55</v>
      </c>
      <c r="O428" s="655">
        <f>+IF(OR($Q428=Parametres!$G$2,$Q428=Parametres!$G$3),J428,D428)</f>
        <v>12117.09</v>
      </c>
      <c r="P428" s="655">
        <f>+IF(OR($Q428=Parametres!$G$2,$Q428=Parametres!$G$3),K428,E428)</f>
        <v>83411.64</v>
      </c>
      <c r="Q428" s="654" t="str">
        <f t="shared" ref="Q428:S428" si="435">+F428</f>
        <v>7-Dépenses</v>
      </c>
      <c r="R428" s="653" t="str">
        <f t="shared" si="435"/>
        <v>6132</v>
      </c>
      <c r="S428" s="654">
        <f t="shared" si="435"/>
        <v>0</v>
      </c>
      <c r="T428" s="656" t="str">
        <f>+VLOOKUP($L428,Data_Validation!$A:$D,1,0)</f>
        <v>6732</v>
      </c>
      <c r="U428" s="656" t="str">
        <f>+VLOOKUP($L428,Data_Validation!$A:$D,3,0)</f>
        <v>Pièces</v>
      </c>
      <c r="V428" s="656" t="str">
        <f>+VLOOKUP($L428,Data_Validation!$A:$D,4,0)</f>
        <v>Déduction à la source</v>
      </c>
      <c r="W428" s="656" t="str">
        <f>+VLOOKUP($L428,Data_Validation!$A:$E,5,0)</f>
        <v>$</v>
      </c>
      <c r="X428" s="656">
        <f>+VLOOKUP($L428,Data_Validation!$A:$F,6,0)</f>
        <v>0</v>
      </c>
    </row>
    <row r="429" spans="1:24" ht="15" customHeight="1">
      <c r="A429" s="1052" t="s">
        <v>1276</v>
      </c>
      <c r="B429" s="1052" t="s">
        <v>2677</v>
      </c>
      <c r="C429" s="1054">
        <v>564.07000000000005</v>
      </c>
      <c r="D429" s="1054">
        <v>448.95</v>
      </c>
      <c r="E429" s="1054">
        <v>1013.02</v>
      </c>
      <c r="F429" s="1052" t="s">
        <v>1154</v>
      </c>
      <c r="G429" s="1052" t="s">
        <v>1184</v>
      </c>
      <c r="H429" s="1027"/>
      <c r="I429" s="1028"/>
      <c r="J429" s="1028"/>
      <c r="K429" s="1028"/>
      <c r="L429" s="653" t="str">
        <f t="shared" si="393"/>
        <v>6733</v>
      </c>
      <c r="M429" s="654" t="str">
        <f t="shared" si="260"/>
        <v>FOND PENSION - PIECES</v>
      </c>
      <c r="N429" s="655">
        <f>+IF(OR($Q429=Parametres!$G$2,$Q429=Parametres!$G$3),I429,C429)</f>
        <v>564.07000000000005</v>
      </c>
      <c r="O429" s="655">
        <f>+IF(OR($Q429=Parametres!$G$2,$Q429=Parametres!$G$3),J429,D429)</f>
        <v>448.95</v>
      </c>
      <c r="P429" s="655">
        <f>+IF(OR($Q429=Parametres!$G$2,$Q429=Parametres!$G$3),K429,E429)</f>
        <v>1013.02</v>
      </c>
      <c r="Q429" s="654" t="str">
        <f t="shared" ref="Q429:S429" si="436">+F429</f>
        <v>7-Dépenses</v>
      </c>
      <c r="R429" s="653" t="str">
        <f t="shared" si="436"/>
        <v>6133</v>
      </c>
      <c r="S429" s="654">
        <f t="shared" si="436"/>
        <v>0</v>
      </c>
      <c r="T429" s="656" t="str">
        <f>+VLOOKUP($L429,Data_Validation!$A:$D,1,0)</f>
        <v>6733</v>
      </c>
      <c r="U429" s="656" t="str">
        <f>+VLOOKUP($L429,Data_Validation!$A:$D,3,0)</f>
        <v>Pièces</v>
      </c>
      <c r="V429" s="656" t="str">
        <f>+VLOOKUP($L429,Data_Validation!$A:$D,4,0)</f>
        <v>Déduction à la source</v>
      </c>
      <c r="W429" s="656" t="str">
        <f>+VLOOKUP($L429,Data_Validation!$A:$E,5,0)</f>
        <v>$</v>
      </c>
      <c r="X429" s="656">
        <f>+VLOOKUP($L429,Data_Validation!$A:$F,6,0)</f>
        <v>0</v>
      </c>
    </row>
    <row r="430" spans="1:24" ht="15" customHeight="1">
      <c r="A430" s="1052" t="s">
        <v>1231</v>
      </c>
      <c r="B430" s="1052" t="s">
        <v>2680</v>
      </c>
      <c r="C430" s="1054">
        <v>49809.11</v>
      </c>
      <c r="D430" s="1054">
        <v>3733.42</v>
      </c>
      <c r="E430" s="1054">
        <v>53542.53</v>
      </c>
      <c r="F430" s="1052" t="s">
        <v>1154</v>
      </c>
      <c r="G430" s="1052" t="s">
        <v>1186</v>
      </c>
      <c r="H430" s="1027"/>
      <c r="I430" s="1028"/>
      <c r="J430" s="1028"/>
      <c r="K430" s="1028"/>
      <c r="L430" s="653" t="str">
        <f t="shared" si="393"/>
        <v>6739</v>
      </c>
      <c r="M430" s="654" t="str">
        <f t="shared" si="260"/>
        <v>ASSURANCE GROUPE</v>
      </c>
      <c r="N430" s="655">
        <f>+IF(OR($Q430=Parametres!$G$2,$Q430=Parametres!$G$3),I430,C430)</f>
        <v>49809.11</v>
      </c>
      <c r="O430" s="655">
        <f>+IF(OR($Q430=Parametres!$G$2,$Q430=Parametres!$G$3),J430,D430)</f>
        <v>3733.42</v>
      </c>
      <c r="P430" s="655">
        <f>+IF(OR($Q430=Parametres!$G$2,$Q430=Parametres!$G$3),K430,E430)</f>
        <v>53542.53</v>
      </c>
      <c r="Q430" s="654" t="str">
        <f t="shared" ref="Q430:S430" si="437">+F430</f>
        <v>7-Dépenses</v>
      </c>
      <c r="R430" s="653" t="str">
        <f t="shared" si="437"/>
        <v>6139</v>
      </c>
      <c r="S430" s="654">
        <f t="shared" si="437"/>
        <v>0</v>
      </c>
      <c r="T430" s="656" t="str">
        <f>+VLOOKUP($L430,Data_Validation!$A:$D,1,0)</f>
        <v>6739</v>
      </c>
      <c r="U430" s="656" t="str">
        <f>+VLOOKUP($L430,Data_Validation!$A:$D,3,0)</f>
        <v>Pièces</v>
      </c>
      <c r="V430" s="656" t="str">
        <f>+VLOOKUP($L430,Data_Validation!$A:$D,4,0)</f>
        <v>Bénéfices marginaux</v>
      </c>
      <c r="W430" s="656" t="str">
        <f>+VLOOKUP($L430,Data_Validation!$A:$E,5,0)</f>
        <v>$</v>
      </c>
      <c r="X430" s="656">
        <f>+VLOOKUP($L430,Data_Validation!$A:$F,6,0)</f>
        <v>0</v>
      </c>
    </row>
    <row r="431" spans="1:24" ht="15.75" customHeight="1">
      <c r="A431" s="1052" t="s">
        <v>1187</v>
      </c>
      <c r="B431" s="1052" t="s">
        <v>2684</v>
      </c>
      <c r="C431" s="1054">
        <v>758.35</v>
      </c>
      <c r="D431" s="1054">
        <v>0</v>
      </c>
      <c r="E431" s="1054">
        <v>758.35</v>
      </c>
      <c r="F431" s="1052" t="s">
        <v>1154</v>
      </c>
      <c r="G431" s="1052" t="s">
        <v>1188</v>
      </c>
      <c r="H431" s="1027"/>
      <c r="I431" s="1028"/>
      <c r="J431" s="1028"/>
      <c r="K431" s="1028"/>
      <c r="L431" s="653" t="str">
        <f t="shared" si="393"/>
        <v>6742</v>
      </c>
      <c r="M431" s="654" t="str">
        <f t="shared" si="260"/>
        <v>FOURNITURES &amp; PETITS OUTILS</v>
      </c>
      <c r="N431" s="655">
        <f>+IF(OR($Q431=Parametres!$G$2,$Q431=Parametres!$G$3),I431,C431)</f>
        <v>758.35</v>
      </c>
      <c r="O431" s="655">
        <f>+IF(OR($Q431=Parametres!$G$2,$Q431=Parametres!$G$3),J431,D431)</f>
        <v>0</v>
      </c>
      <c r="P431" s="655">
        <f>+IF(OR($Q431=Parametres!$G$2,$Q431=Parametres!$G$3),K431,E431)</f>
        <v>758.35</v>
      </c>
      <c r="Q431" s="654" t="str">
        <f t="shared" ref="Q431:S431" si="438">+F431</f>
        <v>7-Dépenses</v>
      </c>
      <c r="R431" s="653" t="str">
        <f t="shared" si="438"/>
        <v>6142</v>
      </c>
      <c r="S431" s="654">
        <f t="shared" si="438"/>
        <v>0</v>
      </c>
      <c r="T431" s="656" t="str">
        <f>+VLOOKUP($L431,Data_Validation!$A:$D,1,0)</f>
        <v>6742</v>
      </c>
      <c r="U431" s="656" t="str">
        <f>+VLOOKUP($L431,Data_Validation!$A:$D,3,0)</f>
        <v>Pièces</v>
      </c>
      <c r="V431" s="656" t="str">
        <f>+VLOOKUP($L431,Data_Validation!$A:$D,4,0)</f>
        <v>Fournitures autres</v>
      </c>
      <c r="W431" s="656" t="str">
        <f>+VLOOKUP($L431,Data_Validation!$A:$E,5,0)</f>
        <v>$</v>
      </c>
      <c r="X431" s="656">
        <f>+VLOOKUP($L431,Data_Validation!$A:$F,6,0)</f>
        <v>0</v>
      </c>
    </row>
    <row r="432" spans="1:24" ht="15" customHeight="1">
      <c r="A432" s="1052" t="s">
        <v>1191</v>
      </c>
      <c r="B432" s="1052" t="s">
        <v>2690</v>
      </c>
      <c r="C432" s="1054">
        <v>2305.92</v>
      </c>
      <c r="D432" s="1054">
        <v>540.99</v>
      </c>
      <c r="E432" s="1054">
        <v>2846.91</v>
      </c>
      <c r="F432" s="1052" t="s">
        <v>1154</v>
      </c>
      <c r="G432" s="1052" t="s">
        <v>1192</v>
      </c>
      <c r="H432" s="1027"/>
      <c r="I432" s="1028"/>
      <c r="J432" s="1028"/>
      <c r="K432" s="1028"/>
      <c r="L432" s="653" t="str">
        <f t="shared" si="393"/>
        <v>6744</v>
      </c>
      <c r="M432" s="654" t="str">
        <f t="shared" si="260"/>
        <v>FORMATION</v>
      </c>
      <c r="N432" s="655">
        <f>+IF(OR($Q432=Parametres!$G$2,$Q432=Parametres!$G$3),I432,C432)</f>
        <v>2305.92</v>
      </c>
      <c r="O432" s="655">
        <f>+IF(OR($Q432=Parametres!$G$2,$Q432=Parametres!$G$3),J432,D432)</f>
        <v>540.99</v>
      </c>
      <c r="P432" s="655">
        <f>+IF(OR($Q432=Parametres!$G$2,$Q432=Parametres!$G$3),K432,E432)</f>
        <v>2846.91</v>
      </c>
      <c r="Q432" s="654" t="str">
        <f t="shared" ref="Q432:S432" si="439">+F432</f>
        <v>7-Dépenses</v>
      </c>
      <c r="R432" s="653" t="str">
        <f t="shared" si="439"/>
        <v>6144</v>
      </c>
      <c r="S432" s="654">
        <f t="shared" si="439"/>
        <v>0</v>
      </c>
      <c r="T432" s="656" t="str">
        <f>+VLOOKUP($L432,Data_Validation!$A:$D,1,0)</f>
        <v>6744</v>
      </c>
      <c r="U432" s="656" t="str">
        <f>+VLOOKUP($L432,Data_Validation!$A:$D,3,0)</f>
        <v>Pièces</v>
      </c>
      <c r="V432" s="656" t="str">
        <f>+VLOOKUP($L432,Data_Validation!$A:$D,4,0)</f>
        <v>Formation</v>
      </c>
      <c r="W432" s="656" t="str">
        <f>+VLOOKUP($L432,Data_Validation!$A:$E,5,0)</f>
        <v>$</v>
      </c>
      <c r="X432" s="656">
        <f>+VLOOKUP($L432,Data_Validation!$A:$F,6,0)</f>
        <v>0</v>
      </c>
    </row>
    <row r="433" spans="1:24" ht="15" customHeight="1">
      <c r="A433" s="1052" t="s">
        <v>1193</v>
      </c>
      <c r="B433" s="1052" t="s">
        <v>2693</v>
      </c>
      <c r="C433" s="1054">
        <v>4664.04</v>
      </c>
      <c r="D433" s="1054">
        <v>3404.66</v>
      </c>
      <c r="E433" s="1054">
        <v>8068.7</v>
      </c>
      <c r="F433" s="1052" t="s">
        <v>1154</v>
      </c>
      <c r="G433" s="1052" t="s">
        <v>1194</v>
      </c>
      <c r="H433" s="1042"/>
      <c r="I433" s="1042"/>
      <c r="J433" s="1042"/>
      <c r="K433" s="1042"/>
      <c r="L433" s="653" t="str">
        <f t="shared" si="393"/>
        <v>6745</v>
      </c>
      <c r="M433" s="654" t="str">
        <f t="shared" si="260"/>
        <v>VEHICULE DE COMPAGNIE - DEPENS</v>
      </c>
      <c r="N433" s="655">
        <f>+IF(OR($Q433=Parametres!$G$2,$Q433=Parametres!$G$3),I433,C433)</f>
        <v>4664.04</v>
      </c>
      <c r="O433" s="655">
        <f>+IF(OR($Q433=Parametres!$G$2,$Q433=Parametres!$G$3),J433,D433)</f>
        <v>3404.66</v>
      </c>
      <c r="P433" s="655">
        <f>+IF(OR($Q433=Parametres!$G$2,$Q433=Parametres!$G$3),K433,E433)</f>
        <v>8068.7</v>
      </c>
      <c r="Q433" s="654" t="str">
        <f t="shared" ref="Q433:S433" si="440">+F433</f>
        <v>7-Dépenses</v>
      </c>
      <c r="R433" s="653" t="str">
        <f t="shared" si="440"/>
        <v>6145</v>
      </c>
      <c r="S433" s="654">
        <f t="shared" si="440"/>
        <v>0</v>
      </c>
      <c r="T433" s="656" t="str">
        <f>+VLOOKUP($L433,Data_Validation!$A:$D,1,0)</f>
        <v>6745</v>
      </c>
      <c r="U433" s="656" t="str">
        <f>+VLOOKUP($L433,Data_Validation!$A:$D,3,0)</f>
        <v>Pièces</v>
      </c>
      <c r="V433" s="656" t="str">
        <f>+VLOOKUP($L433,Data_Validation!$A:$D,4,0)</f>
        <v>Frais véhicules de cie</v>
      </c>
      <c r="W433" s="656" t="str">
        <f>+VLOOKUP($L433,Data_Validation!$A:$E,5,0)</f>
        <v>$</v>
      </c>
      <c r="X433" s="656">
        <f>+VLOOKUP($L433,Data_Validation!$A:$F,6,0)</f>
        <v>0</v>
      </c>
    </row>
    <row r="434" spans="1:24" ht="15" customHeight="1">
      <c r="A434" s="1052" t="s">
        <v>1195</v>
      </c>
      <c r="B434" s="1052" t="s">
        <v>2696</v>
      </c>
      <c r="C434" s="1054">
        <v>-39.020000000000003</v>
      </c>
      <c r="D434" s="1054">
        <v>-234.31</v>
      </c>
      <c r="E434" s="1054">
        <v>-273.33</v>
      </c>
      <c r="F434" s="1052" t="s">
        <v>1154</v>
      </c>
      <c r="G434" s="1052" t="s">
        <v>1196</v>
      </c>
      <c r="H434" s="1042"/>
      <c r="I434" s="1042"/>
      <c r="J434" s="1042"/>
      <c r="K434" s="1042"/>
      <c r="L434" s="653" t="str">
        <f t="shared" si="393"/>
        <v>6747</v>
      </c>
      <c r="M434" s="654" t="str">
        <f t="shared" si="260"/>
        <v>FRET/EXPRESS/TRANS. PAR CAMION</v>
      </c>
      <c r="N434" s="655">
        <f>+IF(OR($Q434=Parametres!$G$2,$Q434=Parametres!$G$3),I434,C434)</f>
        <v>-39.020000000000003</v>
      </c>
      <c r="O434" s="655">
        <f>+IF(OR($Q434=Parametres!$G$2,$Q434=Parametres!$G$3),J434,D434)</f>
        <v>-234.31</v>
      </c>
      <c r="P434" s="655">
        <f>+IF(OR($Q434=Parametres!$G$2,$Q434=Parametres!$G$3),K434,E434)</f>
        <v>-273.33</v>
      </c>
      <c r="Q434" s="654" t="str">
        <f t="shared" ref="Q434:S434" si="441">+F434</f>
        <v>7-Dépenses</v>
      </c>
      <c r="R434" s="653" t="str">
        <f t="shared" si="441"/>
        <v>6147</v>
      </c>
      <c r="S434" s="654">
        <f t="shared" si="441"/>
        <v>0</v>
      </c>
      <c r="T434" s="656" t="str">
        <f>+VLOOKUP($L434,Data_Validation!$A:$D,1,0)</f>
        <v>6747</v>
      </c>
      <c r="U434" s="656" t="str">
        <f>+VLOOKUP($L434,Data_Validation!$A:$D,3,0)</f>
        <v>Pièces</v>
      </c>
      <c r="V434" s="656" t="str">
        <f>+VLOOKUP($L434,Data_Validation!$A:$D,4,0)</f>
        <v>Frais postaux</v>
      </c>
      <c r="W434" s="656" t="str">
        <f>+VLOOKUP($L434,Data_Validation!$A:$E,5,0)</f>
        <v>$</v>
      </c>
      <c r="X434" s="656">
        <f>+VLOOKUP($L434,Data_Validation!$A:$F,6,0)</f>
        <v>0</v>
      </c>
    </row>
    <row r="435" spans="1:24" ht="15.75" customHeight="1">
      <c r="A435" s="1052" t="s">
        <v>1197</v>
      </c>
      <c r="B435" s="1052" t="s">
        <v>2698</v>
      </c>
      <c r="C435" s="1054">
        <v>42316.63</v>
      </c>
      <c r="D435" s="1054">
        <v>3747.75</v>
      </c>
      <c r="E435" s="1054">
        <v>46064.38</v>
      </c>
      <c r="F435" s="1052" t="s">
        <v>1154</v>
      </c>
      <c r="G435" s="1052" t="s">
        <v>1198</v>
      </c>
      <c r="H435" s="1042"/>
      <c r="I435" s="1042"/>
      <c r="J435" s="1042"/>
      <c r="K435" s="1042"/>
      <c r="L435" s="653" t="str">
        <f t="shared" si="393"/>
        <v>6751</v>
      </c>
      <c r="M435" s="654" t="str">
        <f t="shared" si="260"/>
        <v>DEP. DU TRAITEMENT DES DONNEES</v>
      </c>
      <c r="N435" s="655">
        <f>+IF(OR($Q435=Parametres!$G$2,$Q435=Parametres!$G$3),I435,C435)</f>
        <v>42316.63</v>
      </c>
      <c r="O435" s="655">
        <f>+IF(OR($Q435=Parametres!$G$2,$Q435=Parametres!$G$3),J435,D435)</f>
        <v>3747.75</v>
      </c>
      <c r="P435" s="655">
        <f>+IF(OR($Q435=Parametres!$G$2,$Q435=Parametres!$G$3),K435,E435)</f>
        <v>46064.38</v>
      </c>
      <c r="Q435" s="654" t="str">
        <f t="shared" ref="Q435:S435" si="442">+F435</f>
        <v>7-Dépenses</v>
      </c>
      <c r="R435" s="653" t="str">
        <f t="shared" si="442"/>
        <v>6151</v>
      </c>
      <c r="S435" s="654">
        <f t="shared" si="442"/>
        <v>0</v>
      </c>
      <c r="T435" s="656" t="str">
        <f>+VLOOKUP($L435,Data_Validation!$A:$D,1,0)</f>
        <v>6751</v>
      </c>
      <c r="U435" s="656" t="str">
        <f>+VLOOKUP($L435,Data_Validation!$A:$D,3,0)</f>
        <v>Pièces</v>
      </c>
      <c r="V435" s="656" t="str">
        <f>+VLOOKUP($L435,Data_Validation!$A:$D,4,0)</f>
        <v>Informatique</v>
      </c>
      <c r="W435" s="656" t="str">
        <f>+VLOOKUP($L435,Data_Validation!$A:$E,5,0)</f>
        <v>$</v>
      </c>
      <c r="X435" s="656">
        <f>+VLOOKUP($L435,Data_Validation!$A:$F,6,0)</f>
        <v>0</v>
      </c>
    </row>
    <row r="436" spans="1:24" ht="15" customHeight="1">
      <c r="A436" s="1052" t="s">
        <v>1199</v>
      </c>
      <c r="B436" s="1052" t="s">
        <v>2701</v>
      </c>
      <c r="C436" s="1054">
        <v>7184.77</v>
      </c>
      <c r="D436" s="1054">
        <v>735.94</v>
      </c>
      <c r="E436" s="1054">
        <v>7920.71</v>
      </c>
      <c r="F436" s="1052" t="s">
        <v>1154</v>
      </c>
      <c r="G436" s="1052" t="s">
        <v>1200</v>
      </c>
      <c r="H436" s="1042"/>
      <c r="I436" s="1042"/>
      <c r="J436" s="1042"/>
      <c r="K436" s="1042"/>
      <c r="L436" s="653" t="str">
        <f t="shared" si="393"/>
        <v>6752</v>
      </c>
      <c r="M436" s="654" t="str">
        <f t="shared" si="260"/>
        <v>PAPETERIE</v>
      </c>
      <c r="N436" s="655">
        <f>+IF(OR($Q436=Parametres!$G$2,$Q436=Parametres!$G$3),I436,C436)</f>
        <v>7184.77</v>
      </c>
      <c r="O436" s="655">
        <f>+IF(OR($Q436=Parametres!$G$2,$Q436=Parametres!$G$3),J436,D436)</f>
        <v>735.94</v>
      </c>
      <c r="P436" s="655">
        <f>+IF(OR($Q436=Parametres!$G$2,$Q436=Parametres!$G$3),K436,E436)</f>
        <v>7920.71</v>
      </c>
      <c r="Q436" s="654" t="str">
        <f t="shared" ref="Q436:S436" si="443">+F436</f>
        <v>7-Dépenses</v>
      </c>
      <c r="R436" s="653" t="str">
        <f t="shared" si="443"/>
        <v>6152</v>
      </c>
      <c r="S436" s="654">
        <f t="shared" si="443"/>
        <v>0</v>
      </c>
      <c r="T436" s="656" t="str">
        <f>+VLOOKUP($L436,Data_Validation!$A:$D,1,0)</f>
        <v>6752</v>
      </c>
      <c r="U436" s="656" t="str">
        <f>+VLOOKUP($L436,Data_Validation!$A:$D,3,0)</f>
        <v>Pièces</v>
      </c>
      <c r="V436" s="656" t="str">
        <f>+VLOOKUP($L436,Data_Validation!$A:$D,4,0)</f>
        <v>Papeterie</v>
      </c>
      <c r="W436" s="656" t="str">
        <f>+VLOOKUP($L436,Data_Validation!$A:$E,5,0)</f>
        <v>$</v>
      </c>
      <c r="X436" s="656">
        <f>+VLOOKUP($L436,Data_Validation!$A:$F,6,0)</f>
        <v>0</v>
      </c>
    </row>
    <row r="437" spans="1:24" ht="15" customHeight="1">
      <c r="A437" s="1052" t="s">
        <v>1201</v>
      </c>
      <c r="B437" s="1052" t="s">
        <v>2704</v>
      </c>
      <c r="C437" s="1054">
        <v>1024.3499999999999</v>
      </c>
      <c r="D437" s="1054">
        <v>81.28</v>
      </c>
      <c r="E437" s="1054">
        <v>1105.6300000000001</v>
      </c>
      <c r="F437" s="1052" t="s">
        <v>1154</v>
      </c>
      <c r="G437" s="1052" t="s">
        <v>1202</v>
      </c>
      <c r="H437" s="1042"/>
      <c r="I437" s="1042"/>
      <c r="J437" s="1042"/>
      <c r="K437" s="1042"/>
      <c r="L437" s="653" t="str">
        <f t="shared" si="393"/>
        <v>6753</v>
      </c>
      <c r="M437" s="654" t="str">
        <f t="shared" si="260"/>
        <v>TELEPHONE ET TELEX</v>
      </c>
      <c r="N437" s="655">
        <f>+IF(OR($Q437=Parametres!$G$2,$Q437=Parametres!$G$3),I437,C437)</f>
        <v>1024.3499999999999</v>
      </c>
      <c r="O437" s="655">
        <f>+IF(OR($Q437=Parametres!$G$2,$Q437=Parametres!$G$3),J437,D437)</f>
        <v>81.28</v>
      </c>
      <c r="P437" s="655">
        <f>+IF(OR($Q437=Parametres!$G$2,$Q437=Parametres!$G$3),K437,E437)</f>
        <v>1105.6300000000001</v>
      </c>
      <c r="Q437" s="654" t="str">
        <f t="shared" ref="Q437:S437" si="444">+F437</f>
        <v>7-Dépenses</v>
      </c>
      <c r="R437" s="653" t="str">
        <f t="shared" si="444"/>
        <v>6153</v>
      </c>
      <c r="S437" s="654">
        <f t="shared" si="444"/>
        <v>0</v>
      </c>
      <c r="T437" s="656" t="str">
        <f>+VLOOKUP($L437,Data_Validation!$A:$D,1,0)</f>
        <v>6753</v>
      </c>
      <c r="U437" s="656" t="str">
        <f>+VLOOKUP($L437,Data_Validation!$A:$D,3,0)</f>
        <v>Pièces</v>
      </c>
      <c r="V437" s="656" t="str">
        <f>+VLOOKUP($L437,Data_Validation!$A:$D,4,0)</f>
        <v>Téléphone</v>
      </c>
      <c r="W437" s="656" t="str">
        <f>+VLOOKUP($L437,Data_Validation!$A:$E,5,0)</f>
        <v>$</v>
      </c>
      <c r="X437" s="656">
        <f>+VLOOKUP($L437,Data_Validation!$A:$F,6,0)</f>
        <v>0</v>
      </c>
    </row>
    <row r="438" spans="1:24" ht="15" customHeight="1">
      <c r="A438" s="1052" t="s">
        <v>1203</v>
      </c>
      <c r="B438" s="1052" t="s">
        <v>2707</v>
      </c>
      <c r="C438" s="1054">
        <v>2290.08</v>
      </c>
      <c r="D438" s="1054">
        <v>-2.94</v>
      </c>
      <c r="E438" s="1054">
        <v>2287.14</v>
      </c>
      <c r="F438" s="1052" t="s">
        <v>1154</v>
      </c>
      <c r="G438" s="1052" t="s">
        <v>1204</v>
      </c>
      <c r="H438" s="1042"/>
      <c r="I438" s="1042"/>
      <c r="J438" s="1042"/>
      <c r="K438" s="1042"/>
      <c r="L438" s="653" t="str">
        <f t="shared" si="393"/>
        <v>6755</v>
      </c>
      <c r="M438" s="654" t="str">
        <f t="shared" si="260"/>
        <v>DEPENSES DIVERS</v>
      </c>
      <c r="N438" s="655">
        <f>+IF(OR($Q438=Parametres!$G$2,$Q438=Parametres!$G$3),I438,C438)</f>
        <v>2290.08</v>
      </c>
      <c r="O438" s="711">
        <f>+IF(OR($Q438=Parametres!$G$2,$Q438=Parametres!$G$3),J438,D438)</f>
        <v>-2.94</v>
      </c>
      <c r="P438" s="655">
        <f>+IF(OR($Q438=Parametres!$G$2,$Q438=Parametres!$G$3),K438,E438)</f>
        <v>2287.14</v>
      </c>
      <c r="Q438" s="654" t="str">
        <f t="shared" ref="Q438:S438" si="445">+F438</f>
        <v>7-Dépenses</v>
      </c>
      <c r="R438" s="653" t="str">
        <f t="shared" si="445"/>
        <v>6155</v>
      </c>
      <c r="S438" s="654">
        <f t="shared" si="445"/>
        <v>0</v>
      </c>
      <c r="T438" s="656" t="str">
        <f>+VLOOKUP($L438,Data_Validation!$A:$D,1,0)</f>
        <v>6755</v>
      </c>
      <c r="U438" s="656" t="str">
        <f>+VLOOKUP($L438,Data_Validation!$A:$D,3,0)</f>
        <v>Pièces</v>
      </c>
      <c r="V438" s="656" t="str">
        <f>+VLOOKUP($L438,Data_Validation!$A:$D,4,0)</f>
        <v>Divers</v>
      </c>
      <c r="W438" s="656" t="str">
        <f>+VLOOKUP($L438,Data_Validation!$A:$E,5,0)</f>
        <v>$</v>
      </c>
      <c r="X438" s="656">
        <f>+VLOOKUP($L438,Data_Validation!$A:$F,6,0)</f>
        <v>0</v>
      </c>
    </row>
    <row r="439" spans="1:24" ht="15" customHeight="1">
      <c r="A439" s="1052" t="s">
        <v>1277</v>
      </c>
      <c r="B439" s="1052" t="s">
        <v>2710</v>
      </c>
      <c r="C439" s="1054">
        <v>8090.64</v>
      </c>
      <c r="D439" s="1054">
        <v>746.87</v>
      </c>
      <c r="E439" s="1054">
        <v>8837.51</v>
      </c>
      <c r="F439" s="1052" t="s">
        <v>1154</v>
      </c>
      <c r="G439" s="1052" t="s">
        <v>1206</v>
      </c>
      <c r="H439" s="1042"/>
      <c r="I439" s="1042"/>
      <c r="J439" s="1042"/>
      <c r="K439" s="1042"/>
      <c r="L439" s="653" t="str">
        <f t="shared" si="393"/>
        <v>6756</v>
      </c>
      <c r="M439" s="654" t="str">
        <f t="shared" si="260"/>
        <v>FRAIS REPRESENTATION - PIECES</v>
      </c>
      <c r="N439" s="655">
        <f>+IF(OR($Q439=Parametres!$G$2,$Q439=Parametres!$G$3),I439,C439)</f>
        <v>8090.64</v>
      </c>
      <c r="O439" s="655">
        <f>+IF(OR($Q439=Parametres!$G$2,$Q439=Parametres!$G$3),J439,D439)</f>
        <v>746.87</v>
      </c>
      <c r="P439" s="655">
        <f>+IF(OR($Q439=Parametres!$G$2,$Q439=Parametres!$G$3),K439,E439)</f>
        <v>8837.51</v>
      </c>
      <c r="Q439" s="654" t="str">
        <f t="shared" ref="Q439:S439" si="446">+F439</f>
        <v>7-Dépenses</v>
      </c>
      <c r="R439" s="653" t="str">
        <f t="shared" si="446"/>
        <v>6156</v>
      </c>
      <c r="S439" s="654">
        <f t="shared" si="446"/>
        <v>0</v>
      </c>
      <c r="T439" s="656" t="str">
        <f>+VLOOKUP($L439,Data_Validation!$A:$D,1,0)</f>
        <v>6756</v>
      </c>
      <c r="U439" s="656" t="str">
        <f>+VLOOKUP($L439,Data_Validation!$A:$D,3,0)</f>
        <v>Pièces</v>
      </c>
      <c r="V439" s="656" t="str">
        <f>+VLOOKUP($L439,Data_Validation!$A:$D,4,0)</f>
        <v>Frais de déplacement</v>
      </c>
      <c r="W439" s="656" t="str">
        <f>+VLOOKUP($L439,Data_Validation!$A:$E,5,0)</f>
        <v>$</v>
      </c>
      <c r="X439" s="656">
        <f>+VLOOKUP($L439,Data_Validation!$A:$F,6,0)</f>
        <v>0</v>
      </c>
    </row>
    <row r="440" spans="1:24" ht="15" customHeight="1">
      <c r="A440" s="1052" t="s">
        <v>1278</v>
      </c>
      <c r="B440" s="1052" t="s">
        <v>3401</v>
      </c>
      <c r="C440" s="1054">
        <v>17649.330000000002</v>
      </c>
      <c r="D440" s="1054">
        <v>1630.49</v>
      </c>
      <c r="E440" s="1054">
        <v>19279.82</v>
      </c>
      <c r="F440" s="1052" t="s">
        <v>1154</v>
      </c>
      <c r="G440" s="1052" t="s">
        <v>3339</v>
      </c>
      <c r="H440" s="1042"/>
      <c r="I440" s="1042"/>
      <c r="J440" s="1042"/>
      <c r="K440" s="1042"/>
      <c r="L440" s="653" t="str">
        <f t="shared" si="393"/>
        <v>6757</v>
      </c>
      <c r="M440" s="654" t="str">
        <f t="shared" si="260"/>
        <v>FRAIS BANCAIRES - PIECES</v>
      </c>
      <c r="N440" s="655">
        <f>+IF(OR($Q440=Parametres!$G$2,$Q440=Parametres!$G$3),I440,C440)</f>
        <v>17649.330000000002</v>
      </c>
      <c r="O440" s="713">
        <f>+IF(OR($Q440=Parametres!$G$2,$Q440=Parametres!$G$3),J440,D440)</f>
        <v>1630.49</v>
      </c>
      <c r="P440" s="655">
        <f>+IF(OR($Q440=Parametres!$G$2,$Q440=Parametres!$G$3),K440,E440)</f>
        <v>19279.82</v>
      </c>
      <c r="Q440" s="654" t="str">
        <f t="shared" ref="Q440:S440" si="447">+F440</f>
        <v>7-Dépenses</v>
      </c>
      <c r="R440" s="653" t="str">
        <f t="shared" si="447"/>
        <v>675</v>
      </c>
      <c r="S440" s="654">
        <f t="shared" si="447"/>
        <v>0</v>
      </c>
      <c r="T440" s="656" t="str">
        <f>+VLOOKUP($L440,Data_Validation!$A:$D,1,0)</f>
        <v>6757</v>
      </c>
      <c r="U440" s="656" t="str">
        <f>+VLOOKUP($L440,Data_Validation!$A:$D,3,0)</f>
        <v>Pièces</v>
      </c>
      <c r="V440" s="656" t="str">
        <f>+VLOOKUP($L440,Data_Validation!$A:$D,4,0)</f>
        <v>Frais bancaires</v>
      </c>
      <c r="W440" s="656" t="str">
        <f>+VLOOKUP($L440,Data_Validation!$A:$E,5,0)</f>
        <v>$</v>
      </c>
      <c r="X440" s="656">
        <f>+VLOOKUP($L440,Data_Validation!$A:$F,6,0)</f>
        <v>0</v>
      </c>
    </row>
    <row r="441" spans="1:24" ht="15.75" customHeight="1">
      <c r="A441" s="1052" t="s">
        <v>1209</v>
      </c>
      <c r="B441" s="1052" t="s">
        <v>2713</v>
      </c>
      <c r="C441" s="1054">
        <v>102477.14</v>
      </c>
      <c r="D441" s="1054">
        <v>9918.16</v>
      </c>
      <c r="E441" s="1054">
        <v>112395.3</v>
      </c>
      <c r="F441" s="1052" t="s">
        <v>1154</v>
      </c>
      <c r="G441" s="1052" t="s">
        <v>1210</v>
      </c>
      <c r="H441" s="1042"/>
      <c r="I441" s="1042"/>
      <c r="J441" s="1042"/>
      <c r="K441" s="1042"/>
      <c r="L441" s="653" t="str">
        <f t="shared" si="393"/>
        <v>6759</v>
      </c>
      <c r="M441" s="654" t="str">
        <f t="shared" si="260"/>
        <v>SERVICE EXTERIEUR</v>
      </c>
      <c r="N441" s="655">
        <f>+IF(OR($Q441=Parametres!$G$2,$Q441=Parametres!$G$3),I441,C441)</f>
        <v>102477.14</v>
      </c>
      <c r="O441" s="655">
        <f>+IF(OR($Q441=Parametres!$G$2,$Q441=Parametres!$G$3),J441,D441)</f>
        <v>9918.16</v>
      </c>
      <c r="P441" s="655">
        <f>+IF(OR($Q441=Parametres!$G$2,$Q441=Parametres!$G$3),K441,E441)</f>
        <v>112395.3</v>
      </c>
      <c r="Q441" s="654" t="str">
        <f t="shared" ref="Q441:S441" si="448">+F441</f>
        <v>7-Dépenses</v>
      </c>
      <c r="R441" s="653" t="str">
        <f t="shared" si="448"/>
        <v>6159</v>
      </c>
      <c r="S441" s="654">
        <f t="shared" si="448"/>
        <v>0</v>
      </c>
      <c r="T441" s="656" t="str">
        <f>+VLOOKUP($L441,Data_Validation!$A:$D,1,0)</f>
        <v>6759</v>
      </c>
      <c r="U441" s="656" t="str">
        <f>+VLOOKUP($L441,Data_Validation!$A:$D,3,0)</f>
        <v>Pièces</v>
      </c>
      <c r="V441" s="656" t="str">
        <f>+VLOOKUP($L441,Data_Validation!$A:$D,4,0)</f>
        <v>Services extérieurs</v>
      </c>
      <c r="W441" s="656" t="str">
        <f>+VLOOKUP($L441,Data_Validation!$A:$E,5,0)</f>
        <v>$</v>
      </c>
      <c r="X441" s="656">
        <f>+VLOOKUP($L441,Data_Validation!$A:$F,6,0)</f>
        <v>0</v>
      </c>
    </row>
    <row r="442" spans="1:24" ht="15" customHeight="1">
      <c r="A442" s="1052" t="s">
        <v>1211</v>
      </c>
      <c r="B442" s="1052" t="s">
        <v>2716</v>
      </c>
      <c r="C442" s="1054">
        <v>11864.82</v>
      </c>
      <c r="D442" s="1054">
        <v>1078.6199999999999</v>
      </c>
      <c r="E442" s="1054">
        <v>12943.44</v>
      </c>
      <c r="F442" s="1052" t="s">
        <v>1154</v>
      </c>
      <c r="G442" s="1052" t="s">
        <v>1212</v>
      </c>
      <c r="H442" s="1042"/>
      <c r="I442" s="1042"/>
      <c r="J442" s="1042"/>
      <c r="K442" s="1042"/>
      <c r="L442" s="653" t="str">
        <f t="shared" si="393"/>
        <v>6761</v>
      </c>
      <c r="M442" s="654" t="str">
        <f t="shared" si="260"/>
        <v>DEPRECIATION EQUIP. &amp; FIXTURES</v>
      </c>
      <c r="N442" s="655">
        <f>+IF(OR($Q442=Parametres!$G$2,$Q442=Parametres!$G$3),I442,C442)</f>
        <v>11864.82</v>
      </c>
      <c r="O442" s="655">
        <f>+IF(OR($Q442=Parametres!$G$2,$Q442=Parametres!$G$3),J442,D442)</f>
        <v>1078.6199999999999</v>
      </c>
      <c r="P442" s="655">
        <f>+IF(OR($Q442=Parametres!$G$2,$Q442=Parametres!$G$3),K442,E442)</f>
        <v>12943.44</v>
      </c>
      <c r="Q442" s="654" t="str">
        <f t="shared" ref="Q442:S442" si="449">+F442</f>
        <v>7-Dépenses</v>
      </c>
      <c r="R442" s="653" t="str">
        <f t="shared" si="449"/>
        <v>6161</v>
      </c>
      <c r="S442" s="654">
        <f t="shared" si="449"/>
        <v>0</v>
      </c>
      <c r="T442" s="656" t="str">
        <f>+VLOOKUP($L442,Data_Validation!$A:$D,1,0)</f>
        <v>6761</v>
      </c>
      <c r="U442" s="656" t="str">
        <f>+VLOOKUP($L442,Data_Validation!$A:$D,3,0)</f>
        <v>Pièces</v>
      </c>
      <c r="V442" s="656" t="str">
        <f>+VLOOKUP($L442,Data_Validation!$A:$D,4,0)</f>
        <v>Amortissement</v>
      </c>
      <c r="W442" s="656" t="str">
        <f>+VLOOKUP($L442,Data_Validation!$A:$E,5,0)</f>
        <v>$</v>
      </c>
      <c r="X442" s="656">
        <f>+VLOOKUP($L442,Data_Validation!$A:$F,6,0)</f>
        <v>0</v>
      </c>
    </row>
    <row r="443" spans="1:24" ht="15" customHeight="1">
      <c r="A443" s="1052" t="s">
        <v>1279</v>
      </c>
      <c r="B443" s="1052" t="s">
        <v>2725</v>
      </c>
      <c r="C443" s="1054">
        <v>6958.19</v>
      </c>
      <c r="D443" s="1054">
        <v>232.71</v>
      </c>
      <c r="E443" s="1054">
        <v>7190.9</v>
      </c>
      <c r="F443" s="1052" t="s">
        <v>1154</v>
      </c>
      <c r="G443" s="1052" t="s">
        <v>1214</v>
      </c>
      <c r="H443" s="1042"/>
      <c r="I443" s="1042"/>
      <c r="J443" s="1042"/>
      <c r="K443" s="1042"/>
      <c r="L443" s="653" t="str">
        <f t="shared" si="393"/>
        <v>6781</v>
      </c>
      <c r="M443" s="654" t="str">
        <f t="shared" si="260"/>
        <v>CHAUFFAGE,ELECTRICITE,EAU-PIECES</v>
      </c>
      <c r="N443" s="655">
        <f>+IF(OR($Q443=Parametres!$G$2,$Q443=Parametres!$G$3),I443,C443)</f>
        <v>6958.19</v>
      </c>
      <c r="O443" s="655">
        <f>+IF(OR($Q443=Parametres!$G$2,$Q443=Parametres!$G$3),J443,D443)</f>
        <v>232.71</v>
      </c>
      <c r="P443" s="655">
        <f>+IF(OR($Q443=Parametres!$G$2,$Q443=Parametres!$G$3),K443,E443)</f>
        <v>7190.9</v>
      </c>
      <c r="Q443" s="654" t="str">
        <f t="shared" ref="Q443:S443" si="450">+F443</f>
        <v>7-Dépenses</v>
      </c>
      <c r="R443" s="653" t="str">
        <f t="shared" si="450"/>
        <v>6181</v>
      </c>
      <c r="S443" s="654">
        <f t="shared" si="450"/>
        <v>0</v>
      </c>
      <c r="T443" s="656" t="str">
        <f>+VLOOKUP($L443,Data_Validation!$A:$D,1,0)</f>
        <v>6781</v>
      </c>
      <c r="U443" s="656" t="str">
        <f>+VLOOKUP($L443,Data_Validation!$A:$D,3,0)</f>
        <v>Pièces</v>
      </c>
      <c r="V443" s="656" t="str">
        <f>+VLOOKUP($L443,Data_Validation!$A:$D,4,0)</f>
        <v>Chauffage, éclairage</v>
      </c>
      <c r="W443" s="656" t="str">
        <f>+VLOOKUP($L443,Data_Validation!$A:$E,5,0)</f>
        <v>$</v>
      </c>
      <c r="X443" s="656">
        <f>+VLOOKUP($L443,Data_Validation!$A:$F,6,0)</f>
        <v>0</v>
      </c>
    </row>
    <row r="444" spans="1:24" ht="15" customHeight="1">
      <c r="A444" s="1052" t="s">
        <v>1280</v>
      </c>
      <c r="B444" s="1052" t="s">
        <v>2728</v>
      </c>
      <c r="C444" s="1054">
        <v>71500</v>
      </c>
      <c r="D444" s="1054">
        <v>6500</v>
      </c>
      <c r="E444" s="1054">
        <v>78000</v>
      </c>
      <c r="F444" s="1052" t="s">
        <v>1154</v>
      </c>
      <c r="G444" s="1052" t="s">
        <v>1216</v>
      </c>
      <c r="H444" s="1042"/>
      <c r="I444" s="1042"/>
      <c r="J444" s="1042"/>
      <c r="K444" s="1042"/>
      <c r="L444" s="653" t="str">
        <f t="shared" si="393"/>
        <v>6782</v>
      </c>
      <c r="M444" s="654" t="str">
        <f t="shared" si="260"/>
        <v>LOYER - PIECES</v>
      </c>
      <c r="N444" s="655">
        <f>+IF(OR($Q444=Parametres!$G$2,$Q444=Parametres!$G$3),I444,C444)</f>
        <v>71500</v>
      </c>
      <c r="O444" s="655">
        <f>+IF(OR($Q444=Parametres!$G$2,$Q444=Parametres!$G$3),J444,D444)</f>
        <v>6500</v>
      </c>
      <c r="P444" s="655">
        <f>+IF(OR($Q444=Parametres!$G$2,$Q444=Parametres!$G$3),K444,E444)</f>
        <v>78000</v>
      </c>
      <c r="Q444" s="654" t="str">
        <f t="shared" ref="Q444:S444" si="451">+F444</f>
        <v>7-Dépenses</v>
      </c>
      <c r="R444" s="653" t="str">
        <f t="shared" si="451"/>
        <v>6182</v>
      </c>
      <c r="S444" s="654">
        <f t="shared" si="451"/>
        <v>0</v>
      </c>
      <c r="T444" s="656" t="str">
        <f>+VLOOKUP($L444,Data_Validation!$A:$D,1,0)</f>
        <v>6782</v>
      </c>
      <c r="U444" s="656" t="str">
        <f>+VLOOKUP($L444,Data_Validation!$A:$D,3,0)</f>
        <v>Pièces</v>
      </c>
      <c r="V444" s="656" t="str">
        <f>+VLOOKUP($L444,Data_Validation!$A:$D,4,0)</f>
        <v>Loyer</v>
      </c>
      <c r="W444" s="656" t="str">
        <f>+VLOOKUP($L444,Data_Validation!$A:$E,5,0)</f>
        <v>$</v>
      </c>
      <c r="X444" s="656">
        <f>+VLOOKUP($L444,Data_Validation!$A:$F,6,0)</f>
        <v>0</v>
      </c>
    </row>
    <row r="445" spans="1:24" ht="15" customHeight="1">
      <c r="A445" s="1052" t="s">
        <v>1281</v>
      </c>
      <c r="B445" s="1052" t="s">
        <v>2731</v>
      </c>
      <c r="C445" s="1054">
        <v>11745.25</v>
      </c>
      <c r="D445" s="1054">
        <v>1067.75</v>
      </c>
      <c r="E445" s="1054">
        <v>12813</v>
      </c>
      <c r="F445" s="1052" t="s">
        <v>1154</v>
      </c>
      <c r="G445" s="1052" t="s">
        <v>1218</v>
      </c>
      <c r="H445" s="1042"/>
      <c r="I445" s="1042"/>
      <c r="J445" s="1042"/>
      <c r="K445" s="1042"/>
      <c r="L445" s="653" t="str">
        <f t="shared" si="393"/>
        <v>6786</v>
      </c>
      <c r="M445" s="654" t="str">
        <f t="shared" si="260"/>
        <v>ASSURANCE BATISSE &amp; AMEL.-PIECES</v>
      </c>
      <c r="N445" s="655">
        <f>+IF(OR($Q445=Parametres!$G$2,$Q445=Parametres!$G$3),I445,C445)</f>
        <v>11745.25</v>
      </c>
      <c r="O445" s="655">
        <f>+IF(OR($Q445=Parametres!$G$2,$Q445=Parametres!$G$3),J445,D445)</f>
        <v>1067.75</v>
      </c>
      <c r="P445" s="655">
        <f>+IF(OR($Q445=Parametres!$G$2,$Q445=Parametres!$G$3),K445,E445)</f>
        <v>12813</v>
      </c>
      <c r="Q445" s="654" t="str">
        <f t="shared" ref="Q445:S445" si="452">+F445</f>
        <v>7-Dépenses</v>
      </c>
      <c r="R445" s="653" t="str">
        <f t="shared" si="452"/>
        <v>6186</v>
      </c>
      <c r="S445" s="654">
        <f t="shared" si="452"/>
        <v>0</v>
      </c>
      <c r="T445" s="656" t="str">
        <f>+VLOOKUP($L445,Data_Validation!$A:$D,1,0)</f>
        <v>6786</v>
      </c>
      <c r="U445" s="656" t="str">
        <f>+VLOOKUP($L445,Data_Validation!$A:$D,3,0)</f>
        <v>Pièces</v>
      </c>
      <c r="V445" s="656" t="str">
        <f>+VLOOKUP($L445,Data_Validation!$A:$D,4,0)</f>
        <v>Assurances</v>
      </c>
      <c r="W445" s="656" t="str">
        <f>+VLOOKUP($L445,Data_Validation!$A:$E,5,0)</f>
        <v>$</v>
      </c>
      <c r="X445" s="656">
        <f>+VLOOKUP($L445,Data_Validation!$A:$F,6,0)</f>
        <v>0</v>
      </c>
    </row>
    <row r="446" spans="1:24" ht="15.75" customHeight="1">
      <c r="A446" s="1052" t="s">
        <v>1282</v>
      </c>
      <c r="B446" s="1052" t="s">
        <v>2734</v>
      </c>
      <c r="C446" s="1054">
        <v>13557.5</v>
      </c>
      <c r="D446" s="1054">
        <v>414.01</v>
      </c>
      <c r="E446" s="1054">
        <v>13971.51</v>
      </c>
      <c r="F446" s="1052" t="s">
        <v>1154</v>
      </c>
      <c r="G446" s="1052" t="s">
        <v>1220</v>
      </c>
      <c r="H446" s="1042"/>
      <c r="I446" s="1042"/>
      <c r="J446" s="1042"/>
      <c r="K446" s="1042"/>
      <c r="L446" s="653" t="str">
        <f t="shared" si="393"/>
        <v>6787</v>
      </c>
      <c r="M446" s="654" t="str">
        <f t="shared" si="260"/>
        <v>TAXES FONCIERES - PIECES</v>
      </c>
      <c r="N446" s="655">
        <f>+IF(OR($Q446=Parametres!$G$2,$Q446=Parametres!$G$3),I446,C446)</f>
        <v>13557.5</v>
      </c>
      <c r="O446" s="655">
        <f>+IF(OR($Q446=Parametres!$G$2,$Q446=Parametres!$G$3),J446,D446)</f>
        <v>414.01</v>
      </c>
      <c r="P446" s="655">
        <f>+IF(OR($Q446=Parametres!$G$2,$Q446=Parametres!$G$3),K446,E446)</f>
        <v>13971.51</v>
      </c>
      <c r="Q446" s="654" t="str">
        <f t="shared" ref="Q446:S446" si="453">+F446</f>
        <v>7-Dépenses</v>
      </c>
      <c r="R446" s="653" t="str">
        <f t="shared" si="453"/>
        <v>6187</v>
      </c>
      <c r="S446" s="654">
        <f t="shared" si="453"/>
        <v>0</v>
      </c>
      <c r="T446" s="656" t="str">
        <f>+VLOOKUP($L446,Data_Validation!$A:$D,1,0)</f>
        <v>6787</v>
      </c>
      <c r="U446" s="656" t="str">
        <f>+VLOOKUP($L446,Data_Validation!$A:$D,3,0)</f>
        <v>Pièces</v>
      </c>
      <c r="V446" s="656" t="str">
        <f>+VLOOKUP($L446,Data_Validation!$A:$D,4,0)</f>
        <v>Taxes foncières</v>
      </c>
      <c r="W446" s="656" t="str">
        <f>+VLOOKUP($L446,Data_Validation!$A:$E,5,0)</f>
        <v>$</v>
      </c>
      <c r="X446" s="656">
        <f>+VLOOKUP($L446,Data_Validation!$A:$F,6,0)</f>
        <v>0</v>
      </c>
    </row>
    <row r="447" spans="1:24" ht="15.75" customHeight="1">
      <c r="A447" s="1052" t="s">
        <v>1283</v>
      </c>
      <c r="B447" s="1052" t="s">
        <v>2737</v>
      </c>
      <c r="C447" s="1054">
        <v>9020</v>
      </c>
      <c r="D447" s="1054">
        <v>820</v>
      </c>
      <c r="E447" s="1054">
        <v>9840</v>
      </c>
      <c r="F447" s="1052" t="s">
        <v>1154</v>
      </c>
      <c r="G447" s="1052" t="s">
        <v>1222</v>
      </c>
      <c r="H447" s="1042"/>
      <c r="I447" s="1043"/>
      <c r="J447" s="1043"/>
      <c r="K447" s="1043"/>
      <c r="L447" s="653" t="str">
        <f t="shared" si="393"/>
        <v>6793</v>
      </c>
      <c r="M447" s="654" t="str">
        <f t="shared" si="260"/>
        <v>AUTRES TAXES - PIECES</v>
      </c>
      <c r="N447" s="655">
        <f>+IF(OR($Q447=Parametres!$G$2,$Q447=Parametres!$G$3),I447,C447)</f>
        <v>9020</v>
      </c>
      <c r="O447" s="655">
        <f>+IF(OR($Q447=Parametres!$G$2,$Q447=Parametres!$G$3),J447,D447)</f>
        <v>820</v>
      </c>
      <c r="P447" s="655">
        <f>+IF(OR($Q447=Parametres!$G$2,$Q447=Parametres!$G$3),K447,E447)</f>
        <v>9840</v>
      </c>
      <c r="Q447" s="654" t="str">
        <f t="shared" ref="Q447:S447" si="454">+F447</f>
        <v>7-Dépenses</v>
      </c>
      <c r="R447" s="653" t="str">
        <f t="shared" si="454"/>
        <v>6193</v>
      </c>
      <c r="S447" s="654">
        <f t="shared" si="454"/>
        <v>0</v>
      </c>
      <c r="T447" s="656" t="str">
        <f>+VLOOKUP($L447,Data_Validation!$A:$D,1,0)</f>
        <v>6793</v>
      </c>
      <c r="U447" s="656" t="str">
        <f>+VLOOKUP($L447,Data_Validation!$A:$D,3,0)</f>
        <v>Pièces</v>
      </c>
      <c r="V447" s="656" t="str">
        <f>+VLOOKUP($L447,Data_Validation!$A:$D,4,0)</f>
        <v>Taxes d`affaires</v>
      </c>
      <c r="W447" s="656" t="str">
        <f>+VLOOKUP($L447,Data_Validation!$A:$E,5,0)</f>
        <v>$</v>
      </c>
      <c r="X447" s="656">
        <f>+VLOOKUP($L447,Data_Validation!$A:$F,6,0)</f>
        <v>0</v>
      </c>
    </row>
    <row r="448" spans="1:24" ht="15" customHeight="1">
      <c r="A448" s="1052" t="s">
        <v>1284</v>
      </c>
      <c r="B448" s="1052" t="s">
        <v>2740</v>
      </c>
      <c r="C448" s="1054">
        <v>16839.13</v>
      </c>
      <c r="D448" s="1054">
        <v>1530.83</v>
      </c>
      <c r="E448" s="1054">
        <v>18369.96</v>
      </c>
      <c r="F448" s="1052" t="s">
        <v>1154</v>
      </c>
      <c r="G448" s="1052" t="s">
        <v>1224</v>
      </c>
      <c r="H448" s="1042"/>
      <c r="I448" s="1043"/>
      <c r="J448" s="1043"/>
      <c r="K448" s="1043"/>
      <c r="L448" s="653" t="str">
        <f t="shared" si="393"/>
        <v>6794</v>
      </c>
      <c r="M448" s="654" t="str">
        <f t="shared" si="260"/>
        <v>FRAIS PROFESSIONNEL-PIECES</v>
      </c>
      <c r="N448" s="655">
        <f>+IF(OR($Q448=Parametres!$G$2,$Q448=Parametres!$G$3),I448,C448)</f>
        <v>16839.13</v>
      </c>
      <c r="O448" s="655">
        <f>+IF(OR($Q448=Parametres!$G$2,$Q448=Parametres!$G$3),J448,D448)</f>
        <v>1530.83</v>
      </c>
      <c r="P448" s="655">
        <f>+IF(OR($Q448=Parametres!$G$2,$Q448=Parametres!$G$3),K448,E448)</f>
        <v>18369.96</v>
      </c>
      <c r="Q448" s="654" t="str">
        <f t="shared" ref="Q448:S448" si="455">+F448</f>
        <v>7-Dépenses</v>
      </c>
      <c r="R448" s="653" t="str">
        <f t="shared" si="455"/>
        <v>6194</v>
      </c>
      <c r="S448" s="654">
        <f t="shared" si="455"/>
        <v>0</v>
      </c>
      <c r="T448" s="656" t="str">
        <f>+VLOOKUP($L448,Data_Validation!$A:$D,1,0)</f>
        <v>6794</v>
      </c>
      <c r="U448" s="656" t="str">
        <f>+VLOOKUP($L448,Data_Validation!$A:$D,3,0)</f>
        <v>Pièces</v>
      </c>
      <c r="V448" s="656" t="str">
        <f>+VLOOKUP($L448,Data_Validation!$A:$D,4,0)</f>
        <v>Honoraires</v>
      </c>
      <c r="W448" s="656" t="str">
        <f>+VLOOKUP($L448,Data_Validation!$A:$E,5,0)</f>
        <v>$</v>
      </c>
      <c r="X448" s="656">
        <f>+VLOOKUP($L448,Data_Validation!$A:$F,6,0)</f>
        <v>0</v>
      </c>
    </row>
    <row r="449" spans="1:24" ht="15" customHeight="1">
      <c r="A449" s="1052" t="s">
        <v>3682</v>
      </c>
      <c r="B449" s="1052" t="s">
        <v>3403</v>
      </c>
      <c r="C449" s="1054">
        <v>0</v>
      </c>
      <c r="D449" s="1054">
        <v>450</v>
      </c>
      <c r="E449" s="1054">
        <v>450</v>
      </c>
      <c r="F449" s="1052" t="s">
        <v>1285</v>
      </c>
      <c r="G449" s="1052" t="s">
        <v>1286</v>
      </c>
      <c r="H449" s="1044"/>
      <c r="I449" s="1044"/>
      <c r="J449" s="1044"/>
      <c r="K449" s="1044"/>
      <c r="L449" s="653" t="str">
        <f t="shared" si="393"/>
        <v>9143</v>
      </c>
      <c r="M449" s="654" t="str">
        <f t="shared" si="260"/>
        <v>PRIMES DE PERFORMANCE VW</v>
      </c>
      <c r="N449" s="655">
        <f>+IF(OR($Q449=Parametres!$G$2,$Q449=Parametres!$G$3),I449,C449)</f>
        <v>0</v>
      </c>
      <c r="O449" s="655">
        <f>+IF(OR($Q449=Parametres!$G$2,$Q449=Parametres!$G$3),J449,D449)</f>
        <v>450</v>
      </c>
      <c r="P449" s="655">
        <f>+IF(OR($Q449=Parametres!$G$2,$Q449=Parametres!$G$3),K449,E449)</f>
        <v>450</v>
      </c>
      <c r="Q449" s="654" t="str">
        <f t="shared" ref="Q449:S449" si="456">+F449</f>
        <v>8-Autres revenus</v>
      </c>
      <c r="R449" s="653" t="str">
        <f t="shared" si="456"/>
        <v>9101</v>
      </c>
      <c r="S449" s="654">
        <f t="shared" si="456"/>
        <v>0</v>
      </c>
      <c r="T449" s="656" t="str">
        <f>+VLOOKUP($L449,Data_Validation!$A:$D,1,0)</f>
        <v>9143</v>
      </c>
      <c r="U449" s="656" t="str">
        <f>+VLOOKUP($L449,Data_Validation!$A:$D,3,0)</f>
        <v>TOTAL  DES  REVENUS  ET  DÉPENSES</v>
      </c>
      <c r="V449" s="656" t="str">
        <f>+VLOOKUP($L449,Data_Validation!$A:$D,4,0)</f>
        <v>Revenus autres</v>
      </c>
      <c r="W449" s="656" t="str">
        <f>+VLOOKUP($L449,Data_Validation!$A:$E,5,0)</f>
        <v>$</v>
      </c>
      <c r="X449" s="656">
        <f>+VLOOKUP($L449,Data_Validation!$A:$F,6,0)</f>
        <v>0</v>
      </c>
    </row>
    <row r="450" spans="1:24" ht="15" customHeight="1">
      <c r="A450" s="1052" t="s">
        <v>1287</v>
      </c>
      <c r="B450" s="1052" t="s">
        <v>2751</v>
      </c>
      <c r="C450" s="1054">
        <v>-648421.92000000004</v>
      </c>
      <c r="D450" s="1054">
        <v>-45541</v>
      </c>
      <c r="E450" s="1054">
        <v>-693962.92</v>
      </c>
      <c r="F450" s="1052" t="s">
        <v>1285</v>
      </c>
      <c r="G450" s="1052" t="s">
        <v>1286</v>
      </c>
      <c r="H450" s="1044"/>
      <c r="I450" s="1044"/>
      <c r="J450" s="1044"/>
      <c r="K450" s="1044"/>
      <c r="L450" s="653" t="str">
        <f t="shared" si="393"/>
        <v>9149</v>
      </c>
      <c r="M450" s="654" t="str">
        <f t="shared" si="260"/>
        <v>REVENU RESERVE VOLKS</v>
      </c>
      <c r="N450" s="655">
        <f>+IF(OR($Q450=Parametres!$G$2,$Q450=Parametres!$G$3),I450,C450)</f>
        <v>-648421.92000000004</v>
      </c>
      <c r="O450" s="655">
        <f>+IF(OR($Q450=Parametres!$G$2,$Q450=Parametres!$G$3),J450,D450)</f>
        <v>-45541</v>
      </c>
      <c r="P450" s="655">
        <f>+IF(OR($Q450=Parametres!$G$2,$Q450=Parametres!$G$3),K450,E450)</f>
        <v>-693962.92</v>
      </c>
      <c r="Q450" s="654" t="str">
        <f t="shared" ref="Q450:S450" si="457">+F450</f>
        <v>8-Autres revenus</v>
      </c>
      <c r="R450" s="653" t="str">
        <f t="shared" si="457"/>
        <v>9101</v>
      </c>
      <c r="S450" s="654">
        <f t="shared" si="457"/>
        <v>0</v>
      </c>
      <c r="T450" s="656" t="str">
        <f>+VLOOKUP($L450,Data_Validation!$A:$D,1,0)</f>
        <v>9149</v>
      </c>
      <c r="U450" s="656" t="str">
        <f>+VLOOKUP($L450,Data_Validation!$A:$D,3,0)</f>
        <v>Véhicules neufs</v>
      </c>
      <c r="V450" s="656" t="str">
        <f>+VLOOKUP($L450,Data_Validation!$A:$D,4,0)</f>
        <v>Holdbacks</v>
      </c>
      <c r="W450" s="656" t="str">
        <f>+VLOOKUP($L450,Data_Validation!$A:$E,5,0)</f>
        <v>$</v>
      </c>
      <c r="X450" s="656">
        <f>+VLOOKUP($L450,Data_Validation!$A:$F,6,0)</f>
        <v>0</v>
      </c>
    </row>
    <row r="451" spans="1:24" ht="15" customHeight="1">
      <c r="A451" s="1052" t="s">
        <v>1288</v>
      </c>
      <c r="B451" s="1052" t="s">
        <v>1289</v>
      </c>
      <c r="C451" s="1054">
        <v>-69988.2</v>
      </c>
      <c r="D451" s="1054">
        <v>-10129.6</v>
      </c>
      <c r="E451" s="1054">
        <v>-80117.8</v>
      </c>
      <c r="F451" s="1052" t="s">
        <v>1285</v>
      </c>
      <c r="G451" s="1052" t="s">
        <v>1289</v>
      </c>
      <c r="H451" s="1044"/>
      <c r="I451" s="1045"/>
      <c r="J451" s="1045"/>
      <c r="K451" s="1045"/>
      <c r="L451" s="653" t="str">
        <f t="shared" ref="L451:L514" si="458">TEXT(B451,0)</f>
        <v>9152</v>
      </c>
      <c r="M451" s="654" t="str">
        <f t="shared" si="260"/>
        <v>ESCOMPTES SUR ACHAT PIECES</v>
      </c>
      <c r="N451" s="655">
        <f>+IF(OR($Q451=Parametres!$G$2,$Q451=Parametres!$G$3),I451,C451)</f>
        <v>-69988.2</v>
      </c>
      <c r="O451" s="655">
        <f>+IF(OR($Q451=Parametres!$G$2,$Q451=Parametres!$G$3),J451,D451)</f>
        <v>-10129.6</v>
      </c>
      <c r="P451" s="655">
        <f>+IF(OR($Q451=Parametres!$G$2,$Q451=Parametres!$G$3),K451,E451)</f>
        <v>-80117.8</v>
      </c>
      <c r="Q451" s="654" t="str">
        <f t="shared" ref="Q451:S451" si="459">+F451</f>
        <v>8-Autres revenus</v>
      </c>
      <c r="R451" s="653" t="str">
        <f t="shared" si="459"/>
        <v>9152</v>
      </c>
      <c r="S451" s="654">
        <f t="shared" si="459"/>
        <v>0</v>
      </c>
      <c r="T451" s="656" t="str">
        <f>+VLOOKUP($L451,Data_Validation!$A:$D,1,0)</f>
        <v>9152</v>
      </c>
      <c r="U451" s="656" t="str">
        <f>+VLOOKUP($L451,Data_Validation!$A:$D,3,0)</f>
        <v>Pièces</v>
      </c>
      <c r="V451" s="656" t="str">
        <f>+VLOOKUP($L451,Data_Validation!$A:$D,4,0)</f>
        <v>Escomptes</v>
      </c>
      <c r="W451" s="656" t="str">
        <f>+VLOOKUP($L451,Data_Validation!$A:$E,5,0)</f>
        <v>$</v>
      </c>
      <c r="X451" s="656">
        <f>+VLOOKUP($L451,Data_Validation!$A:$F,6,0)</f>
        <v>0</v>
      </c>
    </row>
    <row r="452" spans="1:24" ht="15.75" customHeight="1">
      <c r="A452" s="1052" t="s">
        <v>3415</v>
      </c>
      <c r="B452" s="1052" t="s">
        <v>2756</v>
      </c>
      <c r="C452" s="1054">
        <v>-22000</v>
      </c>
      <c r="D452" s="1054">
        <v>-21300</v>
      </c>
      <c r="E452" s="1054">
        <v>-43300</v>
      </c>
      <c r="F452" s="1052" t="s">
        <v>1285</v>
      </c>
      <c r="G452" s="1052" t="s">
        <v>3416</v>
      </c>
      <c r="H452" s="1044"/>
      <c r="I452" s="1045"/>
      <c r="J452" s="1045"/>
      <c r="K452" s="1045"/>
      <c r="L452" s="653" t="str">
        <f t="shared" si="458"/>
        <v>9157</v>
      </c>
      <c r="M452" s="654" t="str">
        <f t="shared" si="260"/>
        <v>BONUS EXPERIENCE + - NV</v>
      </c>
      <c r="N452" s="655">
        <f>+IF(OR($Q452=Parametres!$G$2,$Q452=Parametres!$G$3),I452,C452)</f>
        <v>-22000</v>
      </c>
      <c r="O452" s="655">
        <f>+IF(OR($Q452=Parametres!$G$2,$Q452=Parametres!$G$3),J452,D452)</f>
        <v>-21300</v>
      </c>
      <c r="P452" s="655">
        <f>+IF(OR($Q452=Parametres!$G$2,$Q452=Parametres!$G$3),K452,E452)</f>
        <v>-43300</v>
      </c>
      <c r="Q452" s="654" t="str">
        <f t="shared" ref="Q452:S452" si="460">+F452</f>
        <v>8-Autres revenus</v>
      </c>
      <c r="R452" s="653" t="str">
        <f t="shared" si="460"/>
        <v>915</v>
      </c>
      <c r="S452" s="654">
        <f t="shared" si="460"/>
        <v>0</v>
      </c>
      <c r="T452" s="656" t="str">
        <f>+VLOOKUP($L452,Data_Validation!$A:$D,1,0)</f>
        <v>9157</v>
      </c>
      <c r="U452" s="656" t="str">
        <f>+VLOOKUP($L452,Data_Validation!$A:$D,3,0)</f>
        <v>Véhicules neufs</v>
      </c>
      <c r="V452" s="656" t="str">
        <f>+VLOOKUP($L452,Data_Validation!$A:$D,4,0)</f>
        <v>Programme neuf 1</v>
      </c>
      <c r="W452" s="656" t="str">
        <f>+VLOOKUP($L452,Data_Validation!$A:$E,5,0)</f>
        <v>$</v>
      </c>
      <c r="X452" s="656">
        <f>+VLOOKUP($L452,Data_Validation!$A:$F,6,0)</f>
        <v>0</v>
      </c>
    </row>
    <row r="453" spans="1:24" ht="15" customHeight="1">
      <c r="A453" s="1052" t="s">
        <v>1290</v>
      </c>
      <c r="B453" s="1052" t="s">
        <v>1291</v>
      </c>
      <c r="C453" s="1054">
        <v>-107648.72</v>
      </c>
      <c r="D453" s="1054">
        <v>-12066.34</v>
      </c>
      <c r="E453" s="1054">
        <v>-119715.06</v>
      </c>
      <c r="F453" s="1052" t="s">
        <v>1285</v>
      </c>
      <c r="G453" s="1052" t="s">
        <v>1291</v>
      </c>
      <c r="H453" s="1044"/>
      <c r="I453" s="1045"/>
      <c r="J453" s="1045"/>
      <c r="K453" s="1045"/>
      <c r="L453" s="653" t="str">
        <f t="shared" si="458"/>
        <v>9161</v>
      </c>
      <c r="M453" s="654" t="str">
        <f t="shared" si="260"/>
        <v>REVENU FIN ET ASS NEUF</v>
      </c>
      <c r="N453" s="655">
        <f>+IF(OR($Q453=Parametres!$G$2,$Q453=Parametres!$G$3),I453,C453)</f>
        <v>-107648.72</v>
      </c>
      <c r="O453" s="655">
        <f>+IF(OR($Q453=Parametres!$G$2,$Q453=Parametres!$G$3),J453,D453)</f>
        <v>-12066.34</v>
      </c>
      <c r="P453" s="655">
        <f>+IF(OR($Q453=Parametres!$G$2,$Q453=Parametres!$G$3),K453,E453)</f>
        <v>-119715.06</v>
      </c>
      <c r="Q453" s="654" t="str">
        <f t="shared" ref="Q453:S453" si="461">+F453</f>
        <v>8-Autres revenus</v>
      </c>
      <c r="R453" s="653" t="str">
        <f t="shared" si="461"/>
        <v>9161</v>
      </c>
      <c r="S453" s="654">
        <f t="shared" si="461"/>
        <v>0</v>
      </c>
      <c r="T453" s="656" t="str">
        <f>+VLOOKUP($L453,Data_Validation!$A:$D,1,0)</f>
        <v>9161</v>
      </c>
      <c r="U453" s="656" t="str">
        <f>+VLOOKUP($L453,Data_Validation!$A:$D,3,0)</f>
        <v>Véhicules neufs</v>
      </c>
      <c r="V453" s="656" t="str">
        <f>+VLOOKUP($L453,Data_Validation!$A:$D,4,0)</f>
        <v>Rev. Finances</v>
      </c>
      <c r="W453" s="656" t="str">
        <f>+VLOOKUP($L453,Data_Validation!$A:$E,5,0)</f>
        <v>$</v>
      </c>
      <c r="X453" s="656" t="str">
        <f>+VLOOKUP($L453,Data_Validation!$A:$F,6,0)</f>
        <v>Oui</v>
      </c>
    </row>
    <row r="454" spans="1:24" ht="15" customHeight="1">
      <c r="A454" s="1052" t="s">
        <v>1294</v>
      </c>
      <c r="B454" s="1052" t="s">
        <v>1295</v>
      </c>
      <c r="C454" s="1054">
        <v>-368418.67</v>
      </c>
      <c r="D454" s="1054">
        <v>-16637.84</v>
      </c>
      <c r="E454" s="1054">
        <v>-385056.51</v>
      </c>
      <c r="F454" s="1052" t="s">
        <v>1285</v>
      </c>
      <c r="G454" s="1052" t="s">
        <v>1295</v>
      </c>
      <c r="H454" s="1044"/>
      <c r="I454" s="1045"/>
      <c r="J454" s="1045"/>
      <c r="K454" s="1045"/>
      <c r="L454" s="653" t="str">
        <f t="shared" si="458"/>
        <v>9163</v>
      </c>
      <c r="M454" s="654" t="str">
        <f t="shared" si="260"/>
        <v>RESERVE FIN ET ASS VEH OCCASION</v>
      </c>
      <c r="N454" s="655">
        <f>+IF(OR($Q454=Parametres!$G$2,$Q454=Parametres!$G$3),I454,C454)</f>
        <v>-368418.67</v>
      </c>
      <c r="O454" s="655">
        <f>+IF(OR($Q454=Parametres!$G$2,$Q454=Parametres!$G$3),J454,D454)</f>
        <v>-16637.84</v>
      </c>
      <c r="P454" s="655">
        <f>+IF(OR($Q454=Parametres!$G$2,$Q454=Parametres!$G$3),K454,E454)</f>
        <v>-385056.51</v>
      </c>
      <c r="Q454" s="654" t="str">
        <f t="shared" ref="Q454:S454" si="462">+F454</f>
        <v>8-Autres revenus</v>
      </c>
      <c r="R454" s="653" t="str">
        <f t="shared" si="462"/>
        <v>9163</v>
      </c>
      <c r="S454" s="654">
        <f t="shared" si="462"/>
        <v>0</v>
      </c>
      <c r="T454" s="656" t="str">
        <f>+VLOOKUP($L454,Data_Validation!$A:$D,1,0)</f>
        <v>9163</v>
      </c>
      <c r="U454" s="656" t="str">
        <f>+VLOOKUP($L454,Data_Validation!$A:$D,3,0)</f>
        <v>Véhicules usagés</v>
      </c>
      <c r="V454" s="656" t="str">
        <f>+VLOOKUP($L454,Data_Validation!$A:$D,4,0)</f>
        <v>Rev. Finances</v>
      </c>
      <c r="W454" s="656" t="str">
        <f>+VLOOKUP($L454,Data_Validation!$A:$E,5,0)</f>
        <v>$</v>
      </c>
      <c r="X454" s="656" t="str">
        <f>+VLOOKUP($L454,Data_Validation!$A:$F,6,0)</f>
        <v>Oui</v>
      </c>
    </row>
    <row r="455" spans="1:24" ht="15" customHeight="1">
      <c r="A455" s="1052" t="s">
        <v>1297</v>
      </c>
      <c r="B455" s="1052" t="s">
        <v>2763</v>
      </c>
      <c r="C455" s="1054">
        <v>-8390.2000000000007</v>
      </c>
      <c r="D455" s="1054">
        <v>0</v>
      </c>
      <c r="E455" s="1054">
        <v>-8390.2000000000007</v>
      </c>
      <c r="F455" s="1052" t="s">
        <v>1285</v>
      </c>
      <c r="G455" s="1052" t="s">
        <v>1291</v>
      </c>
      <c r="H455" s="1044"/>
      <c r="I455" s="1045"/>
      <c r="J455" s="1045"/>
      <c r="K455" s="1045"/>
      <c r="L455" s="653" t="str">
        <f t="shared" si="458"/>
        <v>9165</v>
      </c>
      <c r="M455" s="654" t="str">
        <f t="shared" si="260"/>
        <v>REV. ASSURANCES NEUF</v>
      </c>
      <c r="N455" s="655">
        <f>+IF(OR($Q455=Parametres!$G$2,$Q455=Parametres!$G$3),I455,C455)</f>
        <v>-8390.2000000000007</v>
      </c>
      <c r="O455" s="655">
        <f>+IF(OR($Q455=Parametres!$G$2,$Q455=Parametres!$G$3),J455,D455)</f>
        <v>0</v>
      </c>
      <c r="P455" s="655">
        <f>+IF(OR($Q455=Parametres!$G$2,$Q455=Parametres!$G$3),K455,E455)</f>
        <v>-8390.2000000000007</v>
      </c>
      <c r="Q455" s="654" t="str">
        <f t="shared" ref="Q455:S455" si="463">+F455</f>
        <v>8-Autres revenus</v>
      </c>
      <c r="R455" s="653" t="str">
        <f t="shared" si="463"/>
        <v>9161</v>
      </c>
      <c r="S455" s="654">
        <f t="shared" si="463"/>
        <v>0</v>
      </c>
      <c r="T455" s="656" t="str">
        <f>+VLOOKUP($L455,Data_Validation!$A:$D,1,0)</f>
        <v>9165</v>
      </c>
      <c r="U455" s="656" t="str">
        <f>+VLOOKUP($L455,Data_Validation!$A:$D,3,0)</f>
        <v>Véhicules neufs</v>
      </c>
      <c r="V455" s="656" t="str">
        <f>+VLOOKUP($L455,Data_Validation!$A:$D,4,0)</f>
        <v>Rev. Autres</v>
      </c>
      <c r="W455" s="656" t="str">
        <f>+VLOOKUP($L455,Data_Validation!$A:$E,5,0)</f>
        <v>$</v>
      </c>
      <c r="X455" s="656" t="str">
        <f>+VLOOKUP($L455,Data_Validation!$A:$F,6,0)</f>
        <v>Oui</v>
      </c>
    </row>
    <row r="456" spans="1:24" ht="15.75" customHeight="1">
      <c r="A456" s="1052" t="s">
        <v>1298</v>
      </c>
      <c r="B456" s="1052" t="s">
        <v>2766</v>
      </c>
      <c r="C456" s="1054">
        <v>-18601.68</v>
      </c>
      <c r="D456" s="1054">
        <v>-714.39</v>
      </c>
      <c r="E456" s="1054">
        <v>-19316.07</v>
      </c>
      <c r="F456" s="1052" t="s">
        <v>1285</v>
      </c>
      <c r="G456" s="1052" t="s">
        <v>1295</v>
      </c>
      <c r="H456" s="1044"/>
      <c r="I456" s="1045"/>
      <c r="J456" s="1045"/>
      <c r="K456" s="1045"/>
      <c r="L456" s="653" t="str">
        <f t="shared" si="458"/>
        <v>9167</v>
      </c>
      <c r="M456" s="654" t="str">
        <f t="shared" si="260"/>
        <v>REV ASSURANCE USAGE</v>
      </c>
      <c r="N456" s="655">
        <f>+IF(OR($Q456=Parametres!$G$2,$Q456=Parametres!$G$3),I456,C456)</f>
        <v>-18601.68</v>
      </c>
      <c r="O456" s="655">
        <f>+IF(OR($Q456=Parametres!$G$2,$Q456=Parametres!$G$3),J456,D456)</f>
        <v>-714.39</v>
      </c>
      <c r="P456" s="655">
        <f>+IF(OR($Q456=Parametres!$G$2,$Q456=Parametres!$G$3),K456,E456)</f>
        <v>-19316.07</v>
      </c>
      <c r="Q456" s="654" t="str">
        <f t="shared" ref="Q456:S456" si="464">+F456</f>
        <v>8-Autres revenus</v>
      </c>
      <c r="R456" s="653" t="str">
        <f t="shared" si="464"/>
        <v>9163</v>
      </c>
      <c r="S456" s="654">
        <f t="shared" si="464"/>
        <v>0</v>
      </c>
      <c r="T456" s="656" t="str">
        <f>+VLOOKUP($L456,Data_Validation!$A:$D,1,0)</f>
        <v>9167</v>
      </c>
      <c r="U456" s="656" t="str">
        <f>+VLOOKUP($L456,Data_Validation!$A:$D,3,0)</f>
        <v>Véhicules usagés</v>
      </c>
      <c r="V456" s="656" t="str">
        <f>+VLOOKUP($L456,Data_Validation!$A:$D,4,0)</f>
        <v>Rev. Autres</v>
      </c>
      <c r="W456" s="656" t="str">
        <f>+VLOOKUP($L456,Data_Validation!$A:$E,5,0)</f>
        <v>$</v>
      </c>
      <c r="X456" s="656" t="str">
        <f>+VLOOKUP($L456,Data_Validation!$A:$F,6,0)</f>
        <v>Oui</v>
      </c>
    </row>
    <row r="457" spans="1:24" ht="15" customHeight="1">
      <c r="A457" s="1052" t="s">
        <v>1301</v>
      </c>
      <c r="B457" s="1052" t="s">
        <v>2769</v>
      </c>
      <c r="C457" s="1054">
        <v>-76480</v>
      </c>
      <c r="D457" s="1054">
        <v>-4668.92</v>
      </c>
      <c r="E457" s="1054">
        <v>-81148.92</v>
      </c>
      <c r="F457" s="1052" t="s">
        <v>1285</v>
      </c>
      <c r="G457" s="1052" t="s">
        <v>1291</v>
      </c>
      <c r="H457" s="1044"/>
      <c r="I457" s="1045"/>
      <c r="J457" s="1045"/>
      <c r="K457" s="1045"/>
      <c r="L457" s="653" t="str">
        <f t="shared" si="458"/>
        <v>9169</v>
      </c>
      <c r="M457" s="654" t="str">
        <f t="shared" si="260"/>
        <v>REV GARANTIE PROLONGEE NEUF</v>
      </c>
      <c r="N457" s="655">
        <f>+IF(OR($Q457=Parametres!$G$2,$Q457=Parametres!$G$3),I457,C457)</f>
        <v>-76480</v>
      </c>
      <c r="O457" s="655">
        <f>+IF(OR($Q457=Parametres!$G$2,$Q457=Parametres!$G$3),J457,D457)</f>
        <v>-4668.92</v>
      </c>
      <c r="P457" s="655">
        <f>+IF(OR($Q457=Parametres!$G$2,$Q457=Parametres!$G$3),K457,E457)</f>
        <v>-81148.92</v>
      </c>
      <c r="Q457" s="654" t="str">
        <f t="shared" ref="Q457:S457" si="465">+F457</f>
        <v>8-Autres revenus</v>
      </c>
      <c r="R457" s="653" t="str">
        <f t="shared" si="465"/>
        <v>9161</v>
      </c>
      <c r="S457" s="654">
        <f t="shared" si="465"/>
        <v>0</v>
      </c>
      <c r="T457" s="656" t="str">
        <f>+VLOOKUP($L457,Data_Validation!$A:$D,1,0)</f>
        <v>9169</v>
      </c>
      <c r="U457" s="656" t="str">
        <f>+VLOOKUP($L457,Data_Validation!$A:$D,3,0)</f>
        <v>Véhicules neufs</v>
      </c>
      <c r="V457" s="656" t="str">
        <f>+VLOOKUP($L457,Data_Validation!$A:$D,4,0)</f>
        <v>Rev. Protections</v>
      </c>
      <c r="W457" s="656" t="str">
        <f>+VLOOKUP($L457,Data_Validation!$A:$E,5,0)</f>
        <v>$</v>
      </c>
      <c r="X457" s="656" t="str">
        <f>+VLOOKUP($L457,Data_Validation!$A:$F,6,0)</f>
        <v>Oui</v>
      </c>
    </row>
    <row r="458" spans="1:24" ht="15" customHeight="1">
      <c r="A458" s="1052" t="s">
        <v>1302</v>
      </c>
      <c r="B458" s="1052" t="s">
        <v>2772</v>
      </c>
      <c r="C458" s="1054">
        <v>-381089.17</v>
      </c>
      <c r="D458" s="1054">
        <v>-27825.1</v>
      </c>
      <c r="E458" s="1054">
        <v>-408914.27</v>
      </c>
      <c r="F458" s="1052" t="s">
        <v>1285</v>
      </c>
      <c r="G458" s="1052" t="s">
        <v>1291</v>
      </c>
      <c r="H458" s="1044"/>
      <c r="I458" s="1045"/>
      <c r="J458" s="1045"/>
      <c r="K458" s="1045"/>
      <c r="L458" s="653" t="str">
        <f t="shared" si="458"/>
        <v>9170</v>
      </c>
      <c r="M458" s="654" t="str">
        <f t="shared" si="260"/>
        <v>PROFIT PROTECTIONS - NEUFS</v>
      </c>
      <c r="N458" s="655">
        <f>+IF(OR($Q458=Parametres!$G$2,$Q458=Parametres!$G$3),I458,C458)</f>
        <v>-381089.17</v>
      </c>
      <c r="O458" s="655">
        <f>+IF(OR($Q458=Parametres!$G$2,$Q458=Parametres!$G$3),J458,D458)</f>
        <v>-27825.1</v>
      </c>
      <c r="P458" s="655">
        <f>+IF(OR($Q458=Parametres!$G$2,$Q458=Parametres!$G$3),K458,E458)</f>
        <v>-408914.27</v>
      </c>
      <c r="Q458" s="654" t="str">
        <f t="shared" ref="Q458:S458" si="466">+F458</f>
        <v>8-Autres revenus</v>
      </c>
      <c r="R458" s="653" t="str">
        <f t="shared" si="466"/>
        <v>9161</v>
      </c>
      <c r="S458" s="654">
        <f t="shared" si="466"/>
        <v>0</v>
      </c>
      <c r="T458" s="656" t="str">
        <f>+VLOOKUP($L458,Data_Validation!$A:$D,1,0)</f>
        <v>9170</v>
      </c>
      <c r="U458" s="656" t="str">
        <f>+VLOOKUP($L458,Data_Validation!$A:$D,3,0)</f>
        <v>Véhicules neufs</v>
      </c>
      <c r="V458" s="656" t="str">
        <f>+VLOOKUP($L458,Data_Validation!$A:$D,4,0)</f>
        <v>Rev. Protections</v>
      </c>
      <c r="W458" s="656" t="str">
        <f>+VLOOKUP($L458,Data_Validation!$A:$E,5,0)</f>
        <v>$</v>
      </c>
      <c r="X458" s="656" t="str">
        <f>+VLOOKUP($L458,Data_Validation!$A:$F,6,0)</f>
        <v>Oui</v>
      </c>
    </row>
    <row r="459" spans="1:24" ht="15" customHeight="1">
      <c r="A459" s="1052" t="s">
        <v>1303</v>
      </c>
      <c r="B459" s="1052" t="s">
        <v>2775</v>
      </c>
      <c r="C459" s="1054">
        <v>-266443.45</v>
      </c>
      <c r="D459" s="1054">
        <v>-15093</v>
      </c>
      <c r="E459" s="1054">
        <v>-281536.45</v>
      </c>
      <c r="F459" s="1052" t="s">
        <v>1285</v>
      </c>
      <c r="G459" s="1052" t="s">
        <v>1295</v>
      </c>
      <c r="H459" s="1044"/>
      <c r="I459" s="1045"/>
      <c r="J459" s="1045"/>
      <c r="K459" s="1045"/>
      <c r="L459" s="653" t="str">
        <f t="shared" si="458"/>
        <v>9171</v>
      </c>
      <c r="M459" s="654" t="str">
        <f t="shared" si="260"/>
        <v>REV GARANTIE PROLONGEE USAGE</v>
      </c>
      <c r="N459" s="655">
        <f>+IF(OR($Q459=Parametres!$G$2,$Q459=Parametres!$G$3),I459,C459)</f>
        <v>-266443.45</v>
      </c>
      <c r="O459" s="655">
        <f>+IF(OR($Q459=Parametres!$G$2,$Q459=Parametres!$G$3),J459,D459)</f>
        <v>-15093</v>
      </c>
      <c r="P459" s="655">
        <f>+IF(OR($Q459=Parametres!$G$2,$Q459=Parametres!$G$3),K459,E459)</f>
        <v>-281536.45</v>
      </c>
      <c r="Q459" s="654" t="str">
        <f t="shared" ref="Q459:S459" si="467">+F459</f>
        <v>8-Autres revenus</v>
      </c>
      <c r="R459" s="653" t="str">
        <f t="shared" si="467"/>
        <v>9163</v>
      </c>
      <c r="S459" s="654">
        <f t="shared" si="467"/>
        <v>0</v>
      </c>
      <c r="T459" s="656" t="str">
        <f>+VLOOKUP($L459,Data_Validation!$A:$D,1,0)</f>
        <v>9171</v>
      </c>
      <c r="U459" s="656" t="str">
        <f>+VLOOKUP($L459,Data_Validation!$A:$D,3,0)</f>
        <v>Véhicules usagés</v>
      </c>
      <c r="V459" s="656" t="str">
        <f>+VLOOKUP($L459,Data_Validation!$A:$D,4,0)</f>
        <v>Rev. Protections</v>
      </c>
      <c r="W459" s="656" t="str">
        <f>+VLOOKUP($L459,Data_Validation!$A:$E,5,0)</f>
        <v>$</v>
      </c>
      <c r="X459" s="656" t="str">
        <f>+VLOOKUP($L459,Data_Validation!$A:$F,6,0)</f>
        <v>Oui</v>
      </c>
    </row>
    <row r="460" spans="1:24" ht="15" customHeight="1">
      <c r="A460" s="1052" t="s">
        <v>1306</v>
      </c>
      <c r="B460" s="1052" t="s">
        <v>2778</v>
      </c>
      <c r="C460" s="1054">
        <v>-177166.6</v>
      </c>
      <c r="D460" s="1054">
        <v>-14368.87</v>
      </c>
      <c r="E460" s="1054">
        <v>-191535.47</v>
      </c>
      <c r="F460" s="1052" t="s">
        <v>1285</v>
      </c>
      <c r="G460" s="1052" t="s">
        <v>1295</v>
      </c>
      <c r="H460" s="1044"/>
      <c r="I460" s="1045"/>
      <c r="J460" s="1045"/>
      <c r="K460" s="1045"/>
      <c r="L460" s="653" t="str">
        <f t="shared" si="458"/>
        <v>9172</v>
      </c>
      <c r="M460" s="654" t="str">
        <f t="shared" si="260"/>
        <v>PROFIT PROTECTIONS - USAGES</v>
      </c>
      <c r="N460" s="655">
        <f>+IF(OR($Q460=Parametres!$G$2,$Q460=Parametres!$G$3),I460,C460)</f>
        <v>-177166.6</v>
      </c>
      <c r="O460" s="655">
        <f>+IF(OR($Q460=Parametres!$G$2,$Q460=Parametres!$G$3),J460,D460)</f>
        <v>-14368.87</v>
      </c>
      <c r="P460" s="655">
        <f>+IF(OR($Q460=Parametres!$G$2,$Q460=Parametres!$G$3),K460,E460)</f>
        <v>-191535.47</v>
      </c>
      <c r="Q460" s="654" t="str">
        <f t="shared" ref="Q460:S460" si="468">+F460</f>
        <v>8-Autres revenus</v>
      </c>
      <c r="R460" s="653" t="str">
        <f t="shared" si="468"/>
        <v>9163</v>
      </c>
      <c r="S460" s="654">
        <f t="shared" si="468"/>
        <v>0</v>
      </c>
      <c r="T460" s="656" t="str">
        <f>+VLOOKUP($L460,Data_Validation!$A:$D,1,0)</f>
        <v>9172</v>
      </c>
      <c r="U460" s="656" t="str">
        <f>+VLOOKUP($L460,Data_Validation!$A:$D,3,0)</f>
        <v>Véhicules usagés</v>
      </c>
      <c r="V460" s="656" t="str">
        <f>+VLOOKUP($L460,Data_Validation!$A:$D,4,0)</f>
        <v>Rev. Protections</v>
      </c>
      <c r="W460" s="656" t="str">
        <f>+VLOOKUP($L460,Data_Validation!$A:$E,5,0)</f>
        <v>$</v>
      </c>
      <c r="X460" s="656" t="str">
        <f>+VLOOKUP($L460,Data_Validation!$A:$F,6,0)</f>
        <v>Oui</v>
      </c>
    </row>
    <row r="461" spans="1:24" ht="15" customHeight="1">
      <c r="A461" s="1052" t="s">
        <v>1309</v>
      </c>
      <c r="B461" s="1052" t="s">
        <v>2781</v>
      </c>
      <c r="C461" s="1054">
        <v>-188181</v>
      </c>
      <c r="D461" s="1054">
        <v>-14304</v>
      </c>
      <c r="E461" s="1054">
        <v>-202485</v>
      </c>
      <c r="F461" s="1052" t="s">
        <v>1285</v>
      </c>
      <c r="G461" s="1052" t="s">
        <v>1310</v>
      </c>
      <c r="H461" s="1044"/>
      <c r="I461" s="1045"/>
      <c r="J461" s="1045"/>
      <c r="K461" s="1045"/>
      <c r="L461" s="653" t="str">
        <f t="shared" si="458"/>
        <v>9173</v>
      </c>
      <c r="M461" s="654" t="str">
        <f t="shared" si="260"/>
        <v>FRAIS ADMIN. VOLKS</v>
      </c>
      <c r="N461" s="655">
        <f>+IF(OR($Q461=Parametres!$G$2,$Q461=Parametres!$G$3),I461,C461)</f>
        <v>-188181</v>
      </c>
      <c r="O461" s="655">
        <f>+IF(OR($Q461=Parametres!$G$2,$Q461=Parametres!$G$3),J461,D461)</f>
        <v>-14304</v>
      </c>
      <c r="P461" s="655">
        <f>+IF(OR($Q461=Parametres!$G$2,$Q461=Parametres!$G$3),K461,E461)</f>
        <v>-202485</v>
      </c>
      <c r="Q461" s="654" t="str">
        <f t="shared" ref="Q461:S461" si="469">+F461</f>
        <v>8-Autres revenus</v>
      </c>
      <c r="R461" s="653" t="str">
        <f t="shared" si="469"/>
        <v>9191</v>
      </c>
      <c r="S461" s="654">
        <f t="shared" si="469"/>
        <v>0</v>
      </c>
      <c r="T461" s="656" t="str">
        <f>+VLOOKUP($L461,Data_Validation!$A:$D,1,0)</f>
        <v>9173</v>
      </c>
      <c r="U461" s="656" t="str">
        <f>+VLOOKUP($L461,Data_Validation!$A:$D,3,0)</f>
        <v>Véhicules neufs</v>
      </c>
      <c r="V461" s="656" t="str">
        <f>+VLOOKUP($L461,Data_Validation!$A:$D,4,0)</f>
        <v>Frais administration</v>
      </c>
      <c r="W461" s="656" t="str">
        <f>+VLOOKUP($L461,Data_Validation!$A:$E,5,0)</f>
        <v>$</v>
      </c>
      <c r="X461" s="656">
        <f>+VLOOKUP($L461,Data_Validation!$A:$F,6,0)</f>
        <v>0</v>
      </c>
    </row>
    <row r="462" spans="1:24" ht="15.75" customHeight="1">
      <c r="A462" s="1052" t="s">
        <v>1311</v>
      </c>
      <c r="B462" s="1052" t="s">
        <v>3404</v>
      </c>
      <c r="C462" s="1054">
        <v>-119413.49</v>
      </c>
      <c r="D462" s="1054">
        <v>-9570</v>
      </c>
      <c r="E462" s="1054">
        <v>-128983.49</v>
      </c>
      <c r="F462" s="1052" t="s">
        <v>1285</v>
      </c>
      <c r="G462" s="1052" t="s">
        <v>1310</v>
      </c>
      <c r="H462" s="1044"/>
      <c r="I462" s="1045"/>
      <c r="J462" s="1045"/>
      <c r="K462" s="1045"/>
      <c r="L462" s="653" t="str">
        <f t="shared" si="458"/>
        <v>9174</v>
      </c>
      <c r="M462" s="654" t="str">
        <f t="shared" si="260"/>
        <v>FRAIS ADMIN. VW USAGE</v>
      </c>
      <c r="N462" s="655">
        <f>+IF(OR($Q462=Parametres!$G$2,$Q462=Parametres!$G$3),I462,C462)</f>
        <v>-119413.49</v>
      </c>
      <c r="O462" s="655">
        <f>+IF(OR($Q462=Parametres!$G$2,$Q462=Parametres!$G$3),J462,D462)</f>
        <v>-9570</v>
      </c>
      <c r="P462" s="655">
        <f>+IF(OR($Q462=Parametres!$G$2,$Q462=Parametres!$G$3),K462,E462)</f>
        <v>-128983.49</v>
      </c>
      <c r="Q462" s="654" t="str">
        <f t="shared" ref="Q462:S462" si="470">+F462</f>
        <v>8-Autres revenus</v>
      </c>
      <c r="R462" s="653" t="str">
        <f t="shared" si="470"/>
        <v>9191</v>
      </c>
      <c r="S462" s="654">
        <f t="shared" si="470"/>
        <v>0</v>
      </c>
      <c r="T462" s="656" t="str">
        <f>+VLOOKUP($L462,Data_Validation!$A:$D,1,0)</f>
        <v>9174</v>
      </c>
      <c r="U462" s="656" t="str">
        <f>+VLOOKUP($L462,Data_Validation!$A:$D,3,0)</f>
        <v>Véhicules usagés</v>
      </c>
      <c r="V462" s="656" t="str">
        <f>+VLOOKUP($L462,Data_Validation!$A:$D,4,0)</f>
        <v>Frais administration</v>
      </c>
      <c r="W462" s="656" t="str">
        <f>+VLOOKUP($L462,Data_Validation!$A:$E,5,0)</f>
        <v>$</v>
      </c>
      <c r="X462" s="656">
        <f>+VLOOKUP($L462,Data_Validation!$A:$F,6,0)</f>
        <v>0</v>
      </c>
    </row>
    <row r="463" spans="1:24" ht="15" customHeight="1">
      <c r="A463" s="1052" t="s">
        <v>1312</v>
      </c>
      <c r="B463" s="1052" t="s">
        <v>1310</v>
      </c>
      <c r="C463" s="1054">
        <v>-274209.42</v>
      </c>
      <c r="D463" s="1054">
        <v>-1498.69</v>
      </c>
      <c r="E463" s="1054">
        <v>-275708.11</v>
      </c>
      <c r="F463" s="1052" t="s">
        <v>1285</v>
      </c>
      <c r="G463" s="1052" t="s">
        <v>1310</v>
      </c>
      <c r="H463" s="1044"/>
      <c r="I463" s="1045"/>
      <c r="J463" s="1045"/>
      <c r="K463" s="1045"/>
      <c r="L463" s="653" t="str">
        <f t="shared" si="458"/>
        <v>9191</v>
      </c>
      <c r="M463" s="654" t="str">
        <f t="shared" si="260"/>
        <v>REVENUS DIVERS</v>
      </c>
      <c r="N463" s="655">
        <f>+IF(OR($Q463=Parametres!$G$2,$Q463=Parametres!$G$3),I463,C463)</f>
        <v>-274209.42</v>
      </c>
      <c r="O463" s="655">
        <f>+IF(OR($Q463=Parametres!$G$2,$Q463=Parametres!$G$3),J463,D463)</f>
        <v>-1498.69</v>
      </c>
      <c r="P463" s="655">
        <f>+IF(OR($Q463=Parametres!$G$2,$Q463=Parametres!$G$3),K463,E463)</f>
        <v>-275708.11</v>
      </c>
      <c r="Q463" s="654" t="str">
        <f t="shared" ref="Q463:S463" si="471">+F463</f>
        <v>8-Autres revenus</v>
      </c>
      <c r="R463" s="653" t="str">
        <f t="shared" si="471"/>
        <v>9191</v>
      </c>
      <c r="S463" s="654">
        <f t="shared" si="471"/>
        <v>0</v>
      </c>
      <c r="T463" s="656" t="str">
        <f>+VLOOKUP($L463,Data_Validation!$A:$D,1,0)</f>
        <v>9191</v>
      </c>
      <c r="U463" s="656" t="str">
        <f>+VLOOKUP($L463,Data_Validation!$A:$D,3,0)</f>
        <v>TOTAL  DES  REVENUS  ET  DÉPENSES</v>
      </c>
      <c r="V463" s="656" t="str">
        <f>+VLOOKUP($L463,Data_Validation!$A:$D,4,0)</f>
        <v>Revenus autres</v>
      </c>
      <c r="W463" s="656" t="str">
        <f>+VLOOKUP($L463,Data_Validation!$A:$E,5,0)</f>
        <v>$</v>
      </c>
      <c r="X463" s="656">
        <f>+VLOOKUP($L463,Data_Validation!$A:$F,6,0)</f>
        <v>0</v>
      </c>
    </row>
    <row r="464" spans="1:24" ht="15" customHeight="1">
      <c r="A464" s="1052" t="s">
        <v>1313</v>
      </c>
      <c r="B464" s="1052" t="s">
        <v>1315</v>
      </c>
      <c r="C464" s="1054">
        <v>3300</v>
      </c>
      <c r="D464" s="1054">
        <v>300</v>
      </c>
      <c r="E464" s="1054">
        <v>3600</v>
      </c>
      <c r="F464" s="1052" t="s">
        <v>1314</v>
      </c>
      <c r="G464" s="1052" t="s">
        <v>1315</v>
      </c>
      <c r="H464" s="1044"/>
      <c r="I464" s="1045"/>
      <c r="J464" s="1045"/>
      <c r="K464" s="1045"/>
      <c r="L464" s="653" t="str">
        <f t="shared" si="458"/>
        <v>9402</v>
      </c>
      <c r="M464" s="654" t="str">
        <f t="shared" si="260"/>
        <v>DEPENSE D'INTERETS</v>
      </c>
      <c r="N464" s="655">
        <f>+IF(OR($Q464=Parametres!$G$2,$Q464=Parametres!$G$3),I464,C464)</f>
        <v>3300</v>
      </c>
      <c r="O464" s="655">
        <f>+IF(OR($Q464=Parametres!$G$2,$Q464=Parametres!$G$3),J464,D464)</f>
        <v>300</v>
      </c>
      <c r="P464" s="655">
        <f>+IF(OR($Q464=Parametres!$G$2,$Q464=Parametres!$G$3),K464,E464)</f>
        <v>3600</v>
      </c>
      <c r="Q464" s="654" t="str">
        <f t="shared" ref="Q464:S464" si="472">+F464</f>
        <v>9-Autres déductions</v>
      </c>
      <c r="R464" s="653" t="str">
        <f t="shared" si="472"/>
        <v>9402</v>
      </c>
      <c r="S464" s="654">
        <f t="shared" si="472"/>
        <v>0</v>
      </c>
      <c r="T464" s="656" t="str">
        <f>+VLOOKUP($L464,Data_Validation!$A:$D,1,0)</f>
        <v>9402</v>
      </c>
      <c r="U464" s="656" t="str">
        <f>+VLOOKUP($L464,Data_Validation!$A:$D,3,0)</f>
        <v>TOTAL  DES  REVENUS  ET  DÉPENSES</v>
      </c>
      <c r="V464" s="656" t="str">
        <f>+VLOOKUP($L464,Data_Validation!$A:$D,4,0)</f>
        <v>Intérêts sur prêt</v>
      </c>
      <c r="W464" s="656" t="str">
        <f>+VLOOKUP($L464,Data_Validation!$A:$E,5,0)</f>
        <v>$</v>
      </c>
      <c r="X464" s="656">
        <f>+VLOOKUP($L464,Data_Validation!$A:$F,6,0)</f>
        <v>0</v>
      </c>
    </row>
    <row r="465" spans="1:24" ht="15" customHeight="1">
      <c r="A465" s="1052" t="s">
        <v>1316</v>
      </c>
      <c r="B465" s="1052" t="s">
        <v>2791</v>
      </c>
      <c r="C465" s="1054">
        <v>1394.69</v>
      </c>
      <c r="D465" s="1054">
        <v>126.79</v>
      </c>
      <c r="E465" s="1054">
        <v>1521.48</v>
      </c>
      <c r="F465" s="1052" t="s">
        <v>1314</v>
      </c>
      <c r="G465" s="1052" t="s">
        <v>1315</v>
      </c>
      <c r="H465" s="1053"/>
      <c r="I465" s="1053"/>
      <c r="J465" s="1053"/>
      <c r="K465" s="1053"/>
      <c r="L465" s="653" t="str">
        <f t="shared" si="458"/>
        <v>9404</v>
      </c>
      <c r="M465" s="654" t="str">
        <f t="shared" si="260"/>
        <v>INTERETS SUR PRET</v>
      </c>
      <c r="N465" s="655">
        <f>+IF(OR($Q465=Parametres!$G$2,$Q465=Parametres!$G$3),I465,C465)</f>
        <v>1394.69</v>
      </c>
      <c r="O465" s="655">
        <f>+IF(OR($Q465=Parametres!$G$2,$Q465=Parametres!$G$3),J465,D465)</f>
        <v>126.79</v>
      </c>
      <c r="P465" s="655">
        <f>+IF(OR($Q465=Parametres!$G$2,$Q465=Parametres!$G$3),K465,E465)</f>
        <v>1521.48</v>
      </c>
      <c r="Q465" s="654" t="str">
        <f t="shared" ref="Q465:S465" si="473">+F465</f>
        <v>9-Autres déductions</v>
      </c>
      <c r="R465" s="653" t="str">
        <f t="shared" si="473"/>
        <v>9402</v>
      </c>
      <c r="S465" s="654">
        <f t="shared" si="473"/>
        <v>0</v>
      </c>
      <c r="T465" s="656" t="str">
        <f>+VLOOKUP($L465,Data_Validation!$A:$D,1,0)</f>
        <v>9404</v>
      </c>
      <c r="U465" s="656" t="str">
        <f>+VLOOKUP($L465,Data_Validation!$A:$D,3,0)</f>
        <v>TOTAL  DES  REVENUS  ET  DÉPENSES</v>
      </c>
      <c r="V465" s="656" t="str">
        <f>+VLOOKUP($L465,Data_Validation!$A:$D,4,0)</f>
        <v>Intérêts sur prêt</v>
      </c>
      <c r="W465" s="656" t="str">
        <f>+VLOOKUP($L465,Data_Validation!$A:$E,5,0)</f>
        <v>$</v>
      </c>
      <c r="X465" s="656">
        <f>+VLOOKUP($L465,Data_Validation!$A:$F,6,0)</f>
        <v>0</v>
      </c>
    </row>
    <row r="466" spans="1:24" ht="15" customHeight="1">
      <c r="A466" s="1052" t="s">
        <v>1299</v>
      </c>
      <c r="B466" s="1052" t="s">
        <v>1300</v>
      </c>
      <c r="C466" s="1053"/>
      <c r="D466" s="1053"/>
      <c r="E466" s="1053"/>
      <c r="F466" s="1052" t="s">
        <v>7</v>
      </c>
      <c r="G466" s="1052" t="s">
        <v>1295</v>
      </c>
      <c r="H466" s="1053"/>
      <c r="I466" s="1054">
        <v>-32</v>
      </c>
      <c r="J466" s="1054">
        <v>-2</v>
      </c>
      <c r="K466" s="1054">
        <v>-34</v>
      </c>
      <c r="L466" s="653" t="str">
        <f t="shared" si="458"/>
        <v>9167@</v>
      </c>
      <c r="M466" s="654" t="str">
        <f t="shared" si="260"/>
        <v>ASSURANCE VIE USAGE</v>
      </c>
      <c r="N466" s="655">
        <f>+IF(OR($Q466=Parametres!$G$2,$Q466=Parametres!$G$3),I466,C466)</f>
        <v>-32</v>
      </c>
      <c r="O466" s="655">
        <f>+IF(OR($Q466=Parametres!$G$2,$Q466=Parametres!$G$3),J466,D466)</f>
        <v>-2</v>
      </c>
      <c r="P466" s="655">
        <f>+IF(OR($Q466=Parametres!$G$2,$Q466=Parametres!$G$3),K466,E466)</f>
        <v>-34</v>
      </c>
      <c r="Q466" s="654" t="str">
        <f t="shared" ref="Q466:S466" si="474">+F466</f>
        <v>10-Compte compteur</v>
      </c>
      <c r="R466" s="653" t="str">
        <f t="shared" si="474"/>
        <v>9163</v>
      </c>
      <c r="S466" s="654">
        <f t="shared" si="474"/>
        <v>0</v>
      </c>
      <c r="T466" s="656" t="str">
        <f>+VLOOKUP($L466,Data_Validation!$A:$D,1,0)</f>
        <v>9167@</v>
      </c>
      <c r="U466" s="656" t="str">
        <f>+VLOOKUP($L466,Data_Validation!$A:$D,3,0)</f>
        <v>Véhicules usagés</v>
      </c>
      <c r="V466" s="656">
        <f>+VLOOKUP($L466,Data_Validation!$A:$D,4,0)</f>
        <v>0</v>
      </c>
      <c r="W466" s="656" t="str">
        <f>+VLOOKUP($L466,Data_Validation!$A:$E,5,0)</f>
        <v>NB</v>
      </c>
      <c r="X466" s="656">
        <f>+VLOOKUP($L466,Data_Validation!$A:$F,6,0)</f>
        <v>0</v>
      </c>
    </row>
    <row r="467" spans="1:24" ht="15.75" customHeight="1">
      <c r="A467" s="1052" t="s">
        <v>1304</v>
      </c>
      <c r="B467" s="1052" t="s">
        <v>1305</v>
      </c>
      <c r="C467" s="1053"/>
      <c r="D467" s="1053"/>
      <c r="E467" s="1053"/>
      <c r="F467" s="1052" t="s">
        <v>7</v>
      </c>
      <c r="G467" s="1052" t="s">
        <v>1295</v>
      </c>
      <c r="H467" s="1053"/>
      <c r="I467" s="1054">
        <v>-192</v>
      </c>
      <c r="J467" s="1054">
        <v>-12</v>
      </c>
      <c r="K467" s="1054">
        <v>-204</v>
      </c>
      <c r="L467" s="653" t="str">
        <f t="shared" si="458"/>
        <v>9171@</v>
      </c>
      <c r="M467" s="654" t="str">
        <f t="shared" si="260"/>
        <v>VENTE CHIMIQUE USAGE</v>
      </c>
      <c r="N467" s="655">
        <f>+IF(OR($Q467=Parametres!$G$2,$Q467=Parametres!$G$3),I467,C467)</f>
        <v>-192</v>
      </c>
      <c r="O467" s="655">
        <f>+IF(OR($Q467=Parametres!$G$2,$Q467=Parametres!$G$3),J467,D467)</f>
        <v>-12</v>
      </c>
      <c r="P467" s="655">
        <f>+IF(OR($Q467=Parametres!$G$2,$Q467=Parametres!$G$3),K467,E467)</f>
        <v>-204</v>
      </c>
      <c r="Q467" s="654" t="str">
        <f t="shared" ref="Q467:S467" si="475">+F467</f>
        <v>10-Compte compteur</v>
      </c>
      <c r="R467" s="653" t="str">
        <f t="shared" si="475"/>
        <v>9163</v>
      </c>
      <c r="S467" s="654">
        <f t="shared" si="475"/>
        <v>0</v>
      </c>
      <c r="T467" s="656" t="str">
        <f>+VLOOKUP($L467,Data_Validation!$A:$D,1,0)</f>
        <v>9171@</v>
      </c>
      <c r="U467" s="656" t="str">
        <f>+VLOOKUP($L467,Data_Validation!$A:$D,3,0)</f>
        <v>Véhicules usagés</v>
      </c>
      <c r="V467" s="656">
        <f>+VLOOKUP($L467,Data_Validation!$A:$D,4,0)</f>
        <v>0</v>
      </c>
      <c r="W467" s="656" t="str">
        <f>+VLOOKUP($L467,Data_Validation!$A:$E,5,0)</f>
        <v>NB</v>
      </c>
      <c r="X467" s="656">
        <f>+VLOOKUP($L467,Data_Validation!$A:$F,6,0)</f>
        <v>0</v>
      </c>
    </row>
    <row r="468" spans="1:24" ht="15" customHeight="1">
      <c r="A468" s="1052" t="s">
        <v>842</v>
      </c>
      <c r="B468" s="1052" t="s">
        <v>843</v>
      </c>
      <c r="C468" s="1053"/>
      <c r="D468" s="1053"/>
      <c r="E468" s="1053"/>
      <c r="F468" s="1052" t="s">
        <v>7</v>
      </c>
      <c r="G468" s="1052" t="s">
        <v>841</v>
      </c>
      <c r="H468" s="1053"/>
      <c r="I468" s="1054">
        <v>63</v>
      </c>
      <c r="J468" s="1054">
        <v>-12</v>
      </c>
      <c r="K468" s="1054">
        <v>51</v>
      </c>
      <c r="L468" s="653" t="str">
        <f t="shared" si="458"/>
        <v>1402@</v>
      </c>
      <c r="M468" s="654" t="str">
        <f t="shared" si="260"/>
        <v># DE INVENTAIRE VEH.NEUFS VW</v>
      </c>
      <c r="N468" s="655">
        <f>+IF(OR($Q468=Parametres!$G$2,$Q468=Parametres!$G$3),I468,C468)</f>
        <v>63</v>
      </c>
      <c r="O468" s="655">
        <f>+IF(OR($Q468=Parametres!$G$2,$Q468=Parametres!$G$3),J468,D468)</f>
        <v>-12</v>
      </c>
      <c r="P468" s="655">
        <f>+IF(OR($Q468=Parametres!$G$2,$Q468=Parametres!$G$3),K468,E468)</f>
        <v>51</v>
      </c>
      <c r="Q468" s="654" t="str">
        <f t="shared" ref="Q468:S468" si="476">+F468</f>
        <v>10-Compte compteur</v>
      </c>
      <c r="R468" s="653" t="str">
        <f t="shared" si="476"/>
        <v>1402</v>
      </c>
      <c r="S468" s="654">
        <f t="shared" si="476"/>
        <v>0</v>
      </c>
      <c r="T468" s="656" t="str">
        <f>+VLOOKUP($L468,Data_Validation!$A:$D,1,0)</f>
        <v>1402@</v>
      </c>
      <c r="U468" s="656" t="str">
        <f>+VLOOKUP($L468,Data_Validation!$A:$D,3,0)</f>
        <v>Bilan</v>
      </c>
      <c r="V468" s="656">
        <f>+VLOOKUP($L468,Data_Validation!$A:$D,4,0)</f>
        <v>0</v>
      </c>
      <c r="W468" s="656" t="str">
        <f>+VLOOKUP($L468,Data_Validation!$A:$E,5,0)</f>
        <v>NB</v>
      </c>
      <c r="X468" s="656">
        <f>+VLOOKUP($L468,Data_Validation!$A:$F,6,0)</f>
        <v>0</v>
      </c>
    </row>
    <row r="469" spans="1:24" ht="15" customHeight="1">
      <c r="A469" s="1052" t="s">
        <v>849</v>
      </c>
      <c r="B469" s="1052" t="s">
        <v>850</v>
      </c>
      <c r="C469" s="1053"/>
      <c r="D469" s="1053"/>
      <c r="E469" s="1053"/>
      <c r="F469" s="1052" t="s">
        <v>7</v>
      </c>
      <c r="G469" s="1052" t="s">
        <v>848</v>
      </c>
      <c r="H469" s="1053"/>
      <c r="I469" s="1054">
        <v>111</v>
      </c>
      <c r="J469" s="1054">
        <v>-16</v>
      </c>
      <c r="K469" s="1054">
        <v>95</v>
      </c>
      <c r="L469" s="653" t="str">
        <f t="shared" si="458"/>
        <v>1416@</v>
      </c>
      <c r="M469" s="654" t="str">
        <f t="shared" si="260"/>
        <v># DE INV. VEH. USAGE VW</v>
      </c>
      <c r="N469" s="655">
        <f>+IF(OR($Q469=Parametres!$G$2,$Q469=Parametres!$G$3),I469,C469)</f>
        <v>111</v>
      </c>
      <c r="O469" s="655">
        <f>+IF(OR($Q469=Parametres!$G$2,$Q469=Parametres!$G$3),J469,D469)</f>
        <v>-16</v>
      </c>
      <c r="P469" s="655">
        <f>+IF(OR($Q469=Parametres!$G$2,$Q469=Parametres!$G$3),K469,E469)</f>
        <v>95</v>
      </c>
      <c r="Q469" s="654" t="str">
        <f t="shared" ref="Q469:S469" si="477">+F469</f>
        <v>10-Compte compteur</v>
      </c>
      <c r="R469" s="653" t="str">
        <f t="shared" si="477"/>
        <v>1416</v>
      </c>
      <c r="S469" s="654">
        <f t="shared" si="477"/>
        <v>0</v>
      </c>
      <c r="T469" s="656" t="str">
        <f>+VLOOKUP($L469,Data_Validation!$A:$D,1,0)</f>
        <v>1416@</v>
      </c>
      <c r="U469" s="656" t="str">
        <f>+VLOOKUP($L469,Data_Validation!$A:$D,3,0)</f>
        <v>Bilan</v>
      </c>
      <c r="V469" s="656">
        <f>+VLOOKUP($L469,Data_Validation!$A:$D,4,0)</f>
        <v>0</v>
      </c>
      <c r="W469" s="656" t="str">
        <f>+VLOOKUP($L469,Data_Validation!$A:$E,5,0)</f>
        <v>NB</v>
      </c>
      <c r="X469" s="656">
        <f>+VLOOKUP($L469,Data_Validation!$A:$F,6,0)</f>
        <v>0</v>
      </c>
    </row>
    <row r="470" spans="1:24" ht="15" customHeight="1">
      <c r="A470" s="1052" t="s">
        <v>965</v>
      </c>
      <c r="B470" s="1052" t="s">
        <v>966</v>
      </c>
      <c r="C470" s="1053"/>
      <c r="D470" s="1053"/>
      <c r="E470" s="1053"/>
      <c r="F470" s="1052" t="s">
        <v>7</v>
      </c>
      <c r="G470" s="1052" t="s">
        <v>964</v>
      </c>
      <c r="H470" s="1053"/>
      <c r="I470" s="1054">
        <v>-239</v>
      </c>
      <c r="J470" s="1054">
        <v>-10</v>
      </c>
      <c r="K470" s="1054">
        <v>-249</v>
      </c>
      <c r="L470" s="653" t="str">
        <f t="shared" si="458"/>
        <v>4100@</v>
      </c>
      <c r="M470" s="654" t="str">
        <f t="shared" si="260"/>
        <v>RESERVE</v>
      </c>
      <c r="N470" s="655">
        <f>+IF(OR($Q470=Parametres!$G$2,$Q470=Parametres!$G$3),I470,C470)</f>
        <v>-239</v>
      </c>
      <c r="O470" s="655">
        <f>+IF(OR($Q470=Parametres!$G$2,$Q470=Parametres!$G$3),J470,D470)</f>
        <v>-10</v>
      </c>
      <c r="P470" s="655">
        <f>+IF(OR($Q470=Parametres!$G$2,$Q470=Parametres!$G$3),K470,E470)</f>
        <v>-249</v>
      </c>
      <c r="Q470" s="654" t="str">
        <f t="shared" ref="Q470:S470" si="478">+F470</f>
        <v>10-Compte compteur</v>
      </c>
      <c r="R470" s="653" t="str">
        <f t="shared" si="478"/>
        <v>4100</v>
      </c>
      <c r="S470" s="654">
        <f t="shared" si="478"/>
        <v>0</v>
      </c>
      <c r="T470" s="656" t="str">
        <f>+VLOOKUP($L470,Data_Validation!$A:$D,1,0)</f>
        <v>4100@</v>
      </c>
      <c r="U470" s="656" t="str">
        <f>+VLOOKUP($L470,Data_Validation!$A:$D,3,0)</f>
        <v>Véhicules neufs</v>
      </c>
      <c r="V470" s="656" t="str">
        <f>+VLOOKUP($L470,Data_Validation!$A:$D,4,0)</f>
        <v>Rachat bail</v>
      </c>
      <c r="W470" s="656" t="str">
        <f>+VLOOKUP($L470,Data_Validation!$A:$E,5,0)</f>
        <v>NB</v>
      </c>
      <c r="X470" s="656">
        <f>+VLOOKUP($L470,Data_Validation!$A:$F,6,0)</f>
        <v>0</v>
      </c>
    </row>
    <row r="471" spans="1:24" ht="15" customHeight="1">
      <c r="A471" s="1052" t="s">
        <v>969</v>
      </c>
      <c r="B471" s="1052" t="s">
        <v>970</v>
      </c>
      <c r="C471" s="1053"/>
      <c r="D471" s="1053"/>
      <c r="E471" s="1053"/>
      <c r="F471" s="1052" t="s">
        <v>7</v>
      </c>
      <c r="G471" s="1052" t="s">
        <v>968</v>
      </c>
      <c r="H471" s="1053"/>
      <c r="I471" s="1054">
        <v>-7</v>
      </c>
      <c r="J471" s="1054">
        <v>0</v>
      </c>
      <c r="K471" s="1054">
        <v>-7</v>
      </c>
      <c r="L471" s="653" t="str">
        <f t="shared" si="458"/>
        <v>4109@</v>
      </c>
      <c r="M471" s="654" t="str">
        <f t="shared" si="260"/>
        <v># DE VENTE - GOLF R</v>
      </c>
      <c r="N471" s="655">
        <f>+IF(OR($Q471=Parametres!$G$2,$Q471=Parametres!$G$3),I471,C471)</f>
        <v>-7</v>
      </c>
      <c r="O471" s="659">
        <f>+IF(OR($Q471=Parametres!$G$2,$Q471=Parametres!$G$3),J471,D471)</f>
        <v>0</v>
      </c>
      <c r="P471" s="655">
        <f>+IF(OR($Q471=Parametres!$G$2,$Q471=Parametres!$G$3),K471,E471)</f>
        <v>-7</v>
      </c>
      <c r="Q471" s="654" t="str">
        <f t="shared" ref="Q471:S471" si="479">+F471</f>
        <v>10-Compte compteur</v>
      </c>
      <c r="R471" s="653" t="str">
        <f t="shared" si="479"/>
        <v>4109</v>
      </c>
      <c r="S471" s="654">
        <f t="shared" si="479"/>
        <v>0</v>
      </c>
      <c r="T471" s="656" t="str">
        <f>+VLOOKUP($L471,Data_Validation!$A:$D,1,0)</f>
        <v>4109@</v>
      </c>
      <c r="U471" s="656" t="str">
        <f>+VLOOKUP($L471,Data_Validation!$A:$D,3,0)</f>
        <v>Véhicules neufs</v>
      </c>
      <c r="V471" s="656" t="str">
        <f>+VLOOKUP($L471,Data_Validation!$A:$D,4,0)</f>
        <v>Autos détail</v>
      </c>
      <c r="W471" s="656" t="str">
        <f>+VLOOKUP($L471,Data_Validation!$A:$E,5,0)</f>
        <v>NB</v>
      </c>
      <c r="X471" s="656">
        <f>+VLOOKUP($L471,Data_Validation!$A:$F,6,0)</f>
        <v>0</v>
      </c>
    </row>
    <row r="472" spans="1:24" ht="15" customHeight="1">
      <c r="A472" s="1052" t="s">
        <v>971</v>
      </c>
      <c r="B472" s="1052" t="s">
        <v>973</v>
      </c>
      <c r="C472" s="1053"/>
      <c r="D472" s="1053"/>
      <c r="E472" s="1053"/>
      <c r="F472" s="1052" t="s">
        <v>7</v>
      </c>
      <c r="G472" s="1052" t="s">
        <v>972</v>
      </c>
      <c r="H472" s="1053"/>
      <c r="I472" s="1054">
        <v>-53</v>
      </c>
      <c r="J472" s="1054">
        <v>-7</v>
      </c>
      <c r="K472" s="1054">
        <v>-60</v>
      </c>
      <c r="L472" s="653" t="str">
        <f t="shared" si="458"/>
        <v>4111@</v>
      </c>
      <c r="M472" s="654" t="str">
        <f t="shared" si="260"/>
        <v>JETTA/ JETTA GLI</v>
      </c>
      <c r="N472" s="655">
        <f>+IF(OR($Q472=Parametres!$G$2,$Q472=Parametres!$G$3),I472,C472)</f>
        <v>-53</v>
      </c>
      <c r="O472" s="655">
        <f>+IF(OR($Q472=Parametres!$G$2,$Q472=Parametres!$G$3),J472,D472)</f>
        <v>-7</v>
      </c>
      <c r="P472" s="655">
        <f>+IF(OR($Q472=Parametres!$G$2,$Q472=Parametres!$G$3),K472,E472)</f>
        <v>-60</v>
      </c>
      <c r="Q472" s="654" t="str">
        <f t="shared" ref="Q472:S472" si="480">+F472</f>
        <v>10-Compte compteur</v>
      </c>
      <c r="R472" s="653" t="str">
        <f t="shared" si="480"/>
        <v>4111</v>
      </c>
      <c r="S472" s="654">
        <f t="shared" si="480"/>
        <v>0</v>
      </c>
      <c r="T472" s="656" t="str">
        <f>+VLOOKUP($L472,Data_Validation!$A:$D,1,0)</f>
        <v>4111@</v>
      </c>
      <c r="U472" s="656" t="str">
        <f>+VLOOKUP($L472,Data_Validation!$A:$D,3,0)</f>
        <v>Véhicules neufs</v>
      </c>
      <c r="V472" s="656" t="str">
        <f>+VLOOKUP($L472,Data_Validation!$A:$D,4,0)</f>
        <v>Autos détail</v>
      </c>
      <c r="W472" s="656" t="str">
        <f>+VLOOKUP($L472,Data_Validation!$A:$E,5,0)</f>
        <v>NB</v>
      </c>
      <c r="X472" s="656">
        <f>+VLOOKUP($L472,Data_Validation!$A:$F,6,0)</f>
        <v>0</v>
      </c>
    </row>
    <row r="473" spans="1:24" ht="15.75" customHeight="1">
      <c r="A473" s="1052" t="s">
        <v>976</v>
      </c>
      <c r="B473" s="1052" t="s">
        <v>977</v>
      </c>
      <c r="C473" s="1053"/>
      <c r="D473" s="1053"/>
      <c r="E473" s="1053"/>
      <c r="F473" s="1052" t="s">
        <v>7</v>
      </c>
      <c r="G473" s="1052" t="s">
        <v>978</v>
      </c>
      <c r="H473" s="1053"/>
      <c r="I473" s="1054">
        <v>-109</v>
      </c>
      <c r="J473" s="1054">
        <v>-2</v>
      </c>
      <c r="K473" s="1054">
        <v>-111</v>
      </c>
      <c r="L473" s="653" t="str">
        <f t="shared" si="458"/>
        <v>4118@</v>
      </c>
      <c r="M473" s="654" t="str">
        <f t="shared" si="260"/>
        <v>TAOS</v>
      </c>
      <c r="N473" s="655">
        <f>+IF(OR($Q473=Parametres!$G$2,$Q473=Parametres!$G$3),I473,C473)</f>
        <v>-109</v>
      </c>
      <c r="O473" s="655">
        <f>+IF(OR($Q473=Parametres!$G$2,$Q473=Parametres!$G$3),J473,D473)</f>
        <v>-2</v>
      </c>
      <c r="P473" s="655">
        <f>+IF(OR($Q473=Parametres!$G$2,$Q473=Parametres!$G$3),K473,E473)</f>
        <v>-111</v>
      </c>
      <c r="Q473" s="654" t="str">
        <f t="shared" ref="Q473:S473" si="481">+F473</f>
        <v>10-Compte compteur</v>
      </c>
      <c r="R473" s="653" t="str">
        <f t="shared" si="481"/>
        <v>411</v>
      </c>
      <c r="S473" s="654">
        <f t="shared" si="481"/>
        <v>0</v>
      </c>
      <c r="T473" s="656" t="str">
        <f>+VLOOKUP($L473,Data_Validation!$A:$D,1,0)</f>
        <v>4118@</v>
      </c>
      <c r="U473" s="656" t="str">
        <f>+VLOOKUP($L473,Data_Validation!$A:$D,3,0)</f>
        <v>Véhicules neufs</v>
      </c>
      <c r="V473" s="656" t="str">
        <f>+VLOOKUP($L473,Data_Validation!$A:$D,4,0)</f>
        <v>Camions détail</v>
      </c>
      <c r="W473" s="656" t="str">
        <f>+VLOOKUP($L473,Data_Validation!$A:$E,5,0)</f>
        <v>NB</v>
      </c>
      <c r="X473" s="656">
        <f>+VLOOKUP($L473,Data_Validation!$A:$F,6,0)</f>
        <v>0</v>
      </c>
    </row>
    <row r="474" spans="1:24" ht="15" customHeight="1">
      <c r="A474" s="1052" t="s">
        <v>981</v>
      </c>
      <c r="B474" s="1052" t="s">
        <v>982</v>
      </c>
      <c r="C474" s="1053"/>
      <c r="D474" s="1053"/>
      <c r="E474" s="1053"/>
      <c r="F474" s="1052" t="s">
        <v>7</v>
      </c>
      <c r="G474" s="1052" t="s">
        <v>980</v>
      </c>
      <c r="H474" s="1053"/>
      <c r="I474" s="1054">
        <v>-69</v>
      </c>
      <c r="J474" s="1054">
        <v>-2</v>
      </c>
      <c r="K474" s="1054">
        <v>-71</v>
      </c>
      <c r="L474" s="653" t="str">
        <f t="shared" si="458"/>
        <v>4119@</v>
      </c>
      <c r="M474" s="654" t="str">
        <f t="shared" si="260"/>
        <v># DE VTE - ATLAS</v>
      </c>
      <c r="N474" s="655">
        <f>+IF(OR($Q474=Parametres!$G$2,$Q474=Parametres!$G$3),I474,C474)</f>
        <v>-69</v>
      </c>
      <c r="O474" s="655">
        <f>+IF(OR($Q474=Parametres!$G$2,$Q474=Parametres!$G$3),J474,D474)</f>
        <v>-2</v>
      </c>
      <c r="P474" s="655">
        <f>+IF(OR($Q474=Parametres!$G$2,$Q474=Parametres!$G$3),K474,E474)</f>
        <v>-71</v>
      </c>
      <c r="Q474" s="654" t="str">
        <f t="shared" ref="Q474:S474" si="482">+F474</f>
        <v>10-Compte compteur</v>
      </c>
      <c r="R474" s="653" t="str">
        <f t="shared" si="482"/>
        <v>4119</v>
      </c>
      <c r="S474" s="654">
        <f t="shared" si="482"/>
        <v>0</v>
      </c>
      <c r="T474" s="656" t="str">
        <f>+VLOOKUP($L474,Data_Validation!$A:$D,1,0)</f>
        <v>4119@</v>
      </c>
      <c r="U474" s="656" t="str">
        <f>+VLOOKUP($L474,Data_Validation!$A:$D,3,0)</f>
        <v>Véhicules neufs</v>
      </c>
      <c r="V474" s="656" t="str">
        <f>+VLOOKUP($L474,Data_Validation!$A:$D,4,0)</f>
        <v>Camions détail</v>
      </c>
      <c r="W474" s="656" t="str">
        <f>+VLOOKUP($L474,Data_Validation!$A:$E,5,0)</f>
        <v>NB</v>
      </c>
      <c r="X474" s="656">
        <f>+VLOOKUP($L474,Data_Validation!$A:$F,6,0)</f>
        <v>0</v>
      </c>
    </row>
    <row r="475" spans="1:24" ht="15" customHeight="1">
      <c r="A475" s="1052" t="s">
        <v>984</v>
      </c>
      <c r="B475" s="1052" t="s">
        <v>985</v>
      </c>
      <c r="C475" s="1053"/>
      <c r="D475" s="1053"/>
      <c r="E475" s="1053"/>
      <c r="F475" s="1052" t="s">
        <v>7</v>
      </c>
      <c r="G475" s="1052" t="s">
        <v>3349</v>
      </c>
      <c r="H475" s="1053"/>
      <c r="I475" s="1054">
        <v>-3</v>
      </c>
      <c r="J475" s="1054">
        <v>0</v>
      </c>
      <c r="K475" s="1054">
        <v>-3</v>
      </c>
      <c r="L475" s="653" t="str">
        <f t="shared" si="458"/>
        <v>4121@</v>
      </c>
      <c r="M475" s="654" t="str">
        <f t="shared" si="260"/>
        <v># DE VTE - ATLAS CROSS SPORT</v>
      </c>
      <c r="N475" s="655">
        <f>+IF(OR($Q475=Parametres!$G$2,$Q475=Parametres!$G$3),I475,C475)</f>
        <v>-3</v>
      </c>
      <c r="O475" s="655">
        <f>+IF(OR($Q475=Parametres!$G$2,$Q475=Parametres!$G$3),J475,D475)</f>
        <v>0</v>
      </c>
      <c r="P475" s="655">
        <f>+IF(OR($Q475=Parametres!$G$2,$Q475=Parametres!$G$3),K475,E475)</f>
        <v>-3</v>
      </c>
      <c r="Q475" s="654" t="str">
        <f t="shared" ref="Q475:S475" si="483">+F475</f>
        <v>10-Compte compteur</v>
      </c>
      <c r="R475" s="653" t="str">
        <f t="shared" si="483"/>
        <v>4121</v>
      </c>
      <c r="S475" s="654">
        <f t="shared" si="483"/>
        <v>0</v>
      </c>
      <c r="T475" s="656" t="str">
        <f>+VLOOKUP($L475,Data_Validation!$A:$D,1,0)</f>
        <v>4121@</v>
      </c>
      <c r="U475" s="656" t="str">
        <f>+VLOOKUP($L475,Data_Validation!$A:$D,3,0)</f>
        <v>Véhicules neufs</v>
      </c>
      <c r="V475" s="656" t="str">
        <f>+VLOOKUP($L475,Data_Validation!$A:$D,4,0)</f>
        <v>Camions détail</v>
      </c>
      <c r="W475" s="656" t="str">
        <f>+VLOOKUP($L475,Data_Validation!$A:$E,5,0)</f>
        <v>NB</v>
      </c>
      <c r="X475" s="656">
        <f>+VLOOKUP($L475,Data_Validation!$A:$F,6,0)</f>
        <v>0</v>
      </c>
    </row>
    <row r="476" spans="1:24" ht="15" customHeight="1">
      <c r="A476" s="1052" t="s">
        <v>988</v>
      </c>
      <c r="B476" s="1052" t="s">
        <v>989</v>
      </c>
      <c r="C476" s="1053"/>
      <c r="D476" s="1053"/>
      <c r="E476" s="1053"/>
      <c r="F476" s="1052" t="s">
        <v>7</v>
      </c>
      <c r="G476" s="1052" t="s">
        <v>987</v>
      </c>
      <c r="H476" s="1053"/>
      <c r="I476" s="1054">
        <v>-19</v>
      </c>
      <c r="J476" s="1054">
        <v>0</v>
      </c>
      <c r="K476" s="1054">
        <v>-19</v>
      </c>
      <c r="L476" s="653" t="str">
        <f t="shared" si="458"/>
        <v>4127@</v>
      </c>
      <c r="M476" s="654" t="str">
        <f t="shared" si="260"/>
        <v># DE VENTE - GOLF GTI</v>
      </c>
      <c r="N476" s="655">
        <f>+IF(OR($Q476=Parametres!$G$2,$Q476=Parametres!$G$3),I476,C476)</f>
        <v>-19</v>
      </c>
      <c r="O476" s="655">
        <f>+IF(OR($Q476=Parametres!$G$2,$Q476=Parametres!$G$3),J476,D476)</f>
        <v>0</v>
      </c>
      <c r="P476" s="655">
        <f>+IF(OR($Q476=Parametres!$G$2,$Q476=Parametres!$G$3),K476,E476)</f>
        <v>-19</v>
      </c>
      <c r="Q476" s="654" t="str">
        <f t="shared" ref="Q476:S476" si="484">+F476</f>
        <v>10-Compte compteur</v>
      </c>
      <c r="R476" s="653" t="str">
        <f t="shared" si="484"/>
        <v>4127</v>
      </c>
      <c r="S476" s="654">
        <f t="shared" si="484"/>
        <v>0</v>
      </c>
      <c r="T476" s="656" t="str">
        <f>+VLOOKUP($L476,Data_Validation!$A:$D,1,0)</f>
        <v>4127@</v>
      </c>
      <c r="U476" s="656" t="str">
        <f>+VLOOKUP($L476,Data_Validation!$A:$D,3,0)</f>
        <v>Véhicules neufs</v>
      </c>
      <c r="V476" s="656" t="str">
        <f>+VLOOKUP($L476,Data_Validation!$A:$D,4,0)</f>
        <v>Autos détail</v>
      </c>
      <c r="W476" s="656" t="str">
        <f>+VLOOKUP($L476,Data_Validation!$A:$E,5,0)</f>
        <v>NB</v>
      </c>
      <c r="X476" s="656">
        <f>+VLOOKUP($L476,Data_Validation!$A:$F,6,0)</f>
        <v>0</v>
      </c>
    </row>
    <row r="477" spans="1:24" ht="15.75" customHeight="1">
      <c r="A477" s="1052" t="s">
        <v>992</v>
      </c>
      <c r="B477" s="1052" t="s">
        <v>993</v>
      </c>
      <c r="C477" s="1053"/>
      <c r="D477" s="1053"/>
      <c r="E477" s="1053"/>
      <c r="F477" s="1052" t="s">
        <v>7</v>
      </c>
      <c r="G477" s="1052" t="s">
        <v>991</v>
      </c>
      <c r="H477" s="1053"/>
      <c r="I477" s="1054">
        <v>-180</v>
      </c>
      <c r="J477" s="1054">
        <v>-24</v>
      </c>
      <c r="K477" s="1054">
        <v>-204</v>
      </c>
      <c r="L477" s="653" t="str">
        <f t="shared" si="458"/>
        <v>4131@</v>
      </c>
      <c r="M477" s="654" t="str">
        <f t="shared" si="260"/>
        <v># DE VTE - TIGUAN LWB</v>
      </c>
      <c r="N477" s="655">
        <f>+IF(OR($Q477=Parametres!$G$2,$Q477=Parametres!$G$3),I477,C477)</f>
        <v>-180</v>
      </c>
      <c r="O477" s="655">
        <f>+IF(OR($Q477=Parametres!$G$2,$Q477=Parametres!$G$3),J477,D477)</f>
        <v>-24</v>
      </c>
      <c r="P477" s="655">
        <f>+IF(OR($Q477=Parametres!$G$2,$Q477=Parametres!$G$3),K477,E477)</f>
        <v>-204</v>
      </c>
      <c r="Q477" s="654" t="str">
        <f t="shared" ref="Q477:S477" si="485">+F477</f>
        <v>10-Compte compteur</v>
      </c>
      <c r="R477" s="653" t="str">
        <f t="shared" si="485"/>
        <v>4131</v>
      </c>
      <c r="S477" s="654">
        <f t="shared" si="485"/>
        <v>0</v>
      </c>
      <c r="T477" s="656" t="str">
        <f>+VLOOKUP($L477,Data_Validation!$A:$D,1,0)</f>
        <v>4131@</v>
      </c>
      <c r="U477" s="656" t="str">
        <f>+VLOOKUP($L477,Data_Validation!$A:$D,3,0)</f>
        <v>Véhicules neufs</v>
      </c>
      <c r="V477" s="656" t="str">
        <f>+VLOOKUP($L477,Data_Validation!$A:$D,4,0)</f>
        <v>Camions détail</v>
      </c>
      <c r="W477" s="656" t="str">
        <f>+VLOOKUP($L477,Data_Validation!$A:$E,5,0)</f>
        <v>NB</v>
      </c>
      <c r="X477" s="656">
        <f>+VLOOKUP($L477,Data_Validation!$A:$F,6,0)</f>
        <v>0</v>
      </c>
    </row>
    <row r="478" spans="1:24" ht="15" customHeight="1">
      <c r="A478" s="1052" t="s">
        <v>996</v>
      </c>
      <c r="B478" s="1052" t="s">
        <v>997</v>
      </c>
      <c r="C478" s="1053"/>
      <c r="D478" s="1053"/>
      <c r="E478" s="1053"/>
      <c r="F478" s="1052" t="s">
        <v>7</v>
      </c>
      <c r="G478" s="1052" t="s">
        <v>995</v>
      </c>
      <c r="H478" s="1053"/>
      <c r="I478" s="1054">
        <v>-17</v>
      </c>
      <c r="J478" s="1054">
        <v>0</v>
      </c>
      <c r="K478" s="1054">
        <v>-17</v>
      </c>
      <c r="L478" s="653" t="str">
        <f t="shared" si="458"/>
        <v>4137@</v>
      </c>
      <c r="M478" s="654" t="str">
        <f t="shared" si="260"/>
        <v>VW FLOTTE/VENTE ENTR/EMPLOYE/VEH DEMONST</v>
      </c>
      <c r="N478" s="655">
        <f>+IF(OR($Q478=Parametres!$G$2,$Q478=Parametres!$G$3),I478,C478)</f>
        <v>-17</v>
      </c>
      <c r="O478" s="655">
        <f>+IF(OR($Q478=Parametres!$G$2,$Q478=Parametres!$G$3),J478,D478)</f>
        <v>0</v>
      </c>
      <c r="P478" s="655">
        <f>+IF(OR($Q478=Parametres!$G$2,$Q478=Parametres!$G$3),K478,E478)</f>
        <v>-17</v>
      </c>
      <c r="Q478" s="654" t="str">
        <f t="shared" ref="Q478:S478" si="486">+F478</f>
        <v>10-Compte compteur</v>
      </c>
      <c r="R478" s="653" t="str">
        <f t="shared" si="486"/>
        <v>4137</v>
      </c>
      <c r="S478" s="654">
        <f t="shared" si="486"/>
        <v>0</v>
      </c>
      <c r="T478" s="656" t="str">
        <f>+VLOOKUP($L478,Data_Validation!$A:$D,1,0)</f>
        <v>4137@</v>
      </c>
      <c r="U478" s="656" t="str">
        <f>+VLOOKUP($L478,Data_Validation!$A:$D,3,0)</f>
        <v>Véhicules neufs</v>
      </c>
      <c r="V478" s="656" t="str">
        <f>+VLOOKUP($L478,Data_Validation!$A:$D,4,0)</f>
        <v>Flottes</v>
      </c>
      <c r="W478" s="656" t="str">
        <f>+VLOOKUP($L478,Data_Validation!$A:$E,5,0)</f>
        <v>NB</v>
      </c>
      <c r="X478" s="656">
        <f>+VLOOKUP($L478,Data_Validation!$A:$F,6,0)</f>
        <v>0</v>
      </c>
    </row>
    <row r="479" spans="1:24" ht="15" customHeight="1">
      <c r="A479" s="1052" t="s">
        <v>1000</v>
      </c>
      <c r="B479" s="1052" t="s">
        <v>1001</v>
      </c>
      <c r="C479" s="1053"/>
      <c r="D479" s="1053"/>
      <c r="E479" s="1053"/>
      <c r="F479" s="1052" t="s">
        <v>7</v>
      </c>
      <c r="G479" s="1052" t="s">
        <v>999</v>
      </c>
      <c r="H479" s="1053"/>
      <c r="I479" s="1054">
        <v>-40</v>
      </c>
      <c r="J479" s="1054">
        <v>-2</v>
      </c>
      <c r="K479" s="1054">
        <v>-42</v>
      </c>
      <c r="L479" s="653" t="str">
        <f t="shared" si="458"/>
        <v>4139@</v>
      </c>
      <c r="M479" s="654" t="str">
        <f t="shared" si="260"/>
        <v>VENTES A PARK AVENUE LOCATION</v>
      </c>
      <c r="N479" s="655">
        <f>+IF(OR($Q479=Parametres!$G$2,$Q479=Parametres!$G$3),I479,C479)</f>
        <v>-40</v>
      </c>
      <c r="O479" s="655">
        <f>+IF(OR($Q479=Parametres!$G$2,$Q479=Parametres!$G$3),J479,D479)</f>
        <v>-2</v>
      </c>
      <c r="P479" s="655">
        <f>+IF(OR($Q479=Parametres!$G$2,$Q479=Parametres!$G$3),K479,E479)</f>
        <v>-42</v>
      </c>
      <c r="Q479" s="654" t="str">
        <f t="shared" ref="Q479:S479" si="487">+F479</f>
        <v>10-Compte compteur</v>
      </c>
      <c r="R479" s="653" t="str">
        <f t="shared" si="487"/>
        <v>4139</v>
      </c>
      <c r="S479" s="654">
        <f t="shared" si="487"/>
        <v>0</v>
      </c>
      <c r="T479" s="656" t="str">
        <f>+VLOOKUP($L479,Data_Validation!$A:$D,1,0)</f>
        <v>4139@</v>
      </c>
      <c r="U479" s="656" t="str">
        <f>+VLOOKUP($L479,Data_Validation!$A:$D,3,0)</f>
        <v>Véhicules neufs</v>
      </c>
      <c r="V479" s="656" t="str">
        <f>+VLOOKUP($L479,Data_Validation!$A:$D,4,0)</f>
        <v>Ex-Démos et courtoisies</v>
      </c>
      <c r="W479" s="656" t="str">
        <f>+VLOOKUP($L479,Data_Validation!$A:$E,5,0)</f>
        <v>NB</v>
      </c>
      <c r="X479" s="656">
        <f>+VLOOKUP($L479,Data_Validation!$A:$F,6,0)</f>
        <v>0</v>
      </c>
    </row>
    <row r="480" spans="1:24" ht="15" customHeight="1">
      <c r="A480" s="1052" t="s">
        <v>1004</v>
      </c>
      <c r="B480" s="1052" t="s">
        <v>1005</v>
      </c>
      <c r="C480" s="1053"/>
      <c r="D480" s="1053"/>
      <c r="E480" s="1053"/>
      <c r="F480" s="1052" t="s">
        <v>7</v>
      </c>
      <c r="G480" s="1052" t="s">
        <v>1003</v>
      </c>
      <c r="H480" s="1053"/>
      <c r="I480" s="1054">
        <v>-20</v>
      </c>
      <c r="J480" s="1054">
        <v>0</v>
      </c>
      <c r="K480" s="1054">
        <v>-20</v>
      </c>
      <c r="L480" s="653" t="str">
        <f t="shared" si="458"/>
        <v>4144@</v>
      </c>
      <c r="M480" s="654" t="str">
        <f t="shared" si="260"/>
        <v># OF VTES -JETTA GLI</v>
      </c>
      <c r="N480" s="655">
        <f>+IF(OR($Q480=Parametres!$G$2,$Q480=Parametres!$G$3),I480,C480)</f>
        <v>-20</v>
      </c>
      <c r="O480" s="655">
        <f>+IF(OR($Q480=Parametres!$G$2,$Q480=Parametres!$G$3),J480,D480)</f>
        <v>0</v>
      </c>
      <c r="P480" s="655">
        <f>+IF(OR($Q480=Parametres!$G$2,$Q480=Parametres!$G$3),K480,E480)</f>
        <v>-20</v>
      </c>
      <c r="Q480" s="654" t="str">
        <f t="shared" ref="Q480:S480" si="488">+F480</f>
        <v>10-Compte compteur</v>
      </c>
      <c r="R480" s="653" t="str">
        <f t="shared" si="488"/>
        <v>414</v>
      </c>
      <c r="S480" s="654">
        <f t="shared" si="488"/>
        <v>0</v>
      </c>
      <c r="T480" s="656" t="str">
        <f>+VLOOKUP($L480,Data_Validation!$A:$D,1,0)</f>
        <v>4144@</v>
      </c>
      <c r="U480" s="656" t="str">
        <f>+VLOOKUP($L480,Data_Validation!$A:$D,3,0)</f>
        <v>Véhicules neufs</v>
      </c>
      <c r="V480" s="656" t="str">
        <f>+VLOOKUP($L480,Data_Validation!$A:$D,4,0)</f>
        <v>Autos détail</v>
      </c>
      <c r="W480" s="656" t="str">
        <f>+VLOOKUP($L480,Data_Validation!$A:$E,5,0)</f>
        <v>NB</v>
      </c>
      <c r="X480" s="656">
        <f>+VLOOKUP($L480,Data_Validation!$A:$F,6,0)</f>
        <v>0</v>
      </c>
    </row>
    <row r="481" spans="1:24" ht="15" customHeight="1">
      <c r="A481" s="1052" t="s">
        <v>1008</v>
      </c>
      <c r="B481" s="1052" t="s">
        <v>1009</v>
      </c>
      <c r="C481" s="1053"/>
      <c r="D481" s="1053"/>
      <c r="E481" s="1053"/>
      <c r="F481" s="1052" t="s">
        <v>7</v>
      </c>
      <c r="G481" s="1052" t="s">
        <v>1007</v>
      </c>
      <c r="H481" s="1053"/>
      <c r="I481" s="1054">
        <v>-346</v>
      </c>
      <c r="J481" s="1054">
        <v>-24</v>
      </c>
      <c r="K481" s="1054">
        <v>-370</v>
      </c>
      <c r="L481" s="653" t="str">
        <f t="shared" si="458"/>
        <v>4201@</v>
      </c>
      <c r="M481" s="654" t="str">
        <f t="shared" si="260"/>
        <v># DE VTE - VEH.USAGE VW DET.CERT.</v>
      </c>
      <c r="N481" s="655">
        <f>+IF(OR($Q481=Parametres!$G$2,$Q481=Parametres!$G$3),I481,C481)</f>
        <v>-346</v>
      </c>
      <c r="O481" s="655">
        <f>+IF(OR($Q481=Parametres!$G$2,$Q481=Parametres!$G$3),J481,D481)</f>
        <v>-24</v>
      </c>
      <c r="P481" s="655">
        <f>+IF(OR($Q481=Parametres!$G$2,$Q481=Parametres!$G$3),K481,E481)</f>
        <v>-370</v>
      </c>
      <c r="Q481" s="654" t="str">
        <f t="shared" ref="Q481:S481" si="489">+F481</f>
        <v>10-Compte compteur</v>
      </c>
      <c r="R481" s="653" t="str">
        <f t="shared" si="489"/>
        <v>4201</v>
      </c>
      <c r="S481" s="654">
        <f t="shared" si="489"/>
        <v>0</v>
      </c>
      <c r="T481" s="656" t="str">
        <f>+VLOOKUP($L481,Data_Validation!$A:$D,1,0)</f>
        <v>4201@</v>
      </c>
      <c r="U481" s="656" t="str">
        <f>+VLOOKUP($L481,Data_Validation!$A:$D,3,0)</f>
        <v>Véhicules usagés</v>
      </c>
      <c r="V481" s="656" t="str">
        <f>+VLOOKUP($L481,Data_Validation!$A:$D,4,0)</f>
        <v>Certifié</v>
      </c>
      <c r="W481" s="656" t="str">
        <f>+VLOOKUP($L481,Data_Validation!$A:$E,5,0)</f>
        <v>NB</v>
      </c>
      <c r="X481" s="656">
        <f>+VLOOKUP($L481,Data_Validation!$A:$F,6,0)</f>
        <v>0</v>
      </c>
    </row>
    <row r="482" spans="1:24" ht="15.75" customHeight="1">
      <c r="A482" s="1052" t="s">
        <v>1012</v>
      </c>
      <c r="B482" s="1052" t="s">
        <v>1013</v>
      </c>
      <c r="C482" s="1053"/>
      <c r="D482" s="1053"/>
      <c r="E482" s="1053"/>
      <c r="F482" s="1052" t="s">
        <v>7</v>
      </c>
      <c r="G482" s="1052" t="s">
        <v>1011</v>
      </c>
      <c r="H482" s="1053"/>
      <c r="I482" s="1054">
        <v>0</v>
      </c>
      <c r="J482" s="1054">
        <v>-1</v>
      </c>
      <c r="K482" s="1054">
        <v>-1</v>
      </c>
      <c r="L482" s="653" t="str">
        <f t="shared" si="458"/>
        <v>4211@</v>
      </c>
      <c r="M482" s="654" t="str">
        <f t="shared" si="260"/>
        <v>VENTES USED DET. CHAMBLY</v>
      </c>
      <c r="N482" s="655">
        <f>+IF(OR($Q482=Parametres!$G$2,$Q482=Parametres!$G$3),I482,C482)</f>
        <v>0</v>
      </c>
      <c r="O482" s="655">
        <f>+IF(OR($Q482=Parametres!$G$2,$Q482=Parametres!$G$3),J482,D482)</f>
        <v>-1</v>
      </c>
      <c r="P482" s="655">
        <f>+IF(OR($Q482=Parametres!$G$2,$Q482=Parametres!$G$3),K482,E482)</f>
        <v>-1</v>
      </c>
      <c r="Q482" s="654" t="str">
        <f t="shared" ref="Q482:S482" si="490">+F482</f>
        <v>10-Compte compteur</v>
      </c>
      <c r="R482" s="653" t="str">
        <f t="shared" si="490"/>
        <v>4211</v>
      </c>
      <c r="S482" s="654">
        <f t="shared" si="490"/>
        <v>0</v>
      </c>
      <c r="T482" s="656" t="str">
        <f>+VLOOKUP($L482,Data_Validation!$A:$D,1,0)</f>
        <v>4211@</v>
      </c>
      <c r="U482" s="656" t="str">
        <f>+VLOOKUP($L482,Data_Validation!$A:$D,3,0)</f>
        <v>Véhicules usagés</v>
      </c>
      <c r="V482" s="656" t="str">
        <f>+VLOOKUP($L482,Data_Validation!$A:$D,4,0)</f>
        <v>Non Certifié</v>
      </c>
      <c r="W482" s="656" t="str">
        <f>+VLOOKUP($L482,Data_Validation!$A:$E,5,0)</f>
        <v>NB</v>
      </c>
      <c r="X482" s="656">
        <f>+VLOOKUP($L482,Data_Validation!$A:$F,6,0)</f>
        <v>0</v>
      </c>
    </row>
    <row r="483" spans="1:24" ht="15" customHeight="1">
      <c r="A483" s="1052" t="s">
        <v>1016</v>
      </c>
      <c r="B483" s="1052" t="s">
        <v>1017</v>
      </c>
      <c r="C483" s="1053"/>
      <c r="D483" s="1053"/>
      <c r="E483" s="1053"/>
      <c r="F483" s="1052" t="s">
        <v>7</v>
      </c>
      <c r="G483" s="1052" t="s">
        <v>1015</v>
      </c>
      <c r="H483" s="1053"/>
      <c r="I483" s="1054">
        <v>-10</v>
      </c>
      <c r="J483" s="1054">
        <v>0</v>
      </c>
      <c r="K483" s="1054">
        <v>-10</v>
      </c>
      <c r="L483" s="653" t="str">
        <f t="shared" si="458"/>
        <v>4285@</v>
      </c>
      <c r="M483" s="654" t="str">
        <f t="shared" si="260"/>
        <v>AUTRE MARQUES DETAIL - USAGE</v>
      </c>
      <c r="N483" s="655">
        <f>+IF(OR($Q483=Parametres!$G$2,$Q483=Parametres!$G$3),I483,C483)</f>
        <v>-10</v>
      </c>
      <c r="O483" s="655">
        <f>+IF(OR($Q483=Parametres!$G$2,$Q483=Parametres!$G$3),J483,D483)</f>
        <v>0</v>
      </c>
      <c r="P483" s="655">
        <f>+IF(OR($Q483=Parametres!$G$2,$Q483=Parametres!$G$3),K483,E483)</f>
        <v>-10</v>
      </c>
      <c r="Q483" s="654" t="str">
        <f t="shared" ref="Q483:S483" si="491">+F483</f>
        <v>10-Compte compteur</v>
      </c>
      <c r="R483" s="653" t="str">
        <f t="shared" si="491"/>
        <v>4261</v>
      </c>
      <c r="S483" s="654">
        <f t="shared" si="491"/>
        <v>0</v>
      </c>
      <c r="T483" s="656" t="str">
        <f>+VLOOKUP($L483,Data_Validation!$A:$D,1,0)</f>
        <v>4285@</v>
      </c>
      <c r="U483" s="656" t="str">
        <f>+VLOOKUP($L483,Data_Validation!$A:$D,3,0)</f>
        <v>Véhicules usagés</v>
      </c>
      <c r="V483" s="656" t="str">
        <f>+VLOOKUP($L483,Data_Validation!$A:$D,4,0)</f>
        <v>Autres Marques</v>
      </c>
      <c r="W483" s="656" t="str">
        <f>+VLOOKUP($L483,Data_Validation!$A:$E,5,0)</f>
        <v>NB</v>
      </c>
      <c r="X483" s="656">
        <f>+VLOOKUP($L483,Data_Validation!$A:$F,6,0)</f>
        <v>0</v>
      </c>
    </row>
    <row r="484" spans="1:24" ht="15" customHeight="1">
      <c r="A484" s="1052" t="s">
        <v>1020</v>
      </c>
      <c r="B484" s="1052" t="s">
        <v>1021</v>
      </c>
      <c r="C484" s="1053"/>
      <c r="D484" s="1053"/>
      <c r="E484" s="1053"/>
      <c r="F484" s="1052" t="s">
        <v>7</v>
      </c>
      <c r="G484" s="1052" t="s">
        <v>1019</v>
      </c>
      <c r="H484" s="1053"/>
      <c r="I484" s="1054">
        <v>-324</v>
      </c>
      <c r="J484" s="1054">
        <v>-31</v>
      </c>
      <c r="K484" s="1054">
        <v>-355</v>
      </c>
      <c r="L484" s="653" t="str">
        <f t="shared" si="458"/>
        <v>4291@</v>
      </c>
      <c r="M484" s="654" t="str">
        <f t="shared" si="260"/>
        <v>VENTE AU GROS - USAGES</v>
      </c>
      <c r="N484" s="655">
        <f>+IF(OR($Q484=Parametres!$G$2,$Q484=Parametres!$G$3),I484,C484)</f>
        <v>-324</v>
      </c>
      <c r="O484" s="655">
        <f>+IF(OR($Q484=Parametres!$G$2,$Q484=Parametres!$G$3),J484,D484)</f>
        <v>-31</v>
      </c>
      <c r="P484" s="655">
        <f>+IF(OR($Q484=Parametres!$G$2,$Q484=Parametres!$G$3),K484,E484)</f>
        <v>-355</v>
      </c>
      <c r="Q484" s="654" t="str">
        <f t="shared" ref="Q484:S484" si="492">+F484</f>
        <v>10-Compte compteur</v>
      </c>
      <c r="R484" s="653" t="str">
        <f t="shared" si="492"/>
        <v>4281</v>
      </c>
      <c r="S484" s="654">
        <f t="shared" si="492"/>
        <v>0</v>
      </c>
      <c r="T484" s="656" t="str">
        <f>+VLOOKUP($L484,Data_Validation!$A:$D,1,0)</f>
        <v>4291@</v>
      </c>
      <c r="U484" s="656" t="str">
        <f>+VLOOKUP($L484,Data_Validation!$A:$D,3,0)</f>
        <v>Véhicules usagés</v>
      </c>
      <c r="V484" s="656" t="str">
        <f>+VLOOKUP($L484,Data_Validation!$A:$D,4,0)</f>
        <v>Ventes au Gros</v>
      </c>
      <c r="W484" s="656" t="str">
        <f>+VLOOKUP($L484,Data_Validation!$A:$E,5,0)</f>
        <v>NB</v>
      </c>
      <c r="X484" s="656">
        <f>+VLOOKUP($L484,Data_Validation!$A:$F,6,0)</f>
        <v>0</v>
      </c>
    </row>
    <row r="485" spans="1:24" ht="15" customHeight="1">
      <c r="A485" s="1052" t="s">
        <v>3671</v>
      </c>
      <c r="B485" s="1052" t="s">
        <v>1024</v>
      </c>
      <c r="C485" s="1053"/>
      <c r="D485" s="1053"/>
      <c r="E485" s="1053"/>
      <c r="F485" s="1052" t="s">
        <v>7</v>
      </c>
      <c r="G485" s="1052" t="s">
        <v>1023</v>
      </c>
      <c r="H485" s="1053"/>
      <c r="I485" s="1054">
        <v>-5411</v>
      </c>
      <c r="J485" s="1054">
        <v>-370</v>
      </c>
      <c r="K485" s="1054">
        <v>-5781</v>
      </c>
      <c r="L485" s="653" t="str">
        <f t="shared" si="458"/>
        <v>4401@</v>
      </c>
      <c r="M485" s="654" t="str">
        <f t="shared" si="260"/>
        <v>MAIN-D'OEUVRE - CLIENT VW - MCI</v>
      </c>
      <c r="N485" s="655">
        <f>+IF(OR($Q485=Parametres!$G$2,$Q485=Parametres!$G$3),I485,C485)</f>
        <v>-5411</v>
      </c>
      <c r="O485" s="655">
        <f>+IF(OR($Q485=Parametres!$G$2,$Q485=Parametres!$G$3),J485,D485)</f>
        <v>-370</v>
      </c>
      <c r="P485" s="655">
        <f>+IF(OR($Q485=Parametres!$G$2,$Q485=Parametres!$G$3),K485,E485)</f>
        <v>-5781</v>
      </c>
      <c r="Q485" s="654" t="str">
        <f t="shared" ref="Q485:S485" si="493">+F485</f>
        <v>10-Compte compteur</v>
      </c>
      <c r="R485" s="653" t="str">
        <f t="shared" si="493"/>
        <v>4401</v>
      </c>
      <c r="S485" s="654">
        <f t="shared" si="493"/>
        <v>0</v>
      </c>
      <c r="T485" s="656" t="str">
        <f>+VLOOKUP($L485,Data_Validation!$A:$D,1,0)</f>
        <v>4401@</v>
      </c>
      <c r="U485" s="656" t="str">
        <f>+VLOOKUP($L485,Data_Validation!$A:$D,3,0)</f>
        <v>Service</v>
      </c>
      <c r="V485" s="656" t="str">
        <f>+VLOOKUP($L485,Data_Validation!$A:$D,4,0)</f>
        <v>M/O Client</v>
      </c>
      <c r="W485" s="656" t="str">
        <f>+VLOOKUP($L485,Data_Validation!$A:$E,5,0)</f>
        <v>NB</v>
      </c>
      <c r="X485" s="656">
        <f>+VLOOKUP($L485,Data_Validation!$A:$F,6,0)</f>
        <v>0</v>
      </c>
    </row>
    <row r="486" spans="1:24" ht="15.75" customHeight="1">
      <c r="A486" s="1052" t="s">
        <v>3672</v>
      </c>
      <c r="B486" s="1052" t="s">
        <v>1029</v>
      </c>
      <c r="C486" s="1053"/>
      <c r="D486" s="1053"/>
      <c r="E486" s="1053"/>
      <c r="F486" s="1052" t="s">
        <v>7</v>
      </c>
      <c r="G486" s="1052" t="s">
        <v>1028</v>
      </c>
      <c r="H486" s="1053"/>
      <c r="I486" s="1054">
        <v>-2534</v>
      </c>
      <c r="J486" s="1054">
        <v>-144</v>
      </c>
      <c r="K486" s="1054">
        <v>-2678</v>
      </c>
      <c r="L486" s="653" t="str">
        <f t="shared" si="458"/>
        <v>4403@</v>
      </c>
      <c r="M486" s="654" t="str">
        <f t="shared" si="260"/>
        <v>MAIN-D'OEUVRE - GARANTIE VW - MCI</v>
      </c>
      <c r="N486" s="655">
        <f>+IF(OR($Q486=Parametres!$G$2,$Q486=Parametres!$G$3),I486,C486)</f>
        <v>-2534</v>
      </c>
      <c r="O486" s="655">
        <f>+IF(OR($Q486=Parametres!$G$2,$Q486=Parametres!$G$3),J486,D486)</f>
        <v>-144</v>
      </c>
      <c r="P486" s="655">
        <f>+IF(OR($Q486=Parametres!$G$2,$Q486=Parametres!$G$3),K486,E486)</f>
        <v>-2678</v>
      </c>
      <c r="Q486" s="654" t="str">
        <f t="shared" ref="Q486:S486" si="494">+F486</f>
        <v>10-Compte compteur</v>
      </c>
      <c r="R486" s="653" t="str">
        <f t="shared" si="494"/>
        <v>4403</v>
      </c>
      <c r="S486" s="654">
        <f t="shared" si="494"/>
        <v>0</v>
      </c>
      <c r="T486" s="656" t="str">
        <f>+VLOOKUP($L486,Data_Validation!$A:$D,1,0)</f>
        <v>4403@</v>
      </c>
      <c r="U486" s="656" t="str">
        <f>+VLOOKUP($L486,Data_Validation!$A:$D,3,0)</f>
        <v>Service</v>
      </c>
      <c r="V486" s="656" t="str">
        <f>+VLOOKUP($L486,Data_Validation!$A:$D,4,0)</f>
        <v>M/O Garantie</v>
      </c>
      <c r="W486" s="656" t="str">
        <f>+VLOOKUP($L486,Data_Validation!$A:$E,5,0)</f>
        <v>NB</v>
      </c>
      <c r="X486" s="656">
        <f>+VLOOKUP($L486,Data_Validation!$A:$F,6,0)</f>
        <v>0</v>
      </c>
    </row>
    <row r="487" spans="1:24" ht="15" customHeight="1">
      <c r="A487" s="1052" t="s">
        <v>3673</v>
      </c>
      <c r="B487" s="1052" t="s">
        <v>1032</v>
      </c>
      <c r="C487" s="1053"/>
      <c r="D487" s="1053"/>
      <c r="E487" s="1053"/>
      <c r="F487" s="1052" t="s">
        <v>7</v>
      </c>
      <c r="G487" s="1052" t="s">
        <v>1031</v>
      </c>
      <c r="H487" s="1053"/>
      <c r="I487" s="1054">
        <v>-2104</v>
      </c>
      <c r="J487" s="1054">
        <v>-196</v>
      </c>
      <c r="K487" s="1054">
        <v>-2300</v>
      </c>
      <c r="L487" s="653" t="str">
        <f t="shared" si="458"/>
        <v>4405@</v>
      </c>
      <c r="M487" s="654" t="str">
        <f t="shared" si="260"/>
        <v>MAIN-D'OEUVRE - INTERNE VW - MCI</v>
      </c>
      <c r="N487" s="655">
        <f>+IF(OR($Q487=Parametres!$G$2,$Q487=Parametres!$G$3),I487,C487)</f>
        <v>-2104</v>
      </c>
      <c r="O487" s="655">
        <f>+IF(OR($Q487=Parametres!$G$2,$Q487=Parametres!$G$3),J487,D487)</f>
        <v>-196</v>
      </c>
      <c r="P487" s="655">
        <f>+IF(OR($Q487=Parametres!$G$2,$Q487=Parametres!$G$3),K487,E487)</f>
        <v>-2300</v>
      </c>
      <c r="Q487" s="654" t="str">
        <f t="shared" ref="Q487:S487" si="495">+F487</f>
        <v>10-Compte compteur</v>
      </c>
      <c r="R487" s="653" t="str">
        <f t="shared" si="495"/>
        <v>4405</v>
      </c>
      <c r="S487" s="654">
        <f t="shared" si="495"/>
        <v>0</v>
      </c>
      <c r="T487" s="656" t="str">
        <f>+VLOOKUP($L487,Data_Validation!$A:$D,1,0)</f>
        <v>4405@</v>
      </c>
      <c r="U487" s="656" t="str">
        <f>+VLOOKUP($L487,Data_Validation!$A:$D,3,0)</f>
        <v>Service</v>
      </c>
      <c r="V487" s="656" t="str">
        <f>+VLOOKUP($L487,Data_Validation!$A:$D,4,0)</f>
        <v>M/O Interne</v>
      </c>
      <c r="W487" s="656" t="str">
        <f>+VLOOKUP($L487,Data_Validation!$A:$E,5,0)</f>
        <v>NB</v>
      </c>
      <c r="X487" s="656">
        <f>+VLOOKUP($L487,Data_Validation!$A:$F,6,0)</f>
        <v>0</v>
      </c>
    </row>
    <row r="488" spans="1:24" ht="15" customHeight="1">
      <c r="A488" s="1052" t="s">
        <v>1033</v>
      </c>
      <c r="B488" s="1052" t="s">
        <v>1035</v>
      </c>
      <c r="C488" s="1053"/>
      <c r="D488" s="1053"/>
      <c r="E488" s="1053"/>
      <c r="F488" s="1052" t="s">
        <v>7</v>
      </c>
      <c r="G488" s="1052" t="s">
        <v>1034</v>
      </c>
      <c r="H488" s="1053"/>
      <c r="I488" s="1054">
        <v>-4088</v>
      </c>
      <c r="J488" s="1054">
        <v>-291</v>
      </c>
      <c r="K488" s="1054">
        <v>-4379</v>
      </c>
      <c r="L488" s="653" t="str">
        <f t="shared" si="458"/>
        <v>4451@</v>
      </c>
      <c r="M488" s="654" t="str">
        <f t="shared" si="260"/>
        <v>CARBURANT/HUILE/GRAISSE</v>
      </c>
      <c r="N488" s="655">
        <f>+IF(OR($Q488=Parametres!$G$2,$Q488=Parametres!$G$3),I488,C488)</f>
        <v>-4088</v>
      </c>
      <c r="O488" s="655">
        <f>+IF(OR($Q488=Parametres!$G$2,$Q488=Parametres!$G$3),J488,D488)</f>
        <v>-291</v>
      </c>
      <c r="P488" s="655">
        <f>+IF(OR($Q488=Parametres!$G$2,$Q488=Parametres!$G$3),K488,E488)</f>
        <v>-4379</v>
      </c>
      <c r="Q488" s="654" t="str">
        <f t="shared" ref="Q488:S488" si="496">+F488</f>
        <v>10-Compte compteur</v>
      </c>
      <c r="R488" s="653" t="str">
        <f t="shared" si="496"/>
        <v>4782</v>
      </c>
      <c r="S488" s="654">
        <f t="shared" si="496"/>
        <v>0</v>
      </c>
      <c r="T488" s="656" t="str">
        <f>+VLOOKUP($L488,Data_Validation!$A:$D,1,0)</f>
        <v>4451@</v>
      </c>
      <c r="U488" s="656" t="str">
        <f>+VLOOKUP($L488,Data_Validation!$A:$D,3,0)</f>
        <v>Pièces</v>
      </c>
      <c r="V488" s="656" t="str">
        <f>+VLOOKUP($L488,Data_Validation!$A:$D,4,0)</f>
        <v>Huiles et Graisse</v>
      </c>
      <c r="W488" s="656" t="str">
        <f>+VLOOKUP($L488,Data_Validation!$A:$E,5,0)</f>
        <v>NB</v>
      </c>
      <c r="X488" s="656">
        <f>+VLOOKUP($L488,Data_Validation!$A:$F,6,0)</f>
        <v>0</v>
      </c>
    </row>
    <row r="489" spans="1:24" ht="15" customHeight="1">
      <c r="A489" s="1052" t="s">
        <v>1036</v>
      </c>
      <c r="B489" s="1052" t="s">
        <v>1038</v>
      </c>
      <c r="C489" s="1053"/>
      <c r="D489" s="1053"/>
      <c r="E489" s="1053"/>
      <c r="F489" s="1052" t="s">
        <v>7</v>
      </c>
      <c r="G489" s="1052" t="s">
        <v>1037</v>
      </c>
      <c r="H489" s="1053"/>
      <c r="I489" s="1054">
        <v>-110</v>
      </c>
      <c r="J489" s="1054">
        <v>-8</v>
      </c>
      <c r="K489" s="1054">
        <v>-118</v>
      </c>
      <c r="L489" s="653" t="str">
        <f t="shared" si="458"/>
        <v>4491@</v>
      </c>
      <c r="M489" s="654" t="str">
        <f t="shared" si="260"/>
        <v>REPARATION SOUS-LOC. - GENERAL</v>
      </c>
      <c r="N489" s="655">
        <f>+IF(OR($Q489=Parametres!$G$2,$Q489=Parametres!$G$3),I489,C489)</f>
        <v>-110</v>
      </c>
      <c r="O489" s="655">
        <f>+IF(OR($Q489=Parametres!$G$2,$Q489=Parametres!$G$3),J489,D489)</f>
        <v>-8</v>
      </c>
      <c r="P489" s="655">
        <f>+IF(OR($Q489=Parametres!$G$2,$Q489=Parametres!$G$3),K489,E489)</f>
        <v>-118</v>
      </c>
      <c r="Q489" s="654" t="str">
        <f t="shared" ref="Q489:S489" si="497">+F489</f>
        <v>10-Compte compteur</v>
      </c>
      <c r="R489" s="653" t="str">
        <f t="shared" si="497"/>
        <v>4491</v>
      </c>
      <c r="S489" s="654">
        <f t="shared" si="497"/>
        <v>0</v>
      </c>
      <c r="T489" s="656" t="str">
        <f>+VLOOKUP($L489,Data_Validation!$A:$D,1,0)</f>
        <v>4491@</v>
      </c>
      <c r="U489" s="656" t="str">
        <f>+VLOOKUP($L489,Data_Validation!$A:$D,3,0)</f>
        <v>Service</v>
      </c>
      <c r="V489" s="656" t="str">
        <f>+VLOOKUP($L489,Data_Validation!$A:$D,4,0)</f>
        <v>Sous-traitement</v>
      </c>
      <c r="W489" s="656" t="str">
        <f>+VLOOKUP($L489,Data_Validation!$A:$E,5,0)</f>
        <v>NB</v>
      </c>
      <c r="X489" s="656">
        <f>+VLOOKUP($L489,Data_Validation!$A:$F,6,0)</f>
        <v>0</v>
      </c>
    </row>
    <row r="490" spans="1:24" ht="15" customHeight="1">
      <c r="A490" s="1052" t="s">
        <v>1041</v>
      </c>
      <c r="B490" s="1052" t="s">
        <v>1042</v>
      </c>
      <c r="C490" s="1053"/>
      <c r="D490" s="1053"/>
      <c r="E490" s="1053"/>
      <c r="F490" s="1052" t="s">
        <v>7</v>
      </c>
      <c r="G490" s="1052" t="s">
        <v>1040</v>
      </c>
      <c r="H490" s="1053"/>
      <c r="I490" s="1054">
        <v>-30</v>
      </c>
      <c r="J490" s="1054">
        <v>-4</v>
      </c>
      <c r="K490" s="1054">
        <v>-34</v>
      </c>
      <c r="L490" s="653" t="str">
        <f t="shared" si="458"/>
        <v>4493@</v>
      </c>
      <c r="M490" s="654" t="str">
        <f t="shared" si="260"/>
        <v># DE VTE - SOUS-TRAITANCE GARANTIE</v>
      </c>
      <c r="N490" s="655">
        <f>+IF(OR($Q490=Parametres!$G$2,$Q490=Parametres!$G$3),I490,C490)</f>
        <v>-30</v>
      </c>
      <c r="O490" s="655">
        <f>+IF(OR($Q490=Parametres!$G$2,$Q490=Parametres!$G$3),J490,D490)</f>
        <v>-4</v>
      </c>
      <c r="P490" s="655">
        <f>+IF(OR($Q490=Parametres!$G$2,$Q490=Parametres!$G$3),K490,E490)</f>
        <v>-34</v>
      </c>
      <c r="Q490" s="654" t="str">
        <f t="shared" ref="Q490:S490" si="498">+F490</f>
        <v>10-Compte compteur</v>
      </c>
      <c r="R490" s="653" t="str">
        <f t="shared" si="498"/>
        <v>4493</v>
      </c>
      <c r="S490" s="654">
        <f t="shared" si="498"/>
        <v>0</v>
      </c>
      <c r="T490" s="656" t="str">
        <f>+VLOOKUP($L490,Data_Validation!$A:$D,1,0)</f>
        <v>4493@</v>
      </c>
      <c r="U490" s="656" t="str">
        <f>+VLOOKUP($L490,Data_Validation!$A:$D,3,0)</f>
        <v>Service</v>
      </c>
      <c r="V490" s="656" t="str">
        <f>+VLOOKUP($L490,Data_Validation!$A:$D,4,0)</f>
        <v>Sous-traitement</v>
      </c>
      <c r="W490" s="656" t="str">
        <f>+VLOOKUP($L490,Data_Validation!$A:$E,5,0)</f>
        <v>NB</v>
      </c>
      <c r="X490" s="656">
        <f>+VLOOKUP($L490,Data_Validation!$A:$F,6,0)</f>
        <v>0</v>
      </c>
    </row>
    <row r="491" spans="1:24" ht="15.75" customHeight="1">
      <c r="A491" s="1052" t="s">
        <v>1045</v>
      </c>
      <c r="B491" s="1052" t="s">
        <v>1046</v>
      </c>
      <c r="C491" s="1053"/>
      <c r="D491" s="1053"/>
      <c r="E491" s="1053"/>
      <c r="F491" s="1052" t="s">
        <v>7</v>
      </c>
      <c r="G491" s="1052" t="s">
        <v>1044</v>
      </c>
      <c r="H491" s="1053"/>
      <c r="I491" s="1054">
        <v>-1020</v>
      </c>
      <c r="J491" s="1054">
        <v>-51</v>
      </c>
      <c r="K491" s="1054">
        <v>-1071</v>
      </c>
      <c r="L491" s="653" t="str">
        <f t="shared" si="458"/>
        <v>4495@</v>
      </c>
      <c r="M491" s="654" t="str">
        <f t="shared" si="260"/>
        <v># DE VTE - S-TRAITANCE MEC.INTERNE VW</v>
      </c>
      <c r="N491" s="655">
        <f>+IF(OR($Q491=Parametres!$G$2,$Q491=Parametres!$G$3),I491,C491)</f>
        <v>-1020</v>
      </c>
      <c r="O491" s="655">
        <f>+IF(OR($Q491=Parametres!$G$2,$Q491=Parametres!$G$3),J491,D491)</f>
        <v>-51</v>
      </c>
      <c r="P491" s="655">
        <f>+IF(OR($Q491=Parametres!$G$2,$Q491=Parametres!$G$3),K491,E491)</f>
        <v>-1071</v>
      </c>
      <c r="Q491" s="654" t="str">
        <f t="shared" ref="Q491:S491" si="499">+F491</f>
        <v>10-Compte compteur</v>
      </c>
      <c r="R491" s="653" t="str">
        <f t="shared" si="499"/>
        <v>4495</v>
      </c>
      <c r="S491" s="654">
        <f t="shared" si="499"/>
        <v>0</v>
      </c>
      <c r="T491" s="656" t="str">
        <f>+VLOOKUP($L491,Data_Validation!$A:$D,1,0)</f>
        <v>4495@</v>
      </c>
      <c r="U491" s="656" t="str">
        <f>+VLOOKUP($L491,Data_Validation!$A:$D,3,0)</f>
        <v>Service</v>
      </c>
      <c r="V491" s="656" t="str">
        <f>+VLOOKUP($L491,Data_Validation!$A:$D,4,0)</f>
        <v>Sous-traitement</v>
      </c>
      <c r="W491" s="656" t="str">
        <f>+VLOOKUP($L491,Data_Validation!$A:$E,5,0)</f>
        <v>NB</v>
      </c>
      <c r="X491" s="656">
        <f>+VLOOKUP($L491,Data_Validation!$A:$F,6,0)</f>
        <v>0</v>
      </c>
    </row>
    <row r="492" spans="1:24" ht="15" customHeight="1">
      <c r="A492" s="1052" t="s">
        <v>1048</v>
      </c>
      <c r="B492" s="1052" t="s">
        <v>1049</v>
      </c>
      <c r="C492" s="1053"/>
      <c r="D492" s="1053"/>
      <c r="E492" s="1053"/>
      <c r="F492" s="1052" t="s">
        <v>7</v>
      </c>
      <c r="G492" s="1052" t="s">
        <v>3334</v>
      </c>
      <c r="H492" s="1053"/>
      <c r="I492" s="1054">
        <v>-100</v>
      </c>
      <c r="J492" s="1054">
        <v>0</v>
      </c>
      <c r="K492" s="1054">
        <v>-100</v>
      </c>
      <c r="L492" s="653" t="str">
        <f t="shared" si="458"/>
        <v>4503@</v>
      </c>
      <c r="M492" s="654" t="str">
        <f t="shared" si="260"/>
        <v># DE VTE - M.O. CARROS.GARANTIE</v>
      </c>
      <c r="N492" s="655">
        <f>+IF(OR($Q492=Parametres!$G$2,$Q492=Parametres!$G$3),I492,C492)</f>
        <v>-100</v>
      </c>
      <c r="O492" s="655">
        <f>+IF(OR($Q492=Parametres!$G$2,$Q492=Parametres!$G$3),J492,D492)</f>
        <v>0</v>
      </c>
      <c r="P492" s="655">
        <f>+IF(OR($Q492=Parametres!$G$2,$Q492=Parametres!$G$3),K492,E492)</f>
        <v>-100</v>
      </c>
      <c r="Q492" s="654" t="str">
        <f t="shared" ref="Q492:S492" si="500">+F492</f>
        <v>10-Compte compteur</v>
      </c>
      <c r="R492" s="653" t="str">
        <f t="shared" si="500"/>
        <v>4503</v>
      </c>
      <c r="S492" s="654">
        <f t="shared" si="500"/>
        <v>0</v>
      </c>
      <c r="T492" s="656" t="str">
        <f>+VLOOKUP($L492,Data_Validation!$A:$D,1,0)</f>
        <v>4503@</v>
      </c>
      <c r="U492" s="656" t="str">
        <f>+VLOOKUP($L492,Data_Validation!$A:$D,3,0)</f>
        <v>Carrosserie</v>
      </c>
      <c r="V492" s="656" t="str">
        <f>+VLOOKUP($L492,Data_Validation!$A:$D,4,0)</f>
        <v>M/O Sous-traitement</v>
      </c>
      <c r="W492" s="656" t="str">
        <f>+VLOOKUP($L492,Data_Validation!$A:$E,5,0)</f>
        <v>NB</v>
      </c>
      <c r="X492" s="656">
        <f>+VLOOKUP($L492,Data_Validation!$A:$F,6,0)</f>
        <v>0</v>
      </c>
    </row>
    <row r="493" spans="1:24" ht="15" customHeight="1">
      <c r="A493" s="1052" t="s">
        <v>1052</v>
      </c>
      <c r="B493" s="1052" t="s">
        <v>1053</v>
      </c>
      <c r="C493" s="1053"/>
      <c r="D493" s="1053"/>
      <c r="E493" s="1053"/>
      <c r="F493" s="1052" t="s">
        <v>7</v>
      </c>
      <c r="G493" s="1052" t="s">
        <v>1051</v>
      </c>
      <c r="H493" s="1053"/>
      <c r="I493" s="1054">
        <v>-239</v>
      </c>
      <c r="J493" s="1054">
        <v>-16</v>
      </c>
      <c r="K493" s="1054">
        <v>-255</v>
      </c>
      <c r="L493" s="653" t="str">
        <f t="shared" si="458"/>
        <v>4591@</v>
      </c>
      <c r="M493" s="654" t="str">
        <f t="shared" si="260"/>
        <v>REPARATION SOUS-LOC.-PEINT/DEB</v>
      </c>
      <c r="N493" s="655">
        <f>+IF(OR($Q493=Parametres!$G$2,$Q493=Parametres!$G$3),I493,C493)</f>
        <v>-239</v>
      </c>
      <c r="O493" s="655">
        <f>+IF(OR($Q493=Parametres!$G$2,$Q493=Parametres!$G$3),J493,D493)</f>
        <v>-16</v>
      </c>
      <c r="P493" s="655">
        <f>+IF(OR($Q493=Parametres!$G$2,$Q493=Parametres!$G$3),K493,E493)</f>
        <v>-255</v>
      </c>
      <c r="Q493" s="654" t="str">
        <f t="shared" ref="Q493:S493" si="501">+F493</f>
        <v>10-Compte compteur</v>
      </c>
      <c r="R493" s="653" t="str">
        <f t="shared" si="501"/>
        <v>4591</v>
      </c>
      <c r="S493" s="654">
        <f t="shared" si="501"/>
        <v>0</v>
      </c>
      <c r="T493" s="656" t="str">
        <f>+VLOOKUP($L493,Data_Validation!$A:$D,1,0)</f>
        <v>4591@</v>
      </c>
      <c r="U493" s="656" t="str">
        <f>+VLOOKUP($L493,Data_Validation!$A:$D,3,0)</f>
        <v>Carrosserie</v>
      </c>
      <c r="V493" s="656" t="str">
        <f>+VLOOKUP($L493,Data_Validation!$A:$D,4,0)</f>
        <v>M/O Sous-traitement</v>
      </c>
      <c r="W493" s="656" t="str">
        <f>+VLOOKUP($L493,Data_Validation!$A:$E,5,0)</f>
        <v>NB</v>
      </c>
      <c r="X493" s="656">
        <f>+VLOOKUP($L493,Data_Validation!$A:$F,6,0)</f>
        <v>0</v>
      </c>
    </row>
    <row r="494" spans="1:24" ht="15" customHeight="1">
      <c r="A494" s="1052" t="s">
        <v>1056</v>
      </c>
      <c r="B494" s="1052" t="s">
        <v>1057</v>
      </c>
      <c r="C494" s="1053"/>
      <c r="D494" s="1053"/>
      <c r="E494" s="1053"/>
      <c r="F494" s="1052" t="s">
        <v>7</v>
      </c>
      <c r="G494" s="1052" t="s">
        <v>1055</v>
      </c>
      <c r="H494" s="1053"/>
      <c r="I494" s="1054">
        <v>-277</v>
      </c>
      <c r="J494" s="1054">
        <v>-17</v>
      </c>
      <c r="K494" s="1054">
        <v>-294</v>
      </c>
      <c r="L494" s="653" t="str">
        <f t="shared" si="458"/>
        <v>4593@</v>
      </c>
      <c r="M494" s="654" t="str">
        <f t="shared" si="260"/>
        <v># DE VTE - S-TRAITANCE GAR.CARR.</v>
      </c>
      <c r="N494" s="655">
        <f>+IF(OR($Q494=Parametres!$G$2,$Q494=Parametres!$G$3),I494,C494)</f>
        <v>-277</v>
      </c>
      <c r="O494" s="655">
        <f>+IF(OR($Q494=Parametres!$G$2,$Q494=Parametres!$G$3),J494,D494)</f>
        <v>-17</v>
      </c>
      <c r="P494" s="655">
        <f>+IF(OR($Q494=Parametres!$G$2,$Q494=Parametres!$G$3),K494,E494)</f>
        <v>-294</v>
      </c>
      <c r="Q494" s="654" t="str">
        <f t="shared" ref="Q494:S494" si="502">+F494</f>
        <v>10-Compte compteur</v>
      </c>
      <c r="R494" s="653" t="str">
        <f t="shared" si="502"/>
        <v>4593</v>
      </c>
      <c r="S494" s="654">
        <f t="shared" si="502"/>
        <v>0</v>
      </c>
      <c r="T494" s="656" t="str">
        <f>+VLOOKUP($L494,Data_Validation!$A:$D,1,0)</f>
        <v>4593@</v>
      </c>
      <c r="U494" s="656" t="str">
        <f>+VLOOKUP($L494,Data_Validation!$A:$D,3,0)</f>
        <v>Carrosserie</v>
      </c>
      <c r="V494" s="656" t="str">
        <f>+VLOOKUP($L494,Data_Validation!$A:$D,4,0)</f>
        <v>M/O Sous-traitement</v>
      </c>
      <c r="W494" s="656" t="str">
        <f>+VLOOKUP($L494,Data_Validation!$A:$E,5,0)</f>
        <v>NB</v>
      </c>
      <c r="X494" s="656">
        <f>+VLOOKUP($L494,Data_Validation!$A:$F,6,0)</f>
        <v>0</v>
      </c>
    </row>
    <row r="495" spans="1:24" ht="15.75" customHeight="1">
      <c r="A495" s="1052" t="s">
        <v>1060</v>
      </c>
      <c r="B495" s="1052" t="s">
        <v>1061</v>
      </c>
      <c r="C495" s="1053"/>
      <c r="D495" s="1053"/>
      <c r="E495" s="1053"/>
      <c r="F495" s="1052" t="s">
        <v>7</v>
      </c>
      <c r="G495" s="1052" t="s">
        <v>1059</v>
      </c>
      <c r="H495" s="1053"/>
      <c r="I495" s="1054">
        <v>-147</v>
      </c>
      <c r="J495" s="1054">
        <v>-8</v>
      </c>
      <c r="K495" s="1054">
        <v>-155</v>
      </c>
      <c r="L495" s="653" t="str">
        <f t="shared" si="458"/>
        <v>4595@</v>
      </c>
      <c r="M495" s="654" t="str">
        <f t="shared" si="260"/>
        <v># DE VTE - S-TRAIT.INTERNE CARR.</v>
      </c>
      <c r="N495" s="655">
        <f>+IF(OR($Q495=Parametres!$G$2,$Q495=Parametres!$G$3),I495,C495)</f>
        <v>-147</v>
      </c>
      <c r="O495" s="655">
        <f>+IF(OR($Q495=Parametres!$G$2,$Q495=Parametres!$G$3),J495,D495)</f>
        <v>-8</v>
      </c>
      <c r="P495" s="655">
        <f>+IF(OR($Q495=Parametres!$G$2,$Q495=Parametres!$G$3),K495,E495)</f>
        <v>-155</v>
      </c>
      <c r="Q495" s="654" t="str">
        <f t="shared" ref="Q495:S495" si="503">+F495</f>
        <v>10-Compte compteur</v>
      </c>
      <c r="R495" s="653" t="str">
        <f t="shared" si="503"/>
        <v>4595</v>
      </c>
      <c r="S495" s="654">
        <f t="shared" si="503"/>
        <v>0</v>
      </c>
      <c r="T495" s="656" t="str">
        <f>+VLOOKUP($L495,Data_Validation!$A:$D,1,0)</f>
        <v>4595@</v>
      </c>
      <c r="U495" s="656" t="str">
        <f>+VLOOKUP($L495,Data_Validation!$A:$D,3,0)</f>
        <v>Carrosserie</v>
      </c>
      <c r="V495" s="656" t="str">
        <f>+VLOOKUP($L495,Data_Validation!$A:$D,4,0)</f>
        <v>M/O Sous-traitement</v>
      </c>
      <c r="W495" s="656" t="str">
        <f>+VLOOKUP($L495,Data_Validation!$A:$E,5,0)</f>
        <v>NB</v>
      </c>
      <c r="X495" s="656">
        <f>+VLOOKUP($L495,Data_Validation!$A:$F,6,0)</f>
        <v>0</v>
      </c>
    </row>
    <row r="496" spans="1:24" ht="15" customHeight="1">
      <c r="A496" s="1052" t="s">
        <v>3674</v>
      </c>
      <c r="B496" s="1052" t="s">
        <v>1065</v>
      </c>
      <c r="C496" s="1053"/>
      <c r="D496" s="1053"/>
      <c r="E496" s="1053"/>
      <c r="F496" s="1052" t="s">
        <v>7</v>
      </c>
      <c r="G496" s="1052" t="s">
        <v>1063</v>
      </c>
      <c r="H496" s="1053"/>
      <c r="I496" s="1054">
        <v>-5061</v>
      </c>
      <c r="J496" s="1054">
        <v>-333</v>
      </c>
      <c r="K496" s="1054">
        <v>-5394</v>
      </c>
      <c r="L496" s="653" t="str">
        <f t="shared" si="458"/>
        <v>4701@</v>
      </c>
      <c r="M496" s="654" t="str">
        <f t="shared" si="260"/>
        <v>VW P&amp;A - BR - CLIENT - MCI</v>
      </c>
      <c r="N496" s="655">
        <f>+IF(OR($Q496=Parametres!$G$2,$Q496=Parametres!$G$3),I496,C496)</f>
        <v>-5061</v>
      </c>
      <c r="O496" s="655">
        <f>+IF(OR($Q496=Parametres!$G$2,$Q496=Parametres!$G$3),J496,D496)</f>
        <v>-333</v>
      </c>
      <c r="P496" s="655">
        <f>+IF(OR($Q496=Parametres!$G$2,$Q496=Parametres!$G$3),K496,E496)</f>
        <v>-5394</v>
      </c>
      <c r="Q496" s="654" t="str">
        <f t="shared" ref="Q496:S496" si="504">+F496</f>
        <v>10-Compte compteur</v>
      </c>
      <c r="R496" s="653" t="str">
        <f t="shared" si="504"/>
        <v>4701</v>
      </c>
      <c r="S496" s="654">
        <f t="shared" si="504"/>
        <v>0</v>
      </c>
      <c r="T496" s="656" t="str">
        <f>+VLOOKUP($L496,Data_Validation!$A:$D,1,0)</f>
        <v>4701@</v>
      </c>
      <c r="U496" s="656" t="str">
        <f>+VLOOKUP($L496,Data_Validation!$A:$D,3,0)</f>
        <v>Pièces</v>
      </c>
      <c r="V496" s="656" t="str">
        <f>+VLOOKUP($L496,Data_Validation!$A:$D,4,0)</f>
        <v>Pièces Ro Clients</v>
      </c>
      <c r="W496" s="656" t="str">
        <f>+VLOOKUP($L496,Data_Validation!$A:$E,5,0)</f>
        <v>NB</v>
      </c>
      <c r="X496" s="656">
        <f>+VLOOKUP($L496,Data_Validation!$A:$F,6,0)</f>
        <v>0</v>
      </c>
    </row>
    <row r="497" spans="1:24" ht="15" customHeight="1">
      <c r="A497" s="1052" t="s">
        <v>3675</v>
      </c>
      <c r="B497" s="1052" t="s">
        <v>1071</v>
      </c>
      <c r="C497" s="1053"/>
      <c r="D497" s="1053"/>
      <c r="E497" s="1053"/>
      <c r="F497" s="1052" t="s">
        <v>7</v>
      </c>
      <c r="G497" s="1052" t="s">
        <v>1069</v>
      </c>
      <c r="H497" s="1053"/>
      <c r="I497" s="1054">
        <v>-1417</v>
      </c>
      <c r="J497" s="1054">
        <v>-99</v>
      </c>
      <c r="K497" s="1054">
        <v>-1516</v>
      </c>
      <c r="L497" s="653" t="str">
        <f t="shared" si="458"/>
        <v>4703@</v>
      </c>
      <c r="M497" s="654" t="str">
        <f t="shared" si="260"/>
        <v>VW P&amp;A - BR - GARANTIE - MCI</v>
      </c>
      <c r="N497" s="655">
        <f>+IF(OR($Q497=Parametres!$G$2,$Q497=Parametres!$G$3),I497,C497)</f>
        <v>-1417</v>
      </c>
      <c r="O497" s="655">
        <f>+IF(OR($Q497=Parametres!$G$2,$Q497=Parametres!$G$3),J497,D497)</f>
        <v>-99</v>
      </c>
      <c r="P497" s="655">
        <f>+IF(OR($Q497=Parametres!$G$2,$Q497=Parametres!$G$3),K497,E497)</f>
        <v>-1516</v>
      </c>
      <c r="Q497" s="654" t="str">
        <f t="shared" ref="Q497:S497" si="505">+F497</f>
        <v>10-Compte compteur</v>
      </c>
      <c r="R497" s="653" t="str">
        <f t="shared" si="505"/>
        <v>4703</v>
      </c>
      <c r="S497" s="654">
        <f t="shared" si="505"/>
        <v>0</v>
      </c>
      <c r="T497" s="656" t="str">
        <f>+VLOOKUP($L497,Data_Validation!$A:$D,1,0)</f>
        <v>4703@</v>
      </c>
      <c r="U497" s="656" t="str">
        <f>+VLOOKUP($L497,Data_Validation!$A:$D,3,0)</f>
        <v>Pièces</v>
      </c>
      <c r="V497" s="656" t="str">
        <f>+VLOOKUP($L497,Data_Validation!$A:$D,4,0)</f>
        <v>P/A Garantie</v>
      </c>
      <c r="W497" s="656" t="str">
        <f>+VLOOKUP($L497,Data_Validation!$A:$E,5,0)</f>
        <v>NB</v>
      </c>
      <c r="X497" s="656">
        <f>+VLOOKUP($L497,Data_Validation!$A:$F,6,0)</f>
        <v>0</v>
      </c>
    </row>
    <row r="498" spans="1:24" ht="15" customHeight="1">
      <c r="A498" s="1052" t="s">
        <v>3676</v>
      </c>
      <c r="B498" s="1052" t="s">
        <v>1075</v>
      </c>
      <c r="C498" s="1053"/>
      <c r="D498" s="1053"/>
      <c r="E498" s="1053"/>
      <c r="F498" s="1052" t="s">
        <v>7</v>
      </c>
      <c r="G498" s="1052" t="s">
        <v>1073</v>
      </c>
      <c r="H498" s="1053"/>
      <c r="I498" s="1054">
        <v>-2298</v>
      </c>
      <c r="J498" s="1054">
        <v>-218</v>
      </c>
      <c r="K498" s="1054">
        <v>-2516</v>
      </c>
      <c r="L498" s="653" t="str">
        <f t="shared" si="458"/>
        <v>4705@</v>
      </c>
      <c r="M498" s="654" t="str">
        <f t="shared" si="260"/>
        <v>VW P&amp;A - BR - INTERNE - MCI</v>
      </c>
      <c r="N498" s="655">
        <f>+IF(OR($Q498=Parametres!$G$2,$Q498=Parametres!$G$3),I498,C498)</f>
        <v>-2298</v>
      </c>
      <c r="O498" s="655">
        <f>+IF(OR($Q498=Parametres!$G$2,$Q498=Parametres!$G$3),J498,D498)</f>
        <v>-218</v>
      </c>
      <c r="P498" s="655">
        <f>+IF(OR($Q498=Parametres!$G$2,$Q498=Parametres!$G$3),K498,E498)</f>
        <v>-2516</v>
      </c>
      <c r="Q498" s="654" t="str">
        <f t="shared" ref="Q498:S498" si="506">+F498</f>
        <v>10-Compte compteur</v>
      </c>
      <c r="R498" s="653" t="str">
        <f t="shared" si="506"/>
        <v>4705</v>
      </c>
      <c r="S498" s="654">
        <f t="shared" si="506"/>
        <v>0</v>
      </c>
      <c r="T498" s="656" t="str">
        <f>+VLOOKUP($L498,Data_Validation!$A:$D,1,0)</f>
        <v>4705@</v>
      </c>
      <c r="U498" s="656" t="str">
        <f>+VLOOKUP($L498,Data_Validation!$A:$D,3,0)</f>
        <v>Pièces</v>
      </c>
      <c r="V498" s="656" t="str">
        <f>+VLOOKUP($L498,Data_Validation!$A:$D,4,0)</f>
        <v>Ventes Internes</v>
      </c>
      <c r="W498" s="656" t="str">
        <f>+VLOOKUP($L498,Data_Validation!$A:$E,5,0)</f>
        <v>NB</v>
      </c>
      <c r="X498" s="656">
        <f>+VLOOKUP($L498,Data_Validation!$A:$F,6,0)</f>
        <v>0</v>
      </c>
    </row>
    <row r="499" spans="1:24" ht="15" customHeight="1">
      <c r="A499" s="1052" t="s">
        <v>1079</v>
      </c>
      <c r="B499" s="1052" t="s">
        <v>1080</v>
      </c>
      <c r="C499" s="1053"/>
      <c r="D499" s="1053"/>
      <c r="E499" s="1053"/>
      <c r="F499" s="1052" t="s">
        <v>7</v>
      </c>
      <c r="G499" s="1052" t="s">
        <v>1078</v>
      </c>
      <c r="H499" s="1053"/>
      <c r="I499" s="1054">
        <v>-1724</v>
      </c>
      <c r="J499" s="1054">
        <v>-135</v>
      </c>
      <c r="K499" s="1054">
        <v>-1859</v>
      </c>
      <c r="L499" s="653" t="str">
        <f t="shared" si="458"/>
        <v>4711@</v>
      </c>
      <c r="M499" s="654" t="str">
        <f t="shared" si="260"/>
        <v># DE VTE - P&amp;A B.T. CLIENT AUDI</v>
      </c>
      <c r="N499" s="655">
        <f>+IF(OR($Q499=Parametres!$G$2,$Q499=Parametres!$G$3),I499,C499)</f>
        <v>-1724</v>
      </c>
      <c r="O499" s="655">
        <f>+IF(OR($Q499=Parametres!$G$2,$Q499=Parametres!$G$3),J499,D499)</f>
        <v>-135</v>
      </c>
      <c r="P499" s="655">
        <f>+IF(OR($Q499=Parametres!$G$2,$Q499=Parametres!$G$3),K499,E499)</f>
        <v>-1859</v>
      </c>
      <c r="Q499" s="654" t="str">
        <f t="shared" ref="Q499:S499" si="507">+F499</f>
        <v>10-Compte compteur</v>
      </c>
      <c r="R499" s="653" t="str">
        <f t="shared" si="507"/>
        <v>84711</v>
      </c>
      <c r="S499" s="654">
        <f t="shared" si="507"/>
        <v>0</v>
      </c>
      <c r="T499" s="656" t="str">
        <f>+VLOOKUP($L499,Data_Validation!$A:$D,1,0)</f>
        <v>4711@</v>
      </c>
      <c r="U499" s="656" t="str">
        <f>+VLOOKUP($L499,Data_Validation!$A:$D,3,0)</f>
        <v>Pièces</v>
      </c>
      <c r="V499" s="656" t="str">
        <f>+VLOOKUP($L499,Data_Validation!$A:$D,4,0)</f>
        <v>Pièces Ro Clients</v>
      </c>
      <c r="W499" s="656" t="str">
        <f>+VLOOKUP($L499,Data_Validation!$A:$E,5,0)</f>
        <v>NB</v>
      </c>
      <c r="X499" s="656">
        <f>+VLOOKUP($L499,Data_Validation!$A:$F,6,0)</f>
        <v>0</v>
      </c>
    </row>
    <row r="500" spans="1:24" ht="15.75" customHeight="1">
      <c r="A500" s="1052" t="s">
        <v>1082</v>
      </c>
      <c r="B500" s="1052" t="s">
        <v>1083</v>
      </c>
      <c r="C500" s="1053"/>
      <c r="D500" s="1053"/>
      <c r="E500" s="1053"/>
      <c r="F500" s="1052" t="s">
        <v>7</v>
      </c>
      <c r="G500" s="1052" t="s">
        <v>1084</v>
      </c>
      <c r="H500" s="1053"/>
      <c r="I500" s="1054">
        <v>-2</v>
      </c>
      <c r="J500" s="1054">
        <v>0</v>
      </c>
      <c r="K500" s="1054">
        <v>-2</v>
      </c>
      <c r="L500" s="653" t="str">
        <f t="shared" si="458"/>
        <v>4715@</v>
      </c>
      <c r="M500" s="654" t="str">
        <f t="shared" si="260"/>
        <v># DE VTE - P&amp;A B.T. INTERNE AUDI</v>
      </c>
      <c r="N500" s="655">
        <f>+IF(OR($Q500=Parametres!$G$2,$Q500=Parametres!$G$3),I500,C500)</f>
        <v>-2</v>
      </c>
      <c r="O500" s="655">
        <f>+IF(OR($Q500=Parametres!$G$2,$Q500=Parametres!$G$3),J500,D500)</f>
        <v>0</v>
      </c>
      <c r="P500" s="655">
        <f>+IF(OR($Q500=Parametres!$G$2,$Q500=Parametres!$G$3),K500,E500)</f>
        <v>-2</v>
      </c>
      <c r="Q500" s="654" t="str">
        <f t="shared" ref="Q500:S500" si="508">+F500</f>
        <v>10-Compte compteur</v>
      </c>
      <c r="R500" s="653" t="str">
        <f t="shared" si="508"/>
        <v>84715</v>
      </c>
      <c r="S500" s="654">
        <f t="shared" si="508"/>
        <v>0</v>
      </c>
      <c r="T500" s="656" t="str">
        <f>+VLOOKUP($L500,Data_Validation!$A:$D,1,0)</f>
        <v>4715@</v>
      </c>
      <c r="U500" s="656" t="str">
        <f>+VLOOKUP($L500,Data_Validation!$A:$D,3,0)</f>
        <v>Pièces</v>
      </c>
      <c r="V500" s="656" t="str">
        <f>+VLOOKUP($L500,Data_Validation!$A:$D,4,0)</f>
        <v>Ventes Internes</v>
      </c>
      <c r="W500" s="656" t="str">
        <f>+VLOOKUP($L500,Data_Validation!$A:$E,5,0)</f>
        <v>NB</v>
      </c>
      <c r="X500" s="656">
        <f>+VLOOKUP($L500,Data_Validation!$A:$F,6,0)</f>
        <v>0</v>
      </c>
    </row>
    <row r="501" spans="1:24" ht="15" customHeight="1">
      <c r="A501" s="1052" t="s">
        <v>1087</v>
      </c>
      <c r="B501" s="1052" t="s">
        <v>1088</v>
      </c>
      <c r="C501" s="1053"/>
      <c r="D501" s="1053"/>
      <c r="E501" s="1053"/>
      <c r="F501" s="1052" t="s">
        <v>7</v>
      </c>
      <c r="G501" s="1052" t="s">
        <v>1086</v>
      </c>
      <c r="H501" s="1053"/>
      <c r="I501" s="1054">
        <v>-100</v>
      </c>
      <c r="J501" s="1054">
        <v>-8</v>
      </c>
      <c r="K501" s="1054">
        <v>-108</v>
      </c>
      <c r="L501" s="653" t="str">
        <f t="shared" si="458"/>
        <v>4731@</v>
      </c>
      <c r="M501" s="654" t="str">
        <f t="shared" si="260"/>
        <v>PIECES-BON REPAR. PEINT/DEBOS</v>
      </c>
      <c r="N501" s="655">
        <f>+IF(OR($Q501=Parametres!$G$2,$Q501=Parametres!$G$3),I501,C501)</f>
        <v>-100</v>
      </c>
      <c r="O501" s="655">
        <f>+IF(OR($Q501=Parametres!$G$2,$Q501=Parametres!$G$3),J501,D501)</f>
        <v>-8</v>
      </c>
      <c r="P501" s="655">
        <f>+IF(OR($Q501=Parametres!$G$2,$Q501=Parametres!$G$3),K501,E501)</f>
        <v>-108</v>
      </c>
      <c r="Q501" s="654" t="str">
        <f t="shared" ref="Q501:S501" si="509">+F501</f>
        <v>10-Compte compteur</v>
      </c>
      <c r="R501" s="653" t="str">
        <f t="shared" si="509"/>
        <v>4731</v>
      </c>
      <c r="S501" s="654">
        <f t="shared" si="509"/>
        <v>0</v>
      </c>
      <c r="T501" s="656" t="str">
        <f>+VLOOKUP($L501,Data_Validation!$A:$D,1,0)</f>
        <v>4731@</v>
      </c>
      <c r="U501" s="656" t="str">
        <f>+VLOOKUP($L501,Data_Validation!$A:$D,3,0)</f>
        <v>Pièces</v>
      </c>
      <c r="V501" s="656" t="str">
        <f>+VLOOKUP($L501,Data_Validation!$A:$D,4,0)</f>
        <v>Pièces Ro Carrosserie</v>
      </c>
      <c r="W501" s="656" t="str">
        <f>+VLOOKUP($L501,Data_Validation!$A:$E,5,0)</f>
        <v>NB</v>
      </c>
      <c r="X501" s="656">
        <f>+VLOOKUP($L501,Data_Validation!$A:$F,6,0)</f>
        <v>0</v>
      </c>
    </row>
    <row r="502" spans="1:24" ht="15" customHeight="1">
      <c r="A502" s="1052" t="s">
        <v>1091</v>
      </c>
      <c r="B502" s="1052" t="s">
        <v>1092</v>
      </c>
      <c r="C502" s="1053"/>
      <c r="D502" s="1053"/>
      <c r="E502" s="1053"/>
      <c r="F502" s="1052" t="s">
        <v>7</v>
      </c>
      <c r="G502" s="1052" t="s">
        <v>1090</v>
      </c>
      <c r="H502" s="1053"/>
      <c r="I502" s="1054">
        <v>-227</v>
      </c>
      <c r="J502" s="1054">
        <v>-15</v>
      </c>
      <c r="K502" s="1054">
        <v>-242</v>
      </c>
      <c r="L502" s="653" t="str">
        <f t="shared" si="458"/>
        <v>4733@</v>
      </c>
      <c r="M502" s="654" t="str">
        <f t="shared" si="260"/>
        <v># DE VTE - P&amp;A B.T. GARANTIE CARR.</v>
      </c>
      <c r="N502" s="655">
        <f>+IF(OR($Q502=Parametres!$G$2,$Q502=Parametres!$G$3),I502,C502)</f>
        <v>-227</v>
      </c>
      <c r="O502" s="655">
        <f>+IF(OR($Q502=Parametres!$G$2,$Q502=Parametres!$G$3),J502,D502)</f>
        <v>-15</v>
      </c>
      <c r="P502" s="655">
        <f>+IF(OR($Q502=Parametres!$G$2,$Q502=Parametres!$G$3),K502,E502)</f>
        <v>-242</v>
      </c>
      <c r="Q502" s="654" t="str">
        <f t="shared" ref="Q502:S502" si="510">+F502</f>
        <v>10-Compte compteur</v>
      </c>
      <c r="R502" s="653" t="str">
        <f t="shared" si="510"/>
        <v>4733</v>
      </c>
      <c r="S502" s="654">
        <f t="shared" si="510"/>
        <v>0</v>
      </c>
      <c r="T502" s="656" t="str">
        <f>+VLOOKUP($L502,Data_Validation!$A:$D,1,0)</f>
        <v>4733@</v>
      </c>
      <c r="U502" s="656" t="str">
        <f>+VLOOKUP($L502,Data_Validation!$A:$D,3,0)</f>
        <v>Pièces</v>
      </c>
      <c r="V502" s="656" t="str">
        <f>+VLOOKUP($L502,Data_Validation!$A:$D,4,0)</f>
        <v>Pièces Ro Carrosserie</v>
      </c>
      <c r="W502" s="656" t="str">
        <f>+VLOOKUP($L502,Data_Validation!$A:$E,5,0)</f>
        <v>NB</v>
      </c>
      <c r="X502" s="656">
        <f>+VLOOKUP($L502,Data_Validation!$A:$F,6,0)</f>
        <v>0</v>
      </c>
    </row>
    <row r="503" spans="1:24" ht="15" customHeight="1">
      <c r="A503" s="1052" t="s">
        <v>1095</v>
      </c>
      <c r="B503" s="1052" t="s">
        <v>1096</v>
      </c>
      <c r="C503" s="1053"/>
      <c r="D503" s="1053"/>
      <c r="E503" s="1053"/>
      <c r="F503" s="1052" t="s">
        <v>7</v>
      </c>
      <c r="G503" s="1052" t="s">
        <v>1094</v>
      </c>
      <c r="H503" s="1053"/>
      <c r="I503" s="1054">
        <v>-53</v>
      </c>
      <c r="J503" s="1054">
        <v>-2</v>
      </c>
      <c r="K503" s="1054">
        <v>-55</v>
      </c>
      <c r="L503" s="653" t="str">
        <f t="shared" si="458"/>
        <v>4735@</v>
      </c>
      <c r="M503" s="654" t="str">
        <f t="shared" si="260"/>
        <v># DE VTE - P&amp;A B.T. INTERNE CARROS.</v>
      </c>
      <c r="N503" s="655">
        <f>+IF(OR($Q503=Parametres!$G$2,$Q503=Parametres!$G$3),I503,C503)</f>
        <v>-53</v>
      </c>
      <c r="O503" s="655">
        <f>+IF(OR($Q503=Parametres!$G$2,$Q503=Parametres!$G$3),J503,D503)</f>
        <v>-2</v>
      </c>
      <c r="P503" s="655">
        <f>+IF(OR($Q503=Parametres!$G$2,$Q503=Parametres!$G$3),K503,E503)</f>
        <v>-55</v>
      </c>
      <c r="Q503" s="654" t="str">
        <f t="shared" ref="Q503:S503" si="511">+F503</f>
        <v>10-Compte compteur</v>
      </c>
      <c r="R503" s="653" t="str">
        <f t="shared" si="511"/>
        <v>4735</v>
      </c>
      <c r="S503" s="654">
        <f t="shared" si="511"/>
        <v>0</v>
      </c>
      <c r="T503" s="656" t="str">
        <f>+VLOOKUP($L503,Data_Validation!$A:$D,1,0)</f>
        <v>4735@</v>
      </c>
      <c r="U503" s="656" t="str">
        <f>+VLOOKUP($L503,Data_Validation!$A:$D,3,0)</f>
        <v>Pièces</v>
      </c>
      <c r="V503" s="656" t="str">
        <f>+VLOOKUP($L503,Data_Validation!$A:$D,4,0)</f>
        <v>Pièces Ro Carrosserie</v>
      </c>
      <c r="W503" s="656" t="str">
        <f>+VLOOKUP($L503,Data_Validation!$A:$E,5,0)</f>
        <v>NB</v>
      </c>
      <c r="X503" s="656">
        <f>+VLOOKUP($L503,Data_Validation!$A:$F,6,0)</f>
        <v>0</v>
      </c>
    </row>
    <row r="504" spans="1:24" ht="15" customHeight="1">
      <c r="A504" s="1052" t="s">
        <v>1099</v>
      </c>
      <c r="B504" s="1052" t="s">
        <v>1100</v>
      </c>
      <c r="C504" s="1053"/>
      <c r="D504" s="1053"/>
      <c r="E504" s="1053"/>
      <c r="F504" s="1052" t="s">
        <v>7</v>
      </c>
      <c r="G504" s="1052" t="s">
        <v>1098</v>
      </c>
      <c r="H504" s="1053"/>
      <c r="I504" s="1054">
        <v>-1831</v>
      </c>
      <c r="J504" s="1054">
        <v>-153</v>
      </c>
      <c r="K504" s="1054">
        <v>-1984</v>
      </c>
      <c r="L504" s="653" t="str">
        <f t="shared" si="458"/>
        <v>4761@</v>
      </c>
      <c r="M504" s="654" t="str">
        <f t="shared" si="260"/>
        <v>PIECES-COMPTOIR-DETAIL</v>
      </c>
      <c r="N504" s="655">
        <f>+IF(OR($Q504=Parametres!$G$2,$Q504=Parametres!$G$3),I504,C504)</f>
        <v>-1831</v>
      </c>
      <c r="O504" s="655">
        <f>+IF(OR($Q504=Parametres!$G$2,$Q504=Parametres!$G$3),J504,D504)</f>
        <v>-153</v>
      </c>
      <c r="P504" s="655">
        <f>+IF(OR($Q504=Parametres!$G$2,$Q504=Parametres!$G$3),K504,E504)</f>
        <v>-1984</v>
      </c>
      <c r="Q504" s="654" t="str">
        <f t="shared" ref="Q504:S504" si="512">+F504</f>
        <v>10-Compte compteur</v>
      </c>
      <c r="R504" s="653" t="str">
        <f t="shared" si="512"/>
        <v>4761</v>
      </c>
      <c r="S504" s="654">
        <f t="shared" si="512"/>
        <v>0</v>
      </c>
      <c r="T504" s="656" t="str">
        <f>+VLOOKUP($L504,Data_Validation!$A:$D,1,0)</f>
        <v>4761@</v>
      </c>
      <c r="U504" s="656" t="str">
        <f>+VLOOKUP($L504,Data_Validation!$A:$D,3,0)</f>
        <v>Pièces</v>
      </c>
      <c r="V504" s="656" t="str">
        <f>+VLOOKUP($L504,Data_Validation!$A:$D,4,0)</f>
        <v>Ventes Détails</v>
      </c>
      <c r="W504" s="656" t="str">
        <f>+VLOOKUP($L504,Data_Validation!$A:$E,5,0)</f>
        <v>NB</v>
      </c>
      <c r="X504" s="656">
        <f>+VLOOKUP($L504,Data_Validation!$A:$F,6,0)</f>
        <v>0</v>
      </c>
    </row>
    <row r="505" spans="1:24" ht="15.75" customHeight="1">
      <c r="A505" s="1052" t="s">
        <v>1103</v>
      </c>
      <c r="B505" s="1052" t="s">
        <v>1104</v>
      </c>
      <c r="C505" s="1053"/>
      <c r="D505" s="1053"/>
      <c r="E505" s="1053"/>
      <c r="F505" s="1052" t="s">
        <v>7</v>
      </c>
      <c r="G505" s="1052" t="s">
        <v>1102</v>
      </c>
      <c r="H505" s="1053"/>
      <c r="I505" s="1054">
        <v>-3151</v>
      </c>
      <c r="J505" s="1054">
        <v>-267</v>
      </c>
      <c r="K505" s="1054">
        <v>-3418</v>
      </c>
      <c r="L505" s="653" t="str">
        <f t="shared" si="458"/>
        <v>4763@</v>
      </c>
      <c r="M505" s="654" t="str">
        <f t="shared" si="260"/>
        <v>PIECES-COMPTOIR-COMM. GROS</v>
      </c>
      <c r="N505" s="655">
        <f>+IF(OR($Q505=Parametres!$G$2,$Q505=Parametres!$G$3),I505,C505)</f>
        <v>-3151</v>
      </c>
      <c r="O505" s="655">
        <f>+IF(OR($Q505=Parametres!$G$2,$Q505=Parametres!$G$3),J505,D505)</f>
        <v>-267</v>
      </c>
      <c r="P505" s="655">
        <f>+IF(OR($Q505=Parametres!$G$2,$Q505=Parametres!$G$3),K505,E505)</f>
        <v>-3418</v>
      </c>
      <c r="Q505" s="654" t="str">
        <f t="shared" ref="Q505:S505" si="513">+F505</f>
        <v>10-Compte compteur</v>
      </c>
      <c r="R505" s="653" t="str">
        <f t="shared" si="513"/>
        <v>4763</v>
      </c>
      <c r="S505" s="654">
        <f t="shared" si="513"/>
        <v>0</v>
      </c>
      <c r="T505" s="656" t="str">
        <f>+VLOOKUP($L505,Data_Validation!$A:$D,1,0)</f>
        <v>4763@</v>
      </c>
      <c r="U505" s="656" t="str">
        <f>+VLOOKUP($L505,Data_Validation!$A:$D,3,0)</f>
        <v>Pièces</v>
      </c>
      <c r="V505" s="656" t="str">
        <f>+VLOOKUP($L505,Data_Validation!$A:$D,4,0)</f>
        <v>Ventes de Gros</v>
      </c>
      <c r="W505" s="656" t="str">
        <f>+VLOOKUP($L505,Data_Validation!$A:$E,5,0)</f>
        <v>NB</v>
      </c>
      <c r="X505" s="656">
        <f>+VLOOKUP($L505,Data_Validation!$A:$F,6,0)</f>
        <v>0</v>
      </c>
    </row>
    <row r="506" spans="1:24" ht="15" customHeight="1">
      <c r="A506" s="1052" t="s">
        <v>1105</v>
      </c>
      <c r="B506" s="1052" t="s">
        <v>1107</v>
      </c>
      <c r="C506" s="1053"/>
      <c r="D506" s="1053"/>
      <c r="E506" s="1053"/>
      <c r="F506" s="1052" t="s">
        <v>7</v>
      </c>
      <c r="G506" s="1052" t="s">
        <v>1106</v>
      </c>
      <c r="H506" s="1053"/>
      <c r="I506" s="1054">
        <v>-521</v>
      </c>
      <c r="J506" s="1054">
        <v>-46</v>
      </c>
      <c r="K506" s="1054">
        <v>-567</v>
      </c>
      <c r="L506" s="653" t="str">
        <f t="shared" si="458"/>
        <v>4781@</v>
      </c>
      <c r="M506" s="654" t="str">
        <f t="shared" si="260"/>
        <v>VENTES PNEUS</v>
      </c>
      <c r="N506" s="655">
        <f>+IF(OR($Q506=Parametres!$G$2,$Q506=Parametres!$G$3),I506,C506)</f>
        <v>-521</v>
      </c>
      <c r="O506" s="655">
        <f>+IF(OR($Q506=Parametres!$G$2,$Q506=Parametres!$G$3),J506,D506)</f>
        <v>-46</v>
      </c>
      <c r="P506" s="655">
        <f>+IF(OR($Q506=Parametres!$G$2,$Q506=Parametres!$G$3),K506,E506)</f>
        <v>-567</v>
      </c>
      <c r="Q506" s="654" t="str">
        <f t="shared" ref="Q506:S506" si="514">+F506</f>
        <v>10-Compte compteur</v>
      </c>
      <c r="R506" s="653" t="str">
        <f t="shared" si="514"/>
        <v>4781</v>
      </c>
      <c r="S506" s="654">
        <f t="shared" si="514"/>
        <v>0</v>
      </c>
      <c r="T506" s="656" t="str">
        <f>+VLOOKUP($L506,Data_Validation!$A:$D,1,0)</f>
        <v>4781@</v>
      </c>
      <c r="U506" s="656" t="str">
        <f>+VLOOKUP($L506,Data_Validation!$A:$D,3,0)</f>
        <v>Pièces</v>
      </c>
      <c r="V506" s="656" t="str">
        <f>+VLOOKUP($L506,Data_Validation!$A:$D,4,0)</f>
        <v>Ventes Pneus</v>
      </c>
      <c r="W506" s="656" t="str">
        <f>+VLOOKUP($L506,Data_Validation!$A:$E,5,0)</f>
        <v>NB</v>
      </c>
      <c r="X506" s="656">
        <f>+VLOOKUP($L506,Data_Validation!$A:$F,6,0)</f>
        <v>0</v>
      </c>
    </row>
    <row r="507" spans="1:24" ht="15" customHeight="1">
      <c r="A507" s="1052" t="s">
        <v>1292</v>
      </c>
      <c r="B507" s="1052" t="s">
        <v>1293</v>
      </c>
      <c r="C507" s="1053"/>
      <c r="D507" s="1053"/>
      <c r="E507" s="1053"/>
      <c r="F507" s="1052" t="s">
        <v>7</v>
      </c>
      <c r="G507" s="1052" t="s">
        <v>1291</v>
      </c>
      <c r="H507" s="1053"/>
      <c r="I507" s="1054">
        <v>-50</v>
      </c>
      <c r="J507" s="1054">
        <v>0</v>
      </c>
      <c r="K507" s="1054">
        <v>-50</v>
      </c>
      <c r="L507" s="653" t="str">
        <f t="shared" si="458"/>
        <v>9161@</v>
      </c>
      <c r="M507" s="654" t="str">
        <f t="shared" si="260"/>
        <v>REV FINANCE ET ASS NEUF</v>
      </c>
      <c r="N507" s="655">
        <f>+IF(OR($Q507=Parametres!$G$2,$Q507=Parametres!$G$3),I507,C507)</f>
        <v>-50</v>
      </c>
      <c r="O507" s="655">
        <f>+IF(OR($Q507=Parametres!$G$2,$Q507=Parametres!$G$3),J507,D507)</f>
        <v>0</v>
      </c>
      <c r="P507" s="655">
        <f>+IF(OR($Q507=Parametres!$G$2,$Q507=Parametres!$G$3),K507,E507)</f>
        <v>-50</v>
      </c>
      <c r="Q507" s="654" t="str">
        <f t="shared" ref="Q507:S507" si="515">+F507</f>
        <v>10-Compte compteur</v>
      </c>
      <c r="R507" s="653" t="str">
        <f t="shared" si="515"/>
        <v>9161</v>
      </c>
      <c r="S507" s="654">
        <f t="shared" si="515"/>
        <v>0</v>
      </c>
      <c r="T507" s="656" t="str">
        <f>+VLOOKUP($L507,Data_Validation!$A:$D,1,0)</f>
        <v>9161@</v>
      </c>
      <c r="U507" s="656" t="str">
        <f>+VLOOKUP($L507,Data_Validation!$A:$D,3,0)</f>
        <v>Véhicules neufs</v>
      </c>
      <c r="V507" s="656">
        <f>+VLOOKUP($L507,Data_Validation!$A:$D,4,0)</f>
        <v>0</v>
      </c>
      <c r="W507" s="656" t="str">
        <f>+VLOOKUP($L507,Data_Validation!$A:$E,5,0)</f>
        <v>NB</v>
      </c>
      <c r="X507" s="656">
        <f>+VLOOKUP($L507,Data_Validation!$A:$F,6,0)</f>
        <v>0</v>
      </c>
    </row>
    <row r="508" spans="1:24" ht="15" customHeight="1">
      <c r="A508" s="1052" t="s">
        <v>1294</v>
      </c>
      <c r="B508" s="1052" t="s">
        <v>1296</v>
      </c>
      <c r="C508" s="1053"/>
      <c r="D508" s="1053"/>
      <c r="E508" s="1053"/>
      <c r="F508" s="1052" t="s">
        <v>7</v>
      </c>
      <c r="G508" s="1052" t="s">
        <v>1295</v>
      </c>
      <c r="H508" s="1053"/>
      <c r="I508" s="1054">
        <v>-233</v>
      </c>
      <c r="J508" s="1054">
        <v>-11</v>
      </c>
      <c r="K508" s="1054">
        <v>-244</v>
      </c>
      <c r="L508" s="653" t="str">
        <f t="shared" si="458"/>
        <v>9163@</v>
      </c>
      <c r="M508" s="654" t="str">
        <f t="shared" si="260"/>
        <v>RESERVE FIN ET ASS VEH OCCASION</v>
      </c>
      <c r="N508" s="655">
        <f>+IF(OR($Q508=Parametres!$G$2,$Q508=Parametres!$G$3),I508,C508)</f>
        <v>-233</v>
      </c>
      <c r="O508" s="655">
        <f>+IF(OR($Q508=Parametres!$G$2,$Q508=Parametres!$G$3),J508,D508)</f>
        <v>-11</v>
      </c>
      <c r="P508" s="655">
        <f>+IF(OR($Q508=Parametres!$G$2,$Q508=Parametres!$G$3),K508,E508)</f>
        <v>-244</v>
      </c>
      <c r="Q508" s="654" t="str">
        <f t="shared" ref="Q508:S508" si="516">+F508</f>
        <v>10-Compte compteur</v>
      </c>
      <c r="R508" s="653" t="str">
        <f t="shared" si="516"/>
        <v>9163</v>
      </c>
      <c r="S508" s="654">
        <f t="shared" si="516"/>
        <v>0</v>
      </c>
      <c r="T508" s="656" t="str">
        <f>+VLOOKUP($L508,Data_Validation!$A:$D,1,0)</f>
        <v>9163@</v>
      </c>
      <c r="U508" s="656" t="str">
        <f>+VLOOKUP($L508,Data_Validation!$A:$D,3,0)</f>
        <v>Véhicules usagés</v>
      </c>
      <c r="V508" s="656">
        <f>+VLOOKUP($L508,Data_Validation!$A:$D,4,0)</f>
        <v>0</v>
      </c>
      <c r="W508" s="656" t="str">
        <f>+VLOOKUP($L508,Data_Validation!$A:$E,5,0)</f>
        <v>NB</v>
      </c>
      <c r="X508" s="656">
        <f>+VLOOKUP($L508,Data_Validation!$A:$F,6,0)</f>
        <v>0</v>
      </c>
    </row>
    <row r="509" spans="1:24" ht="15.75" customHeight="1">
      <c r="A509" s="1052" t="s">
        <v>1307</v>
      </c>
      <c r="B509" s="1052" t="s">
        <v>1308</v>
      </c>
      <c r="C509" s="1053"/>
      <c r="D509" s="1053"/>
      <c r="E509" s="1053"/>
      <c r="F509" s="1052" t="s">
        <v>7</v>
      </c>
      <c r="G509" s="1052" t="s">
        <v>1295</v>
      </c>
      <c r="H509" s="1053"/>
      <c r="I509" s="1054">
        <v>-335</v>
      </c>
      <c r="J509" s="1054">
        <v>-25</v>
      </c>
      <c r="K509" s="1054">
        <v>-360</v>
      </c>
      <c r="L509" s="653" t="str">
        <f t="shared" si="458"/>
        <v>9172@</v>
      </c>
      <c r="M509" s="654" t="str">
        <f t="shared" si="260"/>
        <v># DE PROFIT PROTECTIONS - USAGES</v>
      </c>
      <c r="N509" s="655">
        <f>+IF(OR($Q509=Parametres!$G$2,$Q509=Parametres!$G$3),I509,C509)</f>
        <v>-335</v>
      </c>
      <c r="O509" s="655">
        <f>+IF(OR($Q509=Parametres!$G$2,$Q509=Parametres!$G$3),J509,D509)</f>
        <v>-25</v>
      </c>
      <c r="P509" s="655">
        <f>+IF(OR($Q509=Parametres!$G$2,$Q509=Parametres!$G$3),K509,E509)</f>
        <v>-360</v>
      </c>
      <c r="Q509" s="654" t="str">
        <f t="shared" ref="Q509:S509" si="517">+F509</f>
        <v>10-Compte compteur</v>
      </c>
      <c r="R509" s="653" t="str">
        <f t="shared" si="517"/>
        <v>9163</v>
      </c>
      <c r="S509" s="654">
        <f t="shared" si="517"/>
        <v>0</v>
      </c>
      <c r="T509" s="656" t="str">
        <f>+VLOOKUP($L509,Data_Validation!$A:$D,1,0)</f>
        <v>9172@</v>
      </c>
      <c r="U509" s="656" t="str">
        <f>+VLOOKUP($L509,Data_Validation!$A:$D,3,0)</f>
        <v>Véhicules usagés</v>
      </c>
      <c r="V509" s="656">
        <f>+VLOOKUP($L509,Data_Validation!$A:$D,4,0)</f>
        <v>0</v>
      </c>
      <c r="W509" s="656" t="str">
        <f>+VLOOKUP($L509,Data_Validation!$A:$E,5,0)</f>
        <v>NB</v>
      </c>
      <c r="X509" s="656">
        <f>+VLOOKUP($L509,Data_Validation!$A:$F,6,0)</f>
        <v>0</v>
      </c>
    </row>
    <row r="510" spans="1:24" ht="15" customHeight="1">
      <c r="A510" s="714"/>
      <c r="B510" s="714"/>
      <c r="C510" s="715"/>
      <c r="D510" s="715"/>
      <c r="E510" s="715"/>
      <c r="F510" s="714"/>
      <c r="G510" s="714"/>
      <c r="H510" s="714"/>
      <c r="I510" s="716"/>
      <c r="J510" s="716"/>
      <c r="K510" s="716"/>
      <c r="L510" s="653" t="str">
        <f t="shared" si="458"/>
        <v>0</v>
      </c>
      <c r="M510" s="654">
        <f t="shared" si="260"/>
        <v>0</v>
      </c>
      <c r="N510" s="655">
        <f>+IF(OR($Q510=Parametres!$G$2,$Q510=Parametres!$G$3),I510,C510)</f>
        <v>0</v>
      </c>
      <c r="O510" s="655">
        <f>+IF(OR($Q510=Parametres!$G$2,$Q510=Parametres!$G$3),J510,D510)</f>
        <v>0</v>
      </c>
      <c r="P510" s="655">
        <f>+IF(OR($Q510=Parametres!$G$2,$Q510=Parametres!$G$3),K510,E510)</f>
        <v>0</v>
      </c>
      <c r="Q510" s="654">
        <f t="shared" ref="Q510:S510" si="518">+F510</f>
        <v>0</v>
      </c>
      <c r="R510" s="653">
        <f t="shared" si="518"/>
        <v>0</v>
      </c>
      <c r="S510" s="654">
        <f t="shared" si="518"/>
        <v>0</v>
      </c>
      <c r="T510" s="656" t="e">
        <f>+VLOOKUP($L510,Data_Validation!$A:$D,1,0)</f>
        <v>#N/A</v>
      </c>
      <c r="U510" s="656" t="e">
        <f>+VLOOKUP($L510,Data_Validation!$A:$D,3,0)</f>
        <v>#N/A</v>
      </c>
      <c r="V510" s="656" t="e">
        <f>+VLOOKUP($L510,Data_Validation!$A:$D,4,0)</f>
        <v>#N/A</v>
      </c>
      <c r="W510" s="656" t="e">
        <f>+VLOOKUP($L510,Data_Validation!$A:$E,5,0)</f>
        <v>#N/A</v>
      </c>
      <c r="X510" s="656" t="e">
        <f>+VLOOKUP($L510,Data_Validation!$A:$F,6,0)</f>
        <v>#N/A</v>
      </c>
    </row>
    <row r="511" spans="1:24" ht="15" customHeight="1">
      <c r="A511" s="714"/>
      <c r="B511" s="714"/>
      <c r="C511" s="715"/>
      <c r="D511" s="715"/>
      <c r="E511" s="715"/>
      <c r="F511" s="714"/>
      <c r="G511" s="714"/>
      <c r="H511" s="714"/>
      <c r="I511" s="716"/>
      <c r="J511" s="716"/>
      <c r="K511" s="716"/>
      <c r="L511" s="653" t="str">
        <f t="shared" si="458"/>
        <v>0</v>
      </c>
      <c r="M511" s="654">
        <f t="shared" si="260"/>
        <v>0</v>
      </c>
      <c r="N511" s="655">
        <f>+IF(OR($Q511=Parametres!$G$2,$Q511=Parametres!$G$3),I511,C511)</f>
        <v>0</v>
      </c>
      <c r="O511" s="655">
        <f>+IF(OR($Q511=Parametres!$G$2,$Q511=Parametres!$G$3),J511,D511)</f>
        <v>0</v>
      </c>
      <c r="P511" s="655">
        <f>+IF(OR($Q511=Parametres!$G$2,$Q511=Parametres!$G$3),K511,E511)</f>
        <v>0</v>
      </c>
      <c r="Q511" s="654">
        <f t="shared" ref="Q511:S511" si="519">+F511</f>
        <v>0</v>
      </c>
      <c r="R511" s="653">
        <f t="shared" si="519"/>
        <v>0</v>
      </c>
      <c r="S511" s="654">
        <f t="shared" si="519"/>
        <v>0</v>
      </c>
      <c r="T511" s="656" t="e">
        <f>+VLOOKUP($L511,Data_Validation!$A:$D,1,0)</f>
        <v>#N/A</v>
      </c>
      <c r="U511" s="656" t="e">
        <f>+VLOOKUP($L511,Data_Validation!$A:$D,3,0)</f>
        <v>#N/A</v>
      </c>
      <c r="V511" s="656" t="e">
        <f>+VLOOKUP($L511,Data_Validation!$A:$D,4,0)</f>
        <v>#N/A</v>
      </c>
      <c r="W511" s="656" t="e">
        <f>+VLOOKUP($L511,Data_Validation!$A:$E,5,0)</f>
        <v>#N/A</v>
      </c>
      <c r="X511" s="656" t="e">
        <f>+VLOOKUP($L511,Data_Validation!$A:$F,6,0)</f>
        <v>#N/A</v>
      </c>
    </row>
    <row r="512" spans="1:24" ht="15" customHeight="1">
      <c r="A512" s="714"/>
      <c r="B512" s="714"/>
      <c r="C512" s="715"/>
      <c r="D512" s="715"/>
      <c r="E512" s="715"/>
      <c r="F512" s="714"/>
      <c r="G512" s="714"/>
      <c r="H512" s="714"/>
      <c r="I512" s="716"/>
      <c r="J512" s="716"/>
      <c r="K512" s="716"/>
      <c r="L512" s="653" t="str">
        <f t="shared" si="458"/>
        <v>0</v>
      </c>
      <c r="M512" s="654">
        <f t="shared" ref="M512:M766" si="520">+A512</f>
        <v>0</v>
      </c>
      <c r="N512" s="655">
        <f>+IF(OR($Q512=Parametres!$G$2,$Q512=Parametres!$G$3),I512,C512)</f>
        <v>0</v>
      </c>
      <c r="O512" s="655">
        <f>+IF(OR($Q512=Parametres!$G$2,$Q512=Parametres!$G$3),J512,D512)</f>
        <v>0</v>
      </c>
      <c r="P512" s="655">
        <f>+IF(OR($Q512=Parametres!$G$2,$Q512=Parametres!$G$3),K512,E512)</f>
        <v>0</v>
      </c>
      <c r="Q512" s="654">
        <f t="shared" ref="Q512:S512" si="521">+F512</f>
        <v>0</v>
      </c>
      <c r="R512" s="653">
        <f t="shared" si="521"/>
        <v>0</v>
      </c>
      <c r="S512" s="654">
        <f t="shared" si="521"/>
        <v>0</v>
      </c>
      <c r="T512" s="656" t="e">
        <f>+VLOOKUP($L512,Data_Validation!$A:$D,1,0)</f>
        <v>#N/A</v>
      </c>
      <c r="U512" s="656" t="e">
        <f>+VLOOKUP($L512,Data_Validation!$A:$D,3,0)</f>
        <v>#N/A</v>
      </c>
      <c r="V512" s="656" t="e">
        <f>+VLOOKUP($L512,Data_Validation!$A:$D,4,0)</f>
        <v>#N/A</v>
      </c>
      <c r="W512" s="656" t="e">
        <f>+VLOOKUP($L512,Data_Validation!$A:$E,5,0)</f>
        <v>#N/A</v>
      </c>
      <c r="X512" s="656" t="e">
        <f>+VLOOKUP($L512,Data_Validation!$A:$F,6,0)</f>
        <v>#N/A</v>
      </c>
    </row>
    <row r="513" spans="1:24" ht="15.75" customHeight="1">
      <c r="A513" s="714"/>
      <c r="B513" s="714"/>
      <c r="C513" s="715"/>
      <c r="D513" s="715"/>
      <c r="E513" s="715"/>
      <c r="F513" s="714"/>
      <c r="G513" s="714"/>
      <c r="H513" s="714"/>
      <c r="I513" s="716"/>
      <c r="J513" s="716"/>
      <c r="K513" s="716"/>
      <c r="L513" s="653" t="str">
        <f t="shared" si="458"/>
        <v>0</v>
      </c>
      <c r="M513" s="654">
        <f t="shared" si="520"/>
        <v>0</v>
      </c>
      <c r="N513" s="655">
        <f>+IF(OR($Q513=Parametres!$G$2,$Q513=Parametres!$G$3),I513,C513)</f>
        <v>0</v>
      </c>
      <c r="O513" s="655">
        <f>+IF(OR($Q513=Parametres!$G$2,$Q513=Parametres!$G$3),J513,D513)</f>
        <v>0</v>
      </c>
      <c r="P513" s="655">
        <f>+IF(OR($Q513=Parametres!$G$2,$Q513=Parametres!$G$3),K513,E513)</f>
        <v>0</v>
      </c>
      <c r="Q513" s="654">
        <f t="shared" ref="Q513:S513" si="522">+F513</f>
        <v>0</v>
      </c>
      <c r="R513" s="653">
        <f t="shared" si="522"/>
        <v>0</v>
      </c>
      <c r="S513" s="654">
        <f t="shared" si="522"/>
        <v>0</v>
      </c>
      <c r="T513" s="656" t="e">
        <f>+VLOOKUP($L513,Data_Validation!$A:$D,1,0)</f>
        <v>#N/A</v>
      </c>
      <c r="U513" s="656" t="e">
        <f>+VLOOKUP($L513,Data_Validation!$A:$D,3,0)</f>
        <v>#N/A</v>
      </c>
      <c r="V513" s="656" t="e">
        <f>+VLOOKUP($L513,Data_Validation!$A:$D,4,0)</f>
        <v>#N/A</v>
      </c>
      <c r="W513" s="656" t="e">
        <f>+VLOOKUP($L513,Data_Validation!$A:$E,5,0)</f>
        <v>#N/A</v>
      </c>
      <c r="X513" s="656" t="e">
        <f>+VLOOKUP($L513,Data_Validation!$A:$F,6,0)</f>
        <v>#N/A</v>
      </c>
    </row>
    <row r="514" spans="1:24" ht="15" customHeight="1">
      <c r="A514" s="714"/>
      <c r="B514" s="714"/>
      <c r="C514" s="715"/>
      <c r="D514" s="715"/>
      <c r="E514" s="715"/>
      <c r="F514" s="714"/>
      <c r="G514" s="714"/>
      <c r="H514" s="714"/>
      <c r="I514" s="716"/>
      <c r="J514" s="716"/>
      <c r="K514" s="716"/>
      <c r="L514" s="653" t="str">
        <f t="shared" si="458"/>
        <v>0</v>
      </c>
      <c r="M514" s="654">
        <f t="shared" si="520"/>
        <v>0</v>
      </c>
      <c r="N514" s="655">
        <f>+IF(OR($Q514=Parametres!$G$2,$Q514=Parametres!$G$3),I514,C514)</f>
        <v>0</v>
      </c>
      <c r="O514" s="655">
        <f>+IF(OR($Q514=Parametres!$G$2,$Q514=Parametres!$G$3),J514,D514)</f>
        <v>0</v>
      </c>
      <c r="P514" s="655">
        <f>+IF(OR($Q514=Parametres!$G$2,$Q514=Parametres!$G$3),K514,E514)</f>
        <v>0</v>
      </c>
      <c r="Q514" s="654">
        <f t="shared" ref="Q514:S514" si="523">+F514</f>
        <v>0</v>
      </c>
      <c r="R514" s="653">
        <f t="shared" si="523"/>
        <v>0</v>
      </c>
      <c r="S514" s="654">
        <f t="shared" si="523"/>
        <v>0</v>
      </c>
      <c r="T514" s="656" t="e">
        <f>+VLOOKUP($L514,Data_Validation!$A:$D,1,0)</f>
        <v>#N/A</v>
      </c>
      <c r="U514" s="656" t="e">
        <f>+VLOOKUP($L514,Data_Validation!$A:$D,3,0)</f>
        <v>#N/A</v>
      </c>
      <c r="V514" s="656" t="e">
        <f>+VLOOKUP($L514,Data_Validation!$A:$D,4,0)</f>
        <v>#N/A</v>
      </c>
      <c r="W514" s="656" t="e">
        <f>+VLOOKUP($L514,Data_Validation!$A:$E,5,0)</f>
        <v>#N/A</v>
      </c>
      <c r="X514" s="656" t="e">
        <f>+VLOOKUP($L514,Data_Validation!$A:$F,6,0)</f>
        <v>#N/A</v>
      </c>
    </row>
    <row r="515" spans="1:24" ht="15" customHeight="1">
      <c r="A515" s="714"/>
      <c r="B515" s="714"/>
      <c r="C515" s="715"/>
      <c r="D515" s="715"/>
      <c r="E515" s="715"/>
      <c r="F515" s="714"/>
      <c r="G515" s="714"/>
      <c r="H515" s="714"/>
      <c r="I515" s="716"/>
      <c r="J515" s="716"/>
      <c r="K515" s="716"/>
      <c r="L515" s="653" t="str">
        <f t="shared" ref="L515:L578" si="524">TEXT(B515,0)</f>
        <v>0</v>
      </c>
      <c r="M515" s="654">
        <f t="shared" si="520"/>
        <v>0</v>
      </c>
      <c r="N515" s="655">
        <f>+IF(OR($Q515=Parametres!$G$2,$Q515=Parametres!$G$3),I515,C515)</f>
        <v>0</v>
      </c>
      <c r="O515" s="655">
        <f>+IF(OR($Q515=Parametres!$G$2,$Q515=Parametres!$G$3),J515,D515)</f>
        <v>0</v>
      </c>
      <c r="P515" s="655">
        <f>+IF(OR($Q515=Parametres!$G$2,$Q515=Parametres!$G$3),K515,E515)</f>
        <v>0</v>
      </c>
      <c r="Q515" s="654">
        <f t="shared" ref="Q515:S515" si="525">+F515</f>
        <v>0</v>
      </c>
      <c r="R515" s="653">
        <f t="shared" si="525"/>
        <v>0</v>
      </c>
      <c r="S515" s="654">
        <f t="shared" si="525"/>
        <v>0</v>
      </c>
      <c r="T515" s="656" t="e">
        <f>+VLOOKUP($L515,Data_Validation!$A:$D,1,0)</f>
        <v>#N/A</v>
      </c>
      <c r="U515" s="656" t="e">
        <f>+VLOOKUP($L515,Data_Validation!$A:$D,3,0)</f>
        <v>#N/A</v>
      </c>
      <c r="V515" s="656" t="e">
        <f>+VLOOKUP($L515,Data_Validation!$A:$D,4,0)</f>
        <v>#N/A</v>
      </c>
      <c r="W515" s="656" t="e">
        <f>+VLOOKUP($L515,Data_Validation!$A:$E,5,0)</f>
        <v>#N/A</v>
      </c>
      <c r="X515" s="656" t="e">
        <f>+VLOOKUP($L515,Data_Validation!$A:$F,6,0)</f>
        <v>#N/A</v>
      </c>
    </row>
    <row r="516" spans="1:24" ht="15" customHeight="1">
      <c r="A516" s="714"/>
      <c r="B516" s="714"/>
      <c r="C516" s="715"/>
      <c r="D516" s="715"/>
      <c r="E516" s="715"/>
      <c r="F516" s="714"/>
      <c r="G516" s="714"/>
      <c r="H516" s="714"/>
      <c r="I516" s="716"/>
      <c r="J516" s="716"/>
      <c r="K516" s="716"/>
      <c r="L516" s="653" t="str">
        <f t="shared" si="524"/>
        <v>0</v>
      </c>
      <c r="M516" s="654">
        <f t="shared" si="520"/>
        <v>0</v>
      </c>
      <c r="N516" s="655">
        <f>+IF(OR($Q516=Parametres!$G$2,$Q516=Parametres!$G$3),I516,C516)</f>
        <v>0</v>
      </c>
      <c r="O516" s="655">
        <f>+IF(OR($Q516=Parametres!$G$2,$Q516=Parametres!$G$3),J516,D516)</f>
        <v>0</v>
      </c>
      <c r="P516" s="655">
        <f>+IF(OR($Q516=Parametres!$G$2,$Q516=Parametres!$G$3),K516,E516)</f>
        <v>0</v>
      </c>
      <c r="Q516" s="654">
        <f t="shared" ref="Q516:S516" si="526">+F516</f>
        <v>0</v>
      </c>
      <c r="R516" s="653">
        <f t="shared" si="526"/>
        <v>0</v>
      </c>
      <c r="S516" s="654">
        <f t="shared" si="526"/>
        <v>0</v>
      </c>
      <c r="T516" s="656" t="e">
        <f>+VLOOKUP($L516,Data_Validation!$A:$D,1,0)</f>
        <v>#N/A</v>
      </c>
      <c r="U516" s="656" t="e">
        <f>+VLOOKUP($L516,Data_Validation!$A:$D,3,0)</f>
        <v>#N/A</v>
      </c>
      <c r="V516" s="656" t="e">
        <f>+VLOOKUP($L516,Data_Validation!$A:$D,4,0)</f>
        <v>#N/A</v>
      </c>
      <c r="W516" s="656" t="e">
        <f>+VLOOKUP($L516,Data_Validation!$A:$E,5,0)</f>
        <v>#N/A</v>
      </c>
      <c r="X516" s="656" t="e">
        <f>+VLOOKUP($L516,Data_Validation!$A:$F,6,0)</f>
        <v>#N/A</v>
      </c>
    </row>
    <row r="517" spans="1:24" ht="15.75" customHeight="1">
      <c r="A517" s="714"/>
      <c r="B517" s="714"/>
      <c r="C517" s="715"/>
      <c r="D517" s="715"/>
      <c r="E517" s="715"/>
      <c r="F517" s="714"/>
      <c r="G517" s="714"/>
      <c r="H517" s="714"/>
      <c r="I517" s="716"/>
      <c r="J517" s="716"/>
      <c r="K517" s="716"/>
      <c r="L517" s="653" t="str">
        <f t="shared" si="524"/>
        <v>0</v>
      </c>
      <c r="M517" s="654">
        <f t="shared" si="520"/>
        <v>0</v>
      </c>
      <c r="N517" s="655">
        <f>+IF(OR($Q517=Parametres!$G$2,$Q517=Parametres!$G$3),I517,C517)</f>
        <v>0</v>
      </c>
      <c r="O517" s="655">
        <f>+IF(OR($Q517=Parametres!$G$2,$Q517=Parametres!$G$3),J517,D517)</f>
        <v>0</v>
      </c>
      <c r="P517" s="655">
        <f>+IF(OR($Q517=Parametres!$G$2,$Q517=Parametres!$G$3),K517,E517)</f>
        <v>0</v>
      </c>
      <c r="Q517" s="654">
        <f t="shared" ref="Q517:S517" si="527">+F517</f>
        <v>0</v>
      </c>
      <c r="R517" s="653">
        <f t="shared" si="527"/>
        <v>0</v>
      </c>
      <c r="S517" s="654">
        <f t="shared" si="527"/>
        <v>0</v>
      </c>
      <c r="T517" s="656" t="e">
        <f>+VLOOKUP($L517,Data_Validation!$A:$D,1,0)</f>
        <v>#N/A</v>
      </c>
      <c r="U517" s="656" t="e">
        <f>+VLOOKUP($L517,Data_Validation!$A:$D,3,0)</f>
        <v>#N/A</v>
      </c>
      <c r="V517" s="656" t="e">
        <f>+VLOOKUP($L517,Data_Validation!$A:$D,4,0)</f>
        <v>#N/A</v>
      </c>
      <c r="W517" s="656" t="e">
        <f>+VLOOKUP($L517,Data_Validation!$A:$E,5,0)</f>
        <v>#N/A</v>
      </c>
      <c r="X517" s="656" t="e">
        <f>+VLOOKUP($L517,Data_Validation!$A:$F,6,0)</f>
        <v>#N/A</v>
      </c>
    </row>
    <row r="518" spans="1:24" ht="15" customHeight="1">
      <c r="A518" s="714"/>
      <c r="B518" s="714"/>
      <c r="C518" s="715"/>
      <c r="D518" s="715"/>
      <c r="E518" s="715"/>
      <c r="F518" s="714"/>
      <c r="G518" s="714"/>
      <c r="H518" s="714"/>
      <c r="I518" s="716"/>
      <c r="J518" s="716"/>
      <c r="K518" s="716"/>
      <c r="L518" s="653" t="str">
        <f t="shared" si="524"/>
        <v>0</v>
      </c>
      <c r="M518" s="654">
        <f t="shared" si="520"/>
        <v>0</v>
      </c>
      <c r="N518" s="655">
        <f>+IF(OR($Q518=Parametres!$G$2,$Q518=Parametres!$G$3),I518,C518)</f>
        <v>0</v>
      </c>
      <c r="O518" s="655">
        <f>+IF(OR($Q518=Parametres!$G$2,$Q518=Parametres!$G$3),J518,D518)</f>
        <v>0</v>
      </c>
      <c r="P518" s="655">
        <f>+IF(OR($Q518=Parametres!$G$2,$Q518=Parametres!$G$3),K518,E518)</f>
        <v>0</v>
      </c>
      <c r="Q518" s="654">
        <f t="shared" ref="Q518:S518" si="528">+F518</f>
        <v>0</v>
      </c>
      <c r="R518" s="653">
        <f t="shared" si="528"/>
        <v>0</v>
      </c>
      <c r="S518" s="654">
        <f t="shared" si="528"/>
        <v>0</v>
      </c>
      <c r="T518" s="656" t="e">
        <f>+VLOOKUP($L518,Data_Validation!$A:$D,1,0)</f>
        <v>#N/A</v>
      </c>
      <c r="U518" s="656" t="e">
        <f>+VLOOKUP($L518,Data_Validation!$A:$D,3,0)</f>
        <v>#N/A</v>
      </c>
      <c r="V518" s="656" t="e">
        <f>+VLOOKUP($L518,Data_Validation!$A:$D,4,0)</f>
        <v>#N/A</v>
      </c>
      <c r="W518" s="656" t="e">
        <f>+VLOOKUP($L518,Data_Validation!$A:$E,5,0)</f>
        <v>#N/A</v>
      </c>
      <c r="X518" s="656" t="e">
        <f>+VLOOKUP($L518,Data_Validation!$A:$F,6,0)</f>
        <v>#N/A</v>
      </c>
    </row>
    <row r="519" spans="1:24" ht="15" customHeight="1">
      <c r="A519" s="714"/>
      <c r="B519" s="714"/>
      <c r="C519" s="715"/>
      <c r="D519" s="715"/>
      <c r="E519" s="715"/>
      <c r="F519" s="714"/>
      <c r="G519" s="714"/>
      <c r="H519" s="714"/>
      <c r="I519" s="716"/>
      <c r="J519" s="716"/>
      <c r="K519" s="716"/>
      <c r="L519" s="653" t="str">
        <f t="shared" si="524"/>
        <v>0</v>
      </c>
      <c r="M519" s="654">
        <f t="shared" si="520"/>
        <v>0</v>
      </c>
      <c r="N519" s="655">
        <f>+IF(OR($Q519=Parametres!$G$2,$Q519=Parametres!$G$3),I519,C519)</f>
        <v>0</v>
      </c>
      <c r="O519" s="655">
        <f>+IF(OR($Q519=Parametres!$G$2,$Q519=Parametres!$G$3),J519,D519)</f>
        <v>0</v>
      </c>
      <c r="P519" s="655">
        <f>+IF(OR($Q519=Parametres!$G$2,$Q519=Parametres!$G$3),K519,E519)</f>
        <v>0</v>
      </c>
      <c r="Q519" s="654">
        <f t="shared" ref="Q519:S519" si="529">+F519</f>
        <v>0</v>
      </c>
      <c r="R519" s="653">
        <f t="shared" si="529"/>
        <v>0</v>
      </c>
      <c r="S519" s="654">
        <f t="shared" si="529"/>
        <v>0</v>
      </c>
      <c r="T519" s="656" t="e">
        <f>+VLOOKUP($L519,Data_Validation!$A:$D,1,0)</f>
        <v>#N/A</v>
      </c>
      <c r="U519" s="656" t="e">
        <f>+VLOOKUP($L519,Data_Validation!$A:$D,3,0)</f>
        <v>#N/A</v>
      </c>
      <c r="V519" s="656" t="e">
        <f>+VLOOKUP($L519,Data_Validation!$A:$D,4,0)</f>
        <v>#N/A</v>
      </c>
      <c r="W519" s="656" t="e">
        <f>+VLOOKUP($L519,Data_Validation!$A:$E,5,0)</f>
        <v>#N/A</v>
      </c>
      <c r="X519" s="656" t="e">
        <f>+VLOOKUP($L519,Data_Validation!$A:$F,6,0)</f>
        <v>#N/A</v>
      </c>
    </row>
    <row r="520" spans="1:24" ht="15" customHeight="1">
      <c r="A520" s="714"/>
      <c r="B520" s="714"/>
      <c r="C520" s="715"/>
      <c r="D520" s="715"/>
      <c r="E520" s="715"/>
      <c r="F520" s="714"/>
      <c r="G520" s="714"/>
      <c r="H520" s="714"/>
      <c r="I520" s="716"/>
      <c r="J520" s="716"/>
      <c r="K520" s="716"/>
      <c r="L520" s="653" t="str">
        <f t="shared" si="524"/>
        <v>0</v>
      </c>
      <c r="M520" s="654">
        <f t="shared" si="520"/>
        <v>0</v>
      </c>
      <c r="N520" s="655">
        <f>+IF(OR($Q520=Parametres!$G$2,$Q520=Parametres!$G$3),I520,C520)</f>
        <v>0</v>
      </c>
      <c r="O520" s="655">
        <f>+IF(OR($Q520=Parametres!$G$2,$Q520=Parametres!$G$3),J520,D520)</f>
        <v>0</v>
      </c>
      <c r="P520" s="655">
        <f>+IF(OR($Q520=Parametres!$G$2,$Q520=Parametres!$G$3),K520,E520)</f>
        <v>0</v>
      </c>
      <c r="Q520" s="654">
        <f t="shared" ref="Q520:S520" si="530">+F520</f>
        <v>0</v>
      </c>
      <c r="R520" s="653">
        <f t="shared" si="530"/>
        <v>0</v>
      </c>
      <c r="S520" s="654">
        <f t="shared" si="530"/>
        <v>0</v>
      </c>
      <c r="T520" s="656" t="e">
        <f>+VLOOKUP($L520,Data_Validation!$A:$D,1,0)</f>
        <v>#N/A</v>
      </c>
      <c r="U520" s="656" t="e">
        <f>+VLOOKUP($L520,Data_Validation!$A:$D,3,0)</f>
        <v>#N/A</v>
      </c>
      <c r="V520" s="656" t="e">
        <f>+VLOOKUP($L520,Data_Validation!$A:$D,4,0)</f>
        <v>#N/A</v>
      </c>
      <c r="W520" s="656" t="e">
        <f>+VLOOKUP($L520,Data_Validation!$A:$E,5,0)</f>
        <v>#N/A</v>
      </c>
      <c r="X520" s="656" t="e">
        <f>+VLOOKUP($L520,Data_Validation!$A:$F,6,0)</f>
        <v>#N/A</v>
      </c>
    </row>
    <row r="521" spans="1:24" ht="15.75" customHeight="1">
      <c r="A521" s="714"/>
      <c r="B521" s="714"/>
      <c r="C521" s="715"/>
      <c r="D521" s="715"/>
      <c r="E521" s="715"/>
      <c r="F521" s="714"/>
      <c r="G521" s="714"/>
      <c r="H521" s="714"/>
      <c r="I521" s="716"/>
      <c r="J521" s="716"/>
      <c r="K521" s="716"/>
      <c r="L521" s="653" t="str">
        <f t="shared" si="524"/>
        <v>0</v>
      </c>
      <c r="M521" s="654">
        <f t="shared" si="520"/>
        <v>0</v>
      </c>
      <c r="N521" s="655">
        <f>+IF(OR($Q521=Parametres!$G$2,$Q521=Parametres!$G$3),I521,C521)</f>
        <v>0</v>
      </c>
      <c r="O521" s="655">
        <f>+IF(OR($Q521=Parametres!$G$2,$Q521=Parametres!$G$3),J521,D521)</f>
        <v>0</v>
      </c>
      <c r="P521" s="655">
        <f>+IF(OR($Q521=Parametres!$G$2,$Q521=Parametres!$G$3),K521,E521)</f>
        <v>0</v>
      </c>
      <c r="Q521" s="654">
        <f t="shared" ref="Q521:S521" si="531">+F521</f>
        <v>0</v>
      </c>
      <c r="R521" s="653">
        <f t="shared" si="531"/>
        <v>0</v>
      </c>
      <c r="S521" s="654">
        <f t="shared" si="531"/>
        <v>0</v>
      </c>
      <c r="T521" s="656" t="e">
        <f>+VLOOKUP($L521,Data_Validation!$A:$D,1,0)</f>
        <v>#N/A</v>
      </c>
      <c r="U521" s="656" t="e">
        <f>+VLOOKUP($L521,Data_Validation!$A:$D,3,0)</f>
        <v>#N/A</v>
      </c>
      <c r="V521" s="656" t="e">
        <f>+VLOOKUP($L521,Data_Validation!$A:$D,4,0)</f>
        <v>#N/A</v>
      </c>
      <c r="W521" s="656" t="e">
        <f>+VLOOKUP($L521,Data_Validation!$A:$E,5,0)</f>
        <v>#N/A</v>
      </c>
      <c r="X521" s="656" t="e">
        <f>+VLOOKUP($L521,Data_Validation!$A:$F,6,0)</f>
        <v>#N/A</v>
      </c>
    </row>
    <row r="522" spans="1:24" ht="15" customHeight="1">
      <c r="A522" s="714"/>
      <c r="B522" s="714"/>
      <c r="C522" s="715"/>
      <c r="D522" s="715"/>
      <c r="E522" s="715"/>
      <c r="F522" s="714"/>
      <c r="G522" s="714"/>
      <c r="H522" s="714"/>
      <c r="I522" s="716"/>
      <c r="J522" s="716"/>
      <c r="K522" s="716"/>
      <c r="L522" s="653" t="str">
        <f t="shared" si="524"/>
        <v>0</v>
      </c>
      <c r="M522" s="654">
        <f t="shared" si="520"/>
        <v>0</v>
      </c>
      <c r="N522" s="655">
        <f>+IF(OR($Q522=Parametres!$G$2,$Q522=Parametres!$G$3),I522,C522)</f>
        <v>0</v>
      </c>
      <c r="O522" s="655">
        <f>+IF(OR($Q522=Parametres!$G$2,$Q522=Parametres!$G$3),J522,D522)</f>
        <v>0</v>
      </c>
      <c r="P522" s="655">
        <f>+IF(OR($Q522=Parametres!$G$2,$Q522=Parametres!$G$3),K522,E522)</f>
        <v>0</v>
      </c>
      <c r="Q522" s="654">
        <f t="shared" ref="Q522:S522" si="532">+F522</f>
        <v>0</v>
      </c>
      <c r="R522" s="653">
        <f t="shared" si="532"/>
        <v>0</v>
      </c>
      <c r="S522" s="654">
        <f t="shared" si="532"/>
        <v>0</v>
      </c>
      <c r="T522" s="656" t="e">
        <f>+VLOOKUP($L522,Data_Validation!$A:$D,1,0)</f>
        <v>#N/A</v>
      </c>
      <c r="U522" s="656" t="e">
        <f>+VLOOKUP($L522,Data_Validation!$A:$D,3,0)</f>
        <v>#N/A</v>
      </c>
      <c r="V522" s="656" t="e">
        <f>+VLOOKUP($L522,Data_Validation!$A:$D,4,0)</f>
        <v>#N/A</v>
      </c>
      <c r="W522" s="656" t="e">
        <f>+VLOOKUP($L522,Data_Validation!$A:$E,5,0)</f>
        <v>#N/A</v>
      </c>
      <c r="X522" s="656" t="e">
        <f>+VLOOKUP($L522,Data_Validation!$A:$F,6,0)</f>
        <v>#N/A</v>
      </c>
    </row>
    <row r="523" spans="1:24" ht="15" customHeight="1">
      <c r="A523" s="714"/>
      <c r="B523" s="714"/>
      <c r="C523" s="715"/>
      <c r="D523" s="715"/>
      <c r="E523" s="715"/>
      <c r="F523" s="714"/>
      <c r="G523" s="714"/>
      <c r="H523" s="714"/>
      <c r="I523" s="716"/>
      <c r="J523" s="716"/>
      <c r="K523" s="716"/>
      <c r="L523" s="653" t="str">
        <f t="shared" si="524"/>
        <v>0</v>
      </c>
      <c r="M523" s="654">
        <f t="shared" si="520"/>
        <v>0</v>
      </c>
      <c r="N523" s="655">
        <f>+IF(OR($Q523=Parametres!$G$2,$Q523=Parametres!$G$3),I523,C523)</f>
        <v>0</v>
      </c>
      <c r="O523" s="655">
        <f>+IF(OR($Q523=Parametres!$G$2,$Q523=Parametres!$G$3),J523,D523)</f>
        <v>0</v>
      </c>
      <c r="P523" s="655">
        <f>+IF(OR($Q523=Parametres!$G$2,$Q523=Parametres!$G$3),K523,E523)</f>
        <v>0</v>
      </c>
      <c r="Q523" s="654">
        <f t="shared" ref="Q523:S523" si="533">+F523</f>
        <v>0</v>
      </c>
      <c r="R523" s="653">
        <f t="shared" si="533"/>
        <v>0</v>
      </c>
      <c r="S523" s="654">
        <f t="shared" si="533"/>
        <v>0</v>
      </c>
      <c r="T523" s="656" t="e">
        <f>+VLOOKUP($L523,Data_Validation!$A:$D,1,0)</f>
        <v>#N/A</v>
      </c>
      <c r="U523" s="656" t="e">
        <f>+VLOOKUP($L523,Data_Validation!$A:$D,3,0)</f>
        <v>#N/A</v>
      </c>
      <c r="V523" s="656" t="e">
        <f>+VLOOKUP($L523,Data_Validation!$A:$D,4,0)</f>
        <v>#N/A</v>
      </c>
      <c r="W523" s="656" t="e">
        <f>+VLOOKUP($L523,Data_Validation!$A:$E,5,0)</f>
        <v>#N/A</v>
      </c>
      <c r="X523" s="656" t="e">
        <f>+VLOOKUP($L523,Data_Validation!$A:$F,6,0)</f>
        <v>#N/A</v>
      </c>
    </row>
    <row r="524" spans="1:24" ht="15" customHeight="1">
      <c r="A524" s="714"/>
      <c r="B524" s="714"/>
      <c r="C524" s="715"/>
      <c r="D524" s="715"/>
      <c r="E524" s="715"/>
      <c r="F524" s="714"/>
      <c r="G524" s="714"/>
      <c r="H524" s="714"/>
      <c r="I524" s="716"/>
      <c r="J524" s="716"/>
      <c r="K524" s="716"/>
      <c r="L524" s="653" t="str">
        <f t="shared" si="524"/>
        <v>0</v>
      </c>
      <c r="M524" s="654">
        <f t="shared" si="520"/>
        <v>0</v>
      </c>
      <c r="N524" s="655">
        <f>+IF(OR($Q524=Parametres!$G$2,$Q524=Parametres!$G$3),I524,C524)</f>
        <v>0</v>
      </c>
      <c r="O524" s="655">
        <f>+IF(OR($Q524=Parametres!$G$2,$Q524=Parametres!$G$3),J524,D524)</f>
        <v>0</v>
      </c>
      <c r="P524" s="655">
        <f>+IF(OR($Q524=Parametres!$G$2,$Q524=Parametres!$G$3),K524,E524)</f>
        <v>0</v>
      </c>
      <c r="Q524" s="654">
        <f t="shared" ref="Q524:S524" si="534">+F524</f>
        <v>0</v>
      </c>
      <c r="R524" s="653">
        <f t="shared" si="534"/>
        <v>0</v>
      </c>
      <c r="S524" s="654">
        <f t="shared" si="534"/>
        <v>0</v>
      </c>
      <c r="T524" s="656" t="e">
        <f>+VLOOKUP($L524,Data_Validation!$A:$D,1,0)</f>
        <v>#N/A</v>
      </c>
      <c r="U524" s="656" t="e">
        <f>+VLOOKUP($L524,Data_Validation!$A:$D,3,0)</f>
        <v>#N/A</v>
      </c>
      <c r="V524" s="656" t="e">
        <f>+VLOOKUP($L524,Data_Validation!$A:$D,4,0)</f>
        <v>#N/A</v>
      </c>
      <c r="W524" s="656" t="e">
        <f>+VLOOKUP($L524,Data_Validation!$A:$E,5,0)</f>
        <v>#N/A</v>
      </c>
      <c r="X524" s="656" t="e">
        <f>+VLOOKUP($L524,Data_Validation!$A:$F,6,0)</f>
        <v>#N/A</v>
      </c>
    </row>
    <row r="525" spans="1:24" ht="15" customHeight="1">
      <c r="A525" s="714"/>
      <c r="B525" s="714"/>
      <c r="C525" s="715"/>
      <c r="D525" s="715"/>
      <c r="E525" s="715"/>
      <c r="F525" s="714"/>
      <c r="G525" s="714"/>
      <c r="H525" s="714"/>
      <c r="I525" s="716"/>
      <c r="J525" s="716"/>
      <c r="K525" s="716"/>
      <c r="L525" s="653" t="str">
        <f t="shared" si="524"/>
        <v>0</v>
      </c>
      <c r="M525" s="654">
        <f t="shared" si="520"/>
        <v>0</v>
      </c>
      <c r="N525" s="655">
        <f>+IF(OR($Q525=Parametres!$G$2,$Q525=Parametres!$G$3),I525,C525)</f>
        <v>0</v>
      </c>
      <c r="O525" s="655">
        <f>+IF(OR($Q525=Parametres!$G$2,$Q525=Parametres!$G$3),J525,D525)</f>
        <v>0</v>
      </c>
      <c r="P525" s="655">
        <f>+IF(OR($Q525=Parametres!$G$2,$Q525=Parametres!$G$3),K525,E525)</f>
        <v>0</v>
      </c>
      <c r="Q525" s="654">
        <f t="shared" ref="Q525:S525" si="535">+F525</f>
        <v>0</v>
      </c>
      <c r="R525" s="653">
        <f t="shared" si="535"/>
        <v>0</v>
      </c>
      <c r="S525" s="654">
        <f t="shared" si="535"/>
        <v>0</v>
      </c>
      <c r="T525" s="656" t="e">
        <f>+VLOOKUP($L525,Data_Validation!$A:$D,1,0)</f>
        <v>#N/A</v>
      </c>
      <c r="U525" s="656" t="e">
        <f>+VLOOKUP($L525,Data_Validation!$A:$D,3,0)</f>
        <v>#N/A</v>
      </c>
      <c r="V525" s="656" t="e">
        <f>+VLOOKUP($L525,Data_Validation!$A:$D,4,0)</f>
        <v>#N/A</v>
      </c>
      <c r="W525" s="656" t="e">
        <f>+VLOOKUP($L525,Data_Validation!$A:$E,5,0)</f>
        <v>#N/A</v>
      </c>
      <c r="X525" s="656" t="e">
        <f>+VLOOKUP($L525,Data_Validation!$A:$F,6,0)</f>
        <v>#N/A</v>
      </c>
    </row>
    <row r="526" spans="1:24" ht="15.75" customHeight="1">
      <c r="A526" s="714"/>
      <c r="B526" s="714"/>
      <c r="C526" s="715"/>
      <c r="D526" s="715"/>
      <c r="E526" s="715"/>
      <c r="F526" s="714"/>
      <c r="G526" s="714"/>
      <c r="H526" s="714"/>
      <c r="I526" s="716"/>
      <c r="J526" s="716"/>
      <c r="K526" s="716"/>
      <c r="L526" s="653" t="str">
        <f t="shared" si="524"/>
        <v>0</v>
      </c>
      <c r="M526" s="654">
        <f t="shared" si="520"/>
        <v>0</v>
      </c>
      <c r="N526" s="655">
        <f>+IF(OR($Q526=Parametres!$G$2,$Q526=Parametres!$G$3),I526,C526)</f>
        <v>0</v>
      </c>
      <c r="O526" s="655">
        <f>+IF(OR($Q526=Parametres!$G$2,$Q526=Parametres!$G$3),J526,D526)</f>
        <v>0</v>
      </c>
      <c r="P526" s="655">
        <f>+IF(OR($Q526=Parametres!$G$2,$Q526=Parametres!$G$3),K526,E526)</f>
        <v>0</v>
      </c>
      <c r="Q526" s="654">
        <f t="shared" ref="Q526:S526" si="536">+F526</f>
        <v>0</v>
      </c>
      <c r="R526" s="653">
        <f t="shared" si="536"/>
        <v>0</v>
      </c>
      <c r="S526" s="654">
        <f t="shared" si="536"/>
        <v>0</v>
      </c>
      <c r="T526" s="656" t="e">
        <f>+VLOOKUP($L526,Data_Validation!$A:$D,1,0)</f>
        <v>#N/A</v>
      </c>
      <c r="U526" s="656" t="e">
        <f>+VLOOKUP($L526,Data_Validation!$A:$D,3,0)</f>
        <v>#N/A</v>
      </c>
      <c r="V526" s="656" t="e">
        <f>+VLOOKUP($L526,Data_Validation!$A:$D,4,0)</f>
        <v>#N/A</v>
      </c>
      <c r="W526" s="656" t="e">
        <f>+VLOOKUP($L526,Data_Validation!$A:$E,5,0)</f>
        <v>#N/A</v>
      </c>
      <c r="X526" s="656" t="e">
        <f>+VLOOKUP($L526,Data_Validation!$A:$F,6,0)</f>
        <v>#N/A</v>
      </c>
    </row>
    <row r="527" spans="1:24" ht="15" customHeight="1">
      <c r="A527" s="714"/>
      <c r="B527" s="714"/>
      <c r="C527" s="715"/>
      <c r="D527" s="715"/>
      <c r="E527" s="715"/>
      <c r="F527" s="714"/>
      <c r="G527" s="714"/>
      <c r="H527" s="714"/>
      <c r="I527" s="716"/>
      <c r="J527" s="716"/>
      <c r="K527" s="716"/>
      <c r="L527" s="653" t="str">
        <f t="shared" si="524"/>
        <v>0</v>
      </c>
      <c r="M527" s="654">
        <f t="shared" si="520"/>
        <v>0</v>
      </c>
      <c r="N527" s="655">
        <f>+IF(OR($Q527=Parametres!$G$2,$Q527=Parametres!$G$3),I527,C527)</f>
        <v>0</v>
      </c>
      <c r="O527" s="655">
        <f>+IF(OR($Q527=Parametres!$G$2,$Q527=Parametres!$G$3),J527,D527)</f>
        <v>0</v>
      </c>
      <c r="P527" s="655">
        <f>+IF(OR($Q527=Parametres!$G$2,$Q527=Parametres!$G$3),K527,E527)</f>
        <v>0</v>
      </c>
      <c r="Q527" s="654">
        <f t="shared" ref="Q527:S527" si="537">+F527</f>
        <v>0</v>
      </c>
      <c r="R527" s="653">
        <f t="shared" si="537"/>
        <v>0</v>
      </c>
      <c r="S527" s="654">
        <f t="shared" si="537"/>
        <v>0</v>
      </c>
      <c r="T527" s="656" t="e">
        <f>+VLOOKUP($L527,Data_Validation!$A:$D,1,0)</f>
        <v>#N/A</v>
      </c>
      <c r="U527" s="656" t="e">
        <f>+VLOOKUP($L527,Data_Validation!$A:$D,3,0)</f>
        <v>#N/A</v>
      </c>
      <c r="V527" s="656" t="e">
        <f>+VLOOKUP($L527,Data_Validation!$A:$D,4,0)</f>
        <v>#N/A</v>
      </c>
      <c r="W527" s="656" t="e">
        <f>+VLOOKUP($L527,Data_Validation!$A:$E,5,0)</f>
        <v>#N/A</v>
      </c>
      <c r="X527" s="656" t="e">
        <f>+VLOOKUP($L527,Data_Validation!$A:$F,6,0)</f>
        <v>#N/A</v>
      </c>
    </row>
    <row r="528" spans="1:24" ht="15" customHeight="1">
      <c r="A528" s="714"/>
      <c r="B528" s="714"/>
      <c r="C528" s="715"/>
      <c r="D528" s="715"/>
      <c r="E528" s="715"/>
      <c r="F528" s="714"/>
      <c r="G528" s="714"/>
      <c r="H528" s="714"/>
      <c r="I528" s="716"/>
      <c r="J528" s="716"/>
      <c r="K528" s="716"/>
      <c r="L528" s="653" t="str">
        <f t="shared" si="524"/>
        <v>0</v>
      </c>
      <c r="M528" s="654">
        <f t="shared" si="520"/>
        <v>0</v>
      </c>
      <c r="N528" s="655">
        <f>+IF(OR($Q528=Parametres!$G$2,$Q528=Parametres!$G$3),I528,C528)</f>
        <v>0</v>
      </c>
      <c r="O528" s="655">
        <f>+IF(OR($Q528=Parametres!$G$2,$Q528=Parametres!$G$3),J528,D528)</f>
        <v>0</v>
      </c>
      <c r="P528" s="655">
        <f>+IF(OR($Q528=Parametres!$G$2,$Q528=Parametres!$G$3),K528,E528)</f>
        <v>0</v>
      </c>
      <c r="Q528" s="654">
        <f t="shared" ref="Q528:S528" si="538">+F528</f>
        <v>0</v>
      </c>
      <c r="R528" s="653">
        <f t="shared" si="538"/>
        <v>0</v>
      </c>
      <c r="S528" s="654">
        <f t="shared" si="538"/>
        <v>0</v>
      </c>
      <c r="T528" s="656" t="e">
        <f>+VLOOKUP($L528,Data_Validation!$A:$D,1,0)</f>
        <v>#N/A</v>
      </c>
      <c r="U528" s="656" t="e">
        <f>+VLOOKUP($L528,Data_Validation!$A:$D,3,0)</f>
        <v>#N/A</v>
      </c>
      <c r="V528" s="656" t="e">
        <f>+VLOOKUP($L528,Data_Validation!$A:$D,4,0)</f>
        <v>#N/A</v>
      </c>
      <c r="W528" s="656" t="e">
        <f>+VLOOKUP($L528,Data_Validation!$A:$E,5,0)</f>
        <v>#N/A</v>
      </c>
      <c r="X528" s="656" t="e">
        <f>+VLOOKUP($L528,Data_Validation!$A:$F,6,0)</f>
        <v>#N/A</v>
      </c>
    </row>
    <row r="529" spans="1:24" ht="15" customHeight="1">
      <c r="A529" s="714"/>
      <c r="B529" s="714"/>
      <c r="C529" s="715"/>
      <c r="D529" s="715"/>
      <c r="E529" s="715"/>
      <c r="F529" s="714"/>
      <c r="G529" s="714"/>
      <c r="H529" s="714"/>
      <c r="I529" s="716"/>
      <c r="J529" s="716"/>
      <c r="K529" s="716"/>
      <c r="L529" s="653" t="str">
        <f t="shared" si="524"/>
        <v>0</v>
      </c>
      <c r="M529" s="654">
        <f t="shared" si="520"/>
        <v>0</v>
      </c>
      <c r="N529" s="655">
        <f>+IF(OR($Q529=Parametres!$G$2,$Q529=Parametres!$G$3),I529,C529)</f>
        <v>0</v>
      </c>
      <c r="O529" s="655">
        <f>+IF(OR($Q529=Parametres!$G$2,$Q529=Parametres!$G$3),J529,D529)</f>
        <v>0</v>
      </c>
      <c r="P529" s="655">
        <f>+IF(OR($Q529=Parametres!$G$2,$Q529=Parametres!$G$3),K529,E529)</f>
        <v>0</v>
      </c>
      <c r="Q529" s="654">
        <f t="shared" ref="Q529:S529" si="539">+F529</f>
        <v>0</v>
      </c>
      <c r="R529" s="653">
        <f t="shared" si="539"/>
        <v>0</v>
      </c>
      <c r="S529" s="654">
        <f t="shared" si="539"/>
        <v>0</v>
      </c>
      <c r="T529" s="656" t="e">
        <f>+VLOOKUP($L529,Data_Validation!$A:$D,1,0)</f>
        <v>#N/A</v>
      </c>
      <c r="U529" s="656" t="e">
        <f>+VLOOKUP($L529,Data_Validation!$A:$D,3,0)</f>
        <v>#N/A</v>
      </c>
      <c r="V529" s="656" t="e">
        <f>+VLOOKUP($L529,Data_Validation!$A:$D,4,0)</f>
        <v>#N/A</v>
      </c>
      <c r="W529" s="656" t="e">
        <f>+VLOOKUP($L529,Data_Validation!$A:$E,5,0)</f>
        <v>#N/A</v>
      </c>
      <c r="X529" s="656" t="e">
        <f>+VLOOKUP($L529,Data_Validation!$A:$F,6,0)</f>
        <v>#N/A</v>
      </c>
    </row>
    <row r="530" spans="1:24" ht="15" customHeight="1">
      <c r="A530" s="714"/>
      <c r="B530" s="714"/>
      <c r="C530" s="715"/>
      <c r="D530" s="715"/>
      <c r="E530" s="715"/>
      <c r="F530" s="714"/>
      <c r="G530" s="714"/>
      <c r="H530" s="714"/>
      <c r="I530" s="716"/>
      <c r="J530" s="716"/>
      <c r="K530" s="716"/>
      <c r="L530" s="653" t="str">
        <f t="shared" si="524"/>
        <v>0</v>
      </c>
      <c r="M530" s="654">
        <f t="shared" si="520"/>
        <v>0</v>
      </c>
      <c r="N530" s="655">
        <f>+IF(OR($Q530=Parametres!$G$2,$Q530=Parametres!$G$3),I530,C530)</f>
        <v>0</v>
      </c>
      <c r="O530" s="713">
        <f>+IF(OR($Q530=Parametres!$G$2,$Q530=Parametres!$G$3),J530,D530)</f>
        <v>0</v>
      </c>
      <c r="P530" s="655">
        <f>+IF(OR($Q530=Parametres!$G$2,$Q530=Parametres!$G$3),K530,E530)</f>
        <v>0</v>
      </c>
      <c r="Q530" s="654">
        <f t="shared" ref="Q530:S530" si="540">+F530</f>
        <v>0</v>
      </c>
      <c r="R530" s="653">
        <f t="shared" si="540"/>
        <v>0</v>
      </c>
      <c r="S530" s="654">
        <f t="shared" si="540"/>
        <v>0</v>
      </c>
      <c r="T530" s="656" t="e">
        <f>+VLOOKUP($L530,Data_Validation!$A:$D,1,0)</f>
        <v>#N/A</v>
      </c>
      <c r="U530" s="656" t="e">
        <f>+VLOOKUP($L530,Data_Validation!$A:$D,3,0)</f>
        <v>#N/A</v>
      </c>
      <c r="V530" s="656" t="e">
        <f>+VLOOKUP($L530,Data_Validation!$A:$D,4,0)</f>
        <v>#N/A</v>
      </c>
      <c r="W530" s="656" t="e">
        <f>+VLOOKUP($L530,Data_Validation!$A:$E,5,0)</f>
        <v>#N/A</v>
      </c>
      <c r="X530" s="656" t="e">
        <f>+VLOOKUP($L530,Data_Validation!$A:$F,6,0)</f>
        <v>#N/A</v>
      </c>
    </row>
    <row r="531" spans="1:24" ht="15" customHeight="1">
      <c r="A531" s="714"/>
      <c r="B531" s="714"/>
      <c r="C531" s="715"/>
      <c r="D531" s="715"/>
      <c r="E531" s="715"/>
      <c r="F531" s="714"/>
      <c r="G531" s="714"/>
      <c r="H531" s="714"/>
      <c r="I531" s="716"/>
      <c r="J531" s="716"/>
      <c r="K531" s="716"/>
      <c r="L531" s="653" t="str">
        <f t="shared" si="524"/>
        <v>0</v>
      </c>
      <c r="M531" s="654">
        <f t="shared" si="520"/>
        <v>0</v>
      </c>
      <c r="N531" s="655">
        <f>+IF(OR($Q531=Parametres!$G$2,$Q531=Parametres!$G$3),I531,C531)</f>
        <v>0</v>
      </c>
      <c r="O531" s="655">
        <f>+IF(OR($Q531=Parametres!$G$2,$Q531=Parametres!$G$3),J531,D531)</f>
        <v>0</v>
      </c>
      <c r="P531" s="655">
        <f>+IF(OR($Q531=Parametres!$G$2,$Q531=Parametres!$G$3),K531,E531)</f>
        <v>0</v>
      </c>
      <c r="Q531" s="654">
        <f t="shared" ref="Q531:S531" si="541">+F531</f>
        <v>0</v>
      </c>
      <c r="R531" s="653">
        <f t="shared" si="541"/>
        <v>0</v>
      </c>
      <c r="S531" s="654">
        <f t="shared" si="541"/>
        <v>0</v>
      </c>
      <c r="T531" s="656" t="e">
        <f>+VLOOKUP($L531,Data_Validation!$A:$D,1,0)</f>
        <v>#N/A</v>
      </c>
      <c r="U531" s="656" t="e">
        <f>+VLOOKUP($L531,Data_Validation!$A:$D,3,0)</f>
        <v>#N/A</v>
      </c>
      <c r="V531" s="656" t="e">
        <f>+VLOOKUP($L531,Data_Validation!$A:$D,4,0)</f>
        <v>#N/A</v>
      </c>
      <c r="W531" s="656" t="e">
        <f>+VLOOKUP($L531,Data_Validation!$A:$E,5,0)</f>
        <v>#N/A</v>
      </c>
      <c r="X531" s="656" t="e">
        <f>+VLOOKUP($L531,Data_Validation!$A:$F,6,0)</f>
        <v>#N/A</v>
      </c>
    </row>
    <row r="532" spans="1:24" ht="15" customHeight="1">
      <c r="A532" s="714"/>
      <c r="B532" s="714"/>
      <c r="C532" s="715"/>
      <c r="D532" s="715"/>
      <c r="E532" s="715"/>
      <c r="F532" s="714"/>
      <c r="G532" s="714"/>
      <c r="H532" s="714"/>
      <c r="I532" s="716"/>
      <c r="J532" s="716"/>
      <c r="K532" s="716"/>
      <c r="L532" s="653" t="str">
        <f t="shared" si="524"/>
        <v>0</v>
      </c>
      <c r="M532" s="654">
        <f t="shared" si="520"/>
        <v>0</v>
      </c>
      <c r="N532" s="655">
        <f>+IF(OR($Q532=Parametres!$G$2,$Q532=Parametres!$G$3),I532,C532)</f>
        <v>0</v>
      </c>
      <c r="O532" s="655">
        <f>+IF(OR($Q532=Parametres!$G$2,$Q532=Parametres!$G$3),J532,D532)</f>
        <v>0</v>
      </c>
      <c r="P532" s="655">
        <f>+IF(OR($Q532=Parametres!$G$2,$Q532=Parametres!$G$3),K532,E532)</f>
        <v>0</v>
      </c>
      <c r="Q532" s="654">
        <f t="shared" ref="Q532:S532" si="542">+F532</f>
        <v>0</v>
      </c>
      <c r="R532" s="653">
        <f t="shared" si="542"/>
        <v>0</v>
      </c>
      <c r="S532" s="654">
        <f t="shared" si="542"/>
        <v>0</v>
      </c>
      <c r="T532" s="656" t="e">
        <f>+VLOOKUP($L532,Data_Validation!$A:$D,1,0)</f>
        <v>#N/A</v>
      </c>
      <c r="U532" s="656" t="e">
        <f>+VLOOKUP($L532,Data_Validation!$A:$D,3,0)</f>
        <v>#N/A</v>
      </c>
      <c r="V532" s="656" t="e">
        <f>+VLOOKUP($L532,Data_Validation!$A:$D,4,0)</f>
        <v>#N/A</v>
      </c>
      <c r="W532" s="656" t="e">
        <f>+VLOOKUP($L532,Data_Validation!$A:$E,5,0)</f>
        <v>#N/A</v>
      </c>
      <c r="X532" s="656" t="e">
        <f>+VLOOKUP($L532,Data_Validation!$A:$F,6,0)</f>
        <v>#N/A</v>
      </c>
    </row>
    <row r="533" spans="1:24" ht="15.75" customHeight="1">
      <c r="A533" s="714"/>
      <c r="B533" s="714"/>
      <c r="C533" s="715"/>
      <c r="D533" s="715"/>
      <c r="E533" s="715"/>
      <c r="F533" s="714"/>
      <c r="G533" s="714"/>
      <c r="H533" s="714"/>
      <c r="I533" s="716"/>
      <c r="J533" s="716"/>
      <c r="K533" s="716"/>
      <c r="L533" s="653" t="str">
        <f t="shared" si="524"/>
        <v>0</v>
      </c>
      <c r="M533" s="654">
        <f t="shared" si="520"/>
        <v>0</v>
      </c>
      <c r="N533" s="655">
        <f>+IF(OR($Q533=Parametres!$G$2,$Q533=Parametres!$G$3),I533,C533)</f>
        <v>0</v>
      </c>
      <c r="O533" s="655">
        <f>+IF(OR($Q533=Parametres!$G$2,$Q533=Parametres!$G$3),J533,D533)</f>
        <v>0</v>
      </c>
      <c r="P533" s="655">
        <f>+IF(OR($Q533=Parametres!$G$2,$Q533=Parametres!$G$3),K533,E533)</f>
        <v>0</v>
      </c>
      <c r="Q533" s="654">
        <f t="shared" ref="Q533:S533" si="543">+F533</f>
        <v>0</v>
      </c>
      <c r="R533" s="653">
        <f t="shared" si="543"/>
        <v>0</v>
      </c>
      <c r="S533" s="654">
        <f t="shared" si="543"/>
        <v>0</v>
      </c>
      <c r="T533" s="656" t="e">
        <f>+VLOOKUP($L533,Data_Validation!$A:$D,1,0)</f>
        <v>#N/A</v>
      </c>
      <c r="U533" s="656" t="e">
        <f>+VLOOKUP($L533,Data_Validation!$A:$D,3,0)</f>
        <v>#N/A</v>
      </c>
      <c r="V533" s="656" t="e">
        <f>+VLOOKUP($L533,Data_Validation!$A:$D,4,0)</f>
        <v>#N/A</v>
      </c>
      <c r="W533" s="656" t="e">
        <f>+VLOOKUP($L533,Data_Validation!$A:$E,5,0)</f>
        <v>#N/A</v>
      </c>
      <c r="X533" s="656" t="e">
        <f>+VLOOKUP($L533,Data_Validation!$A:$F,6,0)</f>
        <v>#N/A</v>
      </c>
    </row>
    <row r="534" spans="1:24" ht="15" customHeight="1">
      <c r="A534" s="714"/>
      <c r="B534" s="714"/>
      <c r="C534" s="715"/>
      <c r="D534" s="715"/>
      <c r="E534" s="715"/>
      <c r="F534" s="714"/>
      <c r="G534" s="714"/>
      <c r="H534" s="714"/>
      <c r="I534" s="716"/>
      <c r="J534" s="716"/>
      <c r="K534" s="716"/>
      <c r="L534" s="653" t="str">
        <f t="shared" si="524"/>
        <v>0</v>
      </c>
      <c r="M534" s="654">
        <f t="shared" si="520"/>
        <v>0</v>
      </c>
      <c r="N534" s="655">
        <f>+IF(OR($Q534=Parametres!$G$2,$Q534=Parametres!$G$3),I534,C534)</f>
        <v>0</v>
      </c>
      <c r="O534" s="655">
        <f>+IF(OR($Q534=Parametres!$G$2,$Q534=Parametres!$G$3),J534,D534)</f>
        <v>0</v>
      </c>
      <c r="P534" s="655">
        <f>+IF(OR($Q534=Parametres!$G$2,$Q534=Parametres!$G$3),K534,E534)</f>
        <v>0</v>
      </c>
      <c r="Q534" s="654">
        <f t="shared" ref="Q534:S534" si="544">+F534</f>
        <v>0</v>
      </c>
      <c r="R534" s="653">
        <f t="shared" si="544"/>
        <v>0</v>
      </c>
      <c r="S534" s="654">
        <f t="shared" si="544"/>
        <v>0</v>
      </c>
      <c r="T534" s="656" t="e">
        <f>+VLOOKUP($L534,Data_Validation!$A:$D,1,0)</f>
        <v>#N/A</v>
      </c>
      <c r="U534" s="656" t="e">
        <f>+VLOOKUP($L534,Data_Validation!$A:$D,3,0)</f>
        <v>#N/A</v>
      </c>
      <c r="V534" s="656" t="e">
        <f>+VLOOKUP($L534,Data_Validation!$A:$D,4,0)</f>
        <v>#N/A</v>
      </c>
      <c r="W534" s="656" t="e">
        <f>+VLOOKUP($L534,Data_Validation!$A:$E,5,0)</f>
        <v>#N/A</v>
      </c>
      <c r="X534" s="656" t="e">
        <f>+VLOOKUP($L534,Data_Validation!$A:$F,6,0)</f>
        <v>#N/A</v>
      </c>
    </row>
    <row r="535" spans="1:24" ht="15" customHeight="1">
      <c r="A535" s="714"/>
      <c r="B535" s="714"/>
      <c r="C535" s="715"/>
      <c r="D535" s="715"/>
      <c r="E535" s="715"/>
      <c r="F535" s="714"/>
      <c r="G535" s="714"/>
      <c r="H535" s="714"/>
      <c r="I535" s="716"/>
      <c r="J535" s="716"/>
      <c r="K535" s="716"/>
      <c r="L535" s="653" t="str">
        <f t="shared" si="524"/>
        <v>0</v>
      </c>
      <c r="M535" s="654">
        <f t="shared" si="520"/>
        <v>0</v>
      </c>
      <c r="N535" s="655">
        <f>+IF(OR($Q535=Parametres!$G$2,$Q535=Parametres!$G$3),I535,C535)</f>
        <v>0</v>
      </c>
      <c r="O535" s="655">
        <f>+IF(OR($Q535=Parametres!$G$2,$Q535=Parametres!$G$3),J535,D535)</f>
        <v>0</v>
      </c>
      <c r="P535" s="655">
        <f>+IF(OR($Q535=Parametres!$G$2,$Q535=Parametres!$G$3),K535,E535)</f>
        <v>0</v>
      </c>
      <c r="Q535" s="654">
        <f t="shared" ref="Q535:S535" si="545">+F535</f>
        <v>0</v>
      </c>
      <c r="R535" s="653">
        <f t="shared" si="545"/>
        <v>0</v>
      </c>
      <c r="S535" s="654">
        <f t="shared" si="545"/>
        <v>0</v>
      </c>
      <c r="T535" s="656" t="e">
        <f>+VLOOKUP($L535,Data_Validation!$A:$D,1,0)</f>
        <v>#N/A</v>
      </c>
      <c r="U535" s="656" t="e">
        <f>+VLOOKUP($L535,Data_Validation!$A:$D,3,0)</f>
        <v>#N/A</v>
      </c>
      <c r="V535" s="656" t="e">
        <f>+VLOOKUP($L535,Data_Validation!$A:$D,4,0)</f>
        <v>#N/A</v>
      </c>
      <c r="W535" s="656" t="e">
        <f>+VLOOKUP($L535,Data_Validation!$A:$E,5,0)</f>
        <v>#N/A</v>
      </c>
      <c r="X535" s="656" t="e">
        <f>+VLOOKUP($L535,Data_Validation!$A:$F,6,0)</f>
        <v>#N/A</v>
      </c>
    </row>
    <row r="536" spans="1:24" ht="15" customHeight="1">
      <c r="A536" s="714"/>
      <c r="B536" s="714"/>
      <c r="C536" s="715"/>
      <c r="D536" s="715"/>
      <c r="E536" s="715"/>
      <c r="F536" s="714"/>
      <c r="G536" s="714"/>
      <c r="H536" s="714"/>
      <c r="I536" s="716"/>
      <c r="J536" s="716"/>
      <c r="K536" s="716"/>
      <c r="L536" s="653" t="str">
        <f t="shared" si="524"/>
        <v>0</v>
      </c>
      <c r="M536" s="654">
        <f t="shared" si="520"/>
        <v>0</v>
      </c>
      <c r="N536" s="655">
        <f>+IF(OR($Q536=Parametres!$G$2,$Q536=Parametres!$G$3),I536,C536)</f>
        <v>0</v>
      </c>
      <c r="O536" s="655">
        <f>+IF(OR($Q536=Parametres!$G$2,$Q536=Parametres!$G$3),J536,D536)</f>
        <v>0</v>
      </c>
      <c r="P536" s="655">
        <f>+IF(OR($Q536=Parametres!$G$2,$Q536=Parametres!$G$3),K536,E536)</f>
        <v>0</v>
      </c>
      <c r="Q536" s="654">
        <f t="shared" ref="Q536:S536" si="546">+F536</f>
        <v>0</v>
      </c>
      <c r="R536" s="653">
        <f t="shared" si="546"/>
        <v>0</v>
      </c>
      <c r="S536" s="654">
        <f t="shared" si="546"/>
        <v>0</v>
      </c>
      <c r="T536" s="656" t="e">
        <f>+VLOOKUP($L536,Data_Validation!$A:$D,1,0)</f>
        <v>#N/A</v>
      </c>
      <c r="U536" s="656" t="e">
        <f>+VLOOKUP($L536,Data_Validation!$A:$D,3,0)</f>
        <v>#N/A</v>
      </c>
      <c r="V536" s="656" t="e">
        <f>+VLOOKUP($L536,Data_Validation!$A:$D,4,0)</f>
        <v>#N/A</v>
      </c>
      <c r="W536" s="656" t="e">
        <f>+VLOOKUP($L536,Data_Validation!$A:$E,5,0)</f>
        <v>#N/A</v>
      </c>
      <c r="X536" s="656" t="e">
        <f>+VLOOKUP($L536,Data_Validation!$A:$F,6,0)</f>
        <v>#N/A</v>
      </c>
    </row>
    <row r="537" spans="1:24" ht="15.75" customHeight="1">
      <c r="A537" s="714"/>
      <c r="B537" s="714"/>
      <c r="C537" s="715"/>
      <c r="D537" s="715"/>
      <c r="E537" s="715"/>
      <c r="F537" s="714"/>
      <c r="G537" s="714"/>
      <c r="H537" s="714"/>
      <c r="I537" s="716"/>
      <c r="J537" s="716"/>
      <c r="K537" s="716"/>
      <c r="L537" s="653" t="str">
        <f t="shared" si="524"/>
        <v>0</v>
      </c>
      <c r="M537" s="654">
        <f t="shared" si="520"/>
        <v>0</v>
      </c>
      <c r="N537" s="655">
        <f>+IF(OR($Q537=Parametres!$G$2,$Q537=Parametres!$G$3),I537,C537)</f>
        <v>0</v>
      </c>
      <c r="O537" s="655">
        <f>+IF(OR($Q537=Parametres!$G$2,$Q537=Parametres!$G$3),J537,D537)</f>
        <v>0</v>
      </c>
      <c r="P537" s="655">
        <f>+IF(OR($Q537=Parametres!$G$2,$Q537=Parametres!$G$3),K537,E537)</f>
        <v>0</v>
      </c>
      <c r="Q537" s="654">
        <f t="shared" ref="Q537:S537" si="547">+F537</f>
        <v>0</v>
      </c>
      <c r="R537" s="653">
        <f t="shared" si="547"/>
        <v>0</v>
      </c>
      <c r="S537" s="654">
        <f t="shared" si="547"/>
        <v>0</v>
      </c>
      <c r="T537" s="656" t="e">
        <f>+VLOOKUP($L537,Data_Validation!$A:$D,1,0)</f>
        <v>#N/A</v>
      </c>
      <c r="U537" s="656" t="e">
        <f>+VLOOKUP($L537,Data_Validation!$A:$D,3,0)</f>
        <v>#N/A</v>
      </c>
      <c r="V537" s="656" t="e">
        <f>+VLOOKUP($L537,Data_Validation!$A:$D,4,0)</f>
        <v>#N/A</v>
      </c>
      <c r="W537" s="656" t="e">
        <f>+VLOOKUP($L537,Data_Validation!$A:$E,5,0)</f>
        <v>#N/A</v>
      </c>
      <c r="X537" s="656" t="e">
        <f>+VLOOKUP($L537,Data_Validation!$A:$F,6,0)</f>
        <v>#N/A</v>
      </c>
    </row>
    <row r="538" spans="1:24" ht="15" customHeight="1">
      <c r="A538" s="714"/>
      <c r="B538" s="714"/>
      <c r="C538" s="715"/>
      <c r="D538" s="715"/>
      <c r="E538" s="715"/>
      <c r="F538" s="714"/>
      <c r="G538" s="714"/>
      <c r="H538" s="714"/>
      <c r="I538" s="716"/>
      <c r="J538" s="716"/>
      <c r="K538" s="716"/>
      <c r="L538" s="653" t="str">
        <f t="shared" si="524"/>
        <v>0</v>
      </c>
      <c r="M538" s="654">
        <f t="shared" si="520"/>
        <v>0</v>
      </c>
      <c r="N538" s="655">
        <f>+IF(OR($Q538=Parametres!$G$2,$Q538=Parametres!$G$3),I538,C538)</f>
        <v>0</v>
      </c>
      <c r="O538" s="655">
        <f>+IF(OR($Q538=Parametres!$G$2,$Q538=Parametres!$G$3),J538,D538)</f>
        <v>0</v>
      </c>
      <c r="P538" s="655">
        <f>+IF(OR($Q538=Parametres!$G$2,$Q538=Parametres!$G$3),K538,E538)</f>
        <v>0</v>
      </c>
      <c r="Q538" s="654">
        <f t="shared" ref="Q538:S538" si="548">+F538</f>
        <v>0</v>
      </c>
      <c r="R538" s="653">
        <f t="shared" si="548"/>
        <v>0</v>
      </c>
      <c r="S538" s="654">
        <f t="shared" si="548"/>
        <v>0</v>
      </c>
      <c r="T538" s="656" t="e">
        <f>+VLOOKUP($L538,Data_Validation!$A:$D,1,0)</f>
        <v>#N/A</v>
      </c>
      <c r="U538" s="656" t="e">
        <f>+VLOOKUP($L538,Data_Validation!$A:$D,3,0)</f>
        <v>#N/A</v>
      </c>
      <c r="V538" s="656" t="e">
        <f>+VLOOKUP($L538,Data_Validation!$A:$D,4,0)</f>
        <v>#N/A</v>
      </c>
      <c r="W538" s="656" t="e">
        <f>+VLOOKUP($L538,Data_Validation!$A:$E,5,0)</f>
        <v>#N/A</v>
      </c>
      <c r="X538" s="656" t="e">
        <f>+VLOOKUP($L538,Data_Validation!$A:$F,6,0)</f>
        <v>#N/A</v>
      </c>
    </row>
    <row r="539" spans="1:24" ht="15" customHeight="1">
      <c r="A539" s="714"/>
      <c r="B539" s="714"/>
      <c r="C539" s="715"/>
      <c r="D539" s="715"/>
      <c r="E539" s="715"/>
      <c r="F539" s="714"/>
      <c r="G539" s="714"/>
      <c r="H539" s="714"/>
      <c r="I539" s="716"/>
      <c r="J539" s="716"/>
      <c r="K539" s="716"/>
      <c r="L539" s="653" t="str">
        <f t="shared" si="524"/>
        <v>0</v>
      </c>
      <c r="M539" s="654">
        <f t="shared" si="520"/>
        <v>0</v>
      </c>
      <c r="N539" s="655">
        <f>+IF(OR($Q539=Parametres!$G$2,$Q539=Parametres!$G$3),I539,C539)</f>
        <v>0</v>
      </c>
      <c r="O539" s="655">
        <f>+IF(OR($Q539=Parametres!$G$2,$Q539=Parametres!$G$3),J539,D539)</f>
        <v>0</v>
      </c>
      <c r="P539" s="655">
        <f>+IF(OR($Q539=Parametres!$G$2,$Q539=Parametres!$G$3),K539,E539)</f>
        <v>0</v>
      </c>
      <c r="Q539" s="654">
        <f t="shared" ref="Q539:S539" si="549">+F539</f>
        <v>0</v>
      </c>
      <c r="R539" s="653">
        <f t="shared" si="549"/>
        <v>0</v>
      </c>
      <c r="S539" s="654">
        <f t="shared" si="549"/>
        <v>0</v>
      </c>
      <c r="T539" s="656" t="e">
        <f>+VLOOKUP($L539,Data_Validation!$A:$D,1,0)</f>
        <v>#N/A</v>
      </c>
      <c r="U539" s="656" t="e">
        <f>+VLOOKUP($L539,Data_Validation!$A:$D,3,0)</f>
        <v>#N/A</v>
      </c>
      <c r="V539" s="656" t="e">
        <f>+VLOOKUP($L539,Data_Validation!$A:$D,4,0)</f>
        <v>#N/A</v>
      </c>
      <c r="W539" s="656" t="e">
        <f>+VLOOKUP($L539,Data_Validation!$A:$E,5,0)</f>
        <v>#N/A</v>
      </c>
      <c r="X539" s="656" t="e">
        <f>+VLOOKUP($L539,Data_Validation!$A:$F,6,0)</f>
        <v>#N/A</v>
      </c>
    </row>
    <row r="540" spans="1:24" ht="15" customHeight="1">
      <c r="A540" s="714"/>
      <c r="B540" s="714"/>
      <c r="C540" s="715"/>
      <c r="D540" s="715"/>
      <c r="E540" s="715"/>
      <c r="F540" s="714"/>
      <c r="G540" s="714"/>
      <c r="H540" s="714"/>
      <c r="I540" s="716"/>
      <c r="J540" s="716"/>
      <c r="K540" s="716"/>
      <c r="L540" s="653" t="str">
        <f t="shared" si="524"/>
        <v>0</v>
      </c>
      <c r="M540" s="654">
        <f t="shared" si="520"/>
        <v>0</v>
      </c>
      <c r="N540" s="655">
        <f>+IF(OR($Q540=Parametres!$G$2,$Q540=Parametres!$G$3),I540,C540)</f>
        <v>0</v>
      </c>
      <c r="O540" s="655">
        <f>+IF(OR($Q540=Parametres!$G$2,$Q540=Parametres!$G$3),J540,D540)</f>
        <v>0</v>
      </c>
      <c r="P540" s="655">
        <f>+IF(OR($Q540=Parametres!$G$2,$Q540=Parametres!$G$3),K540,E540)</f>
        <v>0</v>
      </c>
      <c r="Q540" s="654">
        <f t="shared" ref="Q540:S540" si="550">+F540</f>
        <v>0</v>
      </c>
      <c r="R540" s="653">
        <f t="shared" si="550"/>
        <v>0</v>
      </c>
      <c r="S540" s="654">
        <f t="shared" si="550"/>
        <v>0</v>
      </c>
      <c r="T540" s="656" t="e">
        <f>+VLOOKUP($L540,Data_Validation!$A:$D,1,0)</f>
        <v>#N/A</v>
      </c>
      <c r="U540" s="656" t="e">
        <f>+VLOOKUP($L540,Data_Validation!$A:$D,3,0)</f>
        <v>#N/A</v>
      </c>
      <c r="V540" s="656" t="e">
        <f>+VLOOKUP($L540,Data_Validation!$A:$D,4,0)</f>
        <v>#N/A</v>
      </c>
      <c r="W540" s="656" t="e">
        <f>+VLOOKUP($L540,Data_Validation!$A:$E,5,0)</f>
        <v>#N/A</v>
      </c>
      <c r="X540" s="656" t="e">
        <f>+VLOOKUP($L540,Data_Validation!$A:$F,6,0)</f>
        <v>#N/A</v>
      </c>
    </row>
    <row r="541" spans="1:24" ht="15" customHeight="1">
      <c r="A541" s="714"/>
      <c r="B541" s="714"/>
      <c r="C541" s="715"/>
      <c r="D541" s="715"/>
      <c r="E541" s="715"/>
      <c r="F541" s="714"/>
      <c r="G541" s="714"/>
      <c r="H541" s="714"/>
      <c r="I541" s="716"/>
      <c r="J541" s="716"/>
      <c r="K541" s="716"/>
      <c r="L541" s="653" t="str">
        <f t="shared" si="524"/>
        <v>0</v>
      </c>
      <c r="M541" s="654">
        <f t="shared" si="520"/>
        <v>0</v>
      </c>
      <c r="N541" s="655">
        <f>+IF(OR($Q541=Parametres!$G$2,$Q541=Parametres!$G$3),I541,C541)</f>
        <v>0</v>
      </c>
      <c r="O541" s="655">
        <f>+IF(OR($Q541=Parametres!$G$2,$Q541=Parametres!$G$3),J541,D541)</f>
        <v>0</v>
      </c>
      <c r="P541" s="655">
        <f>+IF(OR($Q541=Parametres!$G$2,$Q541=Parametres!$G$3),K541,E541)</f>
        <v>0</v>
      </c>
      <c r="Q541" s="654">
        <f t="shared" ref="Q541:S541" si="551">+F541</f>
        <v>0</v>
      </c>
      <c r="R541" s="653">
        <f t="shared" si="551"/>
        <v>0</v>
      </c>
      <c r="S541" s="654">
        <f t="shared" si="551"/>
        <v>0</v>
      </c>
      <c r="T541" s="656" t="e">
        <f>+VLOOKUP($L541,Data_Validation!$A:$D,1,0)</f>
        <v>#N/A</v>
      </c>
      <c r="U541" s="656" t="e">
        <f>+VLOOKUP($L541,Data_Validation!$A:$D,3,0)</f>
        <v>#N/A</v>
      </c>
      <c r="V541" s="656" t="e">
        <f>+VLOOKUP($L541,Data_Validation!$A:$D,4,0)</f>
        <v>#N/A</v>
      </c>
      <c r="W541" s="656" t="e">
        <f>+VLOOKUP($L541,Data_Validation!$A:$E,5,0)</f>
        <v>#N/A</v>
      </c>
      <c r="X541" s="656" t="e">
        <f>+VLOOKUP($L541,Data_Validation!$A:$F,6,0)</f>
        <v>#N/A</v>
      </c>
    </row>
    <row r="542" spans="1:24" ht="15.75" customHeight="1">
      <c r="A542" s="714"/>
      <c r="B542" s="714"/>
      <c r="C542" s="715"/>
      <c r="D542" s="715"/>
      <c r="E542" s="715"/>
      <c r="F542" s="714"/>
      <c r="G542" s="714"/>
      <c r="H542" s="714"/>
      <c r="I542" s="716"/>
      <c r="J542" s="716"/>
      <c r="K542" s="716"/>
      <c r="L542" s="653" t="str">
        <f t="shared" si="524"/>
        <v>0</v>
      </c>
      <c r="M542" s="654">
        <f t="shared" si="520"/>
        <v>0</v>
      </c>
      <c r="N542" s="655">
        <f>+IF(OR($Q542=Parametres!$G$2,$Q542=Parametres!$G$3),I542,C542)</f>
        <v>0</v>
      </c>
      <c r="O542" s="655">
        <f>+IF(OR($Q542=Parametres!$G$2,$Q542=Parametres!$G$3),J542,D542)</f>
        <v>0</v>
      </c>
      <c r="P542" s="655">
        <f>+IF(OR($Q542=Parametres!$G$2,$Q542=Parametres!$G$3),K542,E542)</f>
        <v>0</v>
      </c>
      <c r="Q542" s="654">
        <f t="shared" ref="Q542:S542" si="552">+F542</f>
        <v>0</v>
      </c>
      <c r="R542" s="653">
        <f t="shared" si="552"/>
        <v>0</v>
      </c>
      <c r="S542" s="654">
        <f t="shared" si="552"/>
        <v>0</v>
      </c>
      <c r="T542" s="656" t="e">
        <f>+VLOOKUP($L542,Data_Validation!$A:$D,1,0)</f>
        <v>#N/A</v>
      </c>
      <c r="U542" s="656" t="e">
        <f>+VLOOKUP($L542,Data_Validation!$A:$D,3,0)</f>
        <v>#N/A</v>
      </c>
      <c r="V542" s="656" t="e">
        <f>+VLOOKUP($L542,Data_Validation!$A:$D,4,0)</f>
        <v>#N/A</v>
      </c>
      <c r="W542" s="656" t="e">
        <f>+VLOOKUP($L542,Data_Validation!$A:$E,5,0)</f>
        <v>#N/A</v>
      </c>
      <c r="X542" s="656" t="e">
        <f>+VLOOKUP($L542,Data_Validation!$A:$F,6,0)</f>
        <v>#N/A</v>
      </c>
    </row>
    <row r="543" spans="1:24" ht="15" customHeight="1">
      <c r="A543" s="714"/>
      <c r="B543" s="714"/>
      <c r="C543" s="715"/>
      <c r="D543" s="715"/>
      <c r="E543" s="715"/>
      <c r="F543" s="714"/>
      <c r="G543" s="714"/>
      <c r="H543" s="714"/>
      <c r="I543" s="716"/>
      <c r="J543" s="716"/>
      <c r="K543" s="716"/>
      <c r="L543" s="653" t="str">
        <f t="shared" si="524"/>
        <v>0</v>
      </c>
      <c r="M543" s="654">
        <f t="shared" si="520"/>
        <v>0</v>
      </c>
      <c r="N543" s="655">
        <f>+IF(OR($Q543=Parametres!$G$2,$Q543=Parametres!$G$3),I543,C543)</f>
        <v>0</v>
      </c>
      <c r="O543" s="655">
        <f>+IF(OR($Q543=Parametres!$G$2,$Q543=Parametres!$G$3),J543,D543)</f>
        <v>0</v>
      </c>
      <c r="P543" s="655">
        <f>+IF(OR($Q543=Parametres!$G$2,$Q543=Parametres!$G$3),K543,E543)</f>
        <v>0</v>
      </c>
      <c r="Q543" s="654">
        <f t="shared" ref="Q543:S543" si="553">+F543</f>
        <v>0</v>
      </c>
      <c r="R543" s="653">
        <f t="shared" si="553"/>
        <v>0</v>
      </c>
      <c r="S543" s="654">
        <f t="shared" si="553"/>
        <v>0</v>
      </c>
      <c r="T543" s="656" t="e">
        <f>+VLOOKUP($L543,Data_Validation!$A:$D,1,0)</f>
        <v>#N/A</v>
      </c>
      <c r="U543" s="656" t="e">
        <f>+VLOOKUP($L543,Data_Validation!$A:$D,3,0)</f>
        <v>#N/A</v>
      </c>
      <c r="V543" s="656" t="e">
        <f>+VLOOKUP($L543,Data_Validation!$A:$D,4,0)</f>
        <v>#N/A</v>
      </c>
      <c r="W543" s="656" t="e">
        <f>+VLOOKUP($L543,Data_Validation!$A:$E,5,0)</f>
        <v>#N/A</v>
      </c>
      <c r="X543" s="656" t="e">
        <f>+VLOOKUP($L543,Data_Validation!$A:$F,6,0)</f>
        <v>#N/A</v>
      </c>
    </row>
    <row r="544" spans="1:24" ht="15" customHeight="1">
      <c r="A544" s="714"/>
      <c r="B544" s="714"/>
      <c r="C544" s="715"/>
      <c r="D544" s="715"/>
      <c r="E544" s="715"/>
      <c r="F544" s="714"/>
      <c r="G544" s="714"/>
      <c r="H544" s="714"/>
      <c r="I544" s="716"/>
      <c r="J544" s="716"/>
      <c r="K544" s="716"/>
      <c r="L544" s="653" t="str">
        <f t="shared" si="524"/>
        <v>0</v>
      </c>
      <c r="M544" s="654">
        <f t="shared" si="520"/>
        <v>0</v>
      </c>
      <c r="N544" s="655">
        <f>+IF(OR($Q544=Parametres!$G$2,$Q544=Parametres!$G$3),I544,C544)</f>
        <v>0</v>
      </c>
      <c r="O544" s="655">
        <f>+IF(OR($Q544=Parametres!$G$2,$Q544=Parametres!$G$3),J544,D544)</f>
        <v>0</v>
      </c>
      <c r="P544" s="655">
        <f>+IF(OR($Q544=Parametres!$G$2,$Q544=Parametres!$G$3),K544,E544)</f>
        <v>0</v>
      </c>
      <c r="Q544" s="654">
        <f t="shared" ref="Q544:S544" si="554">+F544</f>
        <v>0</v>
      </c>
      <c r="R544" s="653">
        <f t="shared" si="554"/>
        <v>0</v>
      </c>
      <c r="S544" s="654">
        <f t="shared" si="554"/>
        <v>0</v>
      </c>
      <c r="T544" s="656" t="e">
        <f>+VLOOKUP($L544,Data_Validation!$A:$D,1,0)</f>
        <v>#N/A</v>
      </c>
      <c r="U544" s="656" t="e">
        <f>+VLOOKUP($L544,Data_Validation!$A:$D,3,0)</f>
        <v>#N/A</v>
      </c>
      <c r="V544" s="656" t="e">
        <f>+VLOOKUP($L544,Data_Validation!$A:$D,4,0)</f>
        <v>#N/A</v>
      </c>
      <c r="W544" s="656" t="e">
        <f>+VLOOKUP($L544,Data_Validation!$A:$E,5,0)</f>
        <v>#N/A</v>
      </c>
      <c r="X544" s="656" t="e">
        <f>+VLOOKUP($L544,Data_Validation!$A:$F,6,0)</f>
        <v>#N/A</v>
      </c>
    </row>
    <row r="545" spans="1:24" ht="15" customHeight="1">
      <c r="A545" s="714"/>
      <c r="B545" s="714"/>
      <c r="C545" s="715"/>
      <c r="D545" s="715"/>
      <c r="E545" s="715"/>
      <c r="F545" s="714"/>
      <c r="G545" s="714"/>
      <c r="H545" s="714"/>
      <c r="I545" s="716"/>
      <c r="J545" s="716"/>
      <c r="K545" s="716"/>
      <c r="L545" s="653" t="str">
        <f t="shared" si="524"/>
        <v>0</v>
      </c>
      <c r="M545" s="654">
        <f t="shared" si="520"/>
        <v>0</v>
      </c>
      <c r="N545" s="655">
        <f>+IF(OR($Q545=Parametres!$G$2,$Q545=Parametres!$G$3),I545,C545)</f>
        <v>0</v>
      </c>
      <c r="O545" s="655">
        <f>+IF(OR($Q545=Parametres!$G$2,$Q545=Parametres!$G$3),J545,D545)</f>
        <v>0</v>
      </c>
      <c r="P545" s="655">
        <f>+IF(OR($Q545=Parametres!$G$2,$Q545=Parametres!$G$3),K545,E545)</f>
        <v>0</v>
      </c>
      <c r="Q545" s="654">
        <f t="shared" ref="Q545:S545" si="555">+F545</f>
        <v>0</v>
      </c>
      <c r="R545" s="653">
        <f t="shared" si="555"/>
        <v>0</v>
      </c>
      <c r="S545" s="654">
        <f t="shared" si="555"/>
        <v>0</v>
      </c>
      <c r="T545" s="656" t="e">
        <f>+VLOOKUP($L545,Data_Validation!$A:$D,1,0)</f>
        <v>#N/A</v>
      </c>
      <c r="U545" s="656" t="e">
        <f>+VLOOKUP($L545,Data_Validation!$A:$D,3,0)</f>
        <v>#N/A</v>
      </c>
      <c r="V545" s="656" t="e">
        <f>+VLOOKUP($L545,Data_Validation!$A:$D,4,0)</f>
        <v>#N/A</v>
      </c>
      <c r="W545" s="656" t="e">
        <f>+VLOOKUP($L545,Data_Validation!$A:$E,5,0)</f>
        <v>#N/A</v>
      </c>
      <c r="X545" s="656" t="e">
        <f>+VLOOKUP($L545,Data_Validation!$A:$F,6,0)</f>
        <v>#N/A</v>
      </c>
    </row>
    <row r="546" spans="1:24" ht="15" customHeight="1">
      <c r="A546" s="714"/>
      <c r="B546" s="714"/>
      <c r="C546" s="715"/>
      <c r="D546" s="715"/>
      <c r="E546" s="715"/>
      <c r="F546" s="714"/>
      <c r="G546" s="714"/>
      <c r="H546" s="714"/>
      <c r="I546" s="716"/>
      <c r="J546" s="716"/>
      <c r="K546" s="716"/>
      <c r="L546" s="653" t="str">
        <f t="shared" si="524"/>
        <v>0</v>
      </c>
      <c r="M546" s="654">
        <f t="shared" si="520"/>
        <v>0</v>
      </c>
      <c r="N546" s="655">
        <f>+IF(OR($Q546=Parametres!$G$2,$Q546=Parametres!$G$3),I546,C546)</f>
        <v>0</v>
      </c>
      <c r="O546" s="655">
        <f>+IF(OR($Q546=Parametres!$G$2,$Q546=Parametres!$G$3),J546,D546)</f>
        <v>0</v>
      </c>
      <c r="P546" s="655">
        <f>+IF(OR($Q546=Parametres!$G$2,$Q546=Parametres!$G$3),K546,E546)</f>
        <v>0</v>
      </c>
      <c r="Q546" s="654">
        <f t="shared" ref="Q546:S546" si="556">+F546</f>
        <v>0</v>
      </c>
      <c r="R546" s="653">
        <f t="shared" si="556"/>
        <v>0</v>
      </c>
      <c r="S546" s="654">
        <f t="shared" si="556"/>
        <v>0</v>
      </c>
      <c r="T546" s="656" t="e">
        <f>+VLOOKUP($L546,Data_Validation!$A:$D,1,0)</f>
        <v>#N/A</v>
      </c>
      <c r="U546" s="656" t="e">
        <f>+VLOOKUP($L546,Data_Validation!$A:$D,3,0)</f>
        <v>#N/A</v>
      </c>
      <c r="V546" s="656" t="e">
        <f>+VLOOKUP($L546,Data_Validation!$A:$D,4,0)</f>
        <v>#N/A</v>
      </c>
      <c r="W546" s="656" t="e">
        <f>+VLOOKUP($L546,Data_Validation!$A:$E,5,0)</f>
        <v>#N/A</v>
      </c>
      <c r="X546" s="656" t="e">
        <f>+VLOOKUP($L546,Data_Validation!$A:$F,6,0)</f>
        <v>#N/A</v>
      </c>
    </row>
    <row r="547" spans="1:24" ht="15.75" customHeight="1">
      <c r="A547" s="714"/>
      <c r="B547" s="714"/>
      <c r="C547" s="715"/>
      <c r="D547" s="715"/>
      <c r="E547" s="715"/>
      <c r="F547" s="714"/>
      <c r="G547" s="714"/>
      <c r="H547" s="714"/>
      <c r="I547" s="716"/>
      <c r="J547" s="716"/>
      <c r="K547" s="716"/>
      <c r="L547" s="653" t="str">
        <f t="shared" si="524"/>
        <v>0</v>
      </c>
      <c r="M547" s="654">
        <f t="shared" si="520"/>
        <v>0</v>
      </c>
      <c r="N547" s="655">
        <f>+IF(OR($Q547=Parametres!$G$2,$Q547=Parametres!$G$3),I547,C547)</f>
        <v>0</v>
      </c>
      <c r="O547" s="655">
        <f>+IF(OR($Q547=Parametres!$G$2,$Q547=Parametres!$G$3),J547,D547)</f>
        <v>0</v>
      </c>
      <c r="P547" s="655">
        <f>+IF(OR($Q547=Parametres!$G$2,$Q547=Parametres!$G$3),K547,E547)</f>
        <v>0</v>
      </c>
      <c r="Q547" s="654">
        <f t="shared" ref="Q547:S547" si="557">+F547</f>
        <v>0</v>
      </c>
      <c r="R547" s="653">
        <f t="shared" si="557"/>
        <v>0</v>
      </c>
      <c r="S547" s="654">
        <f t="shared" si="557"/>
        <v>0</v>
      </c>
      <c r="T547" s="656" t="e">
        <f>+VLOOKUP($L547,Data_Validation!$A:$D,1,0)</f>
        <v>#N/A</v>
      </c>
      <c r="U547" s="656" t="e">
        <f>+VLOOKUP($L547,Data_Validation!$A:$D,3,0)</f>
        <v>#N/A</v>
      </c>
      <c r="V547" s="656" t="e">
        <f>+VLOOKUP($L547,Data_Validation!$A:$D,4,0)</f>
        <v>#N/A</v>
      </c>
      <c r="W547" s="656" t="e">
        <f>+VLOOKUP($L547,Data_Validation!$A:$E,5,0)</f>
        <v>#N/A</v>
      </c>
      <c r="X547" s="656" t="e">
        <f>+VLOOKUP($L547,Data_Validation!$A:$F,6,0)</f>
        <v>#N/A</v>
      </c>
    </row>
    <row r="548" spans="1:24" ht="15" customHeight="1">
      <c r="A548" s="714"/>
      <c r="B548" s="714"/>
      <c r="C548" s="715"/>
      <c r="D548" s="715"/>
      <c r="E548" s="715"/>
      <c r="F548" s="714"/>
      <c r="G548" s="714"/>
      <c r="H548" s="714"/>
      <c r="I548" s="716"/>
      <c r="J548" s="716"/>
      <c r="K548" s="716"/>
      <c r="L548" s="653" t="str">
        <f t="shared" si="524"/>
        <v>0</v>
      </c>
      <c r="M548" s="654">
        <f t="shared" si="520"/>
        <v>0</v>
      </c>
      <c r="N548" s="655">
        <f>+IF(OR($Q548=Parametres!$G$2,$Q548=Parametres!$G$3),I548,C548)</f>
        <v>0</v>
      </c>
      <c r="O548" s="655">
        <f>+IF(OR($Q548=Parametres!$G$2,$Q548=Parametres!$G$3),J548,D548)</f>
        <v>0</v>
      </c>
      <c r="P548" s="655">
        <f>+IF(OR($Q548=Parametres!$G$2,$Q548=Parametres!$G$3),K548,E548)</f>
        <v>0</v>
      </c>
      <c r="Q548" s="654">
        <f t="shared" ref="Q548:S548" si="558">+F548</f>
        <v>0</v>
      </c>
      <c r="R548" s="653">
        <f t="shared" si="558"/>
        <v>0</v>
      </c>
      <c r="S548" s="654">
        <f t="shared" si="558"/>
        <v>0</v>
      </c>
      <c r="T548" s="656" t="e">
        <f>+VLOOKUP($L548,Data_Validation!$A:$D,1,0)</f>
        <v>#N/A</v>
      </c>
      <c r="U548" s="656" t="e">
        <f>+VLOOKUP($L548,Data_Validation!$A:$D,3,0)</f>
        <v>#N/A</v>
      </c>
      <c r="V548" s="656" t="e">
        <f>+VLOOKUP($L548,Data_Validation!$A:$D,4,0)</f>
        <v>#N/A</v>
      </c>
      <c r="W548" s="656" t="e">
        <f>+VLOOKUP($L548,Data_Validation!$A:$E,5,0)</f>
        <v>#N/A</v>
      </c>
      <c r="X548" s="656" t="e">
        <f>+VLOOKUP($L548,Data_Validation!$A:$F,6,0)</f>
        <v>#N/A</v>
      </c>
    </row>
    <row r="549" spans="1:24" ht="15" customHeight="1">
      <c r="A549" s="714"/>
      <c r="B549" s="714"/>
      <c r="C549" s="715"/>
      <c r="D549" s="715"/>
      <c r="E549" s="715"/>
      <c r="F549" s="714"/>
      <c r="G549" s="714"/>
      <c r="H549" s="714"/>
      <c r="I549" s="716"/>
      <c r="J549" s="716"/>
      <c r="K549" s="716"/>
      <c r="L549" s="653" t="str">
        <f t="shared" si="524"/>
        <v>0</v>
      </c>
      <c r="M549" s="654">
        <f t="shared" si="520"/>
        <v>0</v>
      </c>
      <c r="N549" s="655">
        <f>+IF(OR($Q549=Parametres!$G$2,$Q549=Parametres!$G$3),I549,C549)</f>
        <v>0</v>
      </c>
      <c r="O549" s="655">
        <f>+IF(OR($Q549=Parametres!$G$2,$Q549=Parametres!$G$3),J549,D549)</f>
        <v>0</v>
      </c>
      <c r="P549" s="655">
        <f>+IF(OR($Q549=Parametres!$G$2,$Q549=Parametres!$G$3),K549,E549)</f>
        <v>0</v>
      </c>
      <c r="Q549" s="654">
        <f t="shared" ref="Q549:S549" si="559">+F549</f>
        <v>0</v>
      </c>
      <c r="R549" s="653">
        <f t="shared" si="559"/>
        <v>0</v>
      </c>
      <c r="S549" s="654">
        <f t="shared" si="559"/>
        <v>0</v>
      </c>
      <c r="T549" s="656" t="e">
        <f>+VLOOKUP($L549,Data_Validation!$A:$D,1,0)</f>
        <v>#N/A</v>
      </c>
      <c r="U549" s="656" t="e">
        <f>+VLOOKUP($L549,Data_Validation!$A:$D,3,0)</f>
        <v>#N/A</v>
      </c>
      <c r="V549" s="656" t="e">
        <f>+VLOOKUP($L549,Data_Validation!$A:$D,4,0)</f>
        <v>#N/A</v>
      </c>
      <c r="W549" s="656" t="e">
        <f>+VLOOKUP($L549,Data_Validation!$A:$E,5,0)</f>
        <v>#N/A</v>
      </c>
      <c r="X549" s="656" t="e">
        <f>+VLOOKUP($L549,Data_Validation!$A:$F,6,0)</f>
        <v>#N/A</v>
      </c>
    </row>
    <row r="550" spans="1:24" ht="15" customHeight="1">
      <c r="A550" s="714"/>
      <c r="B550" s="714"/>
      <c r="C550" s="715"/>
      <c r="D550" s="715"/>
      <c r="E550" s="715"/>
      <c r="F550" s="714"/>
      <c r="G550" s="714"/>
      <c r="H550" s="714"/>
      <c r="I550" s="716"/>
      <c r="J550" s="716"/>
      <c r="K550" s="716"/>
      <c r="L550" s="653" t="str">
        <f t="shared" si="524"/>
        <v>0</v>
      </c>
      <c r="M550" s="654">
        <f t="shared" si="520"/>
        <v>0</v>
      </c>
      <c r="N550" s="655">
        <f>+IF(OR($Q550=Parametres!$G$2,$Q550=Parametres!$G$3),I550,C550)</f>
        <v>0</v>
      </c>
      <c r="O550" s="655">
        <f>+IF(OR($Q550=Parametres!$G$2,$Q550=Parametres!$G$3),J550,D550)</f>
        <v>0</v>
      </c>
      <c r="P550" s="655">
        <f>+IF(OR($Q550=Parametres!$G$2,$Q550=Parametres!$G$3),K550,E550)</f>
        <v>0</v>
      </c>
      <c r="Q550" s="654">
        <f t="shared" ref="Q550:S550" si="560">+F550</f>
        <v>0</v>
      </c>
      <c r="R550" s="653">
        <f t="shared" si="560"/>
        <v>0</v>
      </c>
      <c r="S550" s="654">
        <f t="shared" si="560"/>
        <v>0</v>
      </c>
      <c r="T550" s="656" t="e">
        <f>+VLOOKUP($L550,Data_Validation!$A:$D,1,0)</f>
        <v>#N/A</v>
      </c>
      <c r="U550" s="656" t="e">
        <f>+VLOOKUP($L550,Data_Validation!$A:$D,3,0)</f>
        <v>#N/A</v>
      </c>
      <c r="V550" s="656" t="e">
        <f>+VLOOKUP($L550,Data_Validation!$A:$D,4,0)</f>
        <v>#N/A</v>
      </c>
      <c r="W550" s="656" t="e">
        <f>+VLOOKUP($L550,Data_Validation!$A:$E,5,0)</f>
        <v>#N/A</v>
      </c>
      <c r="X550" s="656" t="e">
        <f>+VLOOKUP($L550,Data_Validation!$A:$F,6,0)</f>
        <v>#N/A</v>
      </c>
    </row>
    <row r="551" spans="1:24" ht="15.75" customHeight="1">
      <c r="A551" s="714"/>
      <c r="B551" s="714"/>
      <c r="C551" s="715"/>
      <c r="D551" s="715"/>
      <c r="E551" s="715"/>
      <c r="F551" s="714"/>
      <c r="G551" s="714"/>
      <c r="H551" s="714"/>
      <c r="I551" s="716"/>
      <c r="J551" s="716"/>
      <c r="K551" s="716"/>
      <c r="L551" s="653" t="str">
        <f t="shared" si="524"/>
        <v>0</v>
      </c>
      <c r="M551" s="654">
        <f t="shared" si="520"/>
        <v>0</v>
      </c>
      <c r="N551" s="655">
        <f>+IF(OR($Q551=Parametres!$G$2,$Q551=Parametres!$G$3),I551,C551)</f>
        <v>0</v>
      </c>
      <c r="O551" s="655">
        <f>+IF(OR($Q551=Parametres!$G$2,$Q551=Parametres!$G$3),J551,D551)</f>
        <v>0</v>
      </c>
      <c r="P551" s="655">
        <f>+IF(OR($Q551=Parametres!$G$2,$Q551=Parametres!$G$3),K551,E551)</f>
        <v>0</v>
      </c>
      <c r="Q551" s="654">
        <f t="shared" ref="Q551:S551" si="561">+F551</f>
        <v>0</v>
      </c>
      <c r="R551" s="653">
        <f t="shared" si="561"/>
        <v>0</v>
      </c>
      <c r="S551" s="654">
        <f t="shared" si="561"/>
        <v>0</v>
      </c>
      <c r="T551" s="656" t="e">
        <f>+VLOOKUP($L551,Data_Validation!$A:$D,1,0)</f>
        <v>#N/A</v>
      </c>
      <c r="U551" s="656" t="e">
        <f>+VLOOKUP($L551,Data_Validation!$A:$D,3,0)</f>
        <v>#N/A</v>
      </c>
      <c r="V551" s="656" t="e">
        <f>+VLOOKUP($L551,Data_Validation!$A:$D,4,0)</f>
        <v>#N/A</v>
      </c>
      <c r="W551" s="656" t="e">
        <f>+VLOOKUP($L551,Data_Validation!$A:$E,5,0)</f>
        <v>#N/A</v>
      </c>
      <c r="X551" s="656" t="e">
        <f>+VLOOKUP($L551,Data_Validation!$A:$F,6,0)</f>
        <v>#N/A</v>
      </c>
    </row>
    <row r="552" spans="1:24" ht="15" customHeight="1">
      <c r="A552" s="714"/>
      <c r="B552" s="714"/>
      <c r="C552" s="715"/>
      <c r="D552" s="715"/>
      <c r="E552" s="715"/>
      <c r="F552" s="714"/>
      <c r="G552" s="714"/>
      <c r="H552" s="714"/>
      <c r="I552" s="716"/>
      <c r="J552" s="716"/>
      <c r="K552" s="716"/>
      <c r="L552" s="653" t="str">
        <f t="shared" si="524"/>
        <v>0</v>
      </c>
      <c r="M552" s="654">
        <f t="shared" si="520"/>
        <v>0</v>
      </c>
      <c r="N552" s="655">
        <f>+IF(OR($Q552=Parametres!$G$2,$Q552=Parametres!$G$3),I552,C552)</f>
        <v>0</v>
      </c>
      <c r="O552" s="655">
        <f>+IF(OR($Q552=Parametres!$G$2,$Q552=Parametres!$G$3),J552,D552)</f>
        <v>0</v>
      </c>
      <c r="P552" s="655">
        <f>+IF(OR($Q552=Parametres!$G$2,$Q552=Parametres!$G$3),K552,E552)</f>
        <v>0</v>
      </c>
      <c r="Q552" s="654">
        <f t="shared" ref="Q552:S552" si="562">+F552</f>
        <v>0</v>
      </c>
      <c r="R552" s="653">
        <f t="shared" si="562"/>
        <v>0</v>
      </c>
      <c r="S552" s="654">
        <f t="shared" si="562"/>
        <v>0</v>
      </c>
      <c r="T552" s="656" t="e">
        <f>+VLOOKUP($L552,Data_Validation!$A:$D,1,0)</f>
        <v>#N/A</v>
      </c>
      <c r="U552" s="656" t="e">
        <f>+VLOOKUP($L552,Data_Validation!$A:$D,3,0)</f>
        <v>#N/A</v>
      </c>
      <c r="V552" s="656" t="e">
        <f>+VLOOKUP($L552,Data_Validation!$A:$D,4,0)</f>
        <v>#N/A</v>
      </c>
      <c r="W552" s="656" t="e">
        <f>+VLOOKUP($L552,Data_Validation!$A:$E,5,0)</f>
        <v>#N/A</v>
      </c>
      <c r="X552" s="656" t="e">
        <f>+VLOOKUP($L552,Data_Validation!$A:$F,6,0)</f>
        <v>#N/A</v>
      </c>
    </row>
    <row r="553" spans="1:24" ht="15" customHeight="1">
      <c r="A553" s="714"/>
      <c r="B553" s="714"/>
      <c r="C553" s="715"/>
      <c r="D553" s="715"/>
      <c r="E553" s="715"/>
      <c r="F553" s="714"/>
      <c r="G553" s="714"/>
      <c r="H553" s="714"/>
      <c r="I553" s="716"/>
      <c r="J553" s="716"/>
      <c r="K553" s="716"/>
      <c r="L553" s="653" t="str">
        <f t="shared" si="524"/>
        <v>0</v>
      </c>
      <c r="M553" s="654">
        <f t="shared" si="520"/>
        <v>0</v>
      </c>
      <c r="N553" s="655">
        <f>+IF(OR($Q553=Parametres!$G$2,$Q553=Parametres!$G$3),I553,C553)</f>
        <v>0</v>
      </c>
      <c r="O553" s="655">
        <f>+IF(OR($Q553=Parametres!$G$2,$Q553=Parametres!$G$3),J553,D553)</f>
        <v>0</v>
      </c>
      <c r="P553" s="655">
        <f>+IF(OR($Q553=Parametres!$G$2,$Q553=Parametres!$G$3),K553,E553)</f>
        <v>0</v>
      </c>
      <c r="Q553" s="654">
        <f t="shared" ref="Q553:S553" si="563">+F553</f>
        <v>0</v>
      </c>
      <c r="R553" s="653">
        <f t="shared" si="563"/>
        <v>0</v>
      </c>
      <c r="S553" s="654">
        <f t="shared" si="563"/>
        <v>0</v>
      </c>
      <c r="T553" s="656" t="e">
        <f>+VLOOKUP($L553,Data_Validation!$A:$D,1,0)</f>
        <v>#N/A</v>
      </c>
      <c r="U553" s="656" t="e">
        <f>+VLOOKUP($L553,Data_Validation!$A:$D,3,0)</f>
        <v>#N/A</v>
      </c>
      <c r="V553" s="656" t="e">
        <f>+VLOOKUP($L553,Data_Validation!$A:$D,4,0)</f>
        <v>#N/A</v>
      </c>
      <c r="W553" s="656" t="e">
        <f>+VLOOKUP($L553,Data_Validation!$A:$E,5,0)</f>
        <v>#N/A</v>
      </c>
      <c r="X553" s="656" t="e">
        <f>+VLOOKUP($L553,Data_Validation!$A:$F,6,0)</f>
        <v>#N/A</v>
      </c>
    </row>
    <row r="554" spans="1:24" ht="15" customHeight="1">
      <c r="A554" s="714"/>
      <c r="B554" s="714"/>
      <c r="C554" s="715"/>
      <c r="D554" s="715"/>
      <c r="E554" s="715"/>
      <c r="F554" s="714"/>
      <c r="G554" s="714"/>
      <c r="H554" s="714"/>
      <c r="I554" s="716"/>
      <c r="J554" s="716"/>
      <c r="K554" s="716"/>
      <c r="L554" s="653" t="str">
        <f t="shared" si="524"/>
        <v>0</v>
      </c>
      <c r="M554" s="654">
        <f t="shared" si="520"/>
        <v>0</v>
      </c>
      <c r="N554" s="655">
        <f>+IF(OR($Q554=Parametres!$G$2,$Q554=Parametres!$G$3),I554,C554)</f>
        <v>0</v>
      </c>
      <c r="O554" s="655">
        <f>+IF(OR($Q554=Parametres!$G$2,$Q554=Parametres!$G$3),J554,D554)</f>
        <v>0</v>
      </c>
      <c r="P554" s="655">
        <f>+IF(OR($Q554=Parametres!$G$2,$Q554=Parametres!$G$3),K554,E554)</f>
        <v>0</v>
      </c>
      <c r="Q554" s="654">
        <f t="shared" ref="Q554:S554" si="564">+F554</f>
        <v>0</v>
      </c>
      <c r="R554" s="653">
        <f t="shared" si="564"/>
        <v>0</v>
      </c>
      <c r="S554" s="654">
        <f t="shared" si="564"/>
        <v>0</v>
      </c>
      <c r="T554" s="656" t="e">
        <f>+VLOOKUP($L554,Data_Validation!$A:$D,1,0)</f>
        <v>#N/A</v>
      </c>
      <c r="U554" s="656" t="e">
        <f>+VLOOKUP($L554,Data_Validation!$A:$D,3,0)</f>
        <v>#N/A</v>
      </c>
      <c r="V554" s="656" t="e">
        <f>+VLOOKUP($L554,Data_Validation!$A:$D,4,0)</f>
        <v>#N/A</v>
      </c>
      <c r="W554" s="656" t="e">
        <f>+VLOOKUP($L554,Data_Validation!$A:$E,5,0)</f>
        <v>#N/A</v>
      </c>
      <c r="X554" s="656" t="e">
        <f>+VLOOKUP($L554,Data_Validation!$A:$F,6,0)</f>
        <v>#N/A</v>
      </c>
    </row>
    <row r="555" spans="1:24" ht="15.75" customHeight="1">
      <c r="A555" s="714"/>
      <c r="B555" s="714"/>
      <c r="C555" s="715"/>
      <c r="D555" s="715"/>
      <c r="E555" s="715"/>
      <c r="F555" s="714"/>
      <c r="G555" s="714"/>
      <c r="H555" s="714"/>
      <c r="I555" s="716"/>
      <c r="J555" s="716"/>
      <c r="K555" s="716"/>
      <c r="L555" s="653" t="str">
        <f t="shared" si="524"/>
        <v>0</v>
      </c>
      <c r="M555" s="654">
        <f t="shared" si="520"/>
        <v>0</v>
      </c>
      <c r="N555" s="655">
        <f>+IF(OR($Q555=Parametres!$G$2,$Q555=Parametres!$G$3),I555,C555)</f>
        <v>0</v>
      </c>
      <c r="O555" s="655">
        <f>+IF(OR($Q555=Parametres!$G$2,$Q555=Parametres!$G$3),J555,D555)</f>
        <v>0</v>
      </c>
      <c r="P555" s="655">
        <f>+IF(OR($Q555=Parametres!$G$2,$Q555=Parametres!$G$3),K555,E555)</f>
        <v>0</v>
      </c>
      <c r="Q555" s="654">
        <f t="shared" ref="Q555:S555" si="565">+F555</f>
        <v>0</v>
      </c>
      <c r="R555" s="653">
        <f t="shared" si="565"/>
        <v>0</v>
      </c>
      <c r="S555" s="654">
        <f t="shared" si="565"/>
        <v>0</v>
      </c>
      <c r="T555" s="656" t="e">
        <f>+VLOOKUP($L555,Data_Validation!$A:$D,1,0)</f>
        <v>#N/A</v>
      </c>
      <c r="U555" s="656" t="e">
        <f>+VLOOKUP($L555,Data_Validation!$A:$D,3,0)</f>
        <v>#N/A</v>
      </c>
      <c r="V555" s="656" t="e">
        <f>+VLOOKUP($L555,Data_Validation!$A:$D,4,0)</f>
        <v>#N/A</v>
      </c>
      <c r="W555" s="656" t="e">
        <f>+VLOOKUP($L555,Data_Validation!$A:$E,5,0)</f>
        <v>#N/A</v>
      </c>
      <c r="X555" s="656" t="e">
        <f>+VLOOKUP($L555,Data_Validation!$A:$F,6,0)</f>
        <v>#N/A</v>
      </c>
    </row>
    <row r="556" spans="1:24" ht="15" customHeight="1">
      <c r="A556" s="714"/>
      <c r="B556" s="714"/>
      <c r="C556" s="715"/>
      <c r="D556" s="715"/>
      <c r="E556" s="715"/>
      <c r="F556" s="714"/>
      <c r="G556" s="714"/>
      <c r="H556" s="714"/>
      <c r="I556" s="716"/>
      <c r="J556" s="716"/>
      <c r="K556" s="716"/>
      <c r="L556" s="653" t="str">
        <f t="shared" si="524"/>
        <v>0</v>
      </c>
      <c r="M556" s="654">
        <f t="shared" si="520"/>
        <v>0</v>
      </c>
      <c r="N556" s="655">
        <f>+IF(OR($Q556=Parametres!$G$2,$Q556=Parametres!$G$3),I556,C556)</f>
        <v>0</v>
      </c>
      <c r="O556" s="655">
        <f>+IF(OR($Q556=Parametres!$G$2,$Q556=Parametres!$G$3),J556,D556)</f>
        <v>0</v>
      </c>
      <c r="P556" s="655">
        <f>+IF(OR($Q556=Parametres!$G$2,$Q556=Parametres!$G$3),K556,E556)</f>
        <v>0</v>
      </c>
      <c r="Q556" s="654">
        <f t="shared" ref="Q556:S556" si="566">+F556</f>
        <v>0</v>
      </c>
      <c r="R556" s="653">
        <f t="shared" si="566"/>
        <v>0</v>
      </c>
      <c r="S556" s="654">
        <f t="shared" si="566"/>
        <v>0</v>
      </c>
      <c r="T556" s="656" t="e">
        <f>+VLOOKUP($L556,Data_Validation!$A:$D,1,0)</f>
        <v>#N/A</v>
      </c>
      <c r="U556" s="656" t="e">
        <f>+VLOOKUP($L556,Data_Validation!$A:$D,3,0)</f>
        <v>#N/A</v>
      </c>
      <c r="V556" s="656" t="e">
        <f>+VLOOKUP($L556,Data_Validation!$A:$D,4,0)</f>
        <v>#N/A</v>
      </c>
      <c r="W556" s="656" t="e">
        <f>+VLOOKUP($L556,Data_Validation!$A:$E,5,0)</f>
        <v>#N/A</v>
      </c>
      <c r="X556" s="656" t="e">
        <f>+VLOOKUP($L556,Data_Validation!$A:$F,6,0)</f>
        <v>#N/A</v>
      </c>
    </row>
    <row r="557" spans="1:24" ht="15" customHeight="1">
      <c r="A557" s="714"/>
      <c r="B557" s="714"/>
      <c r="C557" s="715"/>
      <c r="D557" s="715"/>
      <c r="E557" s="715"/>
      <c r="F557" s="714"/>
      <c r="G557" s="714"/>
      <c r="H557" s="714"/>
      <c r="I557" s="716"/>
      <c r="J557" s="716"/>
      <c r="K557" s="716"/>
      <c r="L557" s="653" t="str">
        <f t="shared" si="524"/>
        <v>0</v>
      </c>
      <c r="M557" s="654">
        <f t="shared" si="520"/>
        <v>0</v>
      </c>
      <c r="N557" s="655">
        <f>+IF(OR($Q557=Parametres!$G$2,$Q557=Parametres!$G$3),I557,C557)</f>
        <v>0</v>
      </c>
      <c r="O557" s="655">
        <f>+IF(OR($Q557=Parametres!$G$2,$Q557=Parametres!$G$3),J557,D557)</f>
        <v>0</v>
      </c>
      <c r="P557" s="655">
        <f>+IF(OR($Q557=Parametres!$G$2,$Q557=Parametres!$G$3),K557,E557)</f>
        <v>0</v>
      </c>
      <c r="Q557" s="654">
        <f t="shared" ref="Q557:S557" si="567">+F557</f>
        <v>0</v>
      </c>
      <c r="R557" s="653">
        <f t="shared" si="567"/>
        <v>0</v>
      </c>
      <c r="S557" s="654">
        <f t="shared" si="567"/>
        <v>0</v>
      </c>
      <c r="T557" s="656" t="e">
        <f>+VLOOKUP($L557,Data_Validation!$A:$D,1,0)</f>
        <v>#N/A</v>
      </c>
      <c r="U557" s="656" t="e">
        <f>+VLOOKUP($L557,Data_Validation!$A:$D,3,0)</f>
        <v>#N/A</v>
      </c>
      <c r="V557" s="656" t="e">
        <f>+VLOOKUP($L557,Data_Validation!$A:$D,4,0)</f>
        <v>#N/A</v>
      </c>
      <c r="W557" s="656" t="e">
        <f>+VLOOKUP($L557,Data_Validation!$A:$E,5,0)</f>
        <v>#N/A</v>
      </c>
      <c r="X557" s="656" t="e">
        <f>+VLOOKUP($L557,Data_Validation!$A:$F,6,0)</f>
        <v>#N/A</v>
      </c>
    </row>
    <row r="558" spans="1:24" ht="15" customHeight="1">
      <c r="A558" s="714"/>
      <c r="B558" s="714"/>
      <c r="C558" s="715"/>
      <c r="D558" s="715"/>
      <c r="E558" s="715"/>
      <c r="F558" s="714"/>
      <c r="G558" s="714"/>
      <c r="H558" s="714"/>
      <c r="I558" s="716"/>
      <c r="J558" s="716"/>
      <c r="K558" s="716"/>
      <c r="L558" s="653" t="str">
        <f t="shared" si="524"/>
        <v>0</v>
      </c>
      <c r="M558" s="654">
        <f t="shared" si="520"/>
        <v>0</v>
      </c>
      <c r="N558" s="655">
        <f>+IF(OR($Q558=Parametres!$G$2,$Q558=Parametres!$G$3),I558,C558)</f>
        <v>0</v>
      </c>
      <c r="O558" s="655">
        <f>+IF(OR($Q558=Parametres!$G$2,$Q558=Parametres!$G$3),J558,D558)</f>
        <v>0</v>
      </c>
      <c r="P558" s="655">
        <f>+IF(OR($Q558=Parametres!$G$2,$Q558=Parametres!$G$3),K558,E558)</f>
        <v>0</v>
      </c>
      <c r="Q558" s="654">
        <f t="shared" ref="Q558:S558" si="568">+F558</f>
        <v>0</v>
      </c>
      <c r="R558" s="653">
        <f t="shared" si="568"/>
        <v>0</v>
      </c>
      <c r="S558" s="654">
        <f t="shared" si="568"/>
        <v>0</v>
      </c>
      <c r="T558" s="656" t="e">
        <f>+VLOOKUP($L558,Data_Validation!$A:$D,1,0)</f>
        <v>#N/A</v>
      </c>
      <c r="U558" s="656" t="e">
        <f>+VLOOKUP($L558,Data_Validation!$A:$D,3,0)</f>
        <v>#N/A</v>
      </c>
      <c r="V558" s="656" t="e">
        <f>+VLOOKUP($L558,Data_Validation!$A:$D,4,0)</f>
        <v>#N/A</v>
      </c>
      <c r="W558" s="656" t="e">
        <f>+VLOOKUP($L558,Data_Validation!$A:$E,5,0)</f>
        <v>#N/A</v>
      </c>
      <c r="X558" s="656" t="e">
        <f>+VLOOKUP($L558,Data_Validation!$A:$F,6,0)</f>
        <v>#N/A</v>
      </c>
    </row>
    <row r="559" spans="1:24" ht="15.75" customHeight="1">
      <c r="A559" s="714"/>
      <c r="B559" s="714"/>
      <c r="C559" s="715"/>
      <c r="D559" s="715"/>
      <c r="E559" s="715"/>
      <c r="F559" s="714"/>
      <c r="G559" s="714"/>
      <c r="H559" s="714"/>
      <c r="I559" s="716"/>
      <c r="J559" s="716"/>
      <c r="K559" s="716"/>
      <c r="L559" s="653" t="str">
        <f t="shared" si="524"/>
        <v>0</v>
      </c>
      <c r="M559" s="654">
        <f t="shared" si="520"/>
        <v>0</v>
      </c>
      <c r="N559" s="655">
        <f>+IF(OR($Q559=Parametres!$G$2,$Q559=Parametres!$G$3),I559,C559)</f>
        <v>0</v>
      </c>
      <c r="O559" s="655">
        <f>+IF(OR($Q559=Parametres!$G$2,$Q559=Parametres!$G$3),J559,D559)</f>
        <v>0</v>
      </c>
      <c r="P559" s="655">
        <f>+IF(OR($Q559=Parametres!$G$2,$Q559=Parametres!$G$3),K559,E559)</f>
        <v>0</v>
      </c>
      <c r="Q559" s="654">
        <f t="shared" ref="Q559:S559" si="569">+F559</f>
        <v>0</v>
      </c>
      <c r="R559" s="653">
        <f t="shared" si="569"/>
        <v>0</v>
      </c>
      <c r="S559" s="654">
        <f t="shared" si="569"/>
        <v>0</v>
      </c>
      <c r="T559" s="656" t="e">
        <f>+VLOOKUP($L559,Data_Validation!$A:$D,1,0)</f>
        <v>#N/A</v>
      </c>
      <c r="U559" s="656" t="e">
        <f>+VLOOKUP($L559,Data_Validation!$A:$D,3,0)</f>
        <v>#N/A</v>
      </c>
      <c r="V559" s="656" t="e">
        <f>+VLOOKUP($L559,Data_Validation!$A:$D,4,0)</f>
        <v>#N/A</v>
      </c>
      <c r="W559" s="656" t="e">
        <f>+VLOOKUP($L559,Data_Validation!$A:$E,5,0)</f>
        <v>#N/A</v>
      </c>
      <c r="X559" s="656" t="e">
        <f>+VLOOKUP($L559,Data_Validation!$A:$F,6,0)</f>
        <v>#N/A</v>
      </c>
    </row>
    <row r="560" spans="1:24" ht="15" customHeight="1">
      <c r="A560" s="714"/>
      <c r="B560" s="714"/>
      <c r="C560" s="715"/>
      <c r="D560" s="715"/>
      <c r="E560" s="715"/>
      <c r="F560" s="714"/>
      <c r="G560" s="714"/>
      <c r="H560" s="714"/>
      <c r="I560" s="716"/>
      <c r="J560" s="716"/>
      <c r="K560" s="716"/>
      <c r="L560" s="653" t="str">
        <f t="shared" si="524"/>
        <v>0</v>
      </c>
      <c r="M560" s="654">
        <f t="shared" si="520"/>
        <v>0</v>
      </c>
      <c r="N560" s="655">
        <f>+IF(OR($Q560=Parametres!$G$2,$Q560=Parametres!$G$3),I560,C560)</f>
        <v>0</v>
      </c>
      <c r="O560" s="655">
        <f>+IF(OR($Q560=Parametres!$G$2,$Q560=Parametres!$G$3),J560,D560)</f>
        <v>0</v>
      </c>
      <c r="P560" s="655">
        <f>+IF(OR($Q560=Parametres!$G$2,$Q560=Parametres!$G$3),K560,E560)</f>
        <v>0</v>
      </c>
      <c r="Q560" s="654">
        <f t="shared" ref="Q560:S560" si="570">+F560</f>
        <v>0</v>
      </c>
      <c r="R560" s="653">
        <f t="shared" si="570"/>
        <v>0</v>
      </c>
      <c r="S560" s="654">
        <f t="shared" si="570"/>
        <v>0</v>
      </c>
      <c r="T560" s="656" t="e">
        <f>+VLOOKUP($L560,Data_Validation!$A:$D,1,0)</f>
        <v>#N/A</v>
      </c>
      <c r="U560" s="656" t="e">
        <f>+VLOOKUP($L560,Data_Validation!$A:$D,3,0)</f>
        <v>#N/A</v>
      </c>
      <c r="V560" s="656" t="e">
        <f>+VLOOKUP($L560,Data_Validation!$A:$D,4,0)</f>
        <v>#N/A</v>
      </c>
      <c r="W560" s="656" t="e">
        <f>+VLOOKUP($L560,Data_Validation!$A:$E,5,0)</f>
        <v>#N/A</v>
      </c>
      <c r="X560" s="656" t="e">
        <f>+VLOOKUP($L560,Data_Validation!$A:$F,6,0)</f>
        <v>#N/A</v>
      </c>
    </row>
    <row r="561" spans="1:24" ht="15" customHeight="1">
      <c r="A561" s="714"/>
      <c r="B561" s="714"/>
      <c r="C561" s="715"/>
      <c r="D561" s="715"/>
      <c r="E561" s="715"/>
      <c r="F561" s="714"/>
      <c r="G561" s="714"/>
      <c r="H561" s="714"/>
      <c r="I561" s="716"/>
      <c r="J561" s="716"/>
      <c r="K561" s="716"/>
      <c r="L561" s="653" t="str">
        <f t="shared" si="524"/>
        <v>0</v>
      </c>
      <c r="M561" s="654">
        <f t="shared" si="520"/>
        <v>0</v>
      </c>
      <c r="N561" s="655">
        <f>+IF(OR($Q561=Parametres!$G$2,$Q561=Parametres!$G$3),I561,C561)</f>
        <v>0</v>
      </c>
      <c r="O561" s="655">
        <f>+IF(OR($Q561=Parametres!$G$2,$Q561=Parametres!$G$3),J561,D561)</f>
        <v>0</v>
      </c>
      <c r="P561" s="655">
        <f>+IF(OR($Q561=Parametres!$G$2,$Q561=Parametres!$G$3),K561,E561)</f>
        <v>0</v>
      </c>
      <c r="Q561" s="654">
        <f t="shared" ref="Q561:S561" si="571">+F561</f>
        <v>0</v>
      </c>
      <c r="R561" s="653">
        <f t="shared" si="571"/>
        <v>0</v>
      </c>
      <c r="S561" s="654">
        <f t="shared" si="571"/>
        <v>0</v>
      </c>
      <c r="T561" s="656" t="e">
        <f>+VLOOKUP($L561,Data_Validation!$A:$D,1,0)</f>
        <v>#N/A</v>
      </c>
      <c r="U561" s="656" t="e">
        <f>+VLOOKUP($L561,Data_Validation!$A:$D,3,0)</f>
        <v>#N/A</v>
      </c>
      <c r="V561" s="656" t="e">
        <f>+VLOOKUP($L561,Data_Validation!$A:$D,4,0)</f>
        <v>#N/A</v>
      </c>
      <c r="W561" s="656" t="e">
        <f>+VLOOKUP($L561,Data_Validation!$A:$E,5,0)</f>
        <v>#N/A</v>
      </c>
      <c r="X561" s="656" t="e">
        <f>+VLOOKUP($L561,Data_Validation!$A:$F,6,0)</f>
        <v>#N/A</v>
      </c>
    </row>
    <row r="562" spans="1:24" ht="15" customHeight="1">
      <c r="A562" s="714"/>
      <c r="B562" s="714"/>
      <c r="C562" s="715"/>
      <c r="D562" s="715"/>
      <c r="E562" s="715"/>
      <c r="F562" s="714"/>
      <c r="G562" s="714"/>
      <c r="H562" s="714"/>
      <c r="I562" s="716"/>
      <c r="J562" s="716"/>
      <c r="K562" s="716"/>
      <c r="L562" s="653" t="str">
        <f t="shared" si="524"/>
        <v>0</v>
      </c>
      <c r="M562" s="654">
        <f t="shared" si="520"/>
        <v>0</v>
      </c>
      <c r="N562" s="655">
        <f>+IF(OR($Q562=Parametres!$G$2,$Q562=Parametres!$G$3),I562,C562)</f>
        <v>0</v>
      </c>
      <c r="O562" s="655">
        <f>+IF(OR($Q562=Parametres!$G$2,$Q562=Parametres!$G$3),J562,D562)</f>
        <v>0</v>
      </c>
      <c r="P562" s="655">
        <f>+IF(OR($Q562=Parametres!$G$2,$Q562=Parametres!$G$3),K562,E562)</f>
        <v>0</v>
      </c>
      <c r="Q562" s="654">
        <f t="shared" ref="Q562:S562" si="572">+F562</f>
        <v>0</v>
      </c>
      <c r="R562" s="653">
        <f t="shared" si="572"/>
        <v>0</v>
      </c>
      <c r="S562" s="654">
        <f t="shared" si="572"/>
        <v>0</v>
      </c>
      <c r="T562" s="656" t="e">
        <f>+VLOOKUP($L562,Data_Validation!$A:$D,1,0)</f>
        <v>#N/A</v>
      </c>
      <c r="U562" s="656" t="e">
        <f>+VLOOKUP($L562,Data_Validation!$A:$D,3,0)</f>
        <v>#N/A</v>
      </c>
      <c r="V562" s="656" t="e">
        <f>+VLOOKUP($L562,Data_Validation!$A:$D,4,0)</f>
        <v>#N/A</v>
      </c>
      <c r="W562" s="656" t="e">
        <f>+VLOOKUP($L562,Data_Validation!$A:$E,5,0)</f>
        <v>#N/A</v>
      </c>
      <c r="X562" s="656" t="e">
        <f>+VLOOKUP($L562,Data_Validation!$A:$F,6,0)</f>
        <v>#N/A</v>
      </c>
    </row>
    <row r="563" spans="1:24" ht="15.75" customHeight="1">
      <c r="A563" s="714"/>
      <c r="B563" s="714"/>
      <c r="C563" s="715"/>
      <c r="D563" s="715"/>
      <c r="E563" s="715"/>
      <c r="F563" s="714"/>
      <c r="G563" s="714"/>
      <c r="H563" s="714"/>
      <c r="I563" s="716"/>
      <c r="J563" s="716"/>
      <c r="K563" s="716"/>
      <c r="L563" s="653" t="str">
        <f t="shared" si="524"/>
        <v>0</v>
      </c>
      <c r="M563" s="654">
        <f t="shared" si="520"/>
        <v>0</v>
      </c>
      <c r="N563" s="655">
        <f>+IF(OR($Q563=Parametres!$G$2,$Q563=Parametres!$G$3),I563,C563)</f>
        <v>0</v>
      </c>
      <c r="O563" s="655">
        <f>+IF(OR($Q563=Parametres!$G$2,$Q563=Parametres!$G$3),J563,D563)</f>
        <v>0</v>
      </c>
      <c r="P563" s="655">
        <f>+IF(OR($Q563=Parametres!$G$2,$Q563=Parametres!$G$3),K563,E563)</f>
        <v>0</v>
      </c>
      <c r="Q563" s="654">
        <f t="shared" ref="Q563:S563" si="573">+F563</f>
        <v>0</v>
      </c>
      <c r="R563" s="653">
        <f t="shared" si="573"/>
        <v>0</v>
      </c>
      <c r="S563" s="654">
        <f t="shared" si="573"/>
        <v>0</v>
      </c>
      <c r="T563" s="656" t="e">
        <f>+VLOOKUP($L563,Data_Validation!$A:$D,1,0)</f>
        <v>#N/A</v>
      </c>
      <c r="U563" s="656" t="e">
        <f>+VLOOKUP($L563,Data_Validation!$A:$D,3,0)</f>
        <v>#N/A</v>
      </c>
      <c r="V563" s="656" t="e">
        <f>+VLOOKUP($L563,Data_Validation!$A:$D,4,0)</f>
        <v>#N/A</v>
      </c>
      <c r="W563" s="656" t="e">
        <f>+VLOOKUP($L563,Data_Validation!$A:$E,5,0)</f>
        <v>#N/A</v>
      </c>
      <c r="X563" s="656" t="e">
        <f>+VLOOKUP($L563,Data_Validation!$A:$F,6,0)</f>
        <v>#N/A</v>
      </c>
    </row>
    <row r="564" spans="1:24" ht="15" customHeight="1">
      <c r="A564" s="714"/>
      <c r="B564" s="714"/>
      <c r="C564" s="715"/>
      <c r="D564" s="715"/>
      <c r="E564" s="715"/>
      <c r="F564" s="714"/>
      <c r="G564" s="714"/>
      <c r="H564" s="714"/>
      <c r="I564" s="716"/>
      <c r="J564" s="716"/>
      <c r="K564" s="716"/>
      <c r="L564" s="653" t="str">
        <f t="shared" si="524"/>
        <v>0</v>
      </c>
      <c r="M564" s="654">
        <f t="shared" si="520"/>
        <v>0</v>
      </c>
      <c r="N564" s="655">
        <f>+IF(OR($Q564=Parametres!$G$2,$Q564=Parametres!$G$3),I564,C564)</f>
        <v>0</v>
      </c>
      <c r="O564" s="655">
        <f>+IF(OR($Q564=Parametres!$G$2,$Q564=Parametres!$G$3),J564,D564)</f>
        <v>0</v>
      </c>
      <c r="P564" s="655">
        <f>+IF(OR($Q564=Parametres!$G$2,$Q564=Parametres!$G$3),K564,E564)</f>
        <v>0</v>
      </c>
      <c r="Q564" s="654">
        <f t="shared" ref="Q564:S564" si="574">+F564</f>
        <v>0</v>
      </c>
      <c r="R564" s="653">
        <f t="shared" si="574"/>
        <v>0</v>
      </c>
      <c r="S564" s="654">
        <f t="shared" si="574"/>
        <v>0</v>
      </c>
      <c r="T564" s="656" t="e">
        <f>+VLOOKUP($L564,Data_Validation!$A:$D,1,0)</f>
        <v>#N/A</v>
      </c>
      <c r="U564" s="656" t="e">
        <f>+VLOOKUP($L564,Data_Validation!$A:$D,3,0)</f>
        <v>#N/A</v>
      </c>
      <c r="V564" s="656" t="e">
        <f>+VLOOKUP($L564,Data_Validation!$A:$D,4,0)</f>
        <v>#N/A</v>
      </c>
      <c r="W564" s="656" t="e">
        <f>+VLOOKUP($L564,Data_Validation!$A:$E,5,0)</f>
        <v>#N/A</v>
      </c>
      <c r="X564" s="656" t="e">
        <f>+VLOOKUP($L564,Data_Validation!$A:$F,6,0)</f>
        <v>#N/A</v>
      </c>
    </row>
    <row r="565" spans="1:24" ht="15" customHeight="1">
      <c r="A565" s="714"/>
      <c r="B565" s="714"/>
      <c r="C565" s="715"/>
      <c r="D565" s="715"/>
      <c r="E565" s="715"/>
      <c r="F565" s="714"/>
      <c r="G565" s="714"/>
      <c r="H565" s="714"/>
      <c r="I565" s="716"/>
      <c r="J565" s="716"/>
      <c r="K565" s="716"/>
      <c r="L565" s="653" t="str">
        <f t="shared" si="524"/>
        <v>0</v>
      </c>
      <c r="M565" s="654">
        <f t="shared" si="520"/>
        <v>0</v>
      </c>
      <c r="N565" s="655">
        <f>+IF(OR($Q565=Parametres!$G$2,$Q565=Parametres!$G$3),I565,C565)</f>
        <v>0</v>
      </c>
      <c r="O565" s="655">
        <f>+IF(OR($Q565=Parametres!$G$2,$Q565=Parametres!$G$3),J565,D565)</f>
        <v>0</v>
      </c>
      <c r="P565" s="655">
        <f>+IF(OR($Q565=Parametres!$G$2,$Q565=Parametres!$G$3),K565,E565)</f>
        <v>0</v>
      </c>
      <c r="Q565" s="654">
        <f t="shared" ref="Q565:S565" si="575">+F565</f>
        <v>0</v>
      </c>
      <c r="R565" s="653">
        <f t="shared" si="575"/>
        <v>0</v>
      </c>
      <c r="S565" s="654">
        <f t="shared" si="575"/>
        <v>0</v>
      </c>
      <c r="T565" s="656" t="e">
        <f>+VLOOKUP($L565,Data_Validation!$A:$D,1,0)</f>
        <v>#N/A</v>
      </c>
      <c r="U565" s="656" t="e">
        <f>+VLOOKUP($L565,Data_Validation!$A:$D,3,0)</f>
        <v>#N/A</v>
      </c>
      <c r="V565" s="656" t="e">
        <f>+VLOOKUP($L565,Data_Validation!$A:$D,4,0)</f>
        <v>#N/A</v>
      </c>
      <c r="W565" s="656" t="e">
        <f>+VLOOKUP($L565,Data_Validation!$A:$E,5,0)</f>
        <v>#N/A</v>
      </c>
      <c r="X565" s="656" t="e">
        <f>+VLOOKUP($L565,Data_Validation!$A:$F,6,0)</f>
        <v>#N/A</v>
      </c>
    </row>
    <row r="566" spans="1:24" ht="15" customHeight="1">
      <c r="A566" s="714"/>
      <c r="B566" s="714"/>
      <c r="C566" s="715"/>
      <c r="D566" s="715"/>
      <c r="E566" s="715"/>
      <c r="F566" s="714"/>
      <c r="G566" s="714"/>
      <c r="H566" s="714"/>
      <c r="I566" s="716"/>
      <c r="J566" s="716"/>
      <c r="K566" s="716"/>
      <c r="L566" s="653" t="str">
        <f t="shared" si="524"/>
        <v>0</v>
      </c>
      <c r="M566" s="654">
        <f t="shared" si="520"/>
        <v>0</v>
      </c>
      <c r="N566" s="655">
        <f>+IF(OR($Q566=Parametres!$G$2,$Q566=Parametres!$G$3),I566,C566)</f>
        <v>0</v>
      </c>
      <c r="O566" s="655">
        <f>+IF(OR($Q566=Parametres!$G$2,$Q566=Parametres!$G$3),J566,D566)</f>
        <v>0</v>
      </c>
      <c r="P566" s="655">
        <f>+IF(OR($Q566=Parametres!$G$2,$Q566=Parametres!$G$3),K566,E566)</f>
        <v>0</v>
      </c>
      <c r="Q566" s="654">
        <f t="shared" ref="Q566:S566" si="576">+F566</f>
        <v>0</v>
      </c>
      <c r="R566" s="653">
        <f t="shared" si="576"/>
        <v>0</v>
      </c>
      <c r="S566" s="654">
        <f t="shared" si="576"/>
        <v>0</v>
      </c>
      <c r="T566" s="656" t="e">
        <f>+VLOOKUP($L566,Data_Validation!$A:$D,1,0)</f>
        <v>#N/A</v>
      </c>
      <c r="U566" s="656" t="e">
        <f>+VLOOKUP($L566,Data_Validation!$A:$D,3,0)</f>
        <v>#N/A</v>
      </c>
      <c r="V566" s="656" t="e">
        <f>+VLOOKUP($L566,Data_Validation!$A:$D,4,0)</f>
        <v>#N/A</v>
      </c>
      <c r="W566" s="656" t="e">
        <f>+VLOOKUP($L566,Data_Validation!$A:$E,5,0)</f>
        <v>#N/A</v>
      </c>
      <c r="X566" s="656" t="e">
        <f>+VLOOKUP($L566,Data_Validation!$A:$F,6,0)</f>
        <v>#N/A</v>
      </c>
    </row>
    <row r="567" spans="1:24" ht="15.75" customHeight="1">
      <c r="A567" s="714"/>
      <c r="B567" s="714"/>
      <c r="C567" s="715"/>
      <c r="D567" s="715"/>
      <c r="E567" s="715"/>
      <c r="F567" s="714"/>
      <c r="G567" s="714"/>
      <c r="H567" s="714"/>
      <c r="I567" s="716"/>
      <c r="J567" s="716"/>
      <c r="K567" s="716"/>
      <c r="L567" s="653" t="str">
        <f t="shared" si="524"/>
        <v>0</v>
      </c>
      <c r="M567" s="654">
        <f t="shared" si="520"/>
        <v>0</v>
      </c>
      <c r="N567" s="655">
        <f>+IF(OR($Q567=Parametres!$G$2,$Q567=Parametres!$G$3),I567,C567)</f>
        <v>0</v>
      </c>
      <c r="O567" s="655">
        <f>+IF(OR($Q567=Parametres!$G$2,$Q567=Parametres!$G$3),J567,D567)</f>
        <v>0</v>
      </c>
      <c r="P567" s="655">
        <f>+IF(OR($Q567=Parametres!$G$2,$Q567=Parametres!$G$3),K567,E567)</f>
        <v>0</v>
      </c>
      <c r="Q567" s="654">
        <f t="shared" ref="Q567:S567" si="577">+F567</f>
        <v>0</v>
      </c>
      <c r="R567" s="653">
        <f t="shared" si="577"/>
        <v>0</v>
      </c>
      <c r="S567" s="654">
        <f t="shared" si="577"/>
        <v>0</v>
      </c>
      <c r="T567" s="656" t="e">
        <f>+VLOOKUP($L567,Data_Validation!$A:$D,1,0)</f>
        <v>#N/A</v>
      </c>
      <c r="U567" s="656" t="e">
        <f>+VLOOKUP($L567,Data_Validation!$A:$D,3,0)</f>
        <v>#N/A</v>
      </c>
      <c r="V567" s="656" t="e">
        <f>+VLOOKUP($L567,Data_Validation!$A:$D,4,0)</f>
        <v>#N/A</v>
      </c>
      <c r="W567" s="656" t="e">
        <f>+VLOOKUP($L567,Data_Validation!$A:$E,5,0)</f>
        <v>#N/A</v>
      </c>
      <c r="X567" s="656" t="e">
        <f>+VLOOKUP($L567,Data_Validation!$A:$F,6,0)</f>
        <v>#N/A</v>
      </c>
    </row>
    <row r="568" spans="1:24" ht="15" customHeight="1">
      <c r="A568" s="714"/>
      <c r="B568" s="714"/>
      <c r="C568" s="715"/>
      <c r="D568" s="715"/>
      <c r="E568" s="715"/>
      <c r="F568" s="714"/>
      <c r="G568" s="714"/>
      <c r="H568" s="714"/>
      <c r="I568" s="716"/>
      <c r="J568" s="716"/>
      <c r="K568" s="716"/>
      <c r="L568" s="653" t="str">
        <f t="shared" si="524"/>
        <v>0</v>
      </c>
      <c r="M568" s="654">
        <f t="shared" si="520"/>
        <v>0</v>
      </c>
      <c r="N568" s="655">
        <f>+IF(OR($Q568=Parametres!$G$2,$Q568=Parametres!$G$3),I568,C568)</f>
        <v>0</v>
      </c>
      <c r="O568" s="655">
        <f>+IF(OR($Q568=Parametres!$G$2,$Q568=Parametres!$G$3),J568,D568)</f>
        <v>0</v>
      </c>
      <c r="P568" s="655">
        <f>+IF(OR($Q568=Parametres!$G$2,$Q568=Parametres!$G$3),K568,E568)</f>
        <v>0</v>
      </c>
      <c r="Q568" s="654">
        <f t="shared" ref="Q568:S568" si="578">+F568</f>
        <v>0</v>
      </c>
      <c r="R568" s="653">
        <f t="shared" si="578"/>
        <v>0</v>
      </c>
      <c r="S568" s="654">
        <f t="shared" si="578"/>
        <v>0</v>
      </c>
      <c r="T568" s="656" t="e">
        <f>+VLOOKUP($L568,Data_Validation!$A:$D,1,0)</f>
        <v>#N/A</v>
      </c>
      <c r="U568" s="656" t="e">
        <f>+VLOOKUP($L568,Data_Validation!$A:$D,3,0)</f>
        <v>#N/A</v>
      </c>
      <c r="V568" s="656" t="e">
        <f>+VLOOKUP($L568,Data_Validation!$A:$D,4,0)</f>
        <v>#N/A</v>
      </c>
      <c r="W568" s="656" t="e">
        <f>+VLOOKUP($L568,Data_Validation!$A:$E,5,0)</f>
        <v>#N/A</v>
      </c>
      <c r="X568" s="656" t="e">
        <f>+VLOOKUP($L568,Data_Validation!$A:$F,6,0)</f>
        <v>#N/A</v>
      </c>
    </row>
    <row r="569" spans="1:24" ht="15" customHeight="1">
      <c r="A569" s="714"/>
      <c r="B569" s="714"/>
      <c r="C569" s="715"/>
      <c r="D569" s="715"/>
      <c r="E569" s="715"/>
      <c r="F569" s="714"/>
      <c r="G569" s="714"/>
      <c r="H569" s="714"/>
      <c r="I569" s="716"/>
      <c r="J569" s="716"/>
      <c r="K569" s="716"/>
      <c r="L569" s="653" t="str">
        <f t="shared" si="524"/>
        <v>0</v>
      </c>
      <c r="M569" s="654">
        <f t="shared" si="520"/>
        <v>0</v>
      </c>
      <c r="N569" s="655">
        <f>+IF(OR($Q569=Parametres!$G$2,$Q569=Parametres!$G$3),I569,C569)</f>
        <v>0</v>
      </c>
      <c r="O569" s="655">
        <f>+IF(OR($Q569=Parametres!$G$2,$Q569=Parametres!$G$3),J569,D569)</f>
        <v>0</v>
      </c>
      <c r="P569" s="655">
        <f>+IF(OR($Q569=Parametres!$G$2,$Q569=Parametres!$G$3),K569,E569)</f>
        <v>0</v>
      </c>
      <c r="Q569" s="654">
        <f t="shared" ref="Q569:S569" si="579">+F569</f>
        <v>0</v>
      </c>
      <c r="R569" s="653">
        <f t="shared" si="579"/>
        <v>0</v>
      </c>
      <c r="S569" s="654">
        <f t="shared" si="579"/>
        <v>0</v>
      </c>
      <c r="T569" s="656" t="e">
        <f>+VLOOKUP($L569,Data_Validation!$A:$D,1,0)</f>
        <v>#N/A</v>
      </c>
      <c r="U569" s="656" t="e">
        <f>+VLOOKUP($L569,Data_Validation!$A:$D,3,0)</f>
        <v>#N/A</v>
      </c>
      <c r="V569" s="656" t="e">
        <f>+VLOOKUP($L569,Data_Validation!$A:$D,4,0)</f>
        <v>#N/A</v>
      </c>
      <c r="W569" s="656" t="e">
        <f>+VLOOKUP($L569,Data_Validation!$A:$E,5,0)</f>
        <v>#N/A</v>
      </c>
      <c r="X569" s="656" t="e">
        <f>+VLOOKUP($L569,Data_Validation!$A:$F,6,0)</f>
        <v>#N/A</v>
      </c>
    </row>
    <row r="570" spans="1:24" ht="15" customHeight="1">
      <c r="A570" s="714"/>
      <c r="B570" s="714"/>
      <c r="C570" s="715"/>
      <c r="D570" s="715"/>
      <c r="E570" s="715"/>
      <c r="F570" s="714"/>
      <c r="G570" s="714"/>
      <c r="H570" s="714"/>
      <c r="I570" s="716"/>
      <c r="J570" s="716"/>
      <c r="K570" s="716"/>
      <c r="L570" s="653" t="str">
        <f t="shared" si="524"/>
        <v>0</v>
      </c>
      <c r="M570" s="654">
        <f t="shared" si="520"/>
        <v>0</v>
      </c>
      <c r="N570" s="655">
        <f>+IF(OR($Q570=Parametres!$G$2,$Q570=Parametres!$G$3),I570,C570)</f>
        <v>0</v>
      </c>
      <c r="O570" s="655">
        <f>+IF(OR($Q570=Parametres!$G$2,$Q570=Parametres!$G$3),J570,D570)</f>
        <v>0</v>
      </c>
      <c r="P570" s="655">
        <f>+IF(OR($Q570=Parametres!$G$2,$Q570=Parametres!$G$3),K570,E570)</f>
        <v>0</v>
      </c>
      <c r="Q570" s="654">
        <f t="shared" ref="Q570:S570" si="580">+F570</f>
        <v>0</v>
      </c>
      <c r="R570" s="653">
        <f t="shared" si="580"/>
        <v>0</v>
      </c>
      <c r="S570" s="654">
        <f t="shared" si="580"/>
        <v>0</v>
      </c>
      <c r="T570" s="656" t="e">
        <f>+VLOOKUP($L570,Data_Validation!$A:$D,1,0)</f>
        <v>#N/A</v>
      </c>
      <c r="U570" s="656" t="e">
        <f>+VLOOKUP($L570,Data_Validation!$A:$D,3,0)</f>
        <v>#N/A</v>
      </c>
      <c r="V570" s="656" t="e">
        <f>+VLOOKUP($L570,Data_Validation!$A:$D,4,0)</f>
        <v>#N/A</v>
      </c>
      <c r="W570" s="656" t="e">
        <f>+VLOOKUP($L570,Data_Validation!$A:$E,5,0)</f>
        <v>#N/A</v>
      </c>
      <c r="X570" s="656" t="e">
        <f>+VLOOKUP($L570,Data_Validation!$A:$F,6,0)</f>
        <v>#N/A</v>
      </c>
    </row>
    <row r="571" spans="1:24" ht="15" customHeight="1">
      <c r="A571" s="714"/>
      <c r="B571" s="714"/>
      <c r="C571" s="715"/>
      <c r="D571" s="715"/>
      <c r="E571" s="715"/>
      <c r="F571" s="714"/>
      <c r="G571" s="714"/>
      <c r="H571" s="714"/>
      <c r="I571" s="716"/>
      <c r="J571" s="716"/>
      <c r="K571" s="716"/>
      <c r="L571" s="653" t="str">
        <f t="shared" si="524"/>
        <v>0</v>
      </c>
      <c r="M571" s="654">
        <f t="shared" si="520"/>
        <v>0</v>
      </c>
      <c r="N571" s="655">
        <f>+IF(OR($Q571=Parametres!$G$2,$Q571=Parametres!$G$3),I571,C571)</f>
        <v>0</v>
      </c>
      <c r="O571" s="655">
        <f>+IF(OR($Q571=Parametres!$G$2,$Q571=Parametres!$G$3),J571,D571)</f>
        <v>0</v>
      </c>
      <c r="P571" s="655">
        <f>+IF(OR($Q571=Parametres!$G$2,$Q571=Parametres!$G$3),K571,E571)</f>
        <v>0</v>
      </c>
      <c r="Q571" s="654">
        <f t="shared" ref="Q571:S571" si="581">+F571</f>
        <v>0</v>
      </c>
      <c r="R571" s="653">
        <f t="shared" si="581"/>
        <v>0</v>
      </c>
      <c r="S571" s="654">
        <f t="shared" si="581"/>
        <v>0</v>
      </c>
      <c r="T571" s="656" t="e">
        <f>+VLOOKUP($L571,Data_Validation!$A:$D,1,0)</f>
        <v>#N/A</v>
      </c>
      <c r="U571" s="656" t="e">
        <f>+VLOOKUP($L571,Data_Validation!$A:$D,3,0)</f>
        <v>#N/A</v>
      </c>
      <c r="V571" s="656" t="e">
        <f>+VLOOKUP($L571,Data_Validation!$A:$D,4,0)</f>
        <v>#N/A</v>
      </c>
      <c r="W571" s="656" t="e">
        <f>+VLOOKUP($L571,Data_Validation!$A:$E,5,0)</f>
        <v>#N/A</v>
      </c>
      <c r="X571" s="656" t="e">
        <f>+VLOOKUP($L571,Data_Validation!$A:$F,6,0)</f>
        <v>#N/A</v>
      </c>
    </row>
    <row r="572" spans="1:24" ht="15.75" customHeight="1">
      <c r="A572" s="714"/>
      <c r="B572" s="714"/>
      <c r="C572" s="715"/>
      <c r="D572" s="715"/>
      <c r="E572" s="715"/>
      <c r="F572" s="714"/>
      <c r="G572" s="714"/>
      <c r="H572" s="714"/>
      <c r="I572" s="716"/>
      <c r="J572" s="716"/>
      <c r="K572" s="716"/>
      <c r="L572" s="653" t="str">
        <f t="shared" si="524"/>
        <v>0</v>
      </c>
      <c r="M572" s="654">
        <f t="shared" si="520"/>
        <v>0</v>
      </c>
      <c r="N572" s="655">
        <f>+IF(OR($Q572=Parametres!$G$2,$Q572=Parametres!$G$3),I572,C572)</f>
        <v>0</v>
      </c>
      <c r="O572" s="655">
        <f>+IF(OR($Q572=Parametres!$G$2,$Q572=Parametres!$G$3),J572,D572)</f>
        <v>0</v>
      </c>
      <c r="P572" s="655">
        <f>+IF(OR($Q572=Parametres!$G$2,$Q572=Parametres!$G$3),K572,E572)</f>
        <v>0</v>
      </c>
      <c r="Q572" s="654">
        <f t="shared" ref="Q572:S572" si="582">+F572</f>
        <v>0</v>
      </c>
      <c r="R572" s="653">
        <f t="shared" si="582"/>
        <v>0</v>
      </c>
      <c r="S572" s="654">
        <f t="shared" si="582"/>
        <v>0</v>
      </c>
      <c r="T572" s="656" t="e">
        <f>+VLOOKUP($L572,Data_Validation!$A:$D,1,0)</f>
        <v>#N/A</v>
      </c>
      <c r="U572" s="656" t="e">
        <f>+VLOOKUP($L572,Data_Validation!$A:$D,3,0)</f>
        <v>#N/A</v>
      </c>
      <c r="V572" s="656" t="e">
        <f>+VLOOKUP($L572,Data_Validation!$A:$D,4,0)</f>
        <v>#N/A</v>
      </c>
      <c r="W572" s="656" t="e">
        <f>+VLOOKUP($L572,Data_Validation!$A:$E,5,0)</f>
        <v>#N/A</v>
      </c>
      <c r="X572" s="656" t="e">
        <f>+VLOOKUP($L572,Data_Validation!$A:$F,6,0)</f>
        <v>#N/A</v>
      </c>
    </row>
    <row r="573" spans="1:24" ht="15" customHeight="1">
      <c r="A573" s="714"/>
      <c r="B573" s="714"/>
      <c r="C573" s="715"/>
      <c r="D573" s="715"/>
      <c r="E573" s="715"/>
      <c r="F573" s="714"/>
      <c r="G573" s="714"/>
      <c r="H573" s="714"/>
      <c r="I573" s="716"/>
      <c r="J573" s="716"/>
      <c r="K573" s="716"/>
      <c r="L573" s="653" t="str">
        <f t="shared" si="524"/>
        <v>0</v>
      </c>
      <c r="M573" s="654">
        <f t="shared" si="520"/>
        <v>0</v>
      </c>
      <c r="N573" s="655">
        <f>+IF(OR($Q573=Parametres!$G$2,$Q573=Parametres!$G$3),I573,C573)</f>
        <v>0</v>
      </c>
      <c r="O573" s="655">
        <f>+IF(OR($Q573=Parametres!$G$2,$Q573=Parametres!$G$3),J573,D573)</f>
        <v>0</v>
      </c>
      <c r="P573" s="655">
        <f>+IF(OR($Q573=Parametres!$G$2,$Q573=Parametres!$G$3),K573,E573)</f>
        <v>0</v>
      </c>
      <c r="Q573" s="654">
        <f t="shared" ref="Q573:S573" si="583">+F573</f>
        <v>0</v>
      </c>
      <c r="R573" s="653">
        <f t="shared" si="583"/>
        <v>0</v>
      </c>
      <c r="S573" s="654">
        <f t="shared" si="583"/>
        <v>0</v>
      </c>
      <c r="T573" s="656" t="e">
        <f>+VLOOKUP($L573,Data_Validation!$A:$D,1,0)</f>
        <v>#N/A</v>
      </c>
      <c r="U573" s="656" t="e">
        <f>+VLOOKUP($L573,Data_Validation!$A:$D,3,0)</f>
        <v>#N/A</v>
      </c>
      <c r="V573" s="656" t="e">
        <f>+VLOOKUP($L573,Data_Validation!$A:$D,4,0)</f>
        <v>#N/A</v>
      </c>
      <c r="W573" s="656" t="e">
        <f>+VLOOKUP($L573,Data_Validation!$A:$E,5,0)</f>
        <v>#N/A</v>
      </c>
      <c r="X573" s="656" t="e">
        <f>+VLOOKUP($L573,Data_Validation!$A:$F,6,0)</f>
        <v>#N/A</v>
      </c>
    </row>
    <row r="574" spans="1:24" ht="15" customHeight="1">
      <c r="A574" s="714"/>
      <c r="B574" s="714"/>
      <c r="C574" s="715"/>
      <c r="D574" s="715"/>
      <c r="E574" s="715"/>
      <c r="F574" s="714"/>
      <c r="G574" s="714"/>
      <c r="H574" s="714"/>
      <c r="I574" s="716"/>
      <c r="J574" s="716"/>
      <c r="K574" s="716"/>
      <c r="L574" s="653" t="str">
        <f t="shared" si="524"/>
        <v>0</v>
      </c>
      <c r="M574" s="654">
        <f t="shared" si="520"/>
        <v>0</v>
      </c>
      <c r="N574" s="655">
        <f>+IF(OR($Q574=Parametres!$G$2,$Q574=Parametres!$G$3),I574,C574)</f>
        <v>0</v>
      </c>
      <c r="O574" s="655">
        <f>+IF(OR($Q574=Parametres!$G$2,$Q574=Parametres!$G$3),J574,D574)</f>
        <v>0</v>
      </c>
      <c r="P574" s="655">
        <f>+IF(OR($Q574=Parametres!$G$2,$Q574=Parametres!$G$3),K574,E574)</f>
        <v>0</v>
      </c>
      <c r="Q574" s="654">
        <f t="shared" ref="Q574:S574" si="584">+F574</f>
        <v>0</v>
      </c>
      <c r="R574" s="653">
        <f t="shared" si="584"/>
        <v>0</v>
      </c>
      <c r="S574" s="654">
        <f t="shared" si="584"/>
        <v>0</v>
      </c>
      <c r="T574" s="656" t="e">
        <f>+VLOOKUP($L574,Data_Validation!$A:$D,1,0)</f>
        <v>#N/A</v>
      </c>
      <c r="U574" s="656" t="e">
        <f>+VLOOKUP($L574,Data_Validation!$A:$D,3,0)</f>
        <v>#N/A</v>
      </c>
      <c r="V574" s="656" t="e">
        <f>+VLOOKUP($L574,Data_Validation!$A:$D,4,0)</f>
        <v>#N/A</v>
      </c>
      <c r="W574" s="656" t="e">
        <f>+VLOOKUP($L574,Data_Validation!$A:$E,5,0)</f>
        <v>#N/A</v>
      </c>
      <c r="X574" s="656" t="e">
        <f>+VLOOKUP($L574,Data_Validation!$A:$F,6,0)</f>
        <v>#N/A</v>
      </c>
    </row>
    <row r="575" spans="1:24" ht="15" customHeight="1">
      <c r="A575" s="714"/>
      <c r="B575" s="714"/>
      <c r="C575" s="715"/>
      <c r="D575" s="715"/>
      <c r="E575" s="715"/>
      <c r="F575" s="714"/>
      <c r="G575" s="714"/>
      <c r="H575" s="714"/>
      <c r="I575" s="716"/>
      <c r="J575" s="716"/>
      <c r="K575" s="716"/>
      <c r="L575" s="653" t="str">
        <f t="shared" si="524"/>
        <v>0</v>
      </c>
      <c r="M575" s="654">
        <f t="shared" si="520"/>
        <v>0</v>
      </c>
      <c r="N575" s="655">
        <f>+IF(OR($Q575=Parametres!$G$2,$Q575=Parametres!$G$3),I575,C575)</f>
        <v>0</v>
      </c>
      <c r="O575" s="655">
        <f>+IF(OR($Q575=Parametres!$G$2,$Q575=Parametres!$G$3),J575,D575)</f>
        <v>0</v>
      </c>
      <c r="P575" s="655">
        <f>+IF(OR($Q575=Parametres!$G$2,$Q575=Parametres!$G$3),K575,E575)</f>
        <v>0</v>
      </c>
      <c r="Q575" s="654">
        <f t="shared" ref="Q575:S575" si="585">+F575</f>
        <v>0</v>
      </c>
      <c r="R575" s="653">
        <f t="shared" si="585"/>
        <v>0</v>
      </c>
      <c r="S575" s="654">
        <f t="shared" si="585"/>
        <v>0</v>
      </c>
      <c r="T575" s="656" t="e">
        <f>+VLOOKUP($L575,Data_Validation!$A:$D,1,0)</f>
        <v>#N/A</v>
      </c>
      <c r="U575" s="656" t="e">
        <f>+VLOOKUP($L575,Data_Validation!$A:$D,3,0)</f>
        <v>#N/A</v>
      </c>
      <c r="V575" s="656" t="e">
        <f>+VLOOKUP($L575,Data_Validation!$A:$D,4,0)</f>
        <v>#N/A</v>
      </c>
      <c r="W575" s="656" t="e">
        <f>+VLOOKUP($L575,Data_Validation!$A:$E,5,0)</f>
        <v>#N/A</v>
      </c>
      <c r="X575" s="656" t="e">
        <f>+VLOOKUP($L575,Data_Validation!$A:$F,6,0)</f>
        <v>#N/A</v>
      </c>
    </row>
    <row r="576" spans="1:24" ht="15" customHeight="1">
      <c r="A576" s="714"/>
      <c r="B576" s="714"/>
      <c r="C576" s="715"/>
      <c r="D576" s="715"/>
      <c r="E576" s="715"/>
      <c r="F576" s="714"/>
      <c r="G576" s="714"/>
      <c r="H576" s="714"/>
      <c r="I576" s="716"/>
      <c r="J576" s="716"/>
      <c r="K576" s="716"/>
      <c r="L576" s="653" t="str">
        <f t="shared" si="524"/>
        <v>0</v>
      </c>
      <c r="M576" s="654">
        <f t="shared" si="520"/>
        <v>0</v>
      </c>
      <c r="N576" s="655">
        <f>+IF(OR($Q576=Parametres!$G$2,$Q576=Parametres!$G$3),I576,C576)</f>
        <v>0</v>
      </c>
      <c r="O576" s="655">
        <f>+IF(OR($Q576=Parametres!$G$2,$Q576=Parametres!$G$3),J576,D576)</f>
        <v>0</v>
      </c>
      <c r="P576" s="655">
        <f>+IF(OR($Q576=Parametres!$G$2,$Q576=Parametres!$G$3),K576,E576)</f>
        <v>0</v>
      </c>
      <c r="Q576" s="654">
        <f t="shared" ref="Q576:S576" si="586">+F576</f>
        <v>0</v>
      </c>
      <c r="R576" s="653">
        <f t="shared" si="586"/>
        <v>0</v>
      </c>
      <c r="S576" s="654">
        <f t="shared" si="586"/>
        <v>0</v>
      </c>
      <c r="T576" s="656" t="e">
        <f>+VLOOKUP($L576,Data_Validation!$A:$D,1,0)</f>
        <v>#N/A</v>
      </c>
      <c r="U576" s="656" t="e">
        <f>+VLOOKUP($L576,Data_Validation!$A:$D,3,0)</f>
        <v>#N/A</v>
      </c>
      <c r="V576" s="656" t="s">
        <v>223</v>
      </c>
      <c r="W576" s="656" t="e">
        <f>+VLOOKUP($L576,Data_Validation!$A:$E,5,0)</f>
        <v>#N/A</v>
      </c>
      <c r="X576" s="656" t="e">
        <f>+VLOOKUP($L576,Data_Validation!$A:$F,6,0)</f>
        <v>#N/A</v>
      </c>
    </row>
    <row r="577" spans="1:24" ht="15" customHeight="1">
      <c r="A577" s="714"/>
      <c r="B577" s="714"/>
      <c r="C577" s="715"/>
      <c r="D577" s="715"/>
      <c r="E577" s="715"/>
      <c r="F577" s="714"/>
      <c r="G577" s="714"/>
      <c r="H577" s="714"/>
      <c r="I577" s="716"/>
      <c r="J577" s="716"/>
      <c r="K577" s="716"/>
      <c r="L577" s="653" t="str">
        <f t="shared" si="524"/>
        <v>0</v>
      </c>
      <c r="M577" s="654">
        <f t="shared" si="520"/>
        <v>0</v>
      </c>
      <c r="N577" s="655">
        <f>+IF(OR($Q577=Parametres!$G$2,$Q577=Parametres!$G$3),I577,C577)</f>
        <v>0</v>
      </c>
      <c r="O577" s="655">
        <f>+IF(OR($Q577=Parametres!$G$2,$Q577=Parametres!$G$3),J577,D577)</f>
        <v>0</v>
      </c>
      <c r="P577" s="655">
        <f>+IF(OR($Q577=Parametres!$G$2,$Q577=Parametres!$G$3),K577,E577)</f>
        <v>0</v>
      </c>
      <c r="Q577" s="654">
        <f t="shared" ref="Q577:S577" si="587">+F577</f>
        <v>0</v>
      </c>
      <c r="R577" s="653">
        <f t="shared" si="587"/>
        <v>0</v>
      </c>
      <c r="S577" s="654">
        <f t="shared" si="587"/>
        <v>0</v>
      </c>
      <c r="T577" s="656" t="e">
        <f>+VLOOKUP($L577,Data_Validation!$A:$D,1,0)</f>
        <v>#N/A</v>
      </c>
      <c r="U577" s="656" t="e">
        <f>+VLOOKUP($L577,Data_Validation!$A:$D,3,0)</f>
        <v>#N/A</v>
      </c>
      <c r="V577" s="656" t="e">
        <f>+VLOOKUP($L577,Data_Validation!$A:$D,4,0)</f>
        <v>#N/A</v>
      </c>
      <c r="W577" s="656" t="e">
        <f>+VLOOKUP($L577,Data_Validation!$A:$E,5,0)</f>
        <v>#N/A</v>
      </c>
      <c r="X577" s="656" t="e">
        <f>+VLOOKUP($L577,Data_Validation!$A:$F,6,0)</f>
        <v>#N/A</v>
      </c>
    </row>
    <row r="578" spans="1:24" ht="15" customHeight="1">
      <c r="A578" s="714"/>
      <c r="B578" s="714"/>
      <c r="C578" s="715"/>
      <c r="D578" s="715"/>
      <c r="E578" s="715"/>
      <c r="F578" s="714"/>
      <c r="G578" s="714"/>
      <c r="H578" s="714"/>
      <c r="I578" s="716"/>
      <c r="J578" s="716"/>
      <c r="K578" s="716"/>
      <c r="L578" s="653" t="str">
        <f t="shared" si="524"/>
        <v>0</v>
      </c>
      <c r="M578" s="654">
        <f t="shared" si="520"/>
        <v>0</v>
      </c>
      <c r="N578" s="655">
        <f>+IF(OR($Q578=Parametres!$G$2,$Q578=Parametres!$G$3),I578,C578)</f>
        <v>0</v>
      </c>
      <c r="O578" s="655">
        <f>+IF(OR($Q578=Parametres!$G$2,$Q578=Parametres!$G$3),J578,D578)</f>
        <v>0</v>
      </c>
      <c r="P578" s="655">
        <f>+IF(OR($Q578=Parametres!$G$2,$Q578=Parametres!$G$3),K578,E578)</f>
        <v>0</v>
      </c>
      <c r="Q578" s="654">
        <f t="shared" ref="Q578:S578" si="588">+F578</f>
        <v>0</v>
      </c>
      <c r="R578" s="653">
        <f t="shared" si="588"/>
        <v>0</v>
      </c>
      <c r="S578" s="654">
        <f t="shared" si="588"/>
        <v>0</v>
      </c>
      <c r="T578" s="656" t="e">
        <f>+VLOOKUP($L578,Data_Validation!$A:$D,1,0)</f>
        <v>#N/A</v>
      </c>
      <c r="U578" s="656" t="e">
        <f>+VLOOKUP($L578,Data_Validation!$A:$D,3,0)</f>
        <v>#N/A</v>
      </c>
      <c r="V578" s="656" t="e">
        <f>+VLOOKUP($L578,Data_Validation!$A:$D,4,0)</f>
        <v>#N/A</v>
      </c>
      <c r="W578" s="656" t="e">
        <f>+VLOOKUP($L578,Data_Validation!$A:$E,5,0)</f>
        <v>#N/A</v>
      </c>
      <c r="X578" s="656" t="e">
        <f>+VLOOKUP($L578,Data_Validation!$A:$F,6,0)</f>
        <v>#N/A</v>
      </c>
    </row>
    <row r="579" spans="1:24" ht="15.75" customHeight="1">
      <c r="A579" s="714"/>
      <c r="B579" s="714"/>
      <c r="C579" s="715"/>
      <c r="D579" s="715"/>
      <c r="E579" s="715"/>
      <c r="F579" s="714"/>
      <c r="G579" s="714"/>
      <c r="H579" s="714"/>
      <c r="I579" s="716"/>
      <c r="J579" s="716"/>
      <c r="K579" s="716"/>
      <c r="L579" s="653" t="str">
        <f t="shared" ref="L579:L642" si="589">TEXT(B579,0)</f>
        <v>0</v>
      </c>
      <c r="M579" s="654">
        <f t="shared" si="520"/>
        <v>0</v>
      </c>
      <c r="N579" s="655">
        <f>+IF(OR($Q579=Parametres!$G$2,$Q579=Parametres!$G$3),I579,C579)</f>
        <v>0</v>
      </c>
      <c r="O579" s="655">
        <f>+IF(OR($Q579=Parametres!$G$2,$Q579=Parametres!$G$3),J579,D579)</f>
        <v>0</v>
      </c>
      <c r="P579" s="655">
        <f>+IF(OR($Q579=Parametres!$G$2,$Q579=Parametres!$G$3),K579,E579)</f>
        <v>0</v>
      </c>
      <c r="Q579" s="654">
        <f t="shared" ref="Q579:S579" si="590">+F579</f>
        <v>0</v>
      </c>
      <c r="R579" s="653">
        <f t="shared" si="590"/>
        <v>0</v>
      </c>
      <c r="S579" s="654">
        <f t="shared" si="590"/>
        <v>0</v>
      </c>
      <c r="T579" s="656" t="e">
        <f>+VLOOKUP($L579,Data_Validation!$A:$D,1,0)</f>
        <v>#N/A</v>
      </c>
      <c r="U579" s="656" t="e">
        <f>+VLOOKUP($L579,Data_Validation!$A:$D,3,0)</f>
        <v>#N/A</v>
      </c>
      <c r="V579" s="656" t="e">
        <f>+VLOOKUP($L579,Data_Validation!$A:$D,4,0)</f>
        <v>#N/A</v>
      </c>
      <c r="W579" s="656" t="e">
        <f>+VLOOKUP($L579,Data_Validation!$A:$E,5,0)</f>
        <v>#N/A</v>
      </c>
      <c r="X579" s="656" t="e">
        <f>+VLOOKUP($L579,Data_Validation!$A:$F,6,0)</f>
        <v>#N/A</v>
      </c>
    </row>
    <row r="580" spans="1:24" ht="15" customHeight="1">
      <c r="A580" s="714"/>
      <c r="B580" s="714"/>
      <c r="C580" s="715"/>
      <c r="D580" s="715"/>
      <c r="E580" s="715"/>
      <c r="F580" s="714"/>
      <c r="G580" s="714"/>
      <c r="H580" s="714"/>
      <c r="I580" s="716"/>
      <c r="J580" s="716"/>
      <c r="K580" s="716"/>
      <c r="L580" s="653" t="str">
        <f t="shared" si="589"/>
        <v>0</v>
      </c>
      <c r="M580" s="654">
        <f t="shared" si="520"/>
        <v>0</v>
      </c>
      <c r="N580" s="655">
        <f>+IF(OR($Q580=Parametres!$G$2,$Q580=Parametres!$G$3),I580,C580)</f>
        <v>0</v>
      </c>
      <c r="O580" s="655">
        <f>+IF(OR($Q580=Parametres!$G$2,$Q580=Parametres!$G$3),J580,D580)</f>
        <v>0</v>
      </c>
      <c r="P580" s="655">
        <f>+IF(OR($Q580=Parametres!$G$2,$Q580=Parametres!$G$3),K580,E580)</f>
        <v>0</v>
      </c>
      <c r="Q580" s="654">
        <f t="shared" ref="Q580:S580" si="591">+F580</f>
        <v>0</v>
      </c>
      <c r="R580" s="653">
        <f t="shared" si="591"/>
        <v>0</v>
      </c>
      <c r="S580" s="654">
        <f t="shared" si="591"/>
        <v>0</v>
      </c>
      <c r="T580" s="656" t="e">
        <f>+VLOOKUP($L580,Data_Validation!$A:$D,1,0)</f>
        <v>#N/A</v>
      </c>
      <c r="U580" s="656" t="e">
        <f>+VLOOKUP($L580,Data_Validation!$A:$D,3,0)</f>
        <v>#N/A</v>
      </c>
      <c r="V580" s="656" t="e">
        <f>+VLOOKUP($L580,Data_Validation!$A:$D,4,0)</f>
        <v>#N/A</v>
      </c>
      <c r="W580" s="656" t="e">
        <f>+VLOOKUP($L580,Data_Validation!$A:$E,5,0)</f>
        <v>#N/A</v>
      </c>
      <c r="X580" s="656" t="e">
        <f>+VLOOKUP($L580,Data_Validation!$A:$F,6,0)</f>
        <v>#N/A</v>
      </c>
    </row>
    <row r="581" spans="1:24" ht="15" customHeight="1">
      <c r="A581" s="714"/>
      <c r="B581" s="714"/>
      <c r="C581" s="715"/>
      <c r="D581" s="715"/>
      <c r="E581" s="715"/>
      <c r="F581" s="714"/>
      <c r="G581" s="714"/>
      <c r="H581" s="714"/>
      <c r="I581" s="716"/>
      <c r="J581" s="716"/>
      <c r="K581" s="716"/>
      <c r="L581" s="653" t="str">
        <f t="shared" si="589"/>
        <v>0</v>
      </c>
      <c r="M581" s="654">
        <f t="shared" si="520"/>
        <v>0</v>
      </c>
      <c r="N581" s="655">
        <f>+IF(OR($Q581=Parametres!$G$2,$Q581=Parametres!$G$3),I581,C581)</f>
        <v>0</v>
      </c>
      <c r="O581" s="655">
        <f>+IF(OR($Q581=Parametres!$G$2,$Q581=Parametres!$G$3),J581,D581)</f>
        <v>0</v>
      </c>
      <c r="P581" s="655">
        <f>+IF(OR($Q581=Parametres!$G$2,$Q581=Parametres!$G$3),K581,E581)</f>
        <v>0</v>
      </c>
      <c r="Q581" s="654">
        <f t="shared" ref="Q581:S581" si="592">+F581</f>
        <v>0</v>
      </c>
      <c r="R581" s="653">
        <f t="shared" si="592"/>
        <v>0</v>
      </c>
      <c r="S581" s="654">
        <f t="shared" si="592"/>
        <v>0</v>
      </c>
      <c r="T581" s="656" t="e">
        <f>+VLOOKUP($L581,Data_Validation!$A:$D,1,0)</f>
        <v>#N/A</v>
      </c>
      <c r="U581" s="656" t="e">
        <f>+VLOOKUP($L581,Data_Validation!$A:$D,3,0)</f>
        <v>#N/A</v>
      </c>
      <c r="V581" s="656" t="e">
        <f>+VLOOKUP($L581,Data_Validation!$A:$D,4,0)</f>
        <v>#N/A</v>
      </c>
      <c r="W581" s="656" t="e">
        <f>+VLOOKUP($L581,Data_Validation!$A:$E,5,0)</f>
        <v>#N/A</v>
      </c>
      <c r="X581" s="656" t="e">
        <f>+VLOOKUP($L581,Data_Validation!$A:$F,6,0)</f>
        <v>#N/A</v>
      </c>
    </row>
    <row r="582" spans="1:24" ht="15" customHeight="1">
      <c r="A582" s="714"/>
      <c r="B582" s="714"/>
      <c r="C582" s="715"/>
      <c r="D582" s="715"/>
      <c r="E582" s="715"/>
      <c r="F582" s="714"/>
      <c r="G582" s="714"/>
      <c r="H582" s="714"/>
      <c r="I582" s="716"/>
      <c r="J582" s="716"/>
      <c r="K582" s="716"/>
      <c r="L582" s="653" t="str">
        <f t="shared" si="589"/>
        <v>0</v>
      </c>
      <c r="M582" s="654">
        <f t="shared" si="520"/>
        <v>0</v>
      </c>
      <c r="N582" s="655">
        <f>+IF(OR($Q582=Parametres!$G$2,$Q582=Parametres!$G$3),I582,C582)</f>
        <v>0</v>
      </c>
      <c r="O582" s="655">
        <f>+IF(OR($Q582=Parametres!$G$2,$Q582=Parametres!$G$3),J582,D582)</f>
        <v>0</v>
      </c>
      <c r="P582" s="655">
        <f>+IF(OR($Q582=Parametres!$G$2,$Q582=Parametres!$G$3),K582,E582)</f>
        <v>0</v>
      </c>
      <c r="Q582" s="654">
        <f t="shared" ref="Q582:S582" si="593">+F582</f>
        <v>0</v>
      </c>
      <c r="R582" s="653">
        <f t="shared" si="593"/>
        <v>0</v>
      </c>
      <c r="S582" s="654">
        <f t="shared" si="593"/>
        <v>0</v>
      </c>
      <c r="T582" s="656" t="e">
        <f>+VLOOKUP($L582,Data_Validation!$A:$D,1,0)</f>
        <v>#N/A</v>
      </c>
      <c r="U582" s="656" t="e">
        <f>+VLOOKUP($L582,Data_Validation!$A:$D,3,0)</f>
        <v>#N/A</v>
      </c>
      <c r="V582" s="656" t="e">
        <f>+VLOOKUP($L582,Data_Validation!$A:$D,4,0)</f>
        <v>#N/A</v>
      </c>
      <c r="W582" s="656" t="e">
        <f>+VLOOKUP($L582,Data_Validation!$A:$E,5,0)</f>
        <v>#N/A</v>
      </c>
      <c r="X582" s="656" t="e">
        <f>+VLOOKUP($L582,Data_Validation!$A:$F,6,0)</f>
        <v>#N/A</v>
      </c>
    </row>
    <row r="583" spans="1:24" ht="15.75" customHeight="1">
      <c r="A583" s="714"/>
      <c r="B583" s="714"/>
      <c r="C583" s="715"/>
      <c r="D583" s="715"/>
      <c r="E583" s="715"/>
      <c r="F583" s="714"/>
      <c r="G583" s="714"/>
      <c r="H583" s="714"/>
      <c r="I583" s="716"/>
      <c r="J583" s="716"/>
      <c r="K583" s="716"/>
      <c r="L583" s="653" t="str">
        <f t="shared" si="589"/>
        <v>0</v>
      </c>
      <c r="M583" s="654">
        <f t="shared" si="520"/>
        <v>0</v>
      </c>
      <c r="N583" s="655">
        <f>+IF(OR($Q583=Parametres!$G$2,$Q583=Parametres!$G$3),I583,C583)</f>
        <v>0</v>
      </c>
      <c r="O583" s="655">
        <f>+IF(OR($Q583=Parametres!$G$2,$Q583=Parametres!$G$3),J583,D583)</f>
        <v>0</v>
      </c>
      <c r="P583" s="655">
        <f>+IF(OR($Q583=Parametres!$G$2,$Q583=Parametres!$G$3),K583,E583)</f>
        <v>0</v>
      </c>
      <c r="Q583" s="654">
        <f t="shared" ref="Q583:S583" si="594">+F583</f>
        <v>0</v>
      </c>
      <c r="R583" s="653">
        <f t="shared" si="594"/>
        <v>0</v>
      </c>
      <c r="S583" s="654">
        <f t="shared" si="594"/>
        <v>0</v>
      </c>
      <c r="T583" s="656" t="e">
        <f>+VLOOKUP($L583,Data_Validation!$A:$D,1,0)</f>
        <v>#N/A</v>
      </c>
      <c r="U583" s="656" t="e">
        <f>+VLOOKUP($L583,Data_Validation!$A:$D,3,0)</f>
        <v>#N/A</v>
      </c>
      <c r="V583" s="656" t="e">
        <f>+VLOOKUP($L583,Data_Validation!$A:$D,4,0)</f>
        <v>#N/A</v>
      </c>
      <c r="W583" s="656" t="e">
        <f>+VLOOKUP($L583,Data_Validation!$A:$E,5,0)</f>
        <v>#N/A</v>
      </c>
      <c r="X583" s="656" t="e">
        <f>+VLOOKUP($L583,Data_Validation!$A:$F,6,0)</f>
        <v>#N/A</v>
      </c>
    </row>
    <row r="584" spans="1:24" ht="15" customHeight="1">
      <c r="A584" s="714"/>
      <c r="B584" s="714"/>
      <c r="C584" s="715"/>
      <c r="D584" s="715"/>
      <c r="E584" s="715"/>
      <c r="F584" s="714"/>
      <c r="G584" s="714"/>
      <c r="H584" s="714"/>
      <c r="I584" s="716"/>
      <c r="J584" s="716"/>
      <c r="K584" s="716"/>
      <c r="L584" s="653" t="str">
        <f t="shared" si="589"/>
        <v>0</v>
      </c>
      <c r="M584" s="654">
        <f t="shared" si="520"/>
        <v>0</v>
      </c>
      <c r="N584" s="655">
        <f>+IF(OR($Q584=Parametres!$G$2,$Q584=Parametres!$G$3),I584,C584)</f>
        <v>0</v>
      </c>
      <c r="O584" s="655">
        <f>+IF(OR($Q584=Parametres!$G$2,$Q584=Parametres!$G$3),J584,D584)</f>
        <v>0</v>
      </c>
      <c r="P584" s="655">
        <f>+IF(OR($Q584=Parametres!$G$2,$Q584=Parametres!$G$3),K584,E584)</f>
        <v>0</v>
      </c>
      <c r="Q584" s="654">
        <f t="shared" ref="Q584:S584" si="595">+F584</f>
        <v>0</v>
      </c>
      <c r="R584" s="653">
        <f t="shared" si="595"/>
        <v>0</v>
      </c>
      <c r="S584" s="654">
        <f t="shared" si="595"/>
        <v>0</v>
      </c>
      <c r="T584" s="656" t="e">
        <f>+VLOOKUP($L584,Data_Validation!$A:$D,1,0)</f>
        <v>#N/A</v>
      </c>
      <c r="U584" s="656" t="e">
        <f>+VLOOKUP($L584,Data_Validation!$A:$D,3,0)</f>
        <v>#N/A</v>
      </c>
      <c r="V584" s="656" t="e">
        <f>+VLOOKUP($L584,Data_Validation!$A:$D,4,0)</f>
        <v>#N/A</v>
      </c>
      <c r="W584" s="656" t="e">
        <f>+VLOOKUP($L584,Data_Validation!$A:$E,5,0)</f>
        <v>#N/A</v>
      </c>
      <c r="X584" s="656" t="e">
        <f>+VLOOKUP($L584,Data_Validation!$A:$F,6,0)</f>
        <v>#N/A</v>
      </c>
    </row>
    <row r="585" spans="1:24" ht="15" customHeight="1">
      <c r="A585" s="714"/>
      <c r="B585" s="714"/>
      <c r="C585" s="715"/>
      <c r="D585" s="715"/>
      <c r="E585" s="715"/>
      <c r="F585" s="714"/>
      <c r="G585" s="714"/>
      <c r="H585" s="714"/>
      <c r="I585" s="716"/>
      <c r="J585" s="716"/>
      <c r="K585" s="716"/>
      <c r="L585" s="653" t="str">
        <f t="shared" si="589"/>
        <v>0</v>
      </c>
      <c r="M585" s="654">
        <f t="shared" si="520"/>
        <v>0</v>
      </c>
      <c r="N585" s="655">
        <f>+IF(OR($Q585=Parametres!$G$2,$Q585=Parametres!$G$3),I585,C585)</f>
        <v>0</v>
      </c>
      <c r="O585" s="655">
        <f>+IF(OR($Q585=Parametres!$G$2,$Q585=Parametres!$G$3),J585,D585)</f>
        <v>0</v>
      </c>
      <c r="P585" s="655">
        <f>+IF(OR($Q585=Parametres!$G$2,$Q585=Parametres!$G$3),K585,E585)</f>
        <v>0</v>
      </c>
      <c r="Q585" s="654">
        <f t="shared" ref="Q585:S585" si="596">+F585</f>
        <v>0</v>
      </c>
      <c r="R585" s="653">
        <f t="shared" si="596"/>
        <v>0</v>
      </c>
      <c r="S585" s="654">
        <f t="shared" si="596"/>
        <v>0</v>
      </c>
      <c r="T585" s="656" t="e">
        <f>+VLOOKUP($L585,Data_Validation!$A:$D,1,0)</f>
        <v>#N/A</v>
      </c>
      <c r="U585" s="656" t="e">
        <f>+VLOOKUP($L585,Data_Validation!$A:$D,3,0)</f>
        <v>#N/A</v>
      </c>
      <c r="V585" s="656" t="e">
        <f>+VLOOKUP($L585,Data_Validation!$A:$D,4,0)</f>
        <v>#N/A</v>
      </c>
      <c r="W585" s="656" t="e">
        <f>+VLOOKUP($L585,Data_Validation!$A:$E,5,0)</f>
        <v>#N/A</v>
      </c>
      <c r="X585" s="656" t="e">
        <f>+VLOOKUP($L585,Data_Validation!$A:$F,6,0)</f>
        <v>#N/A</v>
      </c>
    </row>
    <row r="586" spans="1:24" ht="15" customHeight="1">
      <c r="A586" s="714"/>
      <c r="B586" s="714"/>
      <c r="C586" s="715"/>
      <c r="D586" s="715"/>
      <c r="E586" s="715"/>
      <c r="F586" s="714"/>
      <c r="G586" s="714"/>
      <c r="H586" s="714"/>
      <c r="I586" s="716"/>
      <c r="J586" s="716"/>
      <c r="K586" s="716"/>
      <c r="L586" s="653" t="str">
        <f t="shared" si="589"/>
        <v>0</v>
      </c>
      <c r="M586" s="654">
        <f t="shared" si="520"/>
        <v>0</v>
      </c>
      <c r="N586" s="655">
        <f>+IF(OR($Q586=Parametres!$G$2,$Q586=Parametres!$G$3),I586,C586)</f>
        <v>0</v>
      </c>
      <c r="O586" s="655">
        <f>+IF(OR($Q586=Parametres!$G$2,$Q586=Parametres!$G$3),J586,D586)</f>
        <v>0</v>
      </c>
      <c r="P586" s="655">
        <f>+IF(OR($Q586=Parametres!$G$2,$Q586=Parametres!$G$3),K586,E586)</f>
        <v>0</v>
      </c>
      <c r="Q586" s="654">
        <f t="shared" ref="Q586:S586" si="597">+F586</f>
        <v>0</v>
      </c>
      <c r="R586" s="653">
        <f t="shared" si="597"/>
        <v>0</v>
      </c>
      <c r="S586" s="654">
        <f t="shared" si="597"/>
        <v>0</v>
      </c>
      <c r="T586" s="656" t="e">
        <f>+VLOOKUP($L586,Data_Validation!$A:$D,1,0)</f>
        <v>#N/A</v>
      </c>
      <c r="U586" s="656" t="e">
        <f>+VLOOKUP($L586,Data_Validation!$A:$D,3,0)</f>
        <v>#N/A</v>
      </c>
      <c r="V586" s="656" t="e">
        <f>+VLOOKUP($L586,Data_Validation!$A:$D,4,0)</f>
        <v>#N/A</v>
      </c>
      <c r="W586" s="656" t="e">
        <f>+VLOOKUP($L586,Data_Validation!$A:$E,5,0)</f>
        <v>#N/A</v>
      </c>
      <c r="X586" s="656" t="e">
        <f>+VLOOKUP($L586,Data_Validation!$A:$F,6,0)</f>
        <v>#N/A</v>
      </c>
    </row>
    <row r="587" spans="1:24" ht="15" customHeight="1">
      <c r="A587" s="714"/>
      <c r="B587" s="714"/>
      <c r="C587" s="715"/>
      <c r="D587" s="715"/>
      <c r="E587" s="715"/>
      <c r="F587" s="714"/>
      <c r="G587" s="714"/>
      <c r="H587" s="714"/>
      <c r="I587" s="716"/>
      <c r="J587" s="716"/>
      <c r="K587" s="716"/>
      <c r="L587" s="653" t="str">
        <f t="shared" si="589"/>
        <v>0</v>
      </c>
      <c r="M587" s="654">
        <f t="shared" si="520"/>
        <v>0</v>
      </c>
      <c r="N587" s="655">
        <f>+IF(OR($Q587=Parametres!$G$2,$Q587=Parametres!$G$3),I587,C587)</f>
        <v>0</v>
      </c>
      <c r="O587" s="655">
        <f>+IF(OR($Q587=Parametres!$G$2,$Q587=Parametres!$G$3),J587,D587)</f>
        <v>0</v>
      </c>
      <c r="P587" s="655">
        <f>+IF(OR($Q587=Parametres!$G$2,$Q587=Parametres!$G$3),K587,E587)</f>
        <v>0</v>
      </c>
      <c r="Q587" s="654">
        <f t="shared" ref="Q587:S587" si="598">+F587</f>
        <v>0</v>
      </c>
      <c r="R587" s="653">
        <f t="shared" si="598"/>
        <v>0</v>
      </c>
      <c r="S587" s="654">
        <f t="shared" si="598"/>
        <v>0</v>
      </c>
      <c r="T587" s="656" t="e">
        <f>+VLOOKUP($L587,Data_Validation!$A:$D,1,0)</f>
        <v>#N/A</v>
      </c>
      <c r="U587" s="656" t="e">
        <f>+VLOOKUP($L587,Data_Validation!$A:$D,3,0)</f>
        <v>#N/A</v>
      </c>
      <c r="V587" s="656" t="e">
        <f>+VLOOKUP($L587,Data_Validation!$A:$D,4,0)</f>
        <v>#N/A</v>
      </c>
      <c r="W587" s="656" t="e">
        <f>+VLOOKUP($L587,Data_Validation!$A:$E,5,0)</f>
        <v>#N/A</v>
      </c>
      <c r="X587" s="656" t="e">
        <f>+VLOOKUP($L587,Data_Validation!$A:$F,6,0)</f>
        <v>#N/A</v>
      </c>
    </row>
    <row r="588" spans="1:24" ht="15" customHeight="1">
      <c r="A588" s="714"/>
      <c r="B588" s="714"/>
      <c r="C588" s="715"/>
      <c r="D588" s="715"/>
      <c r="E588" s="715"/>
      <c r="F588" s="714"/>
      <c r="G588" s="714"/>
      <c r="H588" s="714"/>
      <c r="I588" s="716"/>
      <c r="J588" s="716"/>
      <c r="K588" s="716"/>
      <c r="L588" s="653" t="str">
        <f t="shared" si="589"/>
        <v>0</v>
      </c>
      <c r="M588" s="654">
        <f t="shared" si="520"/>
        <v>0</v>
      </c>
      <c r="N588" s="655">
        <f>+IF(OR($Q588=Parametres!$G$2,$Q588=Parametres!$G$3),I588,C588)</f>
        <v>0</v>
      </c>
      <c r="O588" s="655">
        <f>+IF(OR($Q588=Parametres!$G$2,$Q588=Parametres!$G$3),J588,D588)</f>
        <v>0</v>
      </c>
      <c r="P588" s="655">
        <f>+IF(OR($Q588=Parametres!$G$2,$Q588=Parametres!$G$3),K588,E588)</f>
        <v>0</v>
      </c>
      <c r="Q588" s="654">
        <f t="shared" ref="Q588:S588" si="599">+F588</f>
        <v>0</v>
      </c>
      <c r="R588" s="653">
        <f t="shared" si="599"/>
        <v>0</v>
      </c>
      <c r="S588" s="654">
        <f t="shared" si="599"/>
        <v>0</v>
      </c>
      <c r="T588" s="656" t="e">
        <f>+VLOOKUP($L588,Data_Validation!$A:$D,1,0)</f>
        <v>#N/A</v>
      </c>
      <c r="U588" s="656" t="e">
        <f>+VLOOKUP($L588,Data_Validation!$A:$D,3,0)</f>
        <v>#N/A</v>
      </c>
      <c r="V588" s="656" t="e">
        <f>+VLOOKUP($L588,Data_Validation!$A:$D,4,0)</f>
        <v>#N/A</v>
      </c>
      <c r="W588" s="656" t="e">
        <f>+VLOOKUP($L588,Data_Validation!$A:$E,5,0)</f>
        <v>#N/A</v>
      </c>
      <c r="X588" s="656" t="e">
        <f>+VLOOKUP($L588,Data_Validation!$A:$F,6,0)</f>
        <v>#N/A</v>
      </c>
    </row>
    <row r="589" spans="1:24" ht="15" customHeight="1">
      <c r="A589" s="714"/>
      <c r="B589" s="714"/>
      <c r="C589" s="715"/>
      <c r="D589" s="715"/>
      <c r="E589" s="715"/>
      <c r="F589" s="714"/>
      <c r="G589" s="714"/>
      <c r="H589" s="714"/>
      <c r="I589" s="716"/>
      <c r="J589" s="716"/>
      <c r="K589" s="716"/>
      <c r="L589" s="653" t="str">
        <f t="shared" si="589"/>
        <v>0</v>
      </c>
      <c r="M589" s="654">
        <f t="shared" si="520"/>
        <v>0</v>
      </c>
      <c r="N589" s="655">
        <f>+IF(OR($Q589=Parametres!$G$2,$Q589=Parametres!$G$3),I589,C589)</f>
        <v>0</v>
      </c>
      <c r="O589" s="655">
        <f>+IF(OR($Q589=Parametres!$G$2,$Q589=Parametres!$G$3),J589,D589)</f>
        <v>0</v>
      </c>
      <c r="P589" s="655">
        <f>+IF(OR($Q589=Parametres!$G$2,$Q589=Parametres!$G$3),K589,E589)</f>
        <v>0</v>
      </c>
      <c r="Q589" s="654">
        <f t="shared" ref="Q589:S589" si="600">+F589</f>
        <v>0</v>
      </c>
      <c r="R589" s="653">
        <f t="shared" si="600"/>
        <v>0</v>
      </c>
      <c r="S589" s="654">
        <f t="shared" si="600"/>
        <v>0</v>
      </c>
      <c r="T589" s="656" t="e">
        <f>+VLOOKUP($L589,Data_Validation!$A:$D,1,0)</f>
        <v>#N/A</v>
      </c>
      <c r="U589" s="656" t="e">
        <f>+VLOOKUP($L589,Data_Validation!$A:$D,3,0)</f>
        <v>#N/A</v>
      </c>
      <c r="V589" s="656" t="e">
        <f>+VLOOKUP($L589,Data_Validation!$A:$D,4,0)</f>
        <v>#N/A</v>
      </c>
      <c r="W589" s="656" t="e">
        <f>+VLOOKUP($L589,Data_Validation!$A:$E,5,0)</f>
        <v>#N/A</v>
      </c>
      <c r="X589" s="656" t="e">
        <f>+VLOOKUP($L589,Data_Validation!$A:$F,6,0)</f>
        <v>#N/A</v>
      </c>
    </row>
    <row r="590" spans="1:24" ht="15" customHeight="1">
      <c r="A590" s="714"/>
      <c r="B590" s="714"/>
      <c r="C590" s="715"/>
      <c r="D590" s="715"/>
      <c r="E590" s="715"/>
      <c r="F590" s="714"/>
      <c r="G590" s="714"/>
      <c r="H590" s="714"/>
      <c r="I590" s="716"/>
      <c r="J590" s="716"/>
      <c r="K590" s="716"/>
      <c r="L590" s="653" t="str">
        <f t="shared" si="589"/>
        <v>0</v>
      </c>
      <c r="M590" s="654">
        <f t="shared" si="520"/>
        <v>0</v>
      </c>
      <c r="N590" s="655">
        <f>+IF(OR($Q590=Parametres!$G$2,$Q590=Parametres!$G$3),I590,C590)</f>
        <v>0</v>
      </c>
      <c r="O590" s="655">
        <f>+IF(OR($Q590=Parametres!$G$2,$Q590=Parametres!$G$3),J590,D590)</f>
        <v>0</v>
      </c>
      <c r="P590" s="655">
        <f>+IF(OR($Q590=Parametres!$G$2,$Q590=Parametres!$G$3),K590,E590)</f>
        <v>0</v>
      </c>
      <c r="Q590" s="654">
        <f t="shared" ref="Q590:S590" si="601">+F590</f>
        <v>0</v>
      </c>
      <c r="R590" s="653">
        <f t="shared" si="601"/>
        <v>0</v>
      </c>
      <c r="S590" s="654">
        <f t="shared" si="601"/>
        <v>0</v>
      </c>
      <c r="T590" s="656" t="e">
        <f>+VLOOKUP($L590,Data_Validation!$A:$D,1,0)</f>
        <v>#N/A</v>
      </c>
      <c r="U590" s="656" t="e">
        <f>+VLOOKUP($L590,Data_Validation!$A:$D,3,0)</f>
        <v>#N/A</v>
      </c>
      <c r="V590" s="656" t="e">
        <f>+VLOOKUP($L590,Data_Validation!$A:$D,4,0)</f>
        <v>#N/A</v>
      </c>
      <c r="W590" s="656" t="e">
        <f>+VLOOKUP($L590,Data_Validation!$A:$E,5,0)</f>
        <v>#N/A</v>
      </c>
      <c r="X590" s="656" t="e">
        <f>+VLOOKUP($L590,Data_Validation!$A:$F,6,0)</f>
        <v>#N/A</v>
      </c>
    </row>
    <row r="591" spans="1:24" ht="15" customHeight="1">
      <c r="A591" s="714"/>
      <c r="B591" s="714"/>
      <c r="C591" s="715"/>
      <c r="D591" s="715"/>
      <c r="E591" s="715"/>
      <c r="F591" s="714"/>
      <c r="G591" s="714"/>
      <c r="H591" s="714"/>
      <c r="I591" s="716"/>
      <c r="J591" s="716"/>
      <c r="K591" s="716"/>
      <c r="L591" s="653" t="str">
        <f t="shared" si="589"/>
        <v>0</v>
      </c>
      <c r="M591" s="654">
        <f t="shared" si="520"/>
        <v>0</v>
      </c>
      <c r="N591" s="655">
        <f>+IF(OR($Q591=Parametres!$G$2,$Q591=Parametres!$G$3),I591,C591)</f>
        <v>0</v>
      </c>
      <c r="O591" s="655">
        <f>+IF(OR($Q591=Parametres!$G$2,$Q591=Parametres!$G$3),J591,D591)</f>
        <v>0</v>
      </c>
      <c r="P591" s="655">
        <f>+IF(OR($Q591=Parametres!$G$2,$Q591=Parametres!$G$3),K591,E591)</f>
        <v>0</v>
      </c>
      <c r="Q591" s="654">
        <f t="shared" ref="Q591:S591" si="602">+F591</f>
        <v>0</v>
      </c>
      <c r="R591" s="653">
        <f t="shared" si="602"/>
        <v>0</v>
      </c>
      <c r="S591" s="654">
        <f t="shared" si="602"/>
        <v>0</v>
      </c>
      <c r="T591" s="656" t="e">
        <f>+VLOOKUP($L591,Data_Validation!$A:$D,1,0)</f>
        <v>#N/A</v>
      </c>
      <c r="U591" s="656" t="e">
        <f>+VLOOKUP($L591,Data_Validation!$A:$D,3,0)</f>
        <v>#N/A</v>
      </c>
      <c r="V591" s="656" t="e">
        <f>+VLOOKUP($L591,Data_Validation!$A:$D,4,0)</f>
        <v>#N/A</v>
      </c>
      <c r="W591" s="656" t="e">
        <f>+VLOOKUP($L591,Data_Validation!$A:$E,5,0)</f>
        <v>#N/A</v>
      </c>
      <c r="X591" s="656" t="e">
        <f>+VLOOKUP($L591,Data_Validation!$A:$F,6,0)</f>
        <v>#N/A</v>
      </c>
    </row>
    <row r="592" spans="1:24" ht="15" customHeight="1">
      <c r="A592" s="714"/>
      <c r="B592" s="714"/>
      <c r="C592" s="715"/>
      <c r="D592" s="715"/>
      <c r="E592" s="715"/>
      <c r="F592" s="714"/>
      <c r="G592" s="714"/>
      <c r="H592" s="714"/>
      <c r="I592" s="716"/>
      <c r="J592" s="716"/>
      <c r="K592" s="716"/>
      <c r="L592" s="653" t="str">
        <f t="shared" si="589"/>
        <v>0</v>
      </c>
      <c r="M592" s="654">
        <f t="shared" si="520"/>
        <v>0</v>
      </c>
      <c r="N592" s="655">
        <f>+IF(OR($Q592=Parametres!$G$2,$Q592=Parametres!$G$3),I592,C592)</f>
        <v>0</v>
      </c>
      <c r="O592" s="655">
        <f>+IF(OR($Q592=Parametres!$G$2,$Q592=Parametres!$G$3),J592,D592)</f>
        <v>0</v>
      </c>
      <c r="P592" s="655">
        <f>+IF(OR($Q592=Parametres!$G$2,$Q592=Parametres!$G$3),K592,E592)</f>
        <v>0</v>
      </c>
      <c r="Q592" s="654">
        <f t="shared" ref="Q592:S592" si="603">+F592</f>
        <v>0</v>
      </c>
      <c r="R592" s="653">
        <f t="shared" si="603"/>
        <v>0</v>
      </c>
      <c r="S592" s="654">
        <f t="shared" si="603"/>
        <v>0</v>
      </c>
      <c r="T592" s="656" t="e">
        <f>+VLOOKUP($L592,Data_Validation!$A:$D,1,0)</f>
        <v>#N/A</v>
      </c>
      <c r="U592" s="656" t="e">
        <f>+VLOOKUP($L592,Data_Validation!$A:$D,3,0)</f>
        <v>#N/A</v>
      </c>
      <c r="V592" s="656" t="e">
        <f>+VLOOKUP($L592,Data_Validation!$A:$D,4,0)</f>
        <v>#N/A</v>
      </c>
      <c r="W592" s="656" t="e">
        <f>+VLOOKUP($L592,Data_Validation!$A:$E,5,0)</f>
        <v>#N/A</v>
      </c>
      <c r="X592" s="656" t="e">
        <f>+VLOOKUP($L592,Data_Validation!$A:$F,6,0)</f>
        <v>#N/A</v>
      </c>
    </row>
    <row r="593" spans="1:24" ht="15" customHeight="1">
      <c r="A593" s="714"/>
      <c r="B593" s="714"/>
      <c r="C593" s="715"/>
      <c r="D593" s="715"/>
      <c r="E593" s="715"/>
      <c r="F593" s="714"/>
      <c r="G593" s="714"/>
      <c r="H593" s="714"/>
      <c r="I593" s="716"/>
      <c r="J593" s="716"/>
      <c r="K593" s="716"/>
      <c r="L593" s="653" t="str">
        <f t="shared" si="589"/>
        <v>0</v>
      </c>
      <c r="M593" s="654">
        <f t="shared" si="520"/>
        <v>0</v>
      </c>
      <c r="N593" s="655">
        <f>+IF(OR($Q593=Parametres!$G$2,$Q593=Parametres!$G$3),I593,C593)</f>
        <v>0</v>
      </c>
      <c r="O593" s="655">
        <f>+IF(OR($Q593=Parametres!$G$2,$Q593=Parametres!$G$3),J593,D593)</f>
        <v>0</v>
      </c>
      <c r="P593" s="655">
        <f>+IF(OR($Q593=Parametres!$G$2,$Q593=Parametres!$G$3),K593,E593)</f>
        <v>0</v>
      </c>
      <c r="Q593" s="654">
        <f t="shared" ref="Q593:S593" si="604">+F593</f>
        <v>0</v>
      </c>
      <c r="R593" s="653">
        <f t="shared" si="604"/>
        <v>0</v>
      </c>
      <c r="S593" s="654">
        <f t="shared" si="604"/>
        <v>0</v>
      </c>
      <c r="T593" s="656" t="e">
        <f>+VLOOKUP($L593,Data_Validation!$A:$D,1,0)</f>
        <v>#N/A</v>
      </c>
      <c r="U593" s="656" t="e">
        <f>+VLOOKUP($L593,Data_Validation!$A:$D,3,0)</f>
        <v>#N/A</v>
      </c>
      <c r="V593" s="656" t="e">
        <f>+VLOOKUP($L593,Data_Validation!$A:$D,4,0)</f>
        <v>#N/A</v>
      </c>
      <c r="W593" s="656" t="e">
        <f>+VLOOKUP($L593,Data_Validation!$A:$E,5,0)</f>
        <v>#N/A</v>
      </c>
      <c r="X593" s="656" t="e">
        <f>+VLOOKUP($L593,Data_Validation!$A:$F,6,0)</f>
        <v>#N/A</v>
      </c>
    </row>
    <row r="594" spans="1:24" ht="15" customHeight="1">
      <c r="A594" s="714"/>
      <c r="B594" s="714"/>
      <c r="C594" s="715"/>
      <c r="D594" s="715"/>
      <c r="E594" s="715"/>
      <c r="F594" s="714"/>
      <c r="G594" s="714"/>
      <c r="H594" s="714"/>
      <c r="I594" s="716"/>
      <c r="J594" s="716"/>
      <c r="K594" s="716"/>
      <c r="L594" s="653" t="str">
        <f t="shared" si="589"/>
        <v>0</v>
      </c>
      <c r="M594" s="654">
        <f t="shared" si="520"/>
        <v>0</v>
      </c>
      <c r="N594" s="655">
        <f>+IF(OR($Q594=Parametres!$G$2,$Q594=Parametres!$G$3),I594,C594)</f>
        <v>0</v>
      </c>
      <c r="O594" s="655">
        <f>+IF(OR($Q594=Parametres!$G$2,$Q594=Parametres!$G$3),J594,D594)</f>
        <v>0</v>
      </c>
      <c r="P594" s="655">
        <f>+IF(OR($Q594=Parametres!$G$2,$Q594=Parametres!$G$3),K594,E594)</f>
        <v>0</v>
      </c>
      <c r="Q594" s="654">
        <f t="shared" ref="Q594:S594" si="605">+F594</f>
        <v>0</v>
      </c>
      <c r="R594" s="653">
        <f t="shared" si="605"/>
        <v>0</v>
      </c>
      <c r="S594" s="654">
        <f t="shared" si="605"/>
        <v>0</v>
      </c>
      <c r="T594" s="656" t="e">
        <f>+VLOOKUP($L594,Data_Validation!$A:$D,1,0)</f>
        <v>#N/A</v>
      </c>
      <c r="U594" s="656" t="e">
        <f>+VLOOKUP($L594,Data_Validation!$A:$D,3,0)</f>
        <v>#N/A</v>
      </c>
      <c r="V594" s="656" t="e">
        <f>+VLOOKUP($L594,Data_Validation!$A:$D,4,0)</f>
        <v>#N/A</v>
      </c>
      <c r="W594" s="656" t="e">
        <f>+VLOOKUP($L594,Data_Validation!$A:$E,5,0)</f>
        <v>#N/A</v>
      </c>
      <c r="X594" s="656" t="e">
        <f>+VLOOKUP($L594,Data_Validation!$A:$F,6,0)</f>
        <v>#N/A</v>
      </c>
    </row>
    <row r="595" spans="1:24" ht="15" customHeight="1">
      <c r="A595" s="714"/>
      <c r="B595" s="714"/>
      <c r="C595" s="715"/>
      <c r="D595" s="715"/>
      <c r="E595" s="715"/>
      <c r="F595" s="714"/>
      <c r="G595" s="714"/>
      <c r="H595" s="714"/>
      <c r="I595" s="716"/>
      <c r="J595" s="716"/>
      <c r="K595" s="716"/>
      <c r="L595" s="653" t="str">
        <f t="shared" si="589"/>
        <v>0</v>
      </c>
      <c r="M595" s="654">
        <f t="shared" si="520"/>
        <v>0</v>
      </c>
      <c r="N595" s="655">
        <f>+IF(OR($Q595=Parametres!$G$2,$Q595=Parametres!$G$3),I595,C595)</f>
        <v>0</v>
      </c>
      <c r="O595" s="655">
        <f>+IF(OR($Q595=Parametres!$G$2,$Q595=Parametres!$G$3),J595,D595)</f>
        <v>0</v>
      </c>
      <c r="P595" s="655">
        <f>+IF(OR($Q595=Parametres!$G$2,$Q595=Parametres!$G$3),K595,E595)</f>
        <v>0</v>
      </c>
      <c r="Q595" s="654">
        <f t="shared" ref="Q595:S595" si="606">+F595</f>
        <v>0</v>
      </c>
      <c r="R595" s="653">
        <f t="shared" si="606"/>
        <v>0</v>
      </c>
      <c r="S595" s="654">
        <f t="shared" si="606"/>
        <v>0</v>
      </c>
      <c r="T595" s="656" t="e">
        <f>+VLOOKUP($L595,Data_Validation!$A:$D,1,0)</f>
        <v>#N/A</v>
      </c>
      <c r="U595" s="656" t="e">
        <f>+VLOOKUP($L595,Data_Validation!$A:$D,3,0)</f>
        <v>#N/A</v>
      </c>
      <c r="V595" s="656" t="e">
        <f>+VLOOKUP($L595,Data_Validation!$A:$D,4,0)</f>
        <v>#N/A</v>
      </c>
      <c r="W595" s="656" t="e">
        <f>+VLOOKUP($L595,Data_Validation!$A:$E,5,0)</f>
        <v>#N/A</v>
      </c>
      <c r="X595" s="656" t="e">
        <f>+VLOOKUP($L595,Data_Validation!$A:$F,6,0)</f>
        <v>#N/A</v>
      </c>
    </row>
    <row r="596" spans="1:24" ht="15" customHeight="1">
      <c r="A596" s="714"/>
      <c r="B596" s="714"/>
      <c r="C596" s="715"/>
      <c r="D596" s="715"/>
      <c r="E596" s="715"/>
      <c r="F596" s="714"/>
      <c r="G596" s="714"/>
      <c r="H596" s="714"/>
      <c r="I596" s="716"/>
      <c r="J596" s="716"/>
      <c r="K596" s="716"/>
      <c r="L596" s="653" t="str">
        <f t="shared" si="589"/>
        <v>0</v>
      </c>
      <c r="M596" s="654">
        <f t="shared" si="520"/>
        <v>0</v>
      </c>
      <c r="N596" s="655">
        <f>+IF(OR($Q596=Parametres!$G$2,$Q596=Parametres!$G$3),I596,C596)</f>
        <v>0</v>
      </c>
      <c r="O596" s="655">
        <f>+IF(OR($Q596=Parametres!$G$2,$Q596=Parametres!$G$3),J596,D596)</f>
        <v>0</v>
      </c>
      <c r="P596" s="655">
        <f>+IF(OR($Q596=Parametres!$G$2,$Q596=Parametres!$G$3),K596,E596)</f>
        <v>0</v>
      </c>
      <c r="Q596" s="654">
        <f t="shared" ref="Q596:S596" si="607">+F596</f>
        <v>0</v>
      </c>
      <c r="R596" s="653">
        <f t="shared" si="607"/>
        <v>0</v>
      </c>
      <c r="S596" s="654">
        <f t="shared" si="607"/>
        <v>0</v>
      </c>
      <c r="T596" s="656" t="e">
        <f>+VLOOKUP($L596,Data_Validation!$A:$D,1,0)</f>
        <v>#N/A</v>
      </c>
      <c r="U596" s="656" t="e">
        <f>+VLOOKUP($L596,Data_Validation!$A:$D,3,0)</f>
        <v>#N/A</v>
      </c>
      <c r="V596" s="656" t="e">
        <f>+VLOOKUP($L596,Data_Validation!$A:$D,4,0)</f>
        <v>#N/A</v>
      </c>
      <c r="W596" s="656" t="e">
        <f>+VLOOKUP($L596,Data_Validation!$A:$E,5,0)</f>
        <v>#N/A</v>
      </c>
      <c r="X596" s="656" t="e">
        <f>+VLOOKUP($L596,Data_Validation!$A:$F,6,0)</f>
        <v>#N/A</v>
      </c>
    </row>
    <row r="597" spans="1:24" ht="15" customHeight="1">
      <c r="A597" s="714"/>
      <c r="B597" s="714"/>
      <c r="C597" s="715"/>
      <c r="D597" s="715"/>
      <c r="E597" s="715"/>
      <c r="F597" s="714"/>
      <c r="G597" s="714"/>
      <c r="H597" s="714"/>
      <c r="I597" s="716"/>
      <c r="J597" s="716"/>
      <c r="K597" s="716"/>
      <c r="L597" s="653" t="str">
        <f t="shared" si="589"/>
        <v>0</v>
      </c>
      <c r="M597" s="654">
        <f t="shared" si="520"/>
        <v>0</v>
      </c>
      <c r="N597" s="655">
        <f>+IF(OR($Q597=Parametres!$G$2,$Q597=Parametres!$G$3),I597,C597)</f>
        <v>0</v>
      </c>
      <c r="O597" s="655">
        <f>+IF(OR($Q597=Parametres!$G$2,$Q597=Parametres!$G$3),J597,D597)</f>
        <v>0</v>
      </c>
      <c r="P597" s="655">
        <f>+IF(OR($Q597=Parametres!$G$2,$Q597=Parametres!$G$3),K597,E597)</f>
        <v>0</v>
      </c>
      <c r="Q597" s="654">
        <f t="shared" ref="Q597:S597" si="608">+F597</f>
        <v>0</v>
      </c>
      <c r="R597" s="653">
        <f t="shared" si="608"/>
        <v>0</v>
      </c>
      <c r="S597" s="654">
        <f t="shared" si="608"/>
        <v>0</v>
      </c>
      <c r="T597" s="656" t="e">
        <f>+VLOOKUP($L597,Data_Validation!$A:$D,1,0)</f>
        <v>#N/A</v>
      </c>
      <c r="U597" s="656" t="e">
        <f>+VLOOKUP($L597,Data_Validation!$A:$D,3,0)</f>
        <v>#N/A</v>
      </c>
      <c r="V597" s="656" t="e">
        <f>+VLOOKUP($L597,Data_Validation!$A:$D,4,0)</f>
        <v>#N/A</v>
      </c>
      <c r="W597" s="656" t="e">
        <f>+VLOOKUP($L597,Data_Validation!$A:$E,5,0)</f>
        <v>#N/A</v>
      </c>
      <c r="X597" s="656" t="e">
        <f>+VLOOKUP($L597,Data_Validation!$A:$F,6,0)</f>
        <v>#N/A</v>
      </c>
    </row>
    <row r="598" spans="1:24" ht="15" customHeight="1">
      <c r="A598" s="714"/>
      <c r="B598" s="714"/>
      <c r="C598" s="715"/>
      <c r="D598" s="715"/>
      <c r="E598" s="715"/>
      <c r="F598" s="714"/>
      <c r="G598" s="714"/>
      <c r="H598" s="714"/>
      <c r="I598" s="716"/>
      <c r="J598" s="716"/>
      <c r="K598" s="716"/>
      <c r="L598" s="653" t="str">
        <f t="shared" si="589"/>
        <v>0</v>
      </c>
      <c r="M598" s="654">
        <f t="shared" si="520"/>
        <v>0</v>
      </c>
      <c r="N598" s="655">
        <f>+IF(OR($Q598=Parametres!$G$2,$Q598=Parametres!$G$3),I598,C598)</f>
        <v>0</v>
      </c>
      <c r="O598" s="655">
        <f>+IF(OR($Q598=Parametres!$G$2,$Q598=Parametres!$G$3),J598,D598)</f>
        <v>0</v>
      </c>
      <c r="P598" s="655">
        <f>+IF(OR($Q598=Parametres!$G$2,$Q598=Parametres!$G$3),K598,E598)</f>
        <v>0</v>
      </c>
      <c r="Q598" s="654">
        <f t="shared" ref="Q598:S598" si="609">+F598</f>
        <v>0</v>
      </c>
      <c r="R598" s="653">
        <f t="shared" si="609"/>
        <v>0</v>
      </c>
      <c r="S598" s="654">
        <f t="shared" si="609"/>
        <v>0</v>
      </c>
      <c r="T598" s="656" t="e">
        <f>+VLOOKUP($L598,Data_Validation!$A:$D,1,0)</f>
        <v>#N/A</v>
      </c>
      <c r="U598" s="656" t="e">
        <f>+VLOOKUP($L598,Data_Validation!$A:$D,3,0)</f>
        <v>#N/A</v>
      </c>
      <c r="V598" s="656" t="e">
        <f>+VLOOKUP($L598,Data_Validation!$A:$D,4,0)</f>
        <v>#N/A</v>
      </c>
      <c r="W598" s="656" t="e">
        <f>+VLOOKUP($L598,Data_Validation!$A:$E,5,0)</f>
        <v>#N/A</v>
      </c>
      <c r="X598" s="656" t="e">
        <f>+VLOOKUP($L598,Data_Validation!$A:$F,6,0)</f>
        <v>#N/A</v>
      </c>
    </row>
    <row r="599" spans="1:24" ht="15" customHeight="1">
      <c r="A599" s="714"/>
      <c r="B599" s="714"/>
      <c r="C599" s="715"/>
      <c r="D599" s="715"/>
      <c r="E599" s="715"/>
      <c r="F599" s="714"/>
      <c r="G599" s="714"/>
      <c r="H599" s="714"/>
      <c r="I599" s="716"/>
      <c r="J599" s="716"/>
      <c r="K599" s="716"/>
      <c r="L599" s="653" t="str">
        <f t="shared" si="589"/>
        <v>0</v>
      </c>
      <c r="M599" s="654">
        <f t="shared" si="520"/>
        <v>0</v>
      </c>
      <c r="N599" s="655">
        <f>+IF(OR($Q599=Parametres!$G$2,$Q599=Parametres!$G$3),I599,C599)</f>
        <v>0</v>
      </c>
      <c r="O599" s="655">
        <f>+IF(OR($Q599=Parametres!$G$2,$Q599=Parametres!$G$3),J599,D599)</f>
        <v>0</v>
      </c>
      <c r="P599" s="655">
        <f>+IF(OR($Q599=Parametres!$G$2,$Q599=Parametres!$G$3),K599,E599)</f>
        <v>0</v>
      </c>
      <c r="Q599" s="654">
        <f t="shared" ref="Q599:S599" si="610">+F599</f>
        <v>0</v>
      </c>
      <c r="R599" s="653">
        <f t="shared" si="610"/>
        <v>0</v>
      </c>
      <c r="S599" s="654">
        <f t="shared" si="610"/>
        <v>0</v>
      </c>
      <c r="T599" s="656" t="e">
        <f>+VLOOKUP($L599,Data_Validation!$A:$D,1,0)</f>
        <v>#N/A</v>
      </c>
      <c r="U599" s="656" t="e">
        <f>+VLOOKUP($L599,Data_Validation!$A:$D,3,0)</f>
        <v>#N/A</v>
      </c>
      <c r="V599" s="656" t="e">
        <f>+VLOOKUP($L599,Data_Validation!$A:$D,4,0)</f>
        <v>#N/A</v>
      </c>
      <c r="W599" s="656" t="e">
        <f>+VLOOKUP($L599,Data_Validation!$A:$E,5,0)</f>
        <v>#N/A</v>
      </c>
      <c r="X599" s="656" t="e">
        <f>+VLOOKUP($L599,Data_Validation!$A:$F,6,0)</f>
        <v>#N/A</v>
      </c>
    </row>
    <row r="600" spans="1:24" ht="15" customHeight="1">
      <c r="A600" s="714"/>
      <c r="B600" s="714"/>
      <c r="C600" s="715"/>
      <c r="D600" s="715"/>
      <c r="E600" s="715"/>
      <c r="F600" s="714"/>
      <c r="G600" s="714"/>
      <c r="H600" s="714"/>
      <c r="I600" s="716"/>
      <c r="J600" s="716"/>
      <c r="K600" s="716"/>
      <c r="L600" s="653" t="str">
        <f t="shared" si="589"/>
        <v>0</v>
      </c>
      <c r="M600" s="654">
        <f t="shared" si="520"/>
        <v>0</v>
      </c>
      <c r="N600" s="655">
        <f>+IF(OR($Q600=Parametres!$G$2,$Q600=Parametres!$G$3),I600,C600)</f>
        <v>0</v>
      </c>
      <c r="O600" s="655">
        <f>+IF(OR($Q600=Parametres!$G$2,$Q600=Parametres!$G$3),J600,D600)</f>
        <v>0</v>
      </c>
      <c r="P600" s="655">
        <f>+IF(OR($Q600=Parametres!$G$2,$Q600=Parametres!$G$3),K600,E600)</f>
        <v>0</v>
      </c>
      <c r="Q600" s="654">
        <f t="shared" ref="Q600:S600" si="611">+F600</f>
        <v>0</v>
      </c>
      <c r="R600" s="653">
        <f t="shared" si="611"/>
        <v>0</v>
      </c>
      <c r="S600" s="654">
        <f t="shared" si="611"/>
        <v>0</v>
      </c>
      <c r="T600" s="656" t="e">
        <f>+VLOOKUP($L600,Data_Validation!$A:$D,1,0)</f>
        <v>#N/A</v>
      </c>
      <c r="U600" s="656" t="e">
        <f>+VLOOKUP($L600,Data_Validation!$A:$D,3,0)</f>
        <v>#N/A</v>
      </c>
      <c r="V600" s="656" t="e">
        <f>+VLOOKUP($L600,Data_Validation!$A:$D,4,0)</f>
        <v>#N/A</v>
      </c>
      <c r="W600" s="656" t="e">
        <f>+VLOOKUP($L600,Data_Validation!$A:$E,5,0)</f>
        <v>#N/A</v>
      </c>
      <c r="X600" s="656" t="e">
        <f>+VLOOKUP($L600,Data_Validation!$A:$F,6,0)</f>
        <v>#N/A</v>
      </c>
    </row>
    <row r="601" spans="1:24" ht="15" customHeight="1">
      <c r="A601" s="714"/>
      <c r="B601" s="714"/>
      <c r="C601" s="715"/>
      <c r="D601" s="715"/>
      <c r="E601" s="715"/>
      <c r="F601" s="714"/>
      <c r="G601" s="714"/>
      <c r="H601" s="714"/>
      <c r="I601" s="716"/>
      <c r="J601" s="716"/>
      <c r="K601" s="716"/>
      <c r="L601" s="653" t="str">
        <f t="shared" si="589"/>
        <v>0</v>
      </c>
      <c r="M601" s="654">
        <f t="shared" si="520"/>
        <v>0</v>
      </c>
      <c r="N601" s="655">
        <f>+IF(OR($Q601=Parametres!$G$2,$Q601=Parametres!$G$3),I601,C601)</f>
        <v>0</v>
      </c>
      <c r="O601" s="655">
        <f>+IF(OR($Q601=Parametres!$G$2,$Q601=Parametres!$G$3),J601,D601)</f>
        <v>0</v>
      </c>
      <c r="P601" s="655">
        <f>+IF(OR($Q601=Parametres!$G$2,$Q601=Parametres!$G$3),K601,E601)</f>
        <v>0</v>
      </c>
      <c r="Q601" s="654">
        <f t="shared" ref="Q601:S601" si="612">+F601</f>
        <v>0</v>
      </c>
      <c r="R601" s="653">
        <f t="shared" si="612"/>
        <v>0</v>
      </c>
      <c r="S601" s="654">
        <f t="shared" si="612"/>
        <v>0</v>
      </c>
      <c r="T601" s="656" t="e">
        <f>+VLOOKUP($L601,Data_Validation!$A:$D,1,0)</f>
        <v>#N/A</v>
      </c>
      <c r="U601" s="656" t="e">
        <f>+VLOOKUP($L601,Data_Validation!$A:$D,3,0)</f>
        <v>#N/A</v>
      </c>
      <c r="V601" s="656" t="e">
        <f>+VLOOKUP($L601,Data_Validation!$A:$D,4,0)</f>
        <v>#N/A</v>
      </c>
      <c r="W601" s="656" t="e">
        <f>+VLOOKUP($L601,Data_Validation!$A:$E,5,0)</f>
        <v>#N/A</v>
      </c>
      <c r="X601" s="656" t="e">
        <f>+VLOOKUP($L601,Data_Validation!$A:$F,6,0)</f>
        <v>#N/A</v>
      </c>
    </row>
    <row r="602" spans="1:24" ht="15" customHeight="1">
      <c r="A602" s="714"/>
      <c r="B602" s="714"/>
      <c r="C602" s="715"/>
      <c r="D602" s="715"/>
      <c r="E602" s="715"/>
      <c r="F602" s="714"/>
      <c r="G602" s="714"/>
      <c r="H602" s="714"/>
      <c r="I602" s="716"/>
      <c r="J602" s="716"/>
      <c r="K602" s="716"/>
      <c r="L602" s="653" t="str">
        <f t="shared" si="589"/>
        <v>0</v>
      </c>
      <c r="M602" s="654">
        <f t="shared" si="520"/>
        <v>0</v>
      </c>
      <c r="N602" s="655">
        <f>+IF(OR($Q602=Parametres!$G$2,$Q602=Parametres!$G$3),I602,C602)</f>
        <v>0</v>
      </c>
      <c r="O602" s="655">
        <f>+IF(OR($Q602=Parametres!$G$2,$Q602=Parametres!$G$3),J602,D602)</f>
        <v>0</v>
      </c>
      <c r="P602" s="655">
        <f>+IF(OR($Q602=Parametres!$G$2,$Q602=Parametres!$G$3),K602,E602)</f>
        <v>0</v>
      </c>
      <c r="Q602" s="654">
        <f t="shared" ref="Q602:S602" si="613">+F602</f>
        <v>0</v>
      </c>
      <c r="R602" s="653">
        <f t="shared" si="613"/>
        <v>0</v>
      </c>
      <c r="S602" s="654">
        <f t="shared" si="613"/>
        <v>0</v>
      </c>
      <c r="T602" s="656" t="e">
        <f>+VLOOKUP($L602,Data_Validation!$A:$D,1,0)</f>
        <v>#N/A</v>
      </c>
      <c r="U602" s="656" t="e">
        <f>+VLOOKUP($L602,Data_Validation!$A:$D,3,0)</f>
        <v>#N/A</v>
      </c>
      <c r="V602" s="656" t="e">
        <f>+VLOOKUP($L602,Data_Validation!$A:$D,4,0)</f>
        <v>#N/A</v>
      </c>
      <c r="W602" s="656" t="e">
        <f>+VLOOKUP($L602,Data_Validation!$A:$E,5,0)</f>
        <v>#N/A</v>
      </c>
      <c r="X602" s="656" t="e">
        <f>+VLOOKUP($L602,Data_Validation!$A:$F,6,0)</f>
        <v>#N/A</v>
      </c>
    </row>
    <row r="603" spans="1:24" ht="15" customHeight="1">
      <c r="A603" s="714"/>
      <c r="B603" s="714"/>
      <c r="C603" s="715"/>
      <c r="D603" s="715"/>
      <c r="E603" s="715"/>
      <c r="F603" s="714"/>
      <c r="G603" s="714"/>
      <c r="H603" s="714"/>
      <c r="I603" s="716"/>
      <c r="J603" s="716"/>
      <c r="K603" s="716"/>
      <c r="L603" s="653" t="str">
        <f t="shared" si="589"/>
        <v>0</v>
      </c>
      <c r="M603" s="654">
        <f t="shared" si="520"/>
        <v>0</v>
      </c>
      <c r="N603" s="655">
        <f>+IF(OR($Q603=Parametres!$G$2,$Q603=Parametres!$G$3),I603,C603)</f>
        <v>0</v>
      </c>
      <c r="O603" s="655">
        <f>+IF(OR($Q603=Parametres!$G$2,$Q603=Parametres!$G$3),J603,D603)</f>
        <v>0</v>
      </c>
      <c r="P603" s="655">
        <f>+IF(OR($Q603=Parametres!$G$2,$Q603=Parametres!$G$3),K603,E603)</f>
        <v>0</v>
      </c>
      <c r="Q603" s="654">
        <f t="shared" ref="Q603:S603" si="614">+F603</f>
        <v>0</v>
      </c>
      <c r="R603" s="653">
        <f t="shared" si="614"/>
        <v>0</v>
      </c>
      <c r="S603" s="654">
        <f t="shared" si="614"/>
        <v>0</v>
      </c>
      <c r="T603" s="656" t="e">
        <f>+VLOOKUP($L603,Data_Validation!$A:$D,1,0)</f>
        <v>#N/A</v>
      </c>
      <c r="U603" s="656" t="e">
        <f>+VLOOKUP($L603,Data_Validation!$A:$D,3,0)</f>
        <v>#N/A</v>
      </c>
      <c r="V603" s="656" t="e">
        <f>+VLOOKUP($L603,Data_Validation!$A:$D,4,0)</f>
        <v>#N/A</v>
      </c>
      <c r="W603" s="656" t="e">
        <f>+VLOOKUP($L603,Data_Validation!$A:$E,5,0)</f>
        <v>#N/A</v>
      </c>
      <c r="X603" s="656" t="e">
        <f>+VLOOKUP($L603,Data_Validation!$A:$F,6,0)</f>
        <v>#N/A</v>
      </c>
    </row>
    <row r="604" spans="1:24" ht="15" customHeight="1">
      <c r="A604" s="714"/>
      <c r="B604" s="714"/>
      <c r="C604" s="715"/>
      <c r="D604" s="715"/>
      <c r="E604" s="715"/>
      <c r="F604" s="714"/>
      <c r="G604" s="714"/>
      <c r="H604" s="714"/>
      <c r="I604" s="716"/>
      <c r="J604" s="716"/>
      <c r="K604" s="716"/>
      <c r="L604" s="653" t="str">
        <f t="shared" si="589"/>
        <v>0</v>
      </c>
      <c r="M604" s="654">
        <f t="shared" si="520"/>
        <v>0</v>
      </c>
      <c r="N604" s="655">
        <f>+IF(OR($Q604=Parametres!$G$2,$Q604=Parametres!$G$3),I604,C604)</f>
        <v>0</v>
      </c>
      <c r="O604" s="655">
        <f>+IF(OR($Q604=Parametres!$G$2,$Q604=Parametres!$G$3),J604,D604)</f>
        <v>0</v>
      </c>
      <c r="P604" s="655">
        <f>+IF(OR($Q604=Parametres!$G$2,$Q604=Parametres!$G$3),K604,E604)</f>
        <v>0</v>
      </c>
      <c r="Q604" s="654">
        <f t="shared" ref="Q604:S604" si="615">+F604</f>
        <v>0</v>
      </c>
      <c r="R604" s="653">
        <f t="shared" si="615"/>
        <v>0</v>
      </c>
      <c r="S604" s="654">
        <f t="shared" si="615"/>
        <v>0</v>
      </c>
      <c r="T604" s="656" t="e">
        <f>+VLOOKUP($L604,Data_Validation!$A:$D,1,0)</f>
        <v>#N/A</v>
      </c>
      <c r="U604" s="656" t="e">
        <f>+VLOOKUP($L604,Data_Validation!$A:$D,3,0)</f>
        <v>#N/A</v>
      </c>
      <c r="V604" s="656" t="e">
        <f>+VLOOKUP($L604,Data_Validation!$A:$D,4,0)</f>
        <v>#N/A</v>
      </c>
      <c r="W604" s="656" t="e">
        <f>+VLOOKUP($L604,Data_Validation!$A:$E,5,0)</f>
        <v>#N/A</v>
      </c>
      <c r="X604" s="656" t="e">
        <f>+VLOOKUP($L604,Data_Validation!$A:$F,6,0)</f>
        <v>#N/A</v>
      </c>
    </row>
    <row r="605" spans="1:24" ht="15" customHeight="1">
      <c r="A605" s="714"/>
      <c r="B605" s="714"/>
      <c r="C605" s="715"/>
      <c r="D605" s="715"/>
      <c r="E605" s="715"/>
      <c r="F605" s="714"/>
      <c r="G605" s="714"/>
      <c r="H605" s="714"/>
      <c r="I605" s="716"/>
      <c r="J605" s="716"/>
      <c r="K605" s="716"/>
      <c r="L605" s="653" t="str">
        <f t="shared" si="589"/>
        <v>0</v>
      </c>
      <c r="M605" s="654">
        <f t="shared" si="520"/>
        <v>0</v>
      </c>
      <c r="N605" s="655">
        <f>+IF(OR($Q605=Parametres!$G$2,$Q605=Parametres!$G$3),I605,C605)</f>
        <v>0</v>
      </c>
      <c r="O605" s="655">
        <f>+IF(OR($Q605=Parametres!$G$2,$Q605=Parametres!$G$3),J605,D605)</f>
        <v>0</v>
      </c>
      <c r="P605" s="655">
        <f>+IF(OR($Q605=Parametres!$G$2,$Q605=Parametres!$G$3),K605,E605)</f>
        <v>0</v>
      </c>
      <c r="Q605" s="654">
        <f t="shared" ref="Q605:S605" si="616">+F605</f>
        <v>0</v>
      </c>
      <c r="R605" s="653">
        <f t="shared" si="616"/>
        <v>0</v>
      </c>
      <c r="S605" s="654">
        <f t="shared" si="616"/>
        <v>0</v>
      </c>
      <c r="T605" s="656" t="e">
        <f>+VLOOKUP($L605,Data_Validation!$A:$D,1,0)</f>
        <v>#N/A</v>
      </c>
      <c r="U605" s="656" t="e">
        <f>+VLOOKUP($L605,Data_Validation!$A:$D,3,0)</f>
        <v>#N/A</v>
      </c>
      <c r="V605" s="656" t="e">
        <f>+VLOOKUP($L605,Data_Validation!$A:$D,4,0)</f>
        <v>#N/A</v>
      </c>
      <c r="W605" s="656" t="e">
        <f>+VLOOKUP($L605,Data_Validation!$A:$E,5,0)</f>
        <v>#N/A</v>
      </c>
      <c r="X605" s="656" t="e">
        <f>+VLOOKUP($L605,Data_Validation!$A:$F,6,0)</f>
        <v>#N/A</v>
      </c>
    </row>
    <row r="606" spans="1:24" ht="15" customHeight="1">
      <c r="A606" s="714"/>
      <c r="B606" s="714"/>
      <c r="C606" s="715"/>
      <c r="D606" s="715"/>
      <c r="E606" s="715"/>
      <c r="F606" s="714"/>
      <c r="G606" s="714"/>
      <c r="H606" s="714"/>
      <c r="I606" s="716"/>
      <c r="J606" s="716"/>
      <c r="K606" s="716"/>
      <c r="L606" s="653" t="str">
        <f t="shared" si="589"/>
        <v>0</v>
      </c>
      <c r="M606" s="654">
        <f t="shared" si="520"/>
        <v>0</v>
      </c>
      <c r="N606" s="655">
        <f>+IF(OR($Q606=Parametres!$G$2,$Q606=Parametres!$G$3),I606,C606)</f>
        <v>0</v>
      </c>
      <c r="O606" s="655">
        <f>+IF(OR($Q606=Parametres!$G$2,$Q606=Parametres!$G$3),J606,D606)</f>
        <v>0</v>
      </c>
      <c r="P606" s="655">
        <f>+IF(OR($Q606=Parametres!$G$2,$Q606=Parametres!$G$3),K606,E606)</f>
        <v>0</v>
      </c>
      <c r="Q606" s="654">
        <f t="shared" ref="Q606:S606" si="617">+F606</f>
        <v>0</v>
      </c>
      <c r="R606" s="653">
        <f t="shared" si="617"/>
        <v>0</v>
      </c>
      <c r="S606" s="654">
        <f t="shared" si="617"/>
        <v>0</v>
      </c>
      <c r="T606" s="656" t="e">
        <f>+VLOOKUP($L606,Data_Validation!$A:$D,1,0)</f>
        <v>#N/A</v>
      </c>
      <c r="U606" s="656" t="e">
        <f>+VLOOKUP($L606,Data_Validation!$A:$D,3,0)</f>
        <v>#N/A</v>
      </c>
      <c r="V606" s="656" t="e">
        <f>+VLOOKUP($L606,Data_Validation!$A:$D,4,0)</f>
        <v>#N/A</v>
      </c>
      <c r="W606" s="656" t="e">
        <f>+VLOOKUP($L606,Data_Validation!$A:$E,5,0)</f>
        <v>#N/A</v>
      </c>
      <c r="X606" s="656" t="e">
        <f>+VLOOKUP($L606,Data_Validation!$A:$F,6,0)</f>
        <v>#N/A</v>
      </c>
    </row>
    <row r="607" spans="1:24" ht="15" customHeight="1">
      <c r="A607" s="714"/>
      <c r="B607" s="714"/>
      <c r="C607" s="715"/>
      <c r="D607" s="715"/>
      <c r="E607" s="715"/>
      <c r="F607" s="714"/>
      <c r="G607" s="714"/>
      <c r="H607" s="714"/>
      <c r="I607" s="716"/>
      <c r="J607" s="716"/>
      <c r="K607" s="716"/>
      <c r="L607" s="653" t="str">
        <f t="shared" si="589"/>
        <v>0</v>
      </c>
      <c r="M607" s="654">
        <f t="shared" si="520"/>
        <v>0</v>
      </c>
      <c r="N607" s="655">
        <f>+IF(OR($Q607=Parametres!$G$2,$Q607=Parametres!$G$3),I607,C607)</f>
        <v>0</v>
      </c>
      <c r="O607" s="655">
        <f>+IF(OR($Q607=Parametres!$G$2,$Q607=Parametres!$G$3),J607,D607)</f>
        <v>0</v>
      </c>
      <c r="P607" s="655">
        <f>+IF(OR($Q607=Parametres!$G$2,$Q607=Parametres!$G$3),K607,E607)</f>
        <v>0</v>
      </c>
      <c r="Q607" s="654">
        <f t="shared" ref="Q607:S607" si="618">+F607</f>
        <v>0</v>
      </c>
      <c r="R607" s="653">
        <f t="shared" si="618"/>
        <v>0</v>
      </c>
      <c r="S607" s="654">
        <f t="shared" si="618"/>
        <v>0</v>
      </c>
      <c r="T607" s="656" t="e">
        <f>+VLOOKUP($L607,Data_Validation!$A:$D,1,0)</f>
        <v>#N/A</v>
      </c>
      <c r="U607" s="656" t="e">
        <f>+VLOOKUP($L607,Data_Validation!$A:$D,3,0)</f>
        <v>#N/A</v>
      </c>
      <c r="V607" s="656" t="e">
        <f>+VLOOKUP($L607,Data_Validation!$A:$D,4,0)</f>
        <v>#N/A</v>
      </c>
      <c r="W607" s="656" t="e">
        <f>+VLOOKUP($L607,Data_Validation!$A:$E,5,0)</f>
        <v>#N/A</v>
      </c>
      <c r="X607" s="656" t="e">
        <f>+VLOOKUP($L607,Data_Validation!$A:$F,6,0)</f>
        <v>#N/A</v>
      </c>
    </row>
    <row r="608" spans="1:24" ht="15" customHeight="1">
      <c r="A608" s="714"/>
      <c r="B608" s="714"/>
      <c r="C608" s="715"/>
      <c r="D608" s="715"/>
      <c r="E608" s="715"/>
      <c r="F608" s="714"/>
      <c r="G608" s="714"/>
      <c r="H608" s="714"/>
      <c r="I608" s="716"/>
      <c r="J608" s="716"/>
      <c r="K608" s="716"/>
      <c r="L608" s="653" t="str">
        <f t="shared" si="589"/>
        <v>0</v>
      </c>
      <c r="M608" s="654">
        <f t="shared" si="520"/>
        <v>0</v>
      </c>
      <c r="N608" s="655">
        <f>+IF(OR($Q608=Parametres!$G$2,$Q608=Parametres!$G$3),I608,C608)</f>
        <v>0</v>
      </c>
      <c r="O608" s="655">
        <f>+IF(OR($Q608=Parametres!$G$2,$Q608=Parametres!$G$3),J608,D608)</f>
        <v>0</v>
      </c>
      <c r="P608" s="655">
        <f>+IF(OR($Q608=Parametres!$G$2,$Q608=Parametres!$G$3),K608,E608)</f>
        <v>0</v>
      </c>
      <c r="Q608" s="654">
        <f t="shared" ref="Q608:S608" si="619">+F608</f>
        <v>0</v>
      </c>
      <c r="R608" s="653">
        <f t="shared" si="619"/>
        <v>0</v>
      </c>
      <c r="S608" s="654">
        <f t="shared" si="619"/>
        <v>0</v>
      </c>
      <c r="T608" s="656" t="e">
        <f>+VLOOKUP($L608,Data_Validation!$A:$D,1,0)</f>
        <v>#N/A</v>
      </c>
      <c r="U608" s="656" t="e">
        <f>+VLOOKUP($L608,Data_Validation!$A:$D,3,0)</f>
        <v>#N/A</v>
      </c>
      <c r="V608" s="656" t="e">
        <f>+VLOOKUP($L608,Data_Validation!$A:$D,4,0)</f>
        <v>#N/A</v>
      </c>
      <c r="W608" s="656" t="e">
        <f>+VLOOKUP($L608,Data_Validation!$A:$E,5,0)</f>
        <v>#N/A</v>
      </c>
      <c r="X608" s="656" t="e">
        <f>+VLOOKUP($L608,Data_Validation!$A:$F,6,0)</f>
        <v>#N/A</v>
      </c>
    </row>
    <row r="609" spans="1:24" ht="15" customHeight="1">
      <c r="A609" s="714"/>
      <c r="B609" s="714"/>
      <c r="C609" s="715"/>
      <c r="D609" s="715"/>
      <c r="E609" s="715"/>
      <c r="F609" s="714"/>
      <c r="G609" s="714"/>
      <c r="H609" s="714"/>
      <c r="I609" s="716"/>
      <c r="J609" s="716"/>
      <c r="K609" s="716"/>
      <c r="L609" s="653" t="str">
        <f t="shared" si="589"/>
        <v>0</v>
      </c>
      <c r="M609" s="654">
        <f t="shared" si="520"/>
        <v>0</v>
      </c>
      <c r="N609" s="655">
        <f>+IF(OR($Q609=Parametres!$G$2,$Q609=Parametres!$G$3),I609,C609)</f>
        <v>0</v>
      </c>
      <c r="O609" s="655">
        <f>+IF(OR($Q609=Parametres!$G$2,$Q609=Parametres!$G$3),J609,D609)</f>
        <v>0</v>
      </c>
      <c r="P609" s="655">
        <f>+IF(OR($Q609=Parametres!$G$2,$Q609=Parametres!$G$3),K609,E609)</f>
        <v>0</v>
      </c>
      <c r="Q609" s="654">
        <f t="shared" ref="Q609:S609" si="620">+F609</f>
        <v>0</v>
      </c>
      <c r="R609" s="653">
        <f t="shared" si="620"/>
        <v>0</v>
      </c>
      <c r="S609" s="654">
        <f t="shared" si="620"/>
        <v>0</v>
      </c>
      <c r="T609" s="656" t="e">
        <f>+VLOOKUP($L609,Data_Validation!$A:$D,1,0)</f>
        <v>#N/A</v>
      </c>
      <c r="U609" s="656" t="e">
        <f>+VLOOKUP($L609,Data_Validation!$A:$D,3,0)</f>
        <v>#N/A</v>
      </c>
      <c r="V609" s="656" t="e">
        <f>+VLOOKUP($L609,Data_Validation!$A:$D,4,0)</f>
        <v>#N/A</v>
      </c>
      <c r="W609" s="656" t="e">
        <f>+VLOOKUP($L609,Data_Validation!$A:$E,5,0)</f>
        <v>#N/A</v>
      </c>
      <c r="X609" s="656" t="e">
        <f>+VLOOKUP($L609,Data_Validation!$A:$F,6,0)</f>
        <v>#N/A</v>
      </c>
    </row>
    <row r="610" spans="1:24" ht="15" customHeight="1">
      <c r="A610" s="714"/>
      <c r="B610" s="714"/>
      <c r="C610" s="715"/>
      <c r="D610" s="715"/>
      <c r="E610" s="715"/>
      <c r="F610" s="714"/>
      <c r="G610" s="714"/>
      <c r="H610" s="714"/>
      <c r="I610" s="716"/>
      <c r="J610" s="716"/>
      <c r="K610" s="716"/>
      <c r="L610" s="653" t="str">
        <f t="shared" si="589"/>
        <v>0</v>
      </c>
      <c r="M610" s="654">
        <f t="shared" si="520"/>
        <v>0</v>
      </c>
      <c r="N610" s="655">
        <f>+IF(OR($Q610=Parametres!$G$2,$Q610=Parametres!$G$3),I610,C610)</f>
        <v>0</v>
      </c>
      <c r="O610" s="655">
        <f>+IF(OR($Q610=Parametres!$G$2,$Q610=Parametres!$G$3),J610,D610)</f>
        <v>0</v>
      </c>
      <c r="P610" s="655">
        <f>+IF(OR($Q610=Parametres!$G$2,$Q610=Parametres!$G$3),K610,E610)</f>
        <v>0</v>
      </c>
      <c r="Q610" s="654">
        <f t="shared" ref="Q610:S610" si="621">+F610</f>
        <v>0</v>
      </c>
      <c r="R610" s="653">
        <f t="shared" si="621"/>
        <v>0</v>
      </c>
      <c r="S610" s="654">
        <f t="shared" si="621"/>
        <v>0</v>
      </c>
      <c r="T610" s="656" t="e">
        <f>+VLOOKUP($L610,Data_Validation!$A:$D,1,0)</f>
        <v>#N/A</v>
      </c>
      <c r="U610" s="656" t="e">
        <f>+VLOOKUP($L610,Data_Validation!$A:$D,3,0)</f>
        <v>#N/A</v>
      </c>
      <c r="V610" s="656" t="e">
        <f>+VLOOKUP($L610,Data_Validation!$A:$D,4,0)</f>
        <v>#N/A</v>
      </c>
      <c r="W610" s="656" t="e">
        <f>+VLOOKUP($L610,Data_Validation!$A:$E,5,0)</f>
        <v>#N/A</v>
      </c>
      <c r="X610" s="656" t="e">
        <f>+VLOOKUP($L610,Data_Validation!$A:$F,6,0)</f>
        <v>#N/A</v>
      </c>
    </row>
    <row r="611" spans="1:24" ht="15" customHeight="1">
      <c r="A611" s="714"/>
      <c r="B611" s="714"/>
      <c r="C611" s="715"/>
      <c r="D611" s="715"/>
      <c r="E611" s="715"/>
      <c r="F611" s="714"/>
      <c r="G611" s="714"/>
      <c r="H611" s="714"/>
      <c r="I611" s="716"/>
      <c r="J611" s="716"/>
      <c r="K611" s="716"/>
      <c r="L611" s="653" t="str">
        <f t="shared" si="589"/>
        <v>0</v>
      </c>
      <c r="M611" s="654">
        <f t="shared" si="520"/>
        <v>0</v>
      </c>
      <c r="N611" s="655">
        <f>+IF(OR($Q611=Parametres!$G$2,$Q611=Parametres!$G$3),I611,C611)</f>
        <v>0</v>
      </c>
      <c r="O611" s="655">
        <f>+IF(OR($Q611=Parametres!$G$2,$Q611=Parametres!$G$3),J611,D611)</f>
        <v>0</v>
      </c>
      <c r="P611" s="655">
        <f>+IF(OR($Q611=Parametres!$G$2,$Q611=Parametres!$G$3),K611,E611)</f>
        <v>0</v>
      </c>
      <c r="Q611" s="654">
        <f t="shared" ref="Q611:S611" si="622">+F611</f>
        <v>0</v>
      </c>
      <c r="R611" s="653">
        <f t="shared" si="622"/>
        <v>0</v>
      </c>
      <c r="S611" s="654">
        <f t="shared" si="622"/>
        <v>0</v>
      </c>
      <c r="T611" s="656" t="e">
        <f>+VLOOKUP($L611,Data_Validation!$A:$D,1,0)</f>
        <v>#N/A</v>
      </c>
      <c r="U611" s="656" t="e">
        <f>+VLOOKUP($L611,Data_Validation!$A:$D,3,0)</f>
        <v>#N/A</v>
      </c>
      <c r="V611" s="656" t="e">
        <f>+VLOOKUP($L611,Data_Validation!$A:$D,4,0)</f>
        <v>#N/A</v>
      </c>
      <c r="W611" s="656" t="e">
        <f>+VLOOKUP($L611,Data_Validation!$A:$E,5,0)</f>
        <v>#N/A</v>
      </c>
      <c r="X611" s="656" t="e">
        <f>+VLOOKUP($L611,Data_Validation!$A:$F,6,0)</f>
        <v>#N/A</v>
      </c>
    </row>
    <row r="612" spans="1:24" ht="15" customHeight="1">
      <c r="A612" s="714"/>
      <c r="B612" s="714"/>
      <c r="C612" s="715"/>
      <c r="D612" s="715"/>
      <c r="E612" s="715"/>
      <c r="F612" s="714"/>
      <c r="G612" s="714"/>
      <c r="H612" s="714"/>
      <c r="I612" s="716"/>
      <c r="J612" s="716"/>
      <c r="K612" s="716"/>
      <c r="L612" s="653" t="str">
        <f t="shared" si="589"/>
        <v>0</v>
      </c>
      <c r="M612" s="654">
        <f t="shared" si="520"/>
        <v>0</v>
      </c>
      <c r="N612" s="655">
        <f>+IF(OR($Q612=Parametres!$G$2,$Q612=Parametres!$G$3),I612,C612)</f>
        <v>0</v>
      </c>
      <c r="O612" s="655">
        <f>+IF(OR($Q612=Parametres!$G$2,$Q612=Parametres!$G$3),J612,D612)</f>
        <v>0</v>
      </c>
      <c r="P612" s="655">
        <f>+IF(OR($Q612=Parametres!$G$2,$Q612=Parametres!$G$3),K612,E612)</f>
        <v>0</v>
      </c>
      <c r="Q612" s="654">
        <f t="shared" ref="Q612:S612" si="623">+F612</f>
        <v>0</v>
      </c>
      <c r="R612" s="653">
        <f t="shared" si="623"/>
        <v>0</v>
      </c>
      <c r="S612" s="654">
        <f t="shared" si="623"/>
        <v>0</v>
      </c>
      <c r="T612" s="656" t="e">
        <f>+VLOOKUP($L612,Data_Validation!$A:$D,1,0)</f>
        <v>#N/A</v>
      </c>
      <c r="U612" s="656" t="e">
        <f>+VLOOKUP($L612,Data_Validation!$A:$D,3,0)</f>
        <v>#N/A</v>
      </c>
      <c r="V612" s="656" t="e">
        <f>+VLOOKUP($L612,Data_Validation!$A:$D,4,0)</f>
        <v>#N/A</v>
      </c>
      <c r="W612" s="656" t="e">
        <f>+VLOOKUP($L612,Data_Validation!$A:$E,5,0)</f>
        <v>#N/A</v>
      </c>
      <c r="X612" s="656" t="e">
        <f>+VLOOKUP($L612,Data_Validation!$A:$F,6,0)</f>
        <v>#N/A</v>
      </c>
    </row>
    <row r="613" spans="1:24" ht="15" customHeight="1">
      <c r="A613" s="714"/>
      <c r="B613" s="714"/>
      <c r="C613" s="715"/>
      <c r="D613" s="715"/>
      <c r="E613" s="715"/>
      <c r="F613" s="714"/>
      <c r="G613" s="714"/>
      <c r="H613" s="714"/>
      <c r="I613" s="716"/>
      <c r="J613" s="716"/>
      <c r="K613" s="716"/>
      <c r="L613" s="653" t="str">
        <f t="shared" si="589"/>
        <v>0</v>
      </c>
      <c r="M613" s="654">
        <f t="shared" si="520"/>
        <v>0</v>
      </c>
      <c r="N613" s="655">
        <f>+IF(OR($Q613=Parametres!$G$2,$Q613=Parametres!$G$3),I613,C613)</f>
        <v>0</v>
      </c>
      <c r="O613" s="655">
        <f>+IF(OR($Q613=Parametres!$G$2,$Q613=Parametres!$G$3),J613,D613)</f>
        <v>0</v>
      </c>
      <c r="P613" s="655">
        <f>+IF(OR($Q613=Parametres!$G$2,$Q613=Parametres!$G$3),K613,E613)</f>
        <v>0</v>
      </c>
      <c r="Q613" s="654">
        <f t="shared" ref="Q613:S613" si="624">+F613</f>
        <v>0</v>
      </c>
      <c r="R613" s="653">
        <f t="shared" si="624"/>
        <v>0</v>
      </c>
      <c r="S613" s="654">
        <f t="shared" si="624"/>
        <v>0</v>
      </c>
      <c r="T613" s="656" t="e">
        <f>+VLOOKUP($L613,Data_Validation!$A:$D,1,0)</f>
        <v>#N/A</v>
      </c>
      <c r="U613" s="656" t="e">
        <f>+VLOOKUP($L613,Data_Validation!$A:$D,3,0)</f>
        <v>#N/A</v>
      </c>
      <c r="V613" s="656" t="e">
        <f>+VLOOKUP($L613,Data_Validation!$A:$D,4,0)</f>
        <v>#N/A</v>
      </c>
      <c r="W613" s="656" t="e">
        <f>+VLOOKUP($L613,Data_Validation!$A:$E,5,0)</f>
        <v>#N/A</v>
      </c>
      <c r="X613" s="656" t="e">
        <f>+VLOOKUP($L613,Data_Validation!$A:$F,6,0)</f>
        <v>#N/A</v>
      </c>
    </row>
    <row r="614" spans="1:24" ht="15" customHeight="1">
      <c r="A614" s="714"/>
      <c r="B614" s="714"/>
      <c r="C614" s="715"/>
      <c r="D614" s="715"/>
      <c r="E614" s="715"/>
      <c r="F614" s="714"/>
      <c r="G614" s="714"/>
      <c r="H614" s="714"/>
      <c r="I614" s="716"/>
      <c r="J614" s="716"/>
      <c r="K614" s="716"/>
      <c r="L614" s="653" t="str">
        <f t="shared" si="589"/>
        <v>0</v>
      </c>
      <c r="M614" s="654">
        <f t="shared" si="520"/>
        <v>0</v>
      </c>
      <c r="N614" s="655">
        <f>+IF(OR($Q614=Parametres!$G$2,$Q614=Parametres!$G$3),I614,C614)</f>
        <v>0</v>
      </c>
      <c r="O614" s="655">
        <f>+IF(OR($Q614=Parametres!$G$2,$Q614=Parametres!$G$3),J614,D614)</f>
        <v>0</v>
      </c>
      <c r="P614" s="655">
        <f>+IF(OR($Q614=Parametres!$G$2,$Q614=Parametres!$G$3),K614,E614)</f>
        <v>0</v>
      </c>
      <c r="Q614" s="654">
        <f t="shared" ref="Q614:S614" si="625">+F614</f>
        <v>0</v>
      </c>
      <c r="R614" s="653">
        <f t="shared" si="625"/>
        <v>0</v>
      </c>
      <c r="S614" s="654">
        <f t="shared" si="625"/>
        <v>0</v>
      </c>
      <c r="T614" s="656" t="e">
        <f>+VLOOKUP($L614,Data_Validation!$A:$D,1,0)</f>
        <v>#N/A</v>
      </c>
      <c r="U614" s="656" t="e">
        <f>+VLOOKUP($L614,Data_Validation!$A:$D,3,0)</f>
        <v>#N/A</v>
      </c>
      <c r="V614" s="656" t="e">
        <f>+VLOOKUP($L614,Data_Validation!$A:$D,4,0)</f>
        <v>#N/A</v>
      </c>
      <c r="W614" s="656" t="e">
        <f>+VLOOKUP($L614,Data_Validation!$A:$E,5,0)</f>
        <v>#N/A</v>
      </c>
      <c r="X614" s="656" t="e">
        <f>+VLOOKUP($L614,Data_Validation!$A:$F,6,0)</f>
        <v>#N/A</v>
      </c>
    </row>
    <row r="615" spans="1:24" ht="15" customHeight="1">
      <c r="A615" s="714"/>
      <c r="B615" s="714"/>
      <c r="C615" s="715"/>
      <c r="D615" s="715"/>
      <c r="E615" s="715"/>
      <c r="F615" s="714"/>
      <c r="G615" s="714"/>
      <c r="H615" s="714"/>
      <c r="I615" s="716"/>
      <c r="J615" s="716"/>
      <c r="K615" s="716"/>
      <c r="L615" s="653" t="str">
        <f t="shared" si="589"/>
        <v>0</v>
      </c>
      <c r="M615" s="654">
        <f t="shared" si="520"/>
        <v>0</v>
      </c>
      <c r="N615" s="655">
        <f>+IF(OR($Q615=Parametres!$G$2,$Q615=Parametres!$G$3),I615,C615)</f>
        <v>0</v>
      </c>
      <c r="O615" s="655">
        <f>+IF(OR($Q615=Parametres!$G$2,$Q615=Parametres!$G$3),J615,D615)</f>
        <v>0</v>
      </c>
      <c r="P615" s="655">
        <f>+IF(OR($Q615=Parametres!$G$2,$Q615=Parametres!$G$3),K615,E615)</f>
        <v>0</v>
      </c>
      <c r="Q615" s="654">
        <f t="shared" ref="Q615:S615" si="626">+F615</f>
        <v>0</v>
      </c>
      <c r="R615" s="653">
        <f t="shared" si="626"/>
        <v>0</v>
      </c>
      <c r="S615" s="654">
        <f t="shared" si="626"/>
        <v>0</v>
      </c>
      <c r="T615" s="656" t="e">
        <f>+VLOOKUP($L615,Data_Validation!$A:$D,1,0)</f>
        <v>#N/A</v>
      </c>
      <c r="U615" s="656" t="e">
        <f>+VLOOKUP($L615,Data_Validation!$A:$D,3,0)</f>
        <v>#N/A</v>
      </c>
      <c r="V615" s="656" t="e">
        <f>+VLOOKUP($L615,Data_Validation!$A:$D,4,0)</f>
        <v>#N/A</v>
      </c>
      <c r="W615" s="656" t="e">
        <f>+VLOOKUP($L615,Data_Validation!$A:$E,5,0)</f>
        <v>#N/A</v>
      </c>
      <c r="X615" s="656" t="e">
        <f>+VLOOKUP($L615,Data_Validation!$A:$F,6,0)</f>
        <v>#N/A</v>
      </c>
    </row>
    <row r="616" spans="1:24" ht="15" customHeight="1">
      <c r="A616" s="714"/>
      <c r="B616" s="714"/>
      <c r="C616" s="715"/>
      <c r="D616" s="715"/>
      <c r="E616" s="715"/>
      <c r="F616" s="714"/>
      <c r="G616" s="714"/>
      <c r="H616" s="714"/>
      <c r="I616" s="716"/>
      <c r="J616" s="716"/>
      <c r="K616" s="716"/>
      <c r="L616" s="653" t="str">
        <f t="shared" si="589"/>
        <v>0</v>
      </c>
      <c r="M616" s="654">
        <f t="shared" si="520"/>
        <v>0</v>
      </c>
      <c r="N616" s="655">
        <f>+IF(OR($Q616=Parametres!$G$2,$Q616=Parametres!$G$3),I616,C616)</f>
        <v>0</v>
      </c>
      <c r="O616" s="655">
        <f>+IF(OR($Q616=Parametres!$G$2,$Q616=Parametres!$G$3),J616,D616)</f>
        <v>0</v>
      </c>
      <c r="P616" s="655">
        <f>+IF(OR($Q616=Parametres!$G$2,$Q616=Parametres!$G$3),K616,E616)</f>
        <v>0</v>
      </c>
      <c r="Q616" s="654">
        <f t="shared" ref="Q616:S616" si="627">+F616</f>
        <v>0</v>
      </c>
      <c r="R616" s="653">
        <f t="shared" si="627"/>
        <v>0</v>
      </c>
      <c r="S616" s="654">
        <f t="shared" si="627"/>
        <v>0</v>
      </c>
      <c r="T616" s="656" t="e">
        <f>+VLOOKUP($L616,Data_Validation!$A:$D,1,0)</f>
        <v>#N/A</v>
      </c>
      <c r="U616" s="656" t="e">
        <f>+VLOOKUP($L616,Data_Validation!$A:$D,3,0)</f>
        <v>#N/A</v>
      </c>
      <c r="V616" s="656" t="e">
        <f>+VLOOKUP($L616,Data_Validation!$A:$D,4,0)</f>
        <v>#N/A</v>
      </c>
      <c r="W616" s="656" t="e">
        <f>+VLOOKUP($L616,Data_Validation!$A:$E,5,0)</f>
        <v>#N/A</v>
      </c>
      <c r="X616" s="656" t="e">
        <f>+VLOOKUP($L616,Data_Validation!$A:$F,6,0)</f>
        <v>#N/A</v>
      </c>
    </row>
    <row r="617" spans="1:24" ht="15" customHeight="1">
      <c r="A617" s="714"/>
      <c r="B617" s="714"/>
      <c r="C617" s="715"/>
      <c r="D617" s="715"/>
      <c r="E617" s="715"/>
      <c r="F617" s="714"/>
      <c r="G617" s="714"/>
      <c r="H617" s="714"/>
      <c r="I617" s="716"/>
      <c r="J617" s="716"/>
      <c r="K617" s="716"/>
      <c r="L617" s="653" t="str">
        <f t="shared" si="589"/>
        <v>0</v>
      </c>
      <c r="M617" s="654">
        <f t="shared" si="520"/>
        <v>0</v>
      </c>
      <c r="N617" s="655">
        <f>+IF(OR($Q617=Parametres!$G$2,$Q617=Parametres!$G$3),I617,C617)</f>
        <v>0</v>
      </c>
      <c r="O617" s="655">
        <f>+IF(OR($Q617=Parametres!$G$2,$Q617=Parametres!$G$3),J617,D617)</f>
        <v>0</v>
      </c>
      <c r="P617" s="655">
        <f>+IF(OR($Q617=Parametres!$G$2,$Q617=Parametres!$G$3),K617,E617)</f>
        <v>0</v>
      </c>
      <c r="Q617" s="654">
        <f t="shared" ref="Q617:S617" si="628">+F617</f>
        <v>0</v>
      </c>
      <c r="R617" s="653">
        <f t="shared" si="628"/>
        <v>0</v>
      </c>
      <c r="S617" s="654">
        <f t="shared" si="628"/>
        <v>0</v>
      </c>
      <c r="T617" s="656" t="e">
        <f>+VLOOKUP($L617,Data_Validation!$A:$D,1,0)</f>
        <v>#N/A</v>
      </c>
      <c r="U617" s="656" t="e">
        <f>+VLOOKUP($L617,Data_Validation!$A:$D,3,0)</f>
        <v>#N/A</v>
      </c>
      <c r="V617" s="656" t="e">
        <f>+VLOOKUP($L617,Data_Validation!$A:$D,4,0)</f>
        <v>#N/A</v>
      </c>
      <c r="W617" s="656" t="e">
        <f>+VLOOKUP($L617,Data_Validation!$A:$E,5,0)</f>
        <v>#N/A</v>
      </c>
      <c r="X617" s="656" t="e">
        <f>+VLOOKUP($L617,Data_Validation!$A:$F,6,0)</f>
        <v>#N/A</v>
      </c>
    </row>
    <row r="618" spans="1:24" ht="15" customHeight="1">
      <c r="A618" s="714"/>
      <c r="B618" s="714"/>
      <c r="C618" s="715"/>
      <c r="D618" s="715"/>
      <c r="E618" s="715"/>
      <c r="F618" s="714"/>
      <c r="G618" s="714"/>
      <c r="H618" s="714"/>
      <c r="I618" s="716"/>
      <c r="J618" s="716"/>
      <c r="K618" s="716"/>
      <c r="L618" s="653" t="str">
        <f t="shared" si="589"/>
        <v>0</v>
      </c>
      <c r="M618" s="654">
        <f t="shared" si="520"/>
        <v>0</v>
      </c>
      <c r="N618" s="655">
        <f>+IF(OR($Q618=Parametres!$G$2,$Q618=Parametres!$G$3),I618,C618)</f>
        <v>0</v>
      </c>
      <c r="O618" s="655">
        <f>+IF(OR($Q618=Parametres!$G$2,$Q618=Parametres!$G$3),J618,D618)</f>
        <v>0</v>
      </c>
      <c r="P618" s="655">
        <f>+IF(OR($Q618=Parametres!$G$2,$Q618=Parametres!$G$3),K618,E618)</f>
        <v>0</v>
      </c>
      <c r="Q618" s="654">
        <f t="shared" ref="Q618:S618" si="629">+F618</f>
        <v>0</v>
      </c>
      <c r="R618" s="653">
        <f t="shared" si="629"/>
        <v>0</v>
      </c>
      <c r="S618" s="654">
        <f t="shared" si="629"/>
        <v>0</v>
      </c>
      <c r="T618" s="656" t="e">
        <f>+VLOOKUP($L618,Data_Validation!$A:$D,1,0)</f>
        <v>#N/A</v>
      </c>
      <c r="U618" s="656" t="e">
        <f>+VLOOKUP($L618,Data_Validation!$A:$D,3,0)</f>
        <v>#N/A</v>
      </c>
      <c r="V618" s="656" t="e">
        <f>+VLOOKUP($L618,Data_Validation!$A:$D,4,0)</f>
        <v>#N/A</v>
      </c>
      <c r="W618" s="656" t="e">
        <f>+VLOOKUP($L618,Data_Validation!$A:$E,5,0)</f>
        <v>#N/A</v>
      </c>
      <c r="X618" s="656" t="e">
        <f>+VLOOKUP($L618,Data_Validation!$A:$F,6,0)</f>
        <v>#N/A</v>
      </c>
    </row>
    <row r="619" spans="1:24" ht="15" customHeight="1">
      <c r="A619" s="714"/>
      <c r="B619" s="714"/>
      <c r="C619" s="715"/>
      <c r="D619" s="715"/>
      <c r="E619" s="715"/>
      <c r="F619" s="714"/>
      <c r="G619" s="714"/>
      <c r="H619" s="714"/>
      <c r="I619" s="716"/>
      <c r="J619" s="716"/>
      <c r="K619" s="716"/>
      <c r="L619" s="653" t="str">
        <f t="shared" si="589"/>
        <v>0</v>
      </c>
      <c r="M619" s="654">
        <f t="shared" si="520"/>
        <v>0</v>
      </c>
      <c r="N619" s="655">
        <f>+IF(OR($Q619=Parametres!$G$2,$Q619=Parametres!$G$3),I619,C619)</f>
        <v>0</v>
      </c>
      <c r="O619" s="655">
        <f>+IF(OR($Q619=Parametres!$G$2,$Q619=Parametres!$G$3),J619,D619)</f>
        <v>0</v>
      </c>
      <c r="P619" s="655">
        <f>+IF(OR($Q619=Parametres!$G$2,$Q619=Parametres!$G$3),K619,E619)</f>
        <v>0</v>
      </c>
      <c r="Q619" s="654">
        <f t="shared" ref="Q619:S619" si="630">+F619</f>
        <v>0</v>
      </c>
      <c r="R619" s="653">
        <f t="shared" si="630"/>
        <v>0</v>
      </c>
      <c r="S619" s="654">
        <f t="shared" si="630"/>
        <v>0</v>
      </c>
      <c r="T619" s="656" t="e">
        <f>+VLOOKUP($L619,Data_Validation!$A:$D,1,0)</f>
        <v>#N/A</v>
      </c>
      <c r="U619" s="656" t="e">
        <f>+VLOOKUP($L619,Data_Validation!$A:$D,3,0)</f>
        <v>#N/A</v>
      </c>
      <c r="V619" s="656" t="e">
        <f>+VLOOKUP($L619,Data_Validation!$A:$D,4,0)</f>
        <v>#N/A</v>
      </c>
      <c r="W619" s="656" t="e">
        <f>+VLOOKUP($L619,Data_Validation!$A:$E,5,0)</f>
        <v>#N/A</v>
      </c>
      <c r="X619" s="656" t="e">
        <f>+VLOOKUP($L619,Data_Validation!$A:$F,6,0)</f>
        <v>#N/A</v>
      </c>
    </row>
    <row r="620" spans="1:24" ht="15" customHeight="1">
      <c r="A620" s="714"/>
      <c r="B620" s="714"/>
      <c r="C620" s="715"/>
      <c r="D620" s="715"/>
      <c r="E620" s="715"/>
      <c r="F620" s="714"/>
      <c r="G620" s="714"/>
      <c r="H620" s="714"/>
      <c r="I620" s="716"/>
      <c r="J620" s="716"/>
      <c r="K620" s="716"/>
      <c r="L620" s="653" t="str">
        <f t="shared" si="589"/>
        <v>0</v>
      </c>
      <c r="M620" s="654">
        <f t="shared" si="520"/>
        <v>0</v>
      </c>
      <c r="N620" s="655">
        <f>+IF(OR($Q620=Parametres!$G$2,$Q620=Parametres!$G$3),I620,C620)</f>
        <v>0</v>
      </c>
      <c r="O620" s="655">
        <f>+IF(OR($Q620=Parametres!$G$2,$Q620=Parametres!$G$3),J620,D620)</f>
        <v>0</v>
      </c>
      <c r="P620" s="655">
        <f>+IF(OR($Q620=Parametres!$G$2,$Q620=Parametres!$G$3),K620,E620)</f>
        <v>0</v>
      </c>
      <c r="Q620" s="654">
        <f t="shared" ref="Q620:S620" si="631">+F620</f>
        <v>0</v>
      </c>
      <c r="R620" s="653">
        <f t="shared" si="631"/>
        <v>0</v>
      </c>
      <c r="S620" s="654">
        <f t="shared" si="631"/>
        <v>0</v>
      </c>
      <c r="T620" s="656" t="e">
        <f>+VLOOKUP($L620,Data_Validation!$A:$D,1,0)</f>
        <v>#N/A</v>
      </c>
      <c r="U620" s="656" t="e">
        <f>+VLOOKUP($L620,Data_Validation!$A:$D,3,0)</f>
        <v>#N/A</v>
      </c>
      <c r="V620" s="656" t="e">
        <f>+VLOOKUP($L620,Data_Validation!$A:$D,4,0)</f>
        <v>#N/A</v>
      </c>
      <c r="W620" s="656" t="e">
        <f>+VLOOKUP($L620,Data_Validation!$A:$E,5,0)</f>
        <v>#N/A</v>
      </c>
      <c r="X620" s="656" t="e">
        <f>+VLOOKUP($L620,Data_Validation!$A:$F,6,0)</f>
        <v>#N/A</v>
      </c>
    </row>
    <row r="621" spans="1:24" ht="15" customHeight="1">
      <c r="A621" s="714"/>
      <c r="B621" s="714"/>
      <c r="C621" s="715"/>
      <c r="D621" s="715"/>
      <c r="E621" s="715"/>
      <c r="F621" s="714"/>
      <c r="G621" s="714"/>
      <c r="H621" s="714"/>
      <c r="I621" s="716"/>
      <c r="J621" s="716"/>
      <c r="K621" s="716"/>
      <c r="L621" s="653" t="str">
        <f t="shared" si="589"/>
        <v>0</v>
      </c>
      <c r="M621" s="654">
        <f t="shared" si="520"/>
        <v>0</v>
      </c>
      <c r="N621" s="655">
        <f>+IF(OR($Q621=Parametres!$G$2,$Q621=Parametres!$G$3),I621,C621)</f>
        <v>0</v>
      </c>
      <c r="O621" s="655">
        <f>+IF(OR($Q621=Parametres!$G$2,$Q621=Parametres!$G$3),J621,D621)</f>
        <v>0</v>
      </c>
      <c r="P621" s="655">
        <f>+IF(OR($Q621=Parametres!$G$2,$Q621=Parametres!$G$3),K621,E621)</f>
        <v>0</v>
      </c>
      <c r="Q621" s="654">
        <f t="shared" ref="Q621:S621" si="632">+F621</f>
        <v>0</v>
      </c>
      <c r="R621" s="653">
        <f t="shared" si="632"/>
        <v>0</v>
      </c>
      <c r="S621" s="654">
        <f t="shared" si="632"/>
        <v>0</v>
      </c>
      <c r="T621" s="656" t="e">
        <f>+VLOOKUP($L621,Data_Validation!$A:$D,1,0)</f>
        <v>#N/A</v>
      </c>
      <c r="U621" s="656" t="e">
        <f>+VLOOKUP($L621,Data_Validation!$A:$D,3,0)</f>
        <v>#N/A</v>
      </c>
      <c r="V621" s="656" t="e">
        <f>+VLOOKUP($L621,Data_Validation!$A:$D,4,0)</f>
        <v>#N/A</v>
      </c>
      <c r="W621" s="656" t="e">
        <f>+VLOOKUP($L621,Data_Validation!$A:$E,5,0)</f>
        <v>#N/A</v>
      </c>
      <c r="X621" s="656" t="e">
        <f>+VLOOKUP($L621,Data_Validation!$A:$F,6,0)</f>
        <v>#N/A</v>
      </c>
    </row>
    <row r="622" spans="1:24" ht="15" customHeight="1">
      <c r="A622" s="714"/>
      <c r="B622" s="714"/>
      <c r="C622" s="715"/>
      <c r="D622" s="715"/>
      <c r="E622" s="715"/>
      <c r="F622" s="714"/>
      <c r="G622" s="714"/>
      <c r="H622" s="714"/>
      <c r="I622" s="716"/>
      <c r="J622" s="716"/>
      <c r="K622" s="716"/>
      <c r="L622" s="653" t="str">
        <f t="shared" si="589"/>
        <v>0</v>
      </c>
      <c r="M622" s="654">
        <f t="shared" si="520"/>
        <v>0</v>
      </c>
      <c r="N622" s="655">
        <f>+IF(OR($Q622=Parametres!$G$2,$Q622=Parametres!$G$3),I622,C622)</f>
        <v>0</v>
      </c>
      <c r="O622" s="713">
        <f>+IF(OR($Q622=Parametres!$G$2,$Q622=Parametres!$G$3),J622,D622)</f>
        <v>0</v>
      </c>
      <c r="P622" s="655">
        <f>+IF(OR($Q622=Parametres!$G$2,$Q622=Parametres!$G$3),K622,E622)</f>
        <v>0</v>
      </c>
      <c r="Q622" s="654">
        <f t="shared" ref="Q622:S622" si="633">+F622</f>
        <v>0</v>
      </c>
      <c r="R622" s="653">
        <f t="shared" si="633"/>
        <v>0</v>
      </c>
      <c r="S622" s="654">
        <f t="shared" si="633"/>
        <v>0</v>
      </c>
      <c r="T622" s="656" t="e">
        <f>+VLOOKUP($L622,Data_Validation!$A:$D,1,0)</f>
        <v>#N/A</v>
      </c>
      <c r="U622" s="656" t="e">
        <f>+VLOOKUP($L622,Data_Validation!$A:$D,3,0)</f>
        <v>#N/A</v>
      </c>
      <c r="V622" s="656" t="e">
        <f>+VLOOKUP($L622,Data_Validation!$A:$D,4,0)</f>
        <v>#N/A</v>
      </c>
      <c r="W622" s="656" t="e">
        <f>+VLOOKUP($L622,Data_Validation!$A:$E,5,0)</f>
        <v>#N/A</v>
      </c>
      <c r="X622" s="656" t="e">
        <f>+VLOOKUP($L622,Data_Validation!$A:$F,6,0)</f>
        <v>#N/A</v>
      </c>
    </row>
    <row r="623" spans="1:24" ht="15" customHeight="1">
      <c r="A623" s="714"/>
      <c r="B623" s="714"/>
      <c r="C623" s="715"/>
      <c r="D623" s="715"/>
      <c r="E623" s="715"/>
      <c r="F623" s="714"/>
      <c r="G623" s="714"/>
      <c r="H623" s="714"/>
      <c r="I623" s="716"/>
      <c r="J623" s="716"/>
      <c r="K623" s="716"/>
      <c r="L623" s="653" t="str">
        <f t="shared" si="589"/>
        <v>0</v>
      </c>
      <c r="M623" s="654">
        <f t="shared" si="520"/>
        <v>0</v>
      </c>
      <c r="N623" s="655">
        <f>+IF(OR($Q623=Parametres!$G$2,$Q623=Parametres!$G$3),I623,C623)</f>
        <v>0</v>
      </c>
      <c r="O623" s="655">
        <f>+IF(OR($Q623=Parametres!$G$2,$Q623=Parametres!$G$3),J623,D623)</f>
        <v>0</v>
      </c>
      <c r="P623" s="655">
        <f>+IF(OR($Q623=Parametres!$G$2,$Q623=Parametres!$G$3),K623,E623)</f>
        <v>0</v>
      </c>
      <c r="Q623" s="654">
        <f t="shared" ref="Q623:S623" si="634">+F623</f>
        <v>0</v>
      </c>
      <c r="R623" s="653">
        <f t="shared" si="634"/>
        <v>0</v>
      </c>
      <c r="S623" s="654">
        <f t="shared" si="634"/>
        <v>0</v>
      </c>
      <c r="T623" s="656" t="e">
        <f>+VLOOKUP($L623,Data_Validation!$A:$D,1,0)</f>
        <v>#N/A</v>
      </c>
      <c r="U623" s="656" t="e">
        <f>+VLOOKUP($L623,Data_Validation!$A:$D,3,0)</f>
        <v>#N/A</v>
      </c>
      <c r="V623" s="656" t="e">
        <f>+VLOOKUP($L623,Data_Validation!$A:$D,4,0)</f>
        <v>#N/A</v>
      </c>
      <c r="W623" s="656" t="e">
        <f>+VLOOKUP($L623,Data_Validation!$A:$E,5,0)</f>
        <v>#N/A</v>
      </c>
      <c r="X623" s="656" t="e">
        <f>+VLOOKUP($L623,Data_Validation!$A:$F,6,0)</f>
        <v>#N/A</v>
      </c>
    </row>
    <row r="624" spans="1:24" ht="15" customHeight="1">
      <c r="A624" s="714"/>
      <c r="B624" s="714"/>
      <c r="C624" s="715"/>
      <c r="D624" s="715"/>
      <c r="E624" s="715"/>
      <c r="F624" s="714"/>
      <c r="G624" s="714"/>
      <c r="H624" s="714"/>
      <c r="I624" s="716"/>
      <c r="J624" s="716"/>
      <c r="K624" s="716"/>
      <c r="L624" s="653" t="str">
        <f t="shared" si="589"/>
        <v>0</v>
      </c>
      <c r="M624" s="654">
        <f t="shared" si="520"/>
        <v>0</v>
      </c>
      <c r="N624" s="655">
        <f>+IF(OR($Q624=Parametres!$G$2,$Q624=Parametres!$G$3),I624,C624)</f>
        <v>0</v>
      </c>
      <c r="O624" s="655">
        <f>+IF(OR($Q624=Parametres!$G$2,$Q624=Parametres!$G$3),J624,D624)</f>
        <v>0</v>
      </c>
      <c r="P624" s="655">
        <f>+IF(OR($Q624=Parametres!$G$2,$Q624=Parametres!$G$3),K624,E624)</f>
        <v>0</v>
      </c>
      <c r="Q624" s="654">
        <f t="shared" ref="Q624:S624" si="635">+F624</f>
        <v>0</v>
      </c>
      <c r="R624" s="653">
        <f t="shared" si="635"/>
        <v>0</v>
      </c>
      <c r="S624" s="654">
        <f t="shared" si="635"/>
        <v>0</v>
      </c>
      <c r="T624" s="656" t="e">
        <f>+VLOOKUP($L624,Data_Validation!$A:$D,1,0)</f>
        <v>#N/A</v>
      </c>
      <c r="U624" s="656" t="e">
        <f>+VLOOKUP($L624,Data_Validation!$A:$D,3,0)</f>
        <v>#N/A</v>
      </c>
      <c r="V624" s="656" t="e">
        <f>+VLOOKUP($L624,Data_Validation!$A:$D,4,0)</f>
        <v>#N/A</v>
      </c>
      <c r="W624" s="656" t="e">
        <f>+VLOOKUP($L624,Data_Validation!$A:$E,5,0)</f>
        <v>#N/A</v>
      </c>
      <c r="X624" s="656" t="e">
        <f>+VLOOKUP($L624,Data_Validation!$A:$F,6,0)</f>
        <v>#N/A</v>
      </c>
    </row>
    <row r="625" spans="1:24" ht="15" customHeight="1">
      <c r="A625" s="714"/>
      <c r="B625" s="714"/>
      <c r="C625" s="715"/>
      <c r="D625" s="715"/>
      <c r="E625" s="715"/>
      <c r="F625" s="714"/>
      <c r="G625" s="714"/>
      <c r="H625" s="714"/>
      <c r="I625" s="716"/>
      <c r="J625" s="716"/>
      <c r="K625" s="716"/>
      <c r="L625" s="653" t="str">
        <f t="shared" si="589"/>
        <v>0</v>
      </c>
      <c r="M625" s="654">
        <f t="shared" si="520"/>
        <v>0</v>
      </c>
      <c r="N625" s="655">
        <f>+IF(OR($Q625=Parametres!$G$2,$Q625=Parametres!$G$3),I625,C625)</f>
        <v>0</v>
      </c>
      <c r="O625" s="655">
        <f>+IF(OR($Q625=Parametres!$G$2,$Q625=Parametres!$G$3),J625,D625)</f>
        <v>0</v>
      </c>
      <c r="P625" s="655">
        <f>+IF(OR($Q625=Parametres!$G$2,$Q625=Parametres!$G$3),K625,E625)</f>
        <v>0</v>
      </c>
      <c r="Q625" s="654">
        <f t="shared" ref="Q625:S625" si="636">+F625</f>
        <v>0</v>
      </c>
      <c r="R625" s="653">
        <f t="shared" si="636"/>
        <v>0</v>
      </c>
      <c r="S625" s="654">
        <f t="shared" si="636"/>
        <v>0</v>
      </c>
      <c r="T625" s="656" t="e">
        <f>+VLOOKUP($L625,Data_Validation!$A:$D,1,0)</f>
        <v>#N/A</v>
      </c>
      <c r="U625" s="656" t="e">
        <f>+VLOOKUP($L625,Data_Validation!$A:$D,3,0)</f>
        <v>#N/A</v>
      </c>
      <c r="V625" s="656" t="e">
        <f>+VLOOKUP($L625,Data_Validation!$A:$D,4,0)</f>
        <v>#N/A</v>
      </c>
      <c r="W625" s="656" t="e">
        <f>+VLOOKUP($L625,Data_Validation!$A:$E,5,0)</f>
        <v>#N/A</v>
      </c>
      <c r="X625" s="656" t="e">
        <f>+VLOOKUP($L625,Data_Validation!$A:$F,6,0)</f>
        <v>#N/A</v>
      </c>
    </row>
    <row r="626" spans="1:24" ht="15" customHeight="1">
      <c r="A626" s="714"/>
      <c r="B626" s="714"/>
      <c r="C626" s="715"/>
      <c r="D626" s="715"/>
      <c r="E626" s="715"/>
      <c r="F626" s="714"/>
      <c r="G626" s="714"/>
      <c r="H626" s="714"/>
      <c r="I626" s="716"/>
      <c r="J626" s="716"/>
      <c r="K626" s="716"/>
      <c r="L626" s="653" t="str">
        <f t="shared" si="589"/>
        <v>0</v>
      </c>
      <c r="M626" s="654">
        <f t="shared" si="520"/>
        <v>0</v>
      </c>
      <c r="N626" s="655">
        <f>+IF(OR($Q626=Parametres!$G$2,$Q626=Parametres!$G$3),I626,C626)</f>
        <v>0</v>
      </c>
      <c r="O626" s="655">
        <f>+IF(OR($Q626=Parametres!$G$2,$Q626=Parametres!$G$3),J626,D626)</f>
        <v>0</v>
      </c>
      <c r="P626" s="655">
        <f>+IF(OR($Q626=Parametres!$G$2,$Q626=Parametres!$G$3),K626,E626)</f>
        <v>0</v>
      </c>
      <c r="Q626" s="654">
        <f t="shared" ref="Q626:S626" si="637">+F626</f>
        <v>0</v>
      </c>
      <c r="R626" s="653">
        <f t="shared" si="637"/>
        <v>0</v>
      </c>
      <c r="S626" s="654">
        <f t="shared" si="637"/>
        <v>0</v>
      </c>
      <c r="T626" s="656" t="e">
        <f>+VLOOKUP($L626,Data_Validation!$A:$D,1,0)</f>
        <v>#N/A</v>
      </c>
      <c r="U626" s="656" t="e">
        <f>+VLOOKUP($L626,Data_Validation!$A:$D,3,0)</f>
        <v>#N/A</v>
      </c>
      <c r="V626" s="656" t="e">
        <f>+VLOOKUP($L626,Data_Validation!$A:$D,4,0)</f>
        <v>#N/A</v>
      </c>
      <c r="W626" s="656" t="e">
        <f>+VLOOKUP($L626,Data_Validation!$A:$E,5,0)</f>
        <v>#N/A</v>
      </c>
      <c r="X626" s="656" t="e">
        <f>+VLOOKUP($L626,Data_Validation!$A:$F,6,0)</f>
        <v>#N/A</v>
      </c>
    </row>
    <row r="627" spans="1:24" ht="15" customHeight="1">
      <c r="A627" s="714"/>
      <c r="B627" s="714"/>
      <c r="C627" s="715"/>
      <c r="D627" s="715"/>
      <c r="E627" s="715"/>
      <c r="F627" s="714"/>
      <c r="G627" s="714"/>
      <c r="H627" s="714"/>
      <c r="I627" s="716"/>
      <c r="J627" s="716"/>
      <c r="K627" s="716"/>
      <c r="L627" s="653" t="str">
        <f t="shared" si="589"/>
        <v>0</v>
      </c>
      <c r="M627" s="654">
        <f t="shared" si="520"/>
        <v>0</v>
      </c>
      <c r="N627" s="655">
        <f>+IF(OR($Q627=Parametres!$G$2,$Q627=Parametres!$G$3),I627,C627)</f>
        <v>0</v>
      </c>
      <c r="O627" s="655">
        <f>+IF(OR($Q627=Parametres!$G$2,$Q627=Parametres!$G$3),J627,D627)</f>
        <v>0</v>
      </c>
      <c r="P627" s="655">
        <f>+IF(OR($Q627=Parametres!$G$2,$Q627=Parametres!$G$3),K627,E627)</f>
        <v>0</v>
      </c>
      <c r="Q627" s="654">
        <f t="shared" ref="Q627:S627" si="638">+F627</f>
        <v>0</v>
      </c>
      <c r="R627" s="653">
        <f t="shared" si="638"/>
        <v>0</v>
      </c>
      <c r="S627" s="654">
        <f t="shared" si="638"/>
        <v>0</v>
      </c>
      <c r="T627" s="656" t="e">
        <f>+VLOOKUP($L627,Data_Validation!$A:$D,1,0)</f>
        <v>#N/A</v>
      </c>
      <c r="U627" s="656" t="e">
        <f>+VLOOKUP($L627,Data_Validation!$A:$D,3,0)</f>
        <v>#N/A</v>
      </c>
      <c r="V627" s="656" t="e">
        <f>+VLOOKUP($L627,Data_Validation!$A:$D,4,0)</f>
        <v>#N/A</v>
      </c>
      <c r="W627" s="656" t="e">
        <f>+VLOOKUP($L627,Data_Validation!$A:$E,5,0)</f>
        <v>#N/A</v>
      </c>
      <c r="X627" s="656" t="e">
        <f>+VLOOKUP($L627,Data_Validation!$A:$F,6,0)</f>
        <v>#N/A</v>
      </c>
    </row>
    <row r="628" spans="1:24" ht="15" customHeight="1">
      <c r="A628" s="714"/>
      <c r="B628" s="714"/>
      <c r="C628" s="715"/>
      <c r="D628" s="715"/>
      <c r="E628" s="715"/>
      <c r="F628" s="714"/>
      <c r="G628" s="714"/>
      <c r="H628" s="714"/>
      <c r="I628" s="716"/>
      <c r="J628" s="716"/>
      <c r="K628" s="716"/>
      <c r="L628" s="653" t="str">
        <f t="shared" si="589"/>
        <v>0</v>
      </c>
      <c r="M628" s="654">
        <f t="shared" si="520"/>
        <v>0</v>
      </c>
      <c r="N628" s="655">
        <f>+IF(OR($Q628=Parametres!$G$2,$Q628=Parametres!$G$3),I628,C628)</f>
        <v>0</v>
      </c>
      <c r="O628" s="655">
        <f>+IF(OR($Q628=Parametres!$G$2,$Q628=Parametres!$G$3),J628,D628)</f>
        <v>0</v>
      </c>
      <c r="P628" s="655">
        <f>+IF(OR($Q628=Parametres!$G$2,$Q628=Parametres!$G$3),K628,E628)</f>
        <v>0</v>
      </c>
      <c r="Q628" s="654">
        <f t="shared" ref="Q628:S628" si="639">+F628</f>
        <v>0</v>
      </c>
      <c r="R628" s="653">
        <f t="shared" si="639"/>
        <v>0</v>
      </c>
      <c r="S628" s="654">
        <f t="shared" si="639"/>
        <v>0</v>
      </c>
      <c r="T628" s="656" t="e">
        <f>+VLOOKUP($L628,Data_Validation!$A:$D,1,0)</f>
        <v>#N/A</v>
      </c>
      <c r="U628" s="656" t="e">
        <f>+VLOOKUP($L628,Data_Validation!$A:$D,3,0)</f>
        <v>#N/A</v>
      </c>
      <c r="V628" s="656" t="e">
        <f>+VLOOKUP($L628,Data_Validation!$A:$D,4,0)</f>
        <v>#N/A</v>
      </c>
      <c r="W628" s="656" t="e">
        <f>+VLOOKUP($L628,Data_Validation!$A:$E,5,0)</f>
        <v>#N/A</v>
      </c>
      <c r="X628" s="656" t="e">
        <f>+VLOOKUP($L628,Data_Validation!$A:$F,6,0)</f>
        <v>#N/A</v>
      </c>
    </row>
    <row r="629" spans="1:24" ht="15" customHeight="1">
      <c r="A629" s="714"/>
      <c r="B629" s="714"/>
      <c r="C629" s="715"/>
      <c r="D629" s="715"/>
      <c r="E629" s="715"/>
      <c r="F629" s="714"/>
      <c r="G629" s="714"/>
      <c r="H629" s="714"/>
      <c r="I629" s="716"/>
      <c r="J629" s="716"/>
      <c r="K629" s="716"/>
      <c r="L629" s="653" t="str">
        <f t="shared" si="589"/>
        <v>0</v>
      </c>
      <c r="M629" s="654">
        <f t="shared" si="520"/>
        <v>0</v>
      </c>
      <c r="N629" s="655">
        <f>+IF(OR($Q629=Parametres!$G$2,$Q629=Parametres!$G$3),I629,C629)</f>
        <v>0</v>
      </c>
      <c r="O629" s="655">
        <f>+IF(OR($Q629=Parametres!$G$2,$Q629=Parametres!$G$3),J629,D629)</f>
        <v>0</v>
      </c>
      <c r="P629" s="655">
        <f>+IF(OR($Q629=Parametres!$G$2,$Q629=Parametres!$G$3),K629,E629)</f>
        <v>0</v>
      </c>
      <c r="Q629" s="654">
        <f t="shared" ref="Q629:S629" si="640">+F629</f>
        <v>0</v>
      </c>
      <c r="R629" s="653">
        <f t="shared" si="640"/>
        <v>0</v>
      </c>
      <c r="S629" s="654">
        <f t="shared" si="640"/>
        <v>0</v>
      </c>
      <c r="T629" s="656" t="e">
        <f>+VLOOKUP($L629,Data_Validation!$A:$D,1,0)</f>
        <v>#N/A</v>
      </c>
      <c r="U629" s="656" t="e">
        <f>+VLOOKUP($L629,Data_Validation!$A:$D,3,0)</f>
        <v>#N/A</v>
      </c>
      <c r="V629" s="656" t="e">
        <f>+VLOOKUP($L629,Data_Validation!$A:$D,4,0)</f>
        <v>#N/A</v>
      </c>
      <c r="W629" s="656" t="e">
        <f>+VLOOKUP($L629,Data_Validation!$A:$E,5,0)</f>
        <v>#N/A</v>
      </c>
      <c r="X629" s="656" t="e">
        <f>+VLOOKUP($L629,Data_Validation!$A:$F,6,0)</f>
        <v>#N/A</v>
      </c>
    </row>
    <row r="630" spans="1:24" ht="15" customHeight="1">
      <c r="A630" s="714"/>
      <c r="B630" s="714"/>
      <c r="C630" s="715"/>
      <c r="D630" s="715"/>
      <c r="E630" s="715"/>
      <c r="F630" s="714"/>
      <c r="G630" s="714"/>
      <c r="H630" s="714"/>
      <c r="I630" s="716"/>
      <c r="J630" s="716"/>
      <c r="K630" s="716"/>
      <c r="L630" s="653" t="str">
        <f t="shared" si="589"/>
        <v>0</v>
      </c>
      <c r="M630" s="654">
        <f t="shared" si="520"/>
        <v>0</v>
      </c>
      <c r="N630" s="655">
        <f>+IF(OR($Q630=Parametres!$G$2,$Q630=Parametres!$G$3),I630,C630)</f>
        <v>0</v>
      </c>
      <c r="O630" s="655">
        <f>+IF(OR($Q630=Parametres!$G$2,$Q630=Parametres!$G$3),J630,D630)</f>
        <v>0</v>
      </c>
      <c r="P630" s="655">
        <f>+IF(OR($Q630=Parametres!$G$2,$Q630=Parametres!$G$3),K630,E630)</f>
        <v>0</v>
      </c>
      <c r="Q630" s="654">
        <f t="shared" ref="Q630:S630" si="641">+F630</f>
        <v>0</v>
      </c>
      <c r="R630" s="653">
        <f t="shared" si="641"/>
        <v>0</v>
      </c>
      <c r="S630" s="654">
        <f t="shared" si="641"/>
        <v>0</v>
      </c>
      <c r="T630" s="656" t="e">
        <f>+VLOOKUP($L630,Data_Validation!$A:$D,1,0)</f>
        <v>#N/A</v>
      </c>
      <c r="U630" s="656" t="e">
        <f>+VLOOKUP($L630,Data_Validation!$A:$D,3,0)</f>
        <v>#N/A</v>
      </c>
      <c r="V630" s="656" t="e">
        <f>+VLOOKUP($L630,Data_Validation!$A:$D,4,0)</f>
        <v>#N/A</v>
      </c>
      <c r="W630" s="656" t="e">
        <f>+VLOOKUP($L630,Data_Validation!$A:$E,5,0)</f>
        <v>#N/A</v>
      </c>
      <c r="X630" s="656" t="e">
        <f>+VLOOKUP($L630,Data_Validation!$A:$F,6,0)</f>
        <v>#N/A</v>
      </c>
    </row>
    <row r="631" spans="1:24" ht="15" customHeight="1">
      <c r="A631" s="714"/>
      <c r="B631" s="714"/>
      <c r="C631" s="715"/>
      <c r="D631" s="715"/>
      <c r="E631" s="715"/>
      <c r="F631" s="714"/>
      <c r="G631" s="714"/>
      <c r="H631" s="714"/>
      <c r="I631" s="716"/>
      <c r="J631" s="716"/>
      <c r="K631" s="716"/>
      <c r="L631" s="653" t="str">
        <f t="shared" si="589"/>
        <v>0</v>
      </c>
      <c r="M631" s="654">
        <f t="shared" si="520"/>
        <v>0</v>
      </c>
      <c r="N631" s="655">
        <f>+IF(OR($Q631=Parametres!$G$2,$Q631=Parametres!$G$3),I631,C631)</f>
        <v>0</v>
      </c>
      <c r="O631" s="655">
        <f>+IF(OR($Q631=Parametres!$G$2,$Q631=Parametres!$G$3),J631,D631)</f>
        <v>0</v>
      </c>
      <c r="P631" s="655">
        <f>+IF(OR($Q631=Parametres!$G$2,$Q631=Parametres!$G$3),K631,E631)</f>
        <v>0</v>
      </c>
      <c r="Q631" s="654">
        <f t="shared" ref="Q631:S631" si="642">+F631</f>
        <v>0</v>
      </c>
      <c r="R631" s="653">
        <f t="shared" si="642"/>
        <v>0</v>
      </c>
      <c r="S631" s="654">
        <f t="shared" si="642"/>
        <v>0</v>
      </c>
      <c r="T631" s="656" t="e">
        <f>+VLOOKUP($L631,Data_Validation!$A:$D,1,0)</f>
        <v>#N/A</v>
      </c>
      <c r="U631" s="656" t="e">
        <f>+VLOOKUP($L631,Data_Validation!$A:$D,3,0)</f>
        <v>#N/A</v>
      </c>
      <c r="V631" s="656" t="e">
        <f>+VLOOKUP($L631,Data_Validation!$A:$D,4,0)</f>
        <v>#N/A</v>
      </c>
      <c r="W631" s="656" t="e">
        <f>+VLOOKUP($L631,Data_Validation!$A:$E,5,0)</f>
        <v>#N/A</v>
      </c>
      <c r="X631" s="656" t="e">
        <f>+VLOOKUP($L631,Data_Validation!$A:$F,6,0)</f>
        <v>#N/A</v>
      </c>
    </row>
    <row r="632" spans="1:24" ht="15" customHeight="1">
      <c r="A632" s="714"/>
      <c r="B632" s="714"/>
      <c r="C632" s="715"/>
      <c r="D632" s="715"/>
      <c r="E632" s="715"/>
      <c r="F632" s="714"/>
      <c r="G632" s="714"/>
      <c r="H632" s="714"/>
      <c r="I632" s="716"/>
      <c r="J632" s="716"/>
      <c r="K632" s="716"/>
      <c r="L632" s="653" t="str">
        <f t="shared" si="589"/>
        <v>0</v>
      </c>
      <c r="M632" s="654">
        <f t="shared" si="520"/>
        <v>0</v>
      </c>
      <c r="N632" s="655">
        <f>+IF(OR($Q632=Parametres!$G$2,$Q632=Parametres!$G$3),I632,C632)</f>
        <v>0</v>
      </c>
      <c r="O632" s="655">
        <f>+IF(OR($Q632=Parametres!$G$2,$Q632=Parametres!$G$3),J632,D632)</f>
        <v>0</v>
      </c>
      <c r="P632" s="655">
        <f>+IF(OR($Q632=Parametres!$G$2,$Q632=Parametres!$G$3),K632,E632)</f>
        <v>0</v>
      </c>
      <c r="Q632" s="654">
        <f t="shared" ref="Q632:S632" si="643">+F632</f>
        <v>0</v>
      </c>
      <c r="R632" s="653">
        <f t="shared" si="643"/>
        <v>0</v>
      </c>
      <c r="S632" s="654">
        <f t="shared" si="643"/>
        <v>0</v>
      </c>
      <c r="T632" s="656" t="e">
        <f>+VLOOKUP($L632,Data_Validation!$A:$D,1,0)</f>
        <v>#N/A</v>
      </c>
      <c r="U632" s="656" t="e">
        <f>+VLOOKUP($L632,Data_Validation!$A:$D,3,0)</f>
        <v>#N/A</v>
      </c>
      <c r="V632" s="656" t="e">
        <f>+VLOOKUP($L632,Data_Validation!$A:$D,4,0)</f>
        <v>#N/A</v>
      </c>
      <c r="W632" s="656" t="e">
        <f>+VLOOKUP($L632,Data_Validation!$A:$E,5,0)</f>
        <v>#N/A</v>
      </c>
      <c r="X632" s="656" t="e">
        <f>+VLOOKUP($L632,Data_Validation!$A:$F,6,0)</f>
        <v>#N/A</v>
      </c>
    </row>
    <row r="633" spans="1:24" ht="15" customHeight="1">
      <c r="A633" s="714"/>
      <c r="B633" s="714"/>
      <c r="C633" s="715"/>
      <c r="D633" s="715"/>
      <c r="E633" s="715"/>
      <c r="F633" s="714"/>
      <c r="G633" s="714"/>
      <c r="H633" s="714"/>
      <c r="I633" s="716"/>
      <c r="J633" s="716"/>
      <c r="K633" s="716"/>
      <c r="L633" s="653" t="str">
        <f t="shared" si="589"/>
        <v>0</v>
      </c>
      <c r="M633" s="654">
        <f t="shared" si="520"/>
        <v>0</v>
      </c>
      <c r="N633" s="655">
        <f>+IF(OR($Q633=Parametres!$G$2,$Q633=Parametres!$G$3),I633,C633)</f>
        <v>0</v>
      </c>
      <c r="O633" s="655">
        <f>+IF(OR($Q633=Parametres!$G$2,$Q633=Parametres!$G$3),J633,D633)</f>
        <v>0</v>
      </c>
      <c r="P633" s="655">
        <f>+IF(OR($Q633=Parametres!$G$2,$Q633=Parametres!$G$3),K633,E633)</f>
        <v>0</v>
      </c>
      <c r="Q633" s="654">
        <f t="shared" ref="Q633:S633" si="644">+F633</f>
        <v>0</v>
      </c>
      <c r="R633" s="653">
        <f t="shared" si="644"/>
        <v>0</v>
      </c>
      <c r="S633" s="654">
        <f t="shared" si="644"/>
        <v>0</v>
      </c>
      <c r="T633" s="656" t="e">
        <f>+VLOOKUP($L633,Data_Validation!$A:$D,1,0)</f>
        <v>#N/A</v>
      </c>
      <c r="U633" s="656" t="e">
        <f>+VLOOKUP($L633,Data_Validation!$A:$D,3,0)</f>
        <v>#N/A</v>
      </c>
      <c r="V633" s="656" t="e">
        <f>+VLOOKUP($L633,Data_Validation!$A:$D,4,0)</f>
        <v>#N/A</v>
      </c>
      <c r="W633" s="656" t="e">
        <f>+VLOOKUP($L633,Data_Validation!$A:$E,5,0)</f>
        <v>#N/A</v>
      </c>
      <c r="X633" s="656" t="e">
        <f>+VLOOKUP($L633,Data_Validation!$A:$F,6,0)</f>
        <v>#N/A</v>
      </c>
    </row>
    <row r="634" spans="1:24" ht="15" customHeight="1">
      <c r="A634" s="714"/>
      <c r="B634" s="714"/>
      <c r="C634" s="715"/>
      <c r="D634" s="715"/>
      <c r="E634" s="715"/>
      <c r="F634" s="714"/>
      <c r="G634" s="714"/>
      <c r="H634" s="714"/>
      <c r="I634" s="716"/>
      <c r="J634" s="716"/>
      <c r="K634" s="716"/>
      <c r="L634" s="653" t="str">
        <f t="shared" si="589"/>
        <v>0</v>
      </c>
      <c r="M634" s="654">
        <f t="shared" si="520"/>
        <v>0</v>
      </c>
      <c r="N634" s="655">
        <f>+IF(OR($Q634=Parametres!$G$2,$Q634=Parametres!$G$3),I634,C634)</f>
        <v>0</v>
      </c>
      <c r="O634" s="655">
        <f>+IF(OR($Q634=Parametres!$G$2,$Q634=Parametres!$G$3),J634,D634)</f>
        <v>0</v>
      </c>
      <c r="P634" s="655">
        <f>+IF(OR($Q634=Parametres!$G$2,$Q634=Parametres!$G$3),K634,E634)</f>
        <v>0</v>
      </c>
      <c r="Q634" s="654">
        <f t="shared" ref="Q634:S634" si="645">+F634</f>
        <v>0</v>
      </c>
      <c r="R634" s="653">
        <f t="shared" si="645"/>
        <v>0</v>
      </c>
      <c r="S634" s="654">
        <f t="shared" si="645"/>
        <v>0</v>
      </c>
      <c r="T634" s="656" t="e">
        <f>+VLOOKUP($L634,Data_Validation!$A:$D,1,0)</f>
        <v>#N/A</v>
      </c>
      <c r="U634" s="656" t="e">
        <f>+VLOOKUP($L634,Data_Validation!$A:$D,3,0)</f>
        <v>#N/A</v>
      </c>
      <c r="V634" s="656" t="e">
        <f>+VLOOKUP($L634,Data_Validation!$A:$D,4,0)</f>
        <v>#N/A</v>
      </c>
      <c r="W634" s="656" t="e">
        <f>+VLOOKUP($L634,Data_Validation!$A:$E,5,0)</f>
        <v>#N/A</v>
      </c>
      <c r="X634" s="656" t="e">
        <f>+VLOOKUP($L634,Data_Validation!$A:$F,6,0)</f>
        <v>#N/A</v>
      </c>
    </row>
    <row r="635" spans="1:24" ht="15" customHeight="1">
      <c r="A635" s="714"/>
      <c r="B635" s="714"/>
      <c r="C635" s="715"/>
      <c r="D635" s="715"/>
      <c r="E635" s="715"/>
      <c r="F635" s="714"/>
      <c r="G635" s="714"/>
      <c r="H635" s="714"/>
      <c r="I635" s="716"/>
      <c r="J635" s="716"/>
      <c r="K635" s="716"/>
      <c r="L635" s="653" t="str">
        <f t="shared" si="589"/>
        <v>0</v>
      </c>
      <c r="M635" s="654">
        <f t="shared" si="520"/>
        <v>0</v>
      </c>
      <c r="N635" s="655">
        <f>+IF(OR($Q635=Parametres!$G$2,$Q635=Parametres!$G$3),I635,C635)</f>
        <v>0</v>
      </c>
      <c r="O635" s="655">
        <f>+IF(OR($Q635=Parametres!$G$2,$Q635=Parametres!$G$3),J635,D635)</f>
        <v>0</v>
      </c>
      <c r="P635" s="655">
        <f>+IF(OR($Q635=Parametres!$G$2,$Q635=Parametres!$G$3),K635,E635)</f>
        <v>0</v>
      </c>
      <c r="Q635" s="654">
        <f t="shared" ref="Q635:S635" si="646">+F635</f>
        <v>0</v>
      </c>
      <c r="R635" s="653">
        <f t="shared" si="646"/>
        <v>0</v>
      </c>
      <c r="S635" s="654">
        <f t="shared" si="646"/>
        <v>0</v>
      </c>
      <c r="T635" s="656" t="e">
        <f>+VLOOKUP($L635,Data_Validation!$A:$D,1,0)</f>
        <v>#N/A</v>
      </c>
      <c r="U635" s="656" t="e">
        <f>+VLOOKUP($L635,Data_Validation!$A:$D,3,0)</f>
        <v>#N/A</v>
      </c>
      <c r="V635" s="656" t="e">
        <f>+VLOOKUP($L635,Data_Validation!$A:$D,4,0)</f>
        <v>#N/A</v>
      </c>
      <c r="W635" s="656" t="e">
        <f>+VLOOKUP($L635,Data_Validation!$A:$E,5,0)</f>
        <v>#N/A</v>
      </c>
      <c r="X635" s="656" t="e">
        <f>+VLOOKUP($L635,Data_Validation!$A:$F,6,0)</f>
        <v>#N/A</v>
      </c>
    </row>
    <row r="636" spans="1:24" ht="15" customHeight="1">
      <c r="A636" s="714"/>
      <c r="B636" s="714"/>
      <c r="C636" s="715"/>
      <c r="D636" s="715"/>
      <c r="E636" s="715"/>
      <c r="F636" s="714"/>
      <c r="G636" s="714"/>
      <c r="H636" s="714"/>
      <c r="I636" s="716"/>
      <c r="J636" s="716"/>
      <c r="K636" s="716"/>
      <c r="L636" s="653" t="str">
        <f t="shared" si="589"/>
        <v>0</v>
      </c>
      <c r="M636" s="654">
        <f t="shared" si="520"/>
        <v>0</v>
      </c>
      <c r="N636" s="655">
        <f>+IF(OR($Q636=Parametres!$G$2,$Q636=Parametres!$G$3),I636,C636)</f>
        <v>0</v>
      </c>
      <c r="O636" s="655">
        <f>+IF(OR($Q636=Parametres!$G$2,$Q636=Parametres!$G$3),J636,D636)</f>
        <v>0</v>
      </c>
      <c r="P636" s="655">
        <f>+IF(OR($Q636=Parametres!$G$2,$Q636=Parametres!$G$3),K636,E636)</f>
        <v>0</v>
      </c>
      <c r="Q636" s="654">
        <f t="shared" ref="Q636:S636" si="647">+F636</f>
        <v>0</v>
      </c>
      <c r="R636" s="653">
        <f t="shared" si="647"/>
        <v>0</v>
      </c>
      <c r="S636" s="654">
        <f t="shared" si="647"/>
        <v>0</v>
      </c>
      <c r="T636" s="656" t="e">
        <f>+VLOOKUP($L636,Data_Validation!$A:$D,1,0)</f>
        <v>#N/A</v>
      </c>
      <c r="U636" s="656" t="e">
        <f>+VLOOKUP($L636,Data_Validation!$A:$D,3,0)</f>
        <v>#N/A</v>
      </c>
      <c r="V636" s="656" t="e">
        <f>+VLOOKUP($L636,Data_Validation!$A:$D,4,0)</f>
        <v>#N/A</v>
      </c>
      <c r="W636" s="656" t="e">
        <f>+VLOOKUP($L636,Data_Validation!$A:$E,5,0)</f>
        <v>#N/A</v>
      </c>
      <c r="X636" s="656" t="e">
        <f>+VLOOKUP($L636,Data_Validation!$A:$F,6,0)</f>
        <v>#N/A</v>
      </c>
    </row>
    <row r="637" spans="1:24" ht="15" customHeight="1">
      <c r="A637" s="714"/>
      <c r="B637" s="714"/>
      <c r="C637" s="715"/>
      <c r="D637" s="715"/>
      <c r="E637" s="715"/>
      <c r="F637" s="714"/>
      <c r="G637" s="714"/>
      <c r="H637" s="714"/>
      <c r="I637" s="716"/>
      <c r="J637" s="716"/>
      <c r="K637" s="716"/>
      <c r="L637" s="653" t="str">
        <f t="shared" si="589"/>
        <v>0</v>
      </c>
      <c r="M637" s="654">
        <f t="shared" si="520"/>
        <v>0</v>
      </c>
      <c r="N637" s="655">
        <f>+IF(OR($Q637=Parametres!$G$2,$Q637=Parametres!$G$3),I637,C637)</f>
        <v>0</v>
      </c>
      <c r="O637" s="655">
        <f>+IF(OR($Q637=Parametres!$G$2,$Q637=Parametres!$G$3),J637,D637)</f>
        <v>0</v>
      </c>
      <c r="P637" s="655">
        <f>+IF(OR($Q637=Parametres!$G$2,$Q637=Parametres!$G$3),K637,E637)</f>
        <v>0</v>
      </c>
      <c r="Q637" s="654">
        <f t="shared" ref="Q637:S637" si="648">+F637</f>
        <v>0</v>
      </c>
      <c r="R637" s="653">
        <f t="shared" si="648"/>
        <v>0</v>
      </c>
      <c r="S637" s="654">
        <f t="shared" si="648"/>
        <v>0</v>
      </c>
      <c r="T637" s="656" t="e">
        <f>+VLOOKUP($L637,Data_Validation!$A:$D,1,0)</f>
        <v>#N/A</v>
      </c>
      <c r="U637" s="656" t="e">
        <f>+VLOOKUP($L637,Data_Validation!$A:$D,3,0)</f>
        <v>#N/A</v>
      </c>
      <c r="V637" s="656" t="e">
        <f>+VLOOKUP($L637,Data_Validation!$A:$D,4,0)</f>
        <v>#N/A</v>
      </c>
      <c r="W637" s="656" t="e">
        <f>+VLOOKUP($L637,Data_Validation!$A:$E,5,0)</f>
        <v>#N/A</v>
      </c>
      <c r="X637" s="656" t="e">
        <f>+VLOOKUP($L637,Data_Validation!$A:$F,6,0)</f>
        <v>#N/A</v>
      </c>
    </row>
    <row r="638" spans="1:24" ht="15" customHeight="1">
      <c r="A638" s="714"/>
      <c r="B638" s="714"/>
      <c r="C638" s="715"/>
      <c r="D638" s="715"/>
      <c r="E638" s="715"/>
      <c r="F638" s="714"/>
      <c r="G638" s="714"/>
      <c r="H638" s="714"/>
      <c r="I638" s="716"/>
      <c r="J638" s="716"/>
      <c r="K638" s="716"/>
      <c r="L638" s="653" t="str">
        <f t="shared" si="589"/>
        <v>0</v>
      </c>
      <c r="M638" s="654">
        <f t="shared" si="520"/>
        <v>0</v>
      </c>
      <c r="N638" s="655">
        <f>+IF(OR($Q638=Parametres!$G$2,$Q638=Parametres!$G$3),I638,C638)</f>
        <v>0</v>
      </c>
      <c r="O638" s="655">
        <f>+IF(OR($Q638=Parametres!$G$2,$Q638=Parametres!$G$3),J638,D638)</f>
        <v>0</v>
      </c>
      <c r="P638" s="655">
        <f>+IF(OR($Q638=Parametres!$G$2,$Q638=Parametres!$G$3),K638,E638)</f>
        <v>0</v>
      </c>
      <c r="Q638" s="654">
        <f t="shared" ref="Q638:S638" si="649">+F638</f>
        <v>0</v>
      </c>
      <c r="R638" s="653">
        <f t="shared" si="649"/>
        <v>0</v>
      </c>
      <c r="S638" s="654">
        <f t="shared" si="649"/>
        <v>0</v>
      </c>
      <c r="T638" s="656" t="e">
        <f>+VLOOKUP($L638,Data_Validation!$A:$D,1,0)</f>
        <v>#N/A</v>
      </c>
      <c r="U638" s="656" t="e">
        <f>+VLOOKUP($L638,Data_Validation!$A:$D,3,0)</f>
        <v>#N/A</v>
      </c>
      <c r="V638" s="656" t="e">
        <f>+VLOOKUP($L638,Data_Validation!$A:$D,4,0)</f>
        <v>#N/A</v>
      </c>
      <c r="W638" s="656" t="e">
        <f>+VLOOKUP($L638,Data_Validation!$A:$E,5,0)</f>
        <v>#N/A</v>
      </c>
      <c r="X638" s="656" t="e">
        <f>+VLOOKUP($L638,Data_Validation!$A:$F,6,0)</f>
        <v>#N/A</v>
      </c>
    </row>
    <row r="639" spans="1:24" ht="15.75" customHeight="1">
      <c r="A639" s="714"/>
      <c r="B639" s="714"/>
      <c r="C639" s="715"/>
      <c r="D639" s="715"/>
      <c r="E639" s="715"/>
      <c r="F639" s="714"/>
      <c r="G639" s="714"/>
      <c r="H639" s="714"/>
      <c r="I639" s="716"/>
      <c r="J639" s="716"/>
      <c r="K639" s="716"/>
      <c r="L639" s="653" t="str">
        <f t="shared" si="589"/>
        <v>0</v>
      </c>
      <c r="M639" s="654">
        <f t="shared" si="520"/>
        <v>0</v>
      </c>
      <c r="N639" s="655">
        <f>+IF(OR($Q639=Parametres!$G$2,$Q639=Parametres!$G$3),I639,C639)</f>
        <v>0</v>
      </c>
      <c r="O639" s="655">
        <f>+IF(OR($Q639=Parametres!$G$2,$Q639=Parametres!$G$3),J639,D639)</f>
        <v>0</v>
      </c>
      <c r="P639" s="655">
        <f>+IF(OR($Q639=Parametres!$G$2,$Q639=Parametres!$G$3),K639,E639)</f>
        <v>0</v>
      </c>
      <c r="Q639" s="654">
        <f t="shared" ref="Q639:S639" si="650">+F639</f>
        <v>0</v>
      </c>
      <c r="R639" s="653">
        <f t="shared" si="650"/>
        <v>0</v>
      </c>
      <c r="S639" s="654">
        <f t="shared" si="650"/>
        <v>0</v>
      </c>
      <c r="T639" s="656" t="e">
        <f>+VLOOKUP($L639,Data_Validation!$A:$D,1,0)</f>
        <v>#N/A</v>
      </c>
      <c r="U639" s="656" t="e">
        <f>+VLOOKUP($L639,Data_Validation!$A:$D,3,0)</f>
        <v>#N/A</v>
      </c>
      <c r="V639" s="656" t="e">
        <f>+VLOOKUP($L639,Data_Validation!$A:$D,4,0)</f>
        <v>#N/A</v>
      </c>
      <c r="W639" s="656" t="e">
        <f>+VLOOKUP($L639,Data_Validation!$A:$E,5,0)</f>
        <v>#N/A</v>
      </c>
      <c r="X639" s="656" t="e">
        <f>+VLOOKUP($L639,Data_Validation!$A:$F,6,0)</f>
        <v>#N/A</v>
      </c>
    </row>
    <row r="640" spans="1:24" ht="15.75" customHeight="1">
      <c r="A640" s="714"/>
      <c r="B640" s="714"/>
      <c r="C640" s="715"/>
      <c r="D640" s="715"/>
      <c r="E640" s="715"/>
      <c r="F640" s="714"/>
      <c r="G640" s="714"/>
      <c r="H640" s="714"/>
      <c r="I640" s="716"/>
      <c r="J640" s="716"/>
      <c r="K640" s="716"/>
      <c r="L640" s="653" t="str">
        <f t="shared" si="589"/>
        <v>0</v>
      </c>
      <c r="M640" s="654">
        <f t="shared" si="520"/>
        <v>0</v>
      </c>
      <c r="N640" s="655">
        <f>+IF(OR($Q640=Parametres!$G$2,$Q640=Parametres!$G$3),I640,C640)</f>
        <v>0</v>
      </c>
      <c r="O640" s="655">
        <f>+IF(OR($Q640=Parametres!$G$2,$Q640=Parametres!$G$3),J640,D640)</f>
        <v>0</v>
      </c>
      <c r="P640" s="655">
        <f>+IF(OR($Q640=Parametres!$G$2,$Q640=Parametres!$G$3),K640,E640)</f>
        <v>0</v>
      </c>
      <c r="Q640" s="654">
        <f t="shared" ref="Q640:S640" si="651">+F640</f>
        <v>0</v>
      </c>
      <c r="R640" s="653">
        <f t="shared" si="651"/>
        <v>0</v>
      </c>
      <c r="S640" s="654">
        <f t="shared" si="651"/>
        <v>0</v>
      </c>
      <c r="T640" s="656" t="e">
        <f>+VLOOKUP($L640,Data_Validation!$A:$D,1,0)</f>
        <v>#N/A</v>
      </c>
      <c r="U640" s="656" t="e">
        <f>+VLOOKUP($L640,Data_Validation!$A:$D,3,0)</f>
        <v>#N/A</v>
      </c>
      <c r="V640" s="656" t="e">
        <f>+VLOOKUP($L640,Data_Validation!$A:$D,4,0)</f>
        <v>#N/A</v>
      </c>
      <c r="W640" s="656" t="e">
        <f>+VLOOKUP($L640,Data_Validation!$A:$E,5,0)</f>
        <v>#N/A</v>
      </c>
      <c r="X640" s="656" t="e">
        <f>+VLOOKUP($L640,Data_Validation!$A:$F,6,0)</f>
        <v>#N/A</v>
      </c>
    </row>
    <row r="641" spans="1:24" ht="15.75" customHeight="1">
      <c r="A641" s="714"/>
      <c r="B641" s="714"/>
      <c r="C641" s="715"/>
      <c r="D641" s="715"/>
      <c r="E641" s="715"/>
      <c r="F641" s="714"/>
      <c r="G641" s="714"/>
      <c r="H641" s="714"/>
      <c r="I641" s="716"/>
      <c r="J641" s="716"/>
      <c r="K641" s="716"/>
      <c r="L641" s="653" t="str">
        <f t="shared" si="589"/>
        <v>0</v>
      </c>
      <c r="M641" s="654">
        <f t="shared" si="520"/>
        <v>0</v>
      </c>
      <c r="N641" s="655">
        <f>+IF(OR($Q641=Parametres!$G$2,$Q641=Parametres!$G$3),I641,C641)</f>
        <v>0</v>
      </c>
      <c r="O641" s="655">
        <f>+IF(OR($Q641=Parametres!$G$2,$Q641=Parametres!$G$3),J641,D641)</f>
        <v>0</v>
      </c>
      <c r="P641" s="655">
        <f>+IF(OR($Q641=Parametres!$G$2,$Q641=Parametres!$G$3),K641,E641)</f>
        <v>0</v>
      </c>
      <c r="Q641" s="654">
        <f t="shared" ref="Q641:S641" si="652">+F641</f>
        <v>0</v>
      </c>
      <c r="R641" s="653">
        <f t="shared" si="652"/>
        <v>0</v>
      </c>
      <c r="S641" s="654">
        <f t="shared" si="652"/>
        <v>0</v>
      </c>
      <c r="T641" s="656" t="e">
        <f>+VLOOKUP($L641,Data_Validation!$A:$D,1,0)</f>
        <v>#N/A</v>
      </c>
      <c r="U641" s="656" t="e">
        <f>+VLOOKUP($L641,Data_Validation!$A:$D,3,0)</f>
        <v>#N/A</v>
      </c>
      <c r="V641" s="656" t="e">
        <f>+VLOOKUP($L641,Data_Validation!$A:$D,4,0)</f>
        <v>#N/A</v>
      </c>
      <c r="W641" s="656" t="e">
        <f>+VLOOKUP($L641,Data_Validation!$A:$E,5,0)</f>
        <v>#N/A</v>
      </c>
      <c r="X641" s="656" t="e">
        <f>+VLOOKUP($L641,Data_Validation!$A:$F,6,0)</f>
        <v>#N/A</v>
      </c>
    </row>
    <row r="642" spans="1:24" ht="15.75" customHeight="1">
      <c r="A642" s="714"/>
      <c r="B642" s="714"/>
      <c r="C642" s="715"/>
      <c r="D642" s="715"/>
      <c r="E642" s="715"/>
      <c r="F642" s="714"/>
      <c r="G642" s="714"/>
      <c r="H642" s="714"/>
      <c r="I642" s="716"/>
      <c r="J642" s="716"/>
      <c r="K642" s="716"/>
      <c r="L642" s="653" t="str">
        <f t="shared" si="589"/>
        <v>0</v>
      </c>
      <c r="M642" s="654">
        <f t="shared" si="520"/>
        <v>0</v>
      </c>
      <c r="N642" s="655">
        <f>+IF(OR($Q642=Parametres!$G$2,$Q642=Parametres!$G$3),I642,C642)</f>
        <v>0</v>
      </c>
      <c r="O642" s="655">
        <f>+IF(OR($Q642=Parametres!$G$2,$Q642=Parametres!$G$3),J642,D642)</f>
        <v>0</v>
      </c>
      <c r="P642" s="655">
        <f>+IF(OR($Q642=Parametres!$G$2,$Q642=Parametres!$G$3),K642,E642)</f>
        <v>0</v>
      </c>
      <c r="Q642" s="654">
        <f t="shared" ref="Q642:S642" si="653">+F642</f>
        <v>0</v>
      </c>
      <c r="R642" s="653">
        <f t="shared" si="653"/>
        <v>0</v>
      </c>
      <c r="S642" s="654">
        <f t="shared" si="653"/>
        <v>0</v>
      </c>
      <c r="T642" s="656" t="e">
        <f>+VLOOKUP($L642,Data_Validation!$A:$D,1,0)</f>
        <v>#N/A</v>
      </c>
      <c r="U642" s="656" t="e">
        <f>+VLOOKUP($L642,Data_Validation!$A:$D,3,0)</f>
        <v>#N/A</v>
      </c>
      <c r="V642" s="656" t="e">
        <f>+VLOOKUP($L642,Data_Validation!$A:$D,4,0)</f>
        <v>#N/A</v>
      </c>
      <c r="W642" s="656" t="e">
        <f>+VLOOKUP($L642,Data_Validation!$A:$E,5,0)</f>
        <v>#N/A</v>
      </c>
      <c r="X642" s="656" t="e">
        <f>+VLOOKUP($L642,Data_Validation!$A:$F,6,0)</f>
        <v>#N/A</v>
      </c>
    </row>
    <row r="643" spans="1:24" ht="15.75" customHeight="1">
      <c r="A643" s="714"/>
      <c r="B643" s="714"/>
      <c r="C643" s="715"/>
      <c r="D643" s="715"/>
      <c r="E643" s="715"/>
      <c r="F643" s="714"/>
      <c r="G643" s="714"/>
      <c r="H643" s="714"/>
      <c r="I643" s="716"/>
      <c r="J643" s="716"/>
      <c r="K643" s="716"/>
      <c r="L643" s="653" t="str">
        <f t="shared" ref="L643:L706" si="654">TEXT(B643,0)</f>
        <v>0</v>
      </c>
      <c r="M643" s="654">
        <f t="shared" si="520"/>
        <v>0</v>
      </c>
      <c r="N643" s="655">
        <f>+IF(OR($Q643=Parametres!$G$2,$Q643=Parametres!$G$3),I643,C643)</f>
        <v>0</v>
      </c>
      <c r="O643" s="655">
        <f>+IF(OR($Q643=Parametres!$G$2,$Q643=Parametres!$G$3),J643,D643)</f>
        <v>0</v>
      </c>
      <c r="P643" s="655">
        <f>+IF(OR($Q643=Parametres!$G$2,$Q643=Parametres!$G$3),K643,E643)</f>
        <v>0</v>
      </c>
      <c r="Q643" s="654">
        <f t="shared" ref="Q643:S643" si="655">+F643</f>
        <v>0</v>
      </c>
      <c r="R643" s="653">
        <f t="shared" si="655"/>
        <v>0</v>
      </c>
      <c r="S643" s="654">
        <f t="shared" si="655"/>
        <v>0</v>
      </c>
      <c r="T643" s="656" t="e">
        <f>+VLOOKUP($L643,Data_Validation!$A:$D,1,0)</f>
        <v>#N/A</v>
      </c>
      <c r="U643" s="656" t="e">
        <f>+VLOOKUP($L643,Data_Validation!$A:$D,3,0)</f>
        <v>#N/A</v>
      </c>
      <c r="V643" s="656" t="e">
        <f>+VLOOKUP($L643,Data_Validation!$A:$D,4,0)</f>
        <v>#N/A</v>
      </c>
      <c r="W643" s="656" t="e">
        <f>+VLOOKUP($L643,Data_Validation!$A:$E,5,0)</f>
        <v>#N/A</v>
      </c>
      <c r="X643" s="656" t="e">
        <f>+VLOOKUP($L643,Data_Validation!$A:$F,6,0)</f>
        <v>#N/A</v>
      </c>
    </row>
    <row r="644" spans="1:24" ht="15.75" customHeight="1">
      <c r="A644" s="714"/>
      <c r="B644" s="714"/>
      <c r="C644" s="715"/>
      <c r="D644" s="715"/>
      <c r="E644" s="715"/>
      <c r="F644" s="714"/>
      <c r="G644" s="714"/>
      <c r="H644" s="714"/>
      <c r="I644" s="716"/>
      <c r="J644" s="716"/>
      <c r="K644" s="716"/>
      <c r="L644" s="653" t="str">
        <f t="shared" si="654"/>
        <v>0</v>
      </c>
      <c r="M644" s="654">
        <f t="shared" si="520"/>
        <v>0</v>
      </c>
      <c r="N644" s="655">
        <f>+IF(OR($Q644=Parametres!$G$2,$Q644=Parametres!$G$3),I644,C644)</f>
        <v>0</v>
      </c>
      <c r="O644" s="655">
        <f>+IF(OR($Q644=Parametres!$G$2,$Q644=Parametres!$G$3),J644,D644)</f>
        <v>0</v>
      </c>
      <c r="P644" s="655">
        <f>+IF(OR($Q644=Parametres!$G$2,$Q644=Parametres!$G$3),K644,E644)</f>
        <v>0</v>
      </c>
      <c r="Q644" s="654">
        <f t="shared" ref="Q644:S644" si="656">+F644</f>
        <v>0</v>
      </c>
      <c r="R644" s="653">
        <f t="shared" si="656"/>
        <v>0</v>
      </c>
      <c r="S644" s="654">
        <f t="shared" si="656"/>
        <v>0</v>
      </c>
      <c r="T644" s="656" t="e">
        <f>+VLOOKUP($L644,Data_Validation!$A:$D,1,0)</f>
        <v>#N/A</v>
      </c>
      <c r="U644" s="656" t="e">
        <f>+VLOOKUP($L644,Data_Validation!$A:$D,3,0)</f>
        <v>#N/A</v>
      </c>
      <c r="V644" s="656" t="e">
        <f>+VLOOKUP($L644,Data_Validation!$A:$D,4,0)</f>
        <v>#N/A</v>
      </c>
      <c r="W644" s="656" t="e">
        <f>+VLOOKUP($L644,Data_Validation!$A:$E,5,0)</f>
        <v>#N/A</v>
      </c>
      <c r="X644" s="656" t="e">
        <f>+VLOOKUP($L644,Data_Validation!$A:$F,6,0)</f>
        <v>#N/A</v>
      </c>
    </row>
    <row r="645" spans="1:24" ht="15.75" customHeight="1">
      <c r="A645" s="714"/>
      <c r="B645" s="714"/>
      <c r="C645" s="715"/>
      <c r="D645" s="715"/>
      <c r="E645" s="715"/>
      <c r="F645" s="714"/>
      <c r="G645" s="714"/>
      <c r="H645" s="714"/>
      <c r="I645" s="716"/>
      <c r="J645" s="716"/>
      <c r="K645" s="716"/>
      <c r="L645" s="653" t="str">
        <f t="shared" si="654"/>
        <v>0</v>
      </c>
      <c r="M645" s="654">
        <f t="shared" si="520"/>
        <v>0</v>
      </c>
      <c r="N645" s="655">
        <f>+IF(OR($Q645=Parametres!$G$2,$Q645=Parametres!$G$3),I645,C645)</f>
        <v>0</v>
      </c>
      <c r="O645" s="655">
        <f>+IF(OR($Q645=Parametres!$G$2,$Q645=Parametres!$G$3),J645,D645)</f>
        <v>0</v>
      </c>
      <c r="P645" s="655">
        <f>+IF(OR($Q645=Parametres!$G$2,$Q645=Parametres!$G$3),K645,E645)</f>
        <v>0</v>
      </c>
      <c r="Q645" s="654">
        <f t="shared" ref="Q645:S645" si="657">+F645</f>
        <v>0</v>
      </c>
      <c r="R645" s="653">
        <f t="shared" si="657"/>
        <v>0</v>
      </c>
      <c r="S645" s="654">
        <f t="shared" si="657"/>
        <v>0</v>
      </c>
      <c r="T645" s="656" t="e">
        <f>+VLOOKUP($L645,Data_Validation!$A:$D,1,0)</f>
        <v>#N/A</v>
      </c>
      <c r="U645" s="656" t="e">
        <f>+VLOOKUP($L645,Data_Validation!$A:$D,3,0)</f>
        <v>#N/A</v>
      </c>
      <c r="V645" s="656" t="e">
        <f>+VLOOKUP($L645,Data_Validation!$A:$D,4,0)</f>
        <v>#N/A</v>
      </c>
      <c r="W645" s="656" t="e">
        <f>+VLOOKUP($L645,Data_Validation!$A:$E,5,0)</f>
        <v>#N/A</v>
      </c>
      <c r="X645" s="656" t="e">
        <f>+VLOOKUP($L645,Data_Validation!$A:$F,6,0)</f>
        <v>#N/A</v>
      </c>
    </row>
    <row r="646" spans="1:24" ht="15.75" customHeight="1">
      <c r="A646" s="714"/>
      <c r="B646" s="714"/>
      <c r="C646" s="715"/>
      <c r="D646" s="715"/>
      <c r="E646" s="715"/>
      <c r="F646" s="714"/>
      <c r="G646" s="714"/>
      <c r="H646" s="714"/>
      <c r="I646" s="716"/>
      <c r="J646" s="716"/>
      <c r="K646" s="716"/>
      <c r="L646" s="653" t="str">
        <f t="shared" si="654"/>
        <v>0</v>
      </c>
      <c r="M646" s="654">
        <f t="shared" si="520"/>
        <v>0</v>
      </c>
      <c r="N646" s="655">
        <f>+IF(OR($Q646=Parametres!$G$2,$Q646=Parametres!$G$3),I646,C646)</f>
        <v>0</v>
      </c>
      <c r="O646" s="655">
        <f>+IF(OR($Q646=Parametres!$G$2,$Q646=Parametres!$G$3),J646,D646)</f>
        <v>0</v>
      </c>
      <c r="P646" s="655">
        <f>+IF(OR($Q646=Parametres!$G$2,$Q646=Parametres!$G$3),K646,E646)</f>
        <v>0</v>
      </c>
      <c r="Q646" s="654">
        <f t="shared" ref="Q646:S646" si="658">+F646</f>
        <v>0</v>
      </c>
      <c r="R646" s="653">
        <f t="shared" si="658"/>
        <v>0</v>
      </c>
      <c r="S646" s="654">
        <f t="shared" si="658"/>
        <v>0</v>
      </c>
      <c r="T646" s="656" t="e">
        <f>+VLOOKUP($L646,Data_Validation!$A:$D,1,0)</f>
        <v>#N/A</v>
      </c>
      <c r="U646" s="656" t="e">
        <f>+VLOOKUP($L646,Data_Validation!$A:$D,3,0)</f>
        <v>#N/A</v>
      </c>
      <c r="V646" s="656" t="e">
        <f>+VLOOKUP($L646,Data_Validation!$A:$D,4,0)</f>
        <v>#N/A</v>
      </c>
      <c r="W646" s="656" t="e">
        <f>+VLOOKUP($L646,Data_Validation!$A:$E,5,0)</f>
        <v>#N/A</v>
      </c>
      <c r="X646" s="656" t="e">
        <f>+VLOOKUP($L646,Data_Validation!$A:$F,6,0)</f>
        <v>#N/A</v>
      </c>
    </row>
    <row r="647" spans="1:24" ht="15.75" customHeight="1">
      <c r="A647" s="714"/>
      <c r="B647" s="714"/>
      <c r="C647" s="715"/>
      <c r="D647" s="715"/>
      <c r="E647" s="715"/>
      <c r="F647" s="714"/>
      <c r="G647" s="714"/>
      <c r="H647" s="714"/>
      <c r="I647" s="716"/>
      <c r="J647" s="716"/>
      <c r="K647" s="716"/>
      <c r="L647" s="653" t="str">
        <f t="shared" si="654"/>
        <v>0</v>
      </c>
      <c r="M647" s="654">
        <f t="shared" si="520"/>
        <v>0</v>
      </c>
      <c r="N647" s="655">
        <f>+IF(OR($Q647=Parametres!$G$2,$Q647=Parametres!$G$3),I647,C647)</f>
        <v>0</v>
      </c>
      <c r="O647" s="655">
        <f>+IF(OR($Q647=Parametres!$G$2,$Q647=Parametres!$G$3),J647,D647)</f>
        <v>0</v>
      </c>
      <c r="P647" s="655">
        <f>+IF(OR($Q647=Parametres!$G$2,$Q647=Parametres!$G$3),K647,E647)</f>
        <v>0</v>
      </c>
      <c r="Q647" s="654">
        <f t="shared" ref="Q647:S647" si="659">+F647</f>
        <v>0</v>
      </c>
      <c r="R647" s="653">
        <f t="shared" si="659"/>
        <v>0</v>
      </c>
      <c r="S647" s="654">
        <f t="shared" si="659"/>
        <v>0</v>
      </c>
      <c r="T647" s="656" t="e">
        <f>+VLOOKUP($L647,Data_Validation!$A:$D,1,0)</f>
        <v>#N/A</v>
      </c>
      <c r="U647" s="656" t="e">
        <f>+VLOOKUP($L647,Data_Validation!$A:$D,3,0)</f>
        <v>#N/A</v>
      </c>
      <c r="V647" s="656" t="e">
        <f>+VLOOKUP($L647,Data_Validation!$A:$D,4,0)</f>
        <v>#N/A</v>
      </c>
      <c r="W647" s="656" t="e">
        <f>+VLOOKUP($L647,Data_Validation!$A:$E,5,0)</f>
        <v>#N/A</v>
      </c>
      <c r="X647" s="656" t="e">
        <f>+VLOOKUP($L647,Data_Validation!$A:$F,6,0)</f>
        <v>#N/A</v>
      </c>
    </row>
    <row r="648" spans="1:24" ht="15.75" customHeight="1">
      <c r="A648" s="714"/>
      <c r="B648" s="714"/>
      <c r="C648" s="715"/>
      <c r="D648" s="715"/>
      <c r="E648" s="715"/>
      <c r="F648" s="714"/>
      <c r="G648" s="714"/>
      <c r="H648" s="714"/>
      <c r="I648" s="716"/>
      <c r="J648" s="716"/>
      <c r="K648" s="716"/>
      <c r="L648" s="653" t="str">
        <f t="shared" si="654"/>
        <v>0</v>
      </c>
      <c r="M648" s="654">
        <f t="shared" si="520"/>
        <v>0</v>
      </c>
      <c r="N648" s="655">
        <f>+IF(OR($Q648=Parametres!$G$2,$Q648=Parametres!$G$3),I648,C648)</f>
        <v>0</v>
      </c>
      <c r="O648" s="655">
        <f>+IF(OR($Q648=Parametres!$G$2,$Q648=Parametres!$G$3),J648,D648)</f>
        <v>0</v>
      </c>
      <c r="P648" s="655">
        <f>+IF(OR($Q648=Parametres!$G$2,$Q648=Parametres!$G$3),K648,E648)</f>
        <v>0</v>
      </c>
      <c r="Q648" s="654">
        <f t="shared" ref="Q648:S648" si="660">+F648</f>
        <v>0</v>
      </c>
      <c r="R648" s="653">
        <f t="shared" si="660"/>
        <v>0</v>
      </c>
      <c r="S648" s="654">
        <f t="shared" si="660"/>
        <v>0</v>
      </c>
      <c r="T648" s="656" t="e">
        <f>+VLOOKUP($L648,Data_Validation!$A:$D,1,0)</f>
        <v>#N/A</v>
      </c>
      <c r="U648" s="656" t="e">
        <f>+VLOOKUP($L648,Data_Validation!$A:$D,3,0)</f>
        <v>#N/A</v>
      </c>
      <c r="V648" s="656" t="e">
        <f>+VLOOKUP($L648,Data_Validation!$A:$D,4,0)</f>
        <v>#N/A</v>
      </c>
      <c r="W648" s="656" t="e">
        <f>+VLOOKUP($L648,Data_Validation!$A:$E,5,0)</f>
        <v>#N/A</v>
      </c>
      <c r="X648" s="656" t="e">
        <f>+VLOOKUP($L648,Data_Validation!$A:$F,6,0)</f>
        <v>#N/A</v>
      </c>
    </row>
    <row r="649" spans="1:24" ht="15.75" customHeight="1">
      <c r="A649" s="714"/>
      <c r="B649" s="714"/>
      <c r="C649" s="715"/>
      <c r="D649" s="715"/>
      <c r="E649" s="715"/>
      <c r="F649" s="714"/>
      <c r="G649" s="714"/>
      <c r="H649" s="714"/>
      <c r="I649" s="716"/>
      <c r="J649" s="716"/>
      <c r="K649" s="716"/>
      <c r="L649" s="653" t="str">
        <f t="shared" si="654"/>
        <v>0</v>
      </c>
      <c r="M649" s="654">
        <f t="shared" si="520"/>
        <v>0</v>
      </c>
      <c r="N649" s="655">
        <f>+IF(OR($Q649=Parametres!$G$2,$Q649=Parametres!$G$3),I649,C649)</f>
        <v>0</v>
      </c>
      <c r="O649" s="655">
        <f>+IF(OR($Q649=Parametres!$G$2,$Q649=Parametres!$G$3),J649,D649)</f>
        <v>0</v>
      </c>
      <c r="P649" s="655">
        <f>+IF(OR($Q649=Parametres!$G$2,$Q649=Parametres!$G$3),K649,E649)</f>
        <v>0</v>
      </c>
      <c r="Q649" s="654">
        <f t="shared" ref="Q649:S649" si="661">+F649</f>
        <v>0</v>
      </c>
      <c r="R649" s="653">
        <f t="shared" si="661"/>
        <v>0</v>
      </c>
      <c r="S649" s="654">
        <f t="shared" si="661"/>
        <v>0</v>
      </c>
      <c r="T649" s="656" t="e">
        <f>+VLOOKUP($L649,Data_Validation!$A:$D,1,0)</f>
        <v>#N/A</v>
      </c>
      <c r="U649" s="656" t="e">
        <f>+VLOOKUP($L649,Data_Validation!$A:$D,3,0)</f>
        <v>#N/A</v>
      </c>
      <c r="V649" s="656" t="e">
        <f>+VLOOKUP($L649,Data_Validation!$A:$D,4,0)</f>
        <v>#N/A</v>
      </c>
      <c r="W649" s="656" t="e">
        <f>+VLOOKUP($L649,Data_Validation!$A:$E,5,0)</f>
        <v>#N/A</v>
      </c>
      <c r="X649" s="656" t="e">
        <f>+VLOOKUP($L649,Data_Validation!$A:$F,6,0)</f>
        <v>#N/A</v>
      </c>
    </row>
    <row r="650" spans="1:24" ht="15.75" customHeight="1">
      <c r="A650" s="714"/>
      <c r="B650" s="714"/>
      <c r="C650" s="715"/>
      <c r="D650" s="715"/>
      <c r="E650" s="715"/>
      <c r="F650" s="714"/>
      <c r="G650" s="714"/>
      <c r="H650" s="714"/>
      <c r="I650" s="716"/>
      <c r="J650" s="716"/>
      <c r="K650" s="716"/>
      <c r="L650" s="653" t="str">
        <f t="shared" si="654"/>
        <v>0</v>
      </c>
      <c r="M650" s="654">
        <f t="shared" si="520"/>
        <v>0</v>
      </c>
      <c r="N650" s="655">
        <f>+IF(OR($Q650=Parametres!$G$2,$Q650=Parametres!$G$3),I650,C650)</f>
        <v>0</v>
      </c>
      <c r="O650" s="655">
        <f>+IF(OR($Q650=Parametres!$G$2,$Q650=Parametres!$G$3),J650,D650)</f>
        <v>0</v>
      </c>
      <c r="P650" s="655">
        <f>+IF(OR($Q650=Parametres!$G$2,$Q650=Parametres!$G$3),K650,E650)</f>
        <v>0</v>
      </c>
      <c r="Q650" s="654">
        <f t="shared" ref="Q650:S650" si="662">+F650</f>
        <v>0</v>
      </c>
      <c r="R650" s="653">
        <f t="shared" si="662"/>
        <v>0</v>
      </c>
      <c r="S650" s="654">
        <f t="shared" si="662"/>
        <v>0</v>
      </c>
      <c r="T650" s="656" t="e">
        <f>+VLOOKUP($L650,Data_Validation!$A:$D,1,0)</f>
        <v>#N/A</v>
      </c>
      <c r="U650" s="656" t="e">
        <f>+VLOOKUP($L650,Data_Validation!$A:$D,3,0)</f>
        <v>#N/A</v>
      </c>
      <c r="V650" s="656" t="e">
        <f>+VLOOKUP($L650,Data_Validation!$A:$D,4,0)</f>
        <v>#N/A</v>
      </c>
      <c r="W650" s="656" t="e">
        <f>+VLOOKUP($L650,Data_Validation!$A:$E,5,0)</f>
        <v>#N/A</v>
      </c>
      <c r="X650" s="656" t="e">
        <f>+VLOOKUP($L650,Data_Validation!$A:$F,6,0)</f>
        <v>#N/A</v>
      </c>
    </row>
    <row r="651" spans="1:24" ht="15.75" customHeight="1">
      <c r="A651" s="714"/>
      <c r="B651" s="714"/>
      <c r="C651" s="715"/>
      <c r="D651" s="715"/>
      <c r="E651" s="715"/>
      <c r="F651" s="714"/>
      <c r="G651" s="714"/>
      <c r="H651" s="714"/>
      <c r="I651" s="716"/>
      <c r="J651" s="716"/>
      <c r="K651" s="716"/>
      <c r="L651" s="653" t="str">
        <f t="shared" si="654"/>
        <v>0</v>
      </c>
      <c r="M651" s="654">
        <f t="shared" si="520"/>
        <v>0</v>
      </c>
      <c r="N651" s="655">
        <f>+IF(OR($Q651=Parametres!$G$2,$Q651=Parametres!$G$3),I651,C651)</f>
        <v>0</v>
      </c>
      <c r="O651" s="655">
        <f>+IF(OR($Q651=Parametres!$G$2,$Q651=Parametres!$G$3),J651,D651)</f>
        <v>0</v>
      </c>
      <c r="P651" s="655">
        <f>+IF(OR($Q651=Parametres!$G$2,$Q651=Parametres!$G$3),K651,E651)</f>
        <v>0</v>
      </c>
      <c r="Q651" s="654">
        <f t="shared" ref="Q651:S651" si="663">+F651</f>
        <v>0</v>
      </c>
      <c r="R651" s="653">
        <f t="shared" si="663"/>
        <v>0</v>
      </c>
      <c r="S651" s="654">
        <f t="shared" si="663"/>
        <v>0</v>
      </c>
      <c r="T651" s="656" t="e">
        <f>+VLOOKUP($L651,Data_Validation!$A:$D,1,0)</f>
        <v>#N/A</v>
      </c>
      <c r="U651" s="656" t="e">
        <f>+VLOOKUP($L651,Data_Validation!$A:$D,3,0)</f>
        <v>#N/A</v>
      </c>
      <c r="V651" s="656" t="e">
        <f>+VLOOKUP($L651,Data_Validation!$A:$D,4,0)</f>
        <v>#N/A</v>
      </c>
      <c r="W651" s="656" t="e">
        <f>+VLOOKUP($L651,Data_Validation!$A:$E,5,0)</f>
        <v>#N/A</v>
      </c>
      <c r="X651" s="656" t="e">
        <f>+VLOOKUP($L651,Data_Validation!$A:$F,6,0)</f>
        <v>#N/A</v>
      </c>
    </row>
    <row r="652" spans="1:24" ht="15.75" customHeight="1">
      <c r="A652" s="714"/>
      <c r="B652" s="714"/>
      <c r="C652" s="715"/>
      <c r="D652" s="715"/>
      <c r="E652" s="715"/>
      <c r="F652" s="714"/>
      <c r="G652" s="714"/>
      <c r="H652" s="714"/>
      <c r="I652" s="716"/>
      <c r="J652" s="716"/>
      <c r="K652" s="716"/>
      <c r="L652" s="653" t="str">
        <f t="shared" si="654"/>
        <v>0</v>
      </c>
      <c r="M652" s="654">
        <f t="shared" si="520"/>
        <v>0</v>
      </c>
      <c r="N652" s="655">
        <f>+IF(OR($Q652=Parametres!$G$2,$Q652=Parametres!$G$3),I652,C652)</f>
        <v>0</v>
      </c>
      <c r="O652" s="655">
        <f>+IF(OR($Q652=Parametres!$G$2,$Q652=Parametres!$G$3),J652,D652)</f>
        <v>0</v>
      </c>
      <c r="P652" s="655">
        <f>+IF(OR($Q652=Parametres!$G$2,$Q652=Parametres!$G$3),K652,E652)</f>
        <v>0</v>
      </c>
      <c r="Q652" s="654">
        <f t="shared" ref="Q652:S652" si="664">+F652</f>
        <v>0</v>
      </c>
      <c r="R652" s="653">
        <f t="shared" si="664"/>
        <v>0</v>
      </c>
      <c r="S652" s="654">
        <f t="shared" si="664"/>
        <v>0</v>
      </c>
      <c r="T652" s="656" t="e">
        <f>+VLOOKUP($L652,Data_Validation!$A:$D,1,0)</f>
        <v>#N/A</v>
      </c>
      <c r="U652" s="656" t="e">
        <f>+VLOOKUP($L652,Data_Validation!$A:$D,3,0)</f>
        <v>#N/A</v>
      </c>
      <c r="V652" s="656" t="e">
        <f>+VLOOKUP($L652,Data_Validation!$A:$D,4,0)</f>
        <v>#N/A</v>
      </c>
      <c r="W652" s="656" t="e">
        <f>+VLOOKUP($L652,Data_Validation!$A:$E,5,0)</f>
        <v>#N/A</v>
      </c>
      <c r="X652" s="656" t="e">
        <f>+VLOOKUP($L652,Data_Validation!$A:$F,6,0)</f>
        <v>#N/A</v>
      </c>
    </row>
    <row r="653" spans="1:24" ht="15.75" customHeight="1">
      <c r="A653" s="714"/>
      <c r="B653" s="714"/>
      <c r="C653" s="715"/>
      <c r="D653" s="715"/>
      <c r="E653" s="715"/>
      <c r="F653" s="714"/>
      <c r="G653" s="714"/>
      <c r="H653" s="714"/>
      <c r="I653" s="716"/>
      <c r="J653" s="716"/>
      <c r="K653" s="716"/>
      <c r="L653" s="653" t="str">
        <f t="shared" si="654"/>
        <v>0</v>
      </c>
      <c r="M653" s="654">
        <f t="shared" si="520"/>
        <v>0</v>
      </c>
      <c r="N653" s="655">
        <f>+IF(OR($Q653=Parametres!$G$2,$Q653=Parametres!$G$3),I653,C653)</f>
        <v>0</v>
      </c>
      <c r="O653" s="655">
        <f>+IF(OR($Q653=Parametres!$G$2,$Q653=Parametres!$G$3),J653,D653)</f>
        <v>0</v>
      </c>
      <c r="P653" s="655">
        <f>+IF(OR($Q653=Parametres!$G$2,$Q653=Parametres!$G$3),K653,E653)</f>
        <v>0</v>
      </c>
      <c r="Q653" s="654">
        <f t="shared" ref="Q653:S653" si="665">+F653</f>
        <v>0</v>
      </c>
      <c r="R653" s="653">
        <f t="shared" si="665"/>
        <v>0</v>
      </c>
      <c r="S653" s="654">
        <f t="shared" si="665"/>
        <v>0</v>
      </c>
      <c r="T653" s="656" t="e">
        <f>+VLOOKUP($L653,Data_Validation!$A:$D,1,0)</f>
        <v>#N/A</v>
      </c>
      <c r="U653" s="656" t="e">
        <f>+VLOOKUP($L653,Data_Validation!$A:$D,3,0)</f>
        <v>#N/A</v>
      </c>
      <c r="V653" s="656" t="e">
        <f>+VLOOKUP($L653,Data_Validation!$A:$D,4,0)</f>
        <v>#N/A</v>
      </c>
      <c r="W653" s="656" t="e">
        <f>+VLOOKUP($L653,Data_Validation!$A:$E,5,0)</f>
        <v>#N/A</v>
      </c>
      <c r="X653" s="656" t="e">
        <f>+VLOOKUP($L653,Data_Validation!$A:$F,6,0)</f>
        <v>#N/A</v>
      </c>
    </row>
    <row r="654" spans="1:24" ht="15.75" customHeight="1">
      <c r="A654" s="714"/>
      <c r="B654" s="714"/>
      <c r="C654" s="715"/>
      <c r="D654" s="715"/>
      <c r="E654" s="715"/>
      <c r="F654" s="714"/>
      <c r="G654" s="714"/>
      <c r="H654" s="714"/>
      <c r="I654" s="716"/>
      <c r="J654" s="716"/>
      <c r="K654" s="716"/>
      <c r="L654" s="653" t="str">
        <f t="shared" si="654"/>
        <v>0</v>
      </c>
      <c r="M654" s="654">
        <f t="shared" si="520"/>
        <v>0</v>
      </c>
      <c r="N654" s="655">
        <f>+IF(OR($Q654=Parametres!$G$2,$Q654=Parametres!$G$3),I654,C654)</f>
        <v>0</v>
      </c>
      <c r="O654" s="655">
        <f>+IF(OR($Q654=Parametres!$G$2,$Q654=Parametres!$G$3),J654,D654)</f>
        <v>0</v>
      </c>
      <c r="P654" s="655">
        <f>+IF(OR($Q654=Parametres!$G$2,$Q654=Parametres!$G$3),K654,E654)</f>
        <v>0</v>
      </c>
      <c r="Q654" s="654">
        <f t="shared" ref="Q654:S654" si="666">+F654</f>
        <v>0</v>
      </c>
      <c r="R654" s="653">
        <f t="shared" si="666"/>
        <v>0</v>
      </c>
      <c r="S654" s="654">
        <f t="shared" si="666"/>
        <v>0</v>
      </c>
      <c r="T654" s="656" t="e">
        <f>+VLOOKUP($L654,Data_Validation!$A:$D,1,0)</f>
        <v>#N/A</v>
      </c>
      <c r="U654" s="656" t="e">
        <f>+VLOOKUP($L654,Data_Validation!$A:$D,3,0)</f>
        <v>#N/A</v>
      </c>
      <c r="V654" s="656" t="e">
        <f>+VLOOKUP($L654,Data_Validation!$A:$D,4,0)</f>
        <v>#N/A</v>
      </c>
      <c r="W654" s="656" t="e">
        <f>+VLOOKUP($L654,Data_Validation!$A:$E,5,0)</f>
        <v>#N/A</v>
      </c>
      <c r="X654" s="656" t="e">
        <f>+VLOOKUP($L654,Data_Validation!$A:$F,6,0)</f>
        <v>#N/A</v>
      </c>
    </row>
    <row r="655" spans="1:24" ht="15.75" customHeight="1">
      <c r="A655" s="714"/>
      <c r="B655" s="714"/>
      <c r="C655" s="715"/>
      <c r="D655" s="715"/>
      <c r="E655" s="715"/>
      <c r="F655" s="714"/>
      <c r="G655" s="714"/>
      <c r="H655" s="714"/>
      <c r="I655" s="716"/>
      <c r="J655" s="716"/>
      <c r="K655" s="716"/>
      <c r="L655" s="653" t="str">
        <f t="shared" si="654"/>
        <v>0</v>
      </c>
      <c r="M655" s="654">
        <f t="shared" si="520"/>
        <v>0</v>
      </c>
      <c r="N655" s="655">
        <f>+IF(OR($Q655=Parametres!$G$2,$Q655=Parametres!$G$3),I655,C655)</f>
        <v>0</v>
      </c>
      <c r="O655" s="655">
        <f>+IF(OR($Q655=Parametres!$G$2,$Q655=Parametres!$G$3),J655,D655)</f>
        <v>0</v>
      </c>
      <c r="P655" s="655">
        <f>+IF(OR($Q655=Parametres!$G$2,$Q655=Parametres!$G$3),K655,E655)</f>
        <v>0</v>
      </c>
      <c r="Q655" s="654">
        <f t="shared" ref="Q655:S655" si="667">+F655</f>
        <v>0</v>
      </c>
      <c r="R655" s="653">
        <f t="shared" si="667"/>
        <v>0</v>
      </c>
      <c r="S655" s="654">
        <f t="shared" si="667"/>
        <v>0</v>
      </c>
      <c r="T655" s="656" t="e">
        <f>+VLOOKUP($L655,Data_Validation!$A:$D,1,0)</f>
        <v>#N/A</v>
      </c>
      <c r="U655" s="656" t="e">
        <f>+VLOOKUP($L655,Data_Validation!$A:$D,3,0)</f>
        <v>#N/A</v>
      </c>
      <c r="V655" s="656" t="e">
        <f>+VLOOKUP($L655,Data_Validation!$A:$D,4,0)</f>
        <v>#N/A</v>
      </c>
      <c r="W655" s="656" t="e">
        <f>+VLOOKUP($L655,Data_Validation!$A:$E,5,0)</f>
        <v>#N/A</v>
      </c>
      <c r="X655" s="656" t="e">
        <f>+VLOOKUP($L655,Data_Validation!$A:$F,6,0)</f>
        <v>#N/A</v>
      </c>
    </row>
    <row r="656" spans="1:24" ht="15.75" customHeight="1">
      <c r="A656" s="714"/>
      <c r="B656" s="714"/>
      <c r="C656" s="715"/>
      <c r="D656" s="715"/>
      <c r="E656" s="715"/>
      <c r="F656" s="714"/>
      <c r="G656" s="714"/>
      <c r="H656" s="714"/>
      <c r="I656" s="716"/>
      <c r="J656" s="716"/>
      <c r="K656" s="716"/>
      <c r="L656" s="653" t="str">
        <f t="shared" si="654"/>
        <v>0</v>
      </c>
      <c r="M656" s="654">
        <f t="shared" si="520"/>
        <v>0</v>
      </c>
      <c r="N656" s="655">
        <f>+IF(OR($Q656=Parametres!$G$2,$Q656=Parametres!$G$3),I656,C656)</f>
        <v>0</v>
      </c>
      <c r="O656" s="655">
        <f>+IF(OR($Q656=Parametres!$G$2,$Q656=Parametres!$G$3),J656,D656)</f>
        <v>0</v>
      </c>
      <c r="P656" s="655">
        <f>+IF(OR($Q656=Parametres!$G$2,$Q656=Parametres!$G$3),K656,E656)</f>
        <v>0</v>
      </c>
      <c r="Q656" s="654">
        <f t="shared" ref="Q656:S656" si="668">+F656</f>
        <v>0</v>
      </c>
      <c r="R656" s="653">
        <f t="shared" si="668"/>
        <v>0</v>
      </c>
      <c r="S656" s="654">
        <f t="shared" si="668"/>
        <v>0</v>
      </c>
      <c r="T656" s="656" t="e">
        <f>+VLOOKUP($L656,Data_Validation!$A:$D,1,0)</f>
        <v>#N/A</v>
      </c>
      <c r="U656" s="656" t="e">
        <f>+VLOOKUP($L656,Data_Validation!$A:$D,3,0)</f>
        <v>#N/A</v>
      </c>
      <c r="V656" s="656" t="e">
        <f>+VLOOKUP($L656,Data_Validation!$A:$D,4,0)</f>
        <v>#N/A</v>
      </c>
      <c r="W656" s="656" t="e">
        <f>+VLOOKUP($L656,Data_Validation!$A:$E,5,0)</f>
        <v>#N/A</v>
      </c>
      <c r="X656" s="656" t="e">
        <f>+VLOOKUP($L656,Data_Validation!$A:$F,6,0)</f>
        <v>#N/A</v>
      </c>
    </row>
    <row r="657" spans="1:24" ht="15.75" customHeight="1">
      <c r="A657" s="714"/>
      <c r="B657" s="714"/>
      <c r="C657" s="715"/>
      <c r="D657" s="715"/>
      <c r="E657" s="715"/>
      <c r="F657" s="714"/>
      <c r="G657" s="714"/>
      <c r="H657" s="714"/>
      <c r="I657" s="716"/>
      <c r="J657" s="716"/>
      <c r="K657" s="716"/>
      <c r="L657" s="653" t="str">
        <f t="shared" si="654"/>
        <v>0</v>
      </c>
      <c r="M657" s="654">
        <f t="shared" si="520"/>
        <v>0</v>
      </c>
      <c r="N657" s="655">
        <f>+IF(OR($Q657=Parametres!$G$2,$Q657=Parametres!$G$3),I657,C657)</f>
        <v>0</v>
      </c>
      <c r="O657" s="655">
        <f>+IF(OR($Q657=Parametres!$G$2,$Q657=Parametres!$G$3),J657,D657)</f>
        <v>0</v>
      </c>
      <c r="P657" s="655">
        <f>+IF(OR($Q657=Parametres!$G$2,$Q657=Parametres!$G$3),K657,E657)</f>
        <v>0</v>
      </c>
      <c r="Q657" s="654">
        <f t="shared" ref="Q657:S657" si="669">+F657</f>
        <v>0</v>
      </c>
      <c r="R657" s="653">
        <f t="shared" si="669"/>
        <v>0</v>
      </c>
      <c r="S657" s="654">
        <f t="shared" si="669"/>
        <v>0</v>
      </c>
      <c r="T657" s="656" t="e">
        <f>+VLOOKUP($L657,Data_Validation!$A:$D,1,0)</f>
        <v>#N/A</v>
      </c>
      <c r="U657" s="656" t="e">
        <f>+VLOOKUP($L657,Data_Validation!$A:$D,3,0)</f>
        <v>#N/A</v>
      </c>
      <c r="V657" s="656" t="e">
        <f>+VLOOKUP($L657,Data_Validation!$A:$D,4,0)</f>
        <v>#N/A</v>
      </c>
      <c r="W657" s="656" t="e">
        <f>+VLOOKUP($L657,Data_Validation!$A:$E,5,0)</f>
        <v>#N/A</v>
      </c>
      <c r="X657" s="656" t="e">
        <f>+VLOOKUP($L657,Data_Validation!$A:$F,6,0)</f>
        <v>#N/A</v>
      </c>
    </row>
    <row r="658" spans="1:24" ht="15.75" customHeight="1">
      <c r="A658" s="714"/>
      <c r="B658" s="714"/>
      <c r="C658" s="715"/>
      <c r="D658" s="715"/>
      <c r="E658" s="715"/>
      <c r="F658" s="714"/>
      <c r="G658" s="714"/>
      <c r="H658" s="714"/>
      <c r="I658" s="716"/>
      <c r="J658" s="716"/>
      <c r="K658" s="716"/>
      <c r="L658" s="653" t="str">
        <f t="shared" si="654"/>
        <v>0</v>
      </c>
      <c r="M658" s="654">
        <f t="shared" si="520"/>
        <v>0</v>
      </c>
      <c r="N658" s="655">
        <f>+IF(OR($Q658=Parametres!$G$2,$Q658=Parametres!$G$3),I658,C658)</f>
        <v>0</v>
      </c>
      <c r="O658" s="655">
        <f>+IF(OR($Q658=Parametres!$G$2,$Q658=Parametres!$G$3),J658,D658)</f>
        <v>0</v>
      </c>
      <c r="P658" s="655">
        <f>+IF(OR($Q658=Parametres!$G$2,$Q658=Parametres!$G$3),K658,E658)</f>
        <v>0</v>
      </c>
      <c r="Q658" s="654">
        <f t="shared" ref="Q658:S658" si="670">+F658</f>
        <v>0</v>
      </c>
      <c r="R658" s="653">
        <f t="shared" si="670"/>
        <v>0</v>
      </c>
      <c r="S658" s="654">
        <f t="shared" si="670"/>
        <v>0</v>
      </c>
      <c r="T658" s="656" t="e">
        <f>+VLOOKUP($L658,Data_Validation!$A:$D,1,0)</f>
        <v>#N/A</v>
      </c>
      <c r="U658" s="656" t="e">
        <f>+VLOOKUP($L658,Data_Validation!$A:$D,3,0)</f>
        <v>#N/A</v>
      </c>
      <c r="V658" s="656" t="e">
        <f>+VLOOKUP($L658,Data_Validation!$A:$D,4,0)</f>
        <v>#N/A</v>
      </c>
      <c r="W658" s="656" t="e">
        <f>+VLOOKUP($L658,Data_Validation!$A:$E,5,0)</f>
        <v>#N/A</v>
      </c>
      <c r="X658" s="656" t="e">
        <f>+VLOOKUP($L658,Data_Validation!$A:$F,6,0)</f>
        <v>#N/A</v>
      </c>
    </row>
    <row r="659" spans="1:24" ht="15.75" customHeight="1">
      <c r="A659" s="714"/>
      <c r="B659" s="714"/>
      <c r="C659" s="715"/>
      <c r="D659" s="715"/>
      <c r="E659" s="715"/>
      <c r="F659" s="714"/>
      <c r="G659" s="714"/>
      <c r="H659" s="714"/>
      <c r="I659" s="716"/>
      <c r="J659" s="716"/>
      <c r="K659" s="716"/>
      <c r="L659" s="653" t="str">
        <f t="shared" si="654"/>
        <v>0</v>
      </c>
      <c r="M659" s="654">
        <f t="shared" si="520"/>
        <v>0</v>
      </c>
      <c r="N659" s="655">
        <f>+IF(OR($Q659=Parametres!$G$2,$Q659=Parametres!$G$3),I659,C659)</f>
        <v>0</v>
      </c>
      <c r="O659" s="655">
        <f>+IF(OR($Q659=Parametres!$G$2,$Q659=Parametres!$G$3),J659,D659)</f>
        <v>0</v>
      </c>
      <c r="P659" s="655">
        <f>+IF(OR($Q659=Parametres!$G$2,$Q659=Parametres!$G$3),K659,E659)</f>
        <v>0</v>
      </c>
      <c r="Q659" s="654">
        <f t="shared" ref="Q659:S659" si="671">+F659</f>
        <v>0</v>
      </c>
      <c r="R659" s="653">
        <f t="shared" si="671"/>
        <v>0</v>
      </c>
      <c r="S659" s="654">
        <f t="shared" si="671"/>
        <v>0</v>
      </c>
      <c r="T659" s="656" t="e">
        <f>+VLOOKUP($L659,Data_Validation!$A:$D,1,0)</f>
        <v>#N/A</v>
      </c>
      <c r="U659" s="656" t="e">
        <f>+VLOOKUP($L659,Data_Validation!$A:$D,3,0)</f>
        <v>#N/A</v>
      </c>
      <c r="V659" s="656" t="e">
        <f>+VLOOKUP($L659,Data_Validation!$A:$D,4,0)</f>
        <v>#N/A</v>
      </c>
      <c r="W659" s="656" t="e">
        <f>+VLOOKUP($L659,Data_Validation!$A:$E,5,0)</f>
        <v>#N/A</v>
      </c>
      <c r="X659" s="656" t="e">
        <f>+VLOOKUP($L659,Data_Validation!$A:$F,6,0)</f>
        <v>#N/A</v>
      </c>
    </row>
    <row r="660" spans="1:24" ht="15.75" customHeight="1">
      <c r="A660" s="714"/>
      <c r="B660" s="714"/>
      <c r="C660" s="715"/>
      <c r="D660" s="715"/>
      <c r="E660" s="715"/>
      <c r="F660" s="714"/>
      <c r="G660" s="714"/>
      <c r="H660" s="714"/>
      <c r="I660" s="716"/>
      <c r="J660" s="716"/>
      <c r="K660" s="716"/>
      <c r="L660" s="653" t="str">
        <f t="shared" si="654"/>
        <v>0</v>
      </c>
      <c r="M660" s="654">
        <f t="shared" si="520"/>
        <v>0</v>
      </c>
      <c r="N660" s="655">
        <f>+IF(OR($Q660=Parametres!$G$2,$Q660=Parametres!$G$3),I660,C660)</f>
        <v>0</v>
      </c>
      <c r="O660" s="655">
        <f>+IF(OR($Q660=Parametres!$G$2,$Q660=Parametres!$G$3),J660,D660)</f>
        <v>0</v>
      </c>
      <c r="P660" s="655">
        <f>+IF(OR($Q660=Parametres!$G$2,$Q660=Parametres!$G$3),K660,E660)</f>
        <v>0</v>
      </c>
      <c r="Q660" s="654">
        <f t="shared" ref="Q660:S660" si="672">+F660</f>
        <v>0</v>
      </c>
      <c r="R660" s="653">
        <f t="shared" si="672"/>
        <v>0</v>
      </c>
      <c r="S660" s="654">
        <f t="shared" si="672"/>
        <v>0</v>
      </c>
      <c r="T660" s="656" t="e">
        <f>+VLOOKUP($L660,Data_Validation!$A:$D,1,0)</f>
        <v>#N/A</v>
      </c>
      <c r="U660" s="656" t="e">
        <f>+VLOOKUP($L660,Data_Validation!$A:$D,3,0)</f>
        <v>#N/A</v>
      </c>
      <c r="V660" s="656" t="e">
        <f>+VLOOKUP($L660,Data_Validation!$A:$D,4,0)</f>
        <v>#N/A</v>
      </c>
      <c r="W660" s="656" t="e">
        <f>+VLOOKUP($L660,Data_Validation!$A:$E,5,0)</f>
        <v>#N/A</v>
      </c>
      <c r="X660" s="656" t="e">
        <f>+VLOOKUP($L660,Data_Validation!$A:$F,6,0)</f>
        <v>#N/A</v>
      </c>
    </row>
    <row r="661" spans="1:24" ht="15.75" customHeight="1">
      <c r="A661" s="714"/>
      <c r="B661" s="714"/>
      <c r="C661" s="715"/>
      <c r="D661" s="715"/>
      <c r="E661" s="715"/>
      <c r="F661" s="714"/>
      <c r="G661" s="714"/>
      <c r="H661" s="714"/>
      <c r="I661" s="716"/>
      <c r="J661" s="716"/>
      <c r="K661" s="716"/>
      <c r="L661" s="653" t="str">
        <f t="shared" si="654"/>
        <v>0</v>
      </c>
      <c r="M661" s="654">
        <f t="shared" si="520"/>
        <v>0</v>
      </c>
      <c r="N661" s="655">
        <f>+IF(OR($Q661=Parametres!$G$2,$Q661=Parametres!$G$3),I661,C661)</f>
        <v>0</v>
      </c>
      <c r="O661" s="655">
        <f>+IF(OR($Q661=Parametres!$G$2,$Q661=Parametres!$G$3),J661,D661)</f>
        <v>0</v>
      </c>
      <c r="P661" s="655">
        <f>+IF(OR($Q661=Parametres!$G$2,$Q661=Parametres!$G$3),K661,E661)</f>
        <v>0</v>
      </c>
      <c r="Q661" s="654">
        <f t="shared" ref="Q661:S661" si="673">+F661</f>
        <v>0</v>
      </c>
      <c r="R661" s="653">
        <f t="shared" si="673"/>
        <v>0</v>
      </c>
      <c r="S661" s="654">
        <f t="shared" si="673"/>
        <v>0</v>
      </c>
      <c r="T661" s="656" t="e">
        <f>+VLOOKUP($L661,Data_Validation!$A:$D,1,0)</f>
        <v>#N/A</v>
      </c>
      <c r="U661" s="656" t="e">
        <f>+VLOOKUP($L661,Data_Validation!$A:$D,3,0)</f>
        <v>#N/A</v>
      </c>
      <c r="V661" s="656" t="e">
        <f>+VLOOKUP($L661,Data_Validation!$A:$D,4,0)</f>
        <v>#N/A</v>
      </c>
      <c r="W661" s="656" t="e">
        <f>+VLOOKUP($L661,Data_Validation!$A:$E,5,0)</f>
        <v>#N/A</v>
      </c>
      <c r="X661" s="656" t="e">
        <f>+VLOOKUP($L661,Data_Validation!$A:$F,6,0)</f>
        <v>#N/A</v>
      </c>
    </row>
    <row r="662" spans="1:24" ht="15.75" customHeight="1">
      <c r="A662" s="714"/>
      <c r="B662" s="714"/>
      <c r="C662" s="715"/>
      <c r="D662" s="715"/>
      <c r="E662" s="715"/>
      <c r="F662" s="714"/>
      <c r="G662" s="714"/>
      <c r="H662" s="714"/>
      <c r="I662" s="716"/>
      <c r="J662" s="716"/>
      <c r="K662" s="716"/>
      <c r="L662" s="653" t="str">
        <f t="shared" si="654"/>
        <v>0</v>
      </c>
      <c r="M662" s="654">
        <f t="shared" si="520"/>
        <v>0</v>
      </c>
      <c r="N662" s="655">
        <f>+IF(OR($Q662=Parametres!$G$2,$Q662=Parametres!$G$3),I662,C662)</f>
        <v>0</v>
      </c>
      <c r="O662" s="713">
        <f>+IF(OR($Q662=Parametres!$G$2,$Q662=Parametres!$G$3),J662,D662)</f>
        <v>0</v>
      </c>
      <c r="P662" s="655">
        <f>+IF(OR($Q662=Parametres!$G$2,$Q662=Parametres!$G$3),K662,E662)</f>
        <v>0</v>
      </c>
      <c r="Q662" s="654">
        <f t="shared" ref="Q662:S662" si="674">+F662</f>
        <v>0</v>
      </c>
      <c r="R662" s="653">
        <f t="shared" si="674"/>
        <v>0</v>
      </c>
      <c r="S662" s="654">
        <f t="shared" si="674"/>
        <v>0</v>
      </c>
      <c r="T662" s="656" t="e">
        <f>+VLOOKUP($L662,Data_Validation!$A:$D,1,0)</f>
        <v>#N/A</v>
      </c>
      <c r="U662" s="656" t="e">
        <f>+VLOOKUP($L662,Data_Validation!$A:$D,3,0)</f>
        <v>#N/A</v>
      </c>
      <c r="V662" s="656" t="e">
        <f>+VLOOKUP($L662,Data_Validation!$A:$D,4,0)</f>
        <v>#N/A</v>
      </c>
      <c r="W662" s="656" t="e">
        <f>+VLOOKUP($L662,Data_Validation!$A:$E,5,0)</f>
        <v>#N/A</v>
      </c>
      <c r="X662" s="656" t="e">
        <f>+VLOOKUP($L662,Data_Validation!$A:$F,6,0)</f>
        <v>#N/A</v>
      </c>
    </row>
    <row r="663" spans="1:24" ht="15.75" customHeight="1">
      <c r="A663" s="714"/>
      <c r="B663" s="714"/>
      <c r="C663" s="715"/>
      <c r="D663" s="715"/>
      <c r="E663" s="715"/>
      <c r="F663" s="714"/>
      <c r="G663" s="714"/>
      <c r="H663" s="714"/>
      <c r="I663" s="716"/>
      <c r="J663" s="716"/>
      <c r="K663" s="716"/>
      <c r="L663" s="653" t="str">
        <f t="shared" si="654"/>
        <v>0</v>
      </c>
      <c r="M663" s="654">
        <f t="shared" si="520"/>
        <v>0</v>
      </c>
      <c r="N663" s="655">
        <f>+IF(OR($Q663=Parametres!$G$2,$Q663=Parametres!$G$3),I663,C663)</f>
        <v>0</v>
      </c>
      <c r="O663" s="655">
        <f>+IF(OR($Q663=Parametres!$G$2,$Q663=Parametres!$G$3),J663,D663)</f>
        <v>0</v>
      </c>
      <c r="P663" s="655">
        <f>+IF(OR($Q663=Parametres!$G$2,$Q663=Parametres!$G$3),K663,E663)</f>
        <v>0</v>
      </c>
      <c r="Q663" s="654">
        <f t="shared" ref="Q663:S663" si="675">+F663</f>
        <v>0</v>
      </c>
      <c r="R663" s="653">
        <f t="shared" si="675"/>
        <v>0</v>
      </c>
      <c r="S663" s="654">
        <f t="shared" si="675"/>
        <v>0</v>
      </c>
      <c r="T663" s="656" t="e">
        <f>+VLOOKUP($L663,Data_Validation!$A:$D,1,0)</f>
        <v>#N/A</v>
      </c>
      <c r="U663" s="656" t="e">
        <f>+VLOOKUP($L663,Data_Validation!$A:$D,3,0)</f>
        <v>#N/A</v>
      </c>
      <c r="V663" s="656" t="e">
        <f>+VLOOKUP($L663,Data_Validation!$A:$D,4,0)</f>
        <v>#N/A</v>
      </c>
      <c r="W663" s="656" t="e">
        <f>+VLOOKUP($L663,Data_Validation!$A:$E,5,0)</f>
        <v>#N/A</v>
      </c>
      <c r="X663" s="656" t="e">
        <f>+VLOOKUP($L663,Data_Validation!$A:$F,6,0)</f>
        <v>#N/A</v>
      </c>
    </row>
    <row r="664" spans="1:24" ht="15.75" customHeight="1">
      <c r="A664" s="714"/>
      <c r="B664" s="714"/>
      <c r="C664" s="715"/>
      <c r="D664" s="715"/>
      <c r="E664" s="715"/>
      <c r="F664" s="714"/>
      <c r="G664" s="714"/>
      <c r="H664" s="714"/>
      <c r="I664" s="716"/>
      <c r="J664" s="716"/>
      <c r="K664" s="716"/>
      <c r="L664" s="653" t="str">
        <f t="shared" si="654"/>
        <v>0</v>
      </c>
      <c r="M664" s="654">
        <f t="shared" si="520"/>
        <v>0</v>
      </c>
      <c r="N664" s="655">
        <f>+IF(OR($Q664=Parametres!$G$2,$Q664=Parametres!$G$3),I664,C664)</f>
        <v>0</v>
      </c>
      <c r="O664" s="655">
        <f>+IF(OR($Q664=Parametres!$G$2,$Q664=Parametres!$G$3),J664,D664)</f>
        <v>0</v>
      </c>
      <c r="P664" s="655">
        <f>+IF(OR($Q664=Parametres!$G$2,$Q664=Parametres!$G$3),K664,E664)</f>
        <v>0</v>
      </c>
      <c r="Q664" s="654">
        <f t="shared" ref="Q664:S664" si="676">+F664</f>
        <v>0</v>
      </c>
      <c r="R664" s="653">
        <f t="shared" si="676"/>
        <v>0</v>
      </c>
      <c r="S664" s="654">
        <f t="shared" si="676"/>
        <v>0</v>
      </c>
      <c r="T664" s="656" t="e">
        <f>+VLOOKUP($L664,Data_Validation!$A:$D,1,0)</f>
        <v>#N/A</v>
      </c>
      <c r="U664" s="656" t="e">
        <f>+VLOOKUP($L664,Data_Validation!$A:$D,3,0)</f>
        <v>#N/A</v>
      </c>
      <c r="V664" s="656" t="e">
        <f>+VLOOKUP($L664,Data_Validation!$A:$D,4,0)</f>
        <v>#N/A</v>
      </c>
      <c r="W664" s="656" t="e">
        <f>+VLOOKUP($L664,Data_Validation!$A:$E,5,0)</f>
        <v>#N/A</v>
      </c>
      <c r="X664" s="656" t="e">
        <f>+VLOOKUP($L664,Data_Validation!$A:$F,6,0)</f>
        <v>#N/A</v>
      </c>
    </row>
    <row r="665" spans="1:24" ht="15.75" customHeight="1">
      <c r="A665" s="714"/>
      <c r="B665" s="714"/>
      <c r="C665" s="715"/>
      <c r="D665" s="715"/>
      <c r="E665" s="715"/>
      <c r="F665" s="714"/>
      <c r="G665" s="714"/>
      <c r="H665" s="714"/>
      <c r="I665" s="716"/>
      <c r="J665" s="716"/>
      <c r="K665" s="716"/>
      <c r="L665" s="653" t="str">
        <f t="shared" si="654"/>
        <v>0</v>
      </c>
      <c r="M665" s="654">
        <f t="shared" si="520"/>
        <v>0</v>
      </c>
      <c r="N665" s="655">
        <f>+IF(OR($Q665=Parametres!$G$2,$Q665=Parametres!$G$3),I665,C665)</f>
        <v>0</v>
      </c>
      <c r="O665" s="655">
        <f>+IF(OR($Q665=Parametres!$G$2,$Q665=Parametres!$G$3),J665,D665)</f>
        <v>0</v>
      </c>
      <c r="P665" s="655">
        <f>+IF(OR($Q665=Parametres!$G$2,$Q665=Parametres!$G$3),K665,E665)</f>
        <v>0</v>
      </c>
      <c r="Q665" s="654">
        <f t="shared" ref="Q665:S665" si="677">+F665</f>
        <v>0</v>
      </c>
      <c r="R665" s="653">
        <f t="shared" si="677"/>
        <v>0</v>
      </c>
      <c r="S665" s="654">
        <f t="shared" si="677"/>
        <v>0</v>
      </c>
      <c r="T665" s="656" t="e">
        <f>+VLOOKUP($L665,Data_Validation!$A:$D,1,0)</f>
        <v>#N/A</v>
      </c>
      <c r="U665" s="656" t="e">
        <f>+VLOOKUP($L665,Data_Validation!$A:$D,3,0)</f>
        <v>#N/A</v>
      </c>
      <c r="V665" s="656" t="e">
        <f>+VLOOKUP($L665,Data_Validation!$A:$D,4,0)</f>
        <v>#N/A</v>
      </c>
      <c r="W665" s="656" t="e">
        <f>+VLOOKUP($L665,Data_Validation!$A:$E,5,0)</f>
        <v>#N/A</v>
      </c>
      <c r="X665" s="656" t="e">
        <f>+VLOOKUP($L665,Data_Validation!$A:$F,6,0)</f>
        <v>#N/A</v>
      </c>
    </row>
    <row r="666" spans="1:24" ht="15.75" customHeight="1">
      <c r="A666" s="714"/>
      <c r="B666" s="714"/>
      <c r="C666" s="715"/>
      <c r="D666" s="715"/>
      <c r="E666" s="715"/>
      <c r="F666" s="714"/>
      <c r="G666" s="714"/>
      <c r="H666" s="714"/>
      <c r="I666" s="716"/>
      <c r="J666" s="716"/>
      <c r="K666" s="716"/>
      <c r="L666" s="653" t="str">
        <f t="shared" si="654"/>
        <v>0</v>
      </c>
      <c r="M666" s="654">
        <f t="shared" si="520"/>
        <v>0</v>
      </c>
      <c r="N666" s="655">
        <f>+IF(OR($Q666=Parametres!$G$2,$Q666=Parametres!$G$3),I666,C666)</f>
        <v>0</v>
      </c>
      <c r="O666" s="655">
        <f>+IF(OR($Q666=Parametres!$G$2,$Q666=Parametres!$G$3),J666,D666)</f>
        <v>0</v>
      </c>
      <c r="P666" s="655">
        <f>+IF(OR($Q666=Parametres!$G$2,$Q666=Parametres!$G$3),K666,E666)</f>
        <v>0</v>
      </c>
      <c r="Q666" s="654">
        <f t="shared" ref="Q666:S666" si="678">+F666</f>
        <v>0</v>
      </c>
      <c r="R666" s="653">
        <f t="shared" si="678"/>
        <v>0</v>
      </c>
      <c r="S666" s="654">
        <f t="shared" si="678"/>
        <v>0</v>
      </c>
      <c r="T666" s="656" t="e">
        <f>+VLOOKUP($L666,Data_Validation!$A:$D,1,0)</f>
        <v>#N/A</v>
      </c>
      <c r="U666" s="656" t="e">
        <f>+VLOOKUP($L666,Data_Validation!$A:$D,3,0)</f>
        <v>#N/A</v>
      </c>
      <c r="V666" s="656" t="e">
        <f>+VLOOKUP($L666,Data_Validation!$A:$D,4,0)</f>
        <v>#N/A</v>
      </c>
      <c r="W666" s="656" t="e">
        <f>+VLOOKUP($L666,Data_Validation!$A:$E,5,0)</f>
        <v>#N/A</v>
      </c>
      <c r="X666" s="656" t="e">
        <f>+VLOOKUP($L666,Data_Validation!$A:$F,6,0)</f>
        <v>#N/A</v>
      </c>
    </row>
    <row r="667" spans="1:24" ht="15.75" customHeight="1">
      <c r="A667" s="714"/>
      <c r="B667" s="714"/>
      <c r="C667" s="715"/>
      <c r="D667" s="715"/>
      <c r="E667" s="715"/>
      <c r="F667" s="714"/>
      <c r="G667" s="714"/>
      <c r="H667" s="714"/>
      <c r="I667" s="716"/>
      <c r="J667" s="716"/>
      <c r="K667" s="716"/>
      <c r="L667" s="653" t="str">
        <f t="shared" si="654"/>
        <v>0</v>
      </c>
      <c r="M667" s="654">
        <f t="shared" si="520"/>
        <v>0</v>
      </c>
      <c r="N667" s="655">
        <f>+IF(OR($Q667=Parametres!$G$2,$Q667=Parametres!$G$3),I667,C667)</f>
        <v>0</v>
      </c>
      <c r="O667" s="655">
        <f>+IF(OR($Q667=Parametres!$G$2,$Q667=Parametres!$G$3),J667,D667)</f>
        <v>0</v>
      </c>
      <c r="P667" s="655">
        <f>+IF(OR($Q667=Parametres!$G$2,$Q667=Parametres!$G$3),K667,E667)</f>
        <v>0</v>
      </c>
      <c r="Q667" s="654">
        <f t="shared" ref="Q667:S667" si="679">+F667</f>
        <v>0</v>
      </c>
      <c r="R667" s="653">
        <f t="shared" si="679"/>
        <v>0</v>
      </c>
      <c r="S667" s="654">
        <f t="shared" si="679"/>
        <v>0</v>
      </c>
      <c r="T667" s="656" t="e">
        <f>+VLOOKUP($L667,Data_Validation!$A:$D,1,0)</f>
        <v>#N/A</v>
      </c>
      <c r="U667" s="656" t="e">
        <f>+VLOOKUP($L667,Data_Validation!$A:$D,3,0)</f>
        <v>#N/A</v>
      </c>
      <c r="V667" s="656" t="e">
        <f>+VLOOKUP($L667,Data_Validation!$A:$D,4,0)</f>
        <v>#N/A</v>
      </c>
      <c r="W667" s="656" t="e">
        <f>+VLOOKUP($L667,Data_Validation!$A:$E,5,0)</f>
        <v>#N/A</v>
      </c>
      <c r="X667" s="656" t="e">
        <f>+VLOOKUP($L667,Data_Validation!$A:$F,6,0)</f>
        <v>#N/A</v>
      </c>
    </row>
    <row r="668" spans="1:24" ht="15.75" customHeight="1">
      <c r="A668" s="714"/>
      <c r="B668" s="714"/>
      <c r="C668" s="715"/>
      <c r="D668" s="715"/>
      <c r="E668" s="715"/>
      <c r="F668" s="714"/>
      <c r="G668" s="714"/>
      <c r="H668" s="714"/>
      <c r="I668" s="716"/>
      <c r="J668" s="716"/>
      <c r="K668" s="716"/>
      <c r="L668" s="653" t="str">
        <f t="shared" si="654"/>
        <v>0</v>
      </c>
      <c r="M668" s="654">
        <f t="shared" si="520"/>
        <v>0</v>
      </c>
      <c r="N668" s="655">
        <f>+IF(OR($Q668=Parametres!$G$2,$Q668=Parametres!$G$3),I668,C668)</f>
        <v>0</v>
      </c>
      <c r="O668" s="655">
        <f>+IF(OR($Q668=Parametres!$G$2,$Q668=Parametres!$G$3),J668,D668)</f>
        <v>0</v>
      </c>
      <c r="P668" s="655">
        <f>+IF(OR($Q668=Parametres!$G$2,$Q668=Parametres!$G$3),K668,E668)</f>
        <v>0</v>
      </c>
      <c r="Q668" s="654">
        <f t="shared" ref="Q668:S668" si="680">+F668</f>
        <v>0</v>
      </c>
      <c r="R668" s="653">
        <f t="shared" si="680"/>
        <v>0</v>
      </c>
      <c r="S668" s="654">
        <f t="shared" si="680"/>
        <v>0</v>
      </c>
      <c r="T668" s="656" t="e">
        <f>+VLOOKUP($L668,Data_Validation!$A:$D,1,0)</f>
        <v>#N/A</v>
      </c>
      <c r="U668" s="656" t="e">
        <f>+VLOOKUP($L668,Data_Validation!$A:$D,3,0)</f>
        <v>#N/A</v>
      </c>
      <c r="V668" s="656" t="e">
        <f>+VLOOKUP($L668,Data_Validation!$A:$D,4,0)</f>
        <v>#N/A</v>
      </c>
      <c r="W668" s="656" t="e">
        <f>+VLOOKUP($L668,Data_Validation!$A:$E,5,0)</f>
        <v>#N/A</v>
      </c>
      <c r="X668" s="656" t="e">
        <f>+VLOOKUP($L668,Data_Validation!$A:$F,6,0)</f>
        <v>#N/A</v>
      </c>
    </row>
    <row r="669" spans="1:24" ht="15.75" customHeight="1">
      <c r="A669" s="714"/>
      <c r="B669" s="714"/>
      <c r="C669" s="715"/>
      <c r="D669" s="715"/>
      <c r="E669" s="715"/>
      <c r="F669" s="714"/>
      <c r="G669" s="714"/>
      <c r="H669" s="714"/>
      <c r="I669" s="716"/>
      <c r="J669" s="716"/>
      <c r="K669" s="716"/>
      <c r="L669" s="653" t="str">
        <f t="shared" si="654"/>
        <v>0</v>
      </c>
      <c r="M669" s="654">
        <f t="shared" si="520"/>
        <v>0</v>
      </c>
      <c r="N669" s="655">
        <f>+IF(OR($Q669=Parametres!$G$2,$Q669=Parametres!$G$3),I669,C669)</f>
        <v>0</v>
      </c>
      <c r="O669" s="655">
        <f>+IF(OR($Q669=Parametres!$G$2,$Q669=Parametres!$G$3),J669,D669)</f>
        <v>0</v>
      </c>
      <c r="P669" s="655">
        <f>+IF(OR($Q669=Parametres!$G$2,$Q669=Parametres!$G$3),K669,E669)</f>
        <v>0</v>
      </c>
      <c r="Q669" s="654">
        <f t="shared" ref="Q669:S669" si="681">+F669</f>
        <v>0</v>
      </c>
      <c r="R669" s="653">
        <f t="shared" si="681"/>
        <v>0</v>
      </c>
      <c r="S669" s="654">
        <f t="shared" si="681"/>
        <v>0</v>
      </c>
      <c r="T669" s="656" t="e">
        <f>+VLOOKUP($L669,Data_Validation!$A:$D,1,0)</f>
        <v>#N/A</v>
      </c>
      <c r="U669" s="656" t="e">
        <f>+VLOOKUP($L669,Data_Validation!$A:$D,3,0)</f>
        <v>#N/A</v>
      </c>
      <c r="V669" s="656" t="e">
        <f>+VLOOKUP($L669,Data_Validation!$A:$D,4,0)</f>
        <v>#N/A</v>
      </c>
      <c r="W669" s="656" t="e">
        <f>+VLOOKUP($L669,Data_Validation!$A:$E,5,0)</f>
        <v>#N/A</v>
      </c>
      <c r="X669" s="656" t="e">
        <f>+VLOOKUP($L669,Data_Validation!$A:$F,6,0)</f>
        <v>#N/A</v>
      </c>
    </row>
    <row r="670" spans="1:24" ht="15.75" customHeight="1">
      <c r="A670" s="714"/>
      <c r="B670" s="714"/>
      <c r="C670" s="715"/>
      <c r="D670" s="715"/>
      <c r="E670" s="715"/>
      <c r="F670" s="714"/>
      <c r="G670" s="714"/>
      <c r="H670" s="714"/>
      <c r="I670" s="716"/>
      <c r="J670" s="716"/>
      <c r="K670" s="716"/>
      <c r="L670" s="653" t="str">
        <f t="shared" si="654"/>
        <v>0</v>
      </c>
      <c r="M670" s="654">
        <f t="shared" si="520"/>
        <v>0</v>
      </c>
      <c r="N670" s="655">
        <f>+IF(OR($Q670=Parametres!$G$2,$Q670=Parametres!$G$3),I670,C670)</f>
        <v>0</v>
      </c>
      <c r="O670" s="655">
        <f>+IF(OR($Q670=Parametres!$G$2,$Q670=Parametres!$G$3),J670,D670)</f>
        <v>0</v>
      </c>
      <c r="P670" s="655">
        <f>+IF(OR($Q670=Parametres!$G$2,$Q670=Parametres!$G$3),K670,E670)</f>
        <v>0</v>
      </c>
      <c r="Q670" s="654">
        <f t="shared" ref="Q670:S670" si="682">+F670</f>
        <v>0</v>
      </c>
      <c r="R670" s="653">
        <f t="shared" si="682"/>
        <v>0</v>
      </c>
      <c r="S670" s="654">
        <f t="shared" si="682"/>
        <v>0</v>
      </c>
      <c r="T670" s="656" t="e">
        <f>+VLOOKUP($L670,Data_Validation!$A:$D,1,0)</f>
        <v>#N/A</v>
      </c>
      <c r="U670" s="656" t="e">
        <f>+VLOOKUP($L670,Data_Validation!$A:$D,3,0)</f>
        <v>#N/A</v>
      </c>
      <c r="V670" s="656" t="e">
        <f>+VLOOKUP($L670,Data_Validation!$A:$D,4,0)</f>
        <v>#N/A</v>
      </c>
      <c r="W670" s="656" t="e">
        <f>+VLOOKUP($L670,Data_Validation!$A:$E,5,0)</f>
        <v>#N/A</v>
      </c>
      <c r="X670" s="656" t="e">
        <f>+VLOOKUP($L670,Data_Validation!$A:$F,6,0)</f>
        <v>#N/A</v>
      </c>
    </row>
    <row r="671" spans="1:24" ht="15.75" customHeight="1">
      <c r="A671" s="714"/>
      <c r="B671" s="714"/>
      <c r="C671" s="715"/>
      <c r="D671" s="715"/>
      <c r="E671" s="715"/>
      <c r="F671" s="714"/>
      <c r="G671" s="714"/>
      <c r="H671" s="714"/>
      <c r="I671" s="716"/>
      <c r="J671" s="716"/>
      <c r="K671" s="716"/>
      <c r="L671" s="653" t="str">
        <f t="shared" si="654"/>
        <v>0</v>
      </c>
      <c r="M671" s="654">
        <f t="shared" si="520"/>
        <v>0</v>
      </c>
      <c r="N671" s="655">
        <f>+IF(OR($Q671=Parametres!$G$2,$Q671=Parametres!$G$3),I671,C671)</f>
        <v>0</v>
      </c>
      <c r="O671" s="655">
        <f>+IF(OR($Q671=Parametres!$G$2,$Q671=Parametres!$G$3),J671,D671)</f>
        <v>0</v>
      </c>
      <c r="P671" s="655">
        <f>+IF(OR($Q671=Parametres!$G$2,$Q671=Parametres!$G$3),K671,E671)</f>
        <v>0</v>
      </c>
      <c r="Q671" s="654">
        <f t="shared" ref="Q671:S671" si="683">+F671</f>
        <v>0</v>
      </c>
      <c r="R671" s="653">
        <f t="shared" si="683"/>
        <v>0</v>
      </c>
      <c r="S671" s="654">
        <f t="shared" si="683"/>
        <v>0</v>
      </c>
      <c r="T671" s="656" t="e">
        <f>+VLOOKUP($L671,Data_Validation!$A:$D,1,0)</f>
        <v>#N/A</v>
      </c>
      <c r="U671" s="656" t="e">
        <f>+VLOOKUP($L671,Data_Validation!$A:$D,3,0)</f>
        <v>#N/A</v>
      </c>
      <c r="V671" s="656" t="e">
        <f>+VLOOKUP($L671,Data_Validation!$A:$D,4,0)</f>
        <v>#N/A</v>
      </c>
      <c r="W671" s="656" t="e">
        <f>+VLOOKUP($L671,Data_Validation!$A:$E,5,0)</f>
        <v>#N/A</v>
      </c>
      <c r="X671" s="656" t="e">
        <f>+VLOOKUP($L671,Data_Validation!$A:$F,6,0)</f>
        <v>#N/A</v>
      </c>
    </row>
    <row r="672" spans="1:24" ht="15.75" customHeight="1">
      <c r="A672" s="714"/>
      <c r="B672" s="714"/>
      <c r="C672" s="715"/>
      <c r="D672" s="715"/>
      <c r="E672" s="715"/>
      <c r="F672" s="714"/>
      <c r="G672" s="714"/>
      <c r="H672" s="714"/>
      <c r="I672" s="716"/>
      <c r="J672" s="716"/>
      <c r="K672" s="716"/>
      <c r="L672" s="653" t="str">
        <f t="shared" si="654"/>
        <v>0</v>
      </c>
      <c r="M672" s="654">
        <f t="shared" si="520"/>
        <v>0</v>
      </c>
      <c r="N672" s="655">
        <f>+IF(OR($Q672=Parametres!$G$2,$Q672=Parametres!$G$3),I672,C672)</f>
        <v>0</v>
      </c>
      <c r="O672" s="655">
        <f>+IF(OR($Q672=Parametres!$G$2,$Q672=Parametres!$G$3),J672,D672)</f>
        <v>0</v>
      </c>
      <c r="P672" s="655">
        <f>+IF(OR($Q672=Parametres!$G$2,$Q672=Parametres!$G$3),K672,E672)</f>
        <v>0</v>
      </c>
      <c r="Q672" s="654">
        <f t="shared" ref="Q672:S672" si="684">+F672</f>
        <v>0</v>
      </c>
      <c r="R672" s="653">
        <f t="shared" si="684"/>
        <v>0</v>
      </c>
      <c r="S672" s="654">
        <f t="shared" si="684"/>
        <v>0</v>
      </c>
      <c r="T672" s="656" t="e">
        <f>+VLOOKUP($L672,Data_Validation!$A:$D,1,0)</f>
        <v>#N/A</v>
      </c>
      <c r="U672" s="656" t="e">
        <f>+VLOOKUP($L672,Data_Validation!$A:$D,3,0)</f>
        <v>#N/A</v>
      </c>
      <c r="V672" s="656" t="e">
        <f>+VLOOKUP($L672,Data_Validation!$A:$D,4,0)</f>
        <v>#N/A</v>
      </c>
      <c r="W672" s="656" t="e">
        <f>+VLOOKUP($L672,Data_Validation!$A:$E,5,0)</f>
        <v>#N/A</v>
      </c>
      <c r="X672" s="656" t="e">
        <f>+VLOOKUP($L672,Data_Validation!$A:$F,6,0)</f>
        <v>#N/A</v>
      </c>
    </row>
    <row r="673" spans="1:24" ht="15.75" customHeight="1">
      <c r="A673" s="714"/>
      <c r="B673" s="714"/>
      <c r="C673" s="715"/>
      <c r="D673" s="715"/>
      <c r="E673" s="715"/>
      <c r="F673" s="714"/>
      <c r="G673" s="714"/>
      <c r="H673" s="714"/>
      <c r="I673" s="716"/>
      <c r="J673" s="716"/>
      <c r="K673" s="716"/>
      <c r="L673" s="653" t="str">
        <f t="shared" si="654"/>
        <v>0</v>
      </c>
      <c r="M673" s="654">
        <f t="shared" si="520"/>
        <v>0</v>
      </c>
      <c r="N673" s="655">
        <f>+IF(OR($Q673=Parametres!$G$2,$Q673=Parametres!$G$3),I673,C673)</f>
        <v>0</v>
      </c>
      <c r="O673" s="655">
        <f>+IF(OR($Q673=Parametres!$G$2,$Q673=Parametres!$G$3),J673,D673)</f>
        <v>0</v>
      </c>
      <c r="P673" s="655">
        <f>+IF(OR($Q673=Parametres!$G$2,$Q673=Parametres!$G$3),K673,E673)</f>
        <v>0</v>
      </c>
      <c r="Q673" s="654">
        <f t="shared" ref="Q673:S673" si="685">+F673</f>
        <v>0</v>
      </c>
      <c r="R673" s="653">
        <f t="shared" si="685"/>
        <v>0</v>
      </c>
      <c r="S673" s="654">
        <f t="shared" si="685"/>
        <v>0</v>
      </c>
      <c r="T673" s="656" t="e">
        <f>+VLOOKUP($L673,Data_Validation!$A:$D,1,0)</f>
        <v>#N/A</v>
      </c>
      <c r="U673" s="656" t="e">
        <f>+VLOOKUP($L673,Data_Validation!$A:$D,3,0)</f>
        <v>#N/A</v>
      </c>
      <c r="V673" s="656" t="e">
        <f>+VLOOKUP($L673,Data_Validation!$A:$D,4,0)</f>
        <v>#N/A</v>
      </c>
      <c r="W673" s="656" t="e">
        <f>+VLOOKUP($L673,Data_Validation!$A:$E,5,0)</f>
        <v>#N/A</v>
      </c>
      <c r="X673" s="656" t="e">
        <f>+VLOOKUP($L673,Data_Validation!$A:$F,6,0)</f>
        <v>#N/A</v>
      </c>
    </row>
    <row r="674" spans="1:24" ht="15.75" customHeight="1">
      <c r="A674" s="714"/>
      <c r="B674" s="714"/>
      <c r="C674" s="715"/>
      <c r="D674" s="715"/>
      <c r="E674" s="715"/>
      <c r="F674" s="714"/>
      <c r="G674" s="714"/>
      <c r="H674" s="714"/>
      <c r="I674" s="716"/>
      <c r="J674" s="716"/>
      <c r="K674" s="716"/>
      <c r="L674" s="653" t="str">
        <f t="shared" si="654"/>
        <v>0</v>
      </c>
      <c r="M674" s="654">
        <f t="shared" si="520"/>
        <v>0</v>
      </c>
      <c r="N674" s="655">
        <f>+IF(OR($Q674=Parametres!$G$2,$Q674=Parametres!$G$3),I674,C674)</f>
        <v>0</v>
      </c>
      <c r="O674" s="655">
        <f>+IF(OR($Q674=Parametres!$G$2,$Q674=Parametres!$G$3),J674,D674)</f>
        <v>0</v>
      </c>
      <c r="P674" s="655">
        <f>+IF(OR($Q674=Parametres!$G$2,$Q674=Parametres!$G$3),K674,E674)</f>
        <v>0</v>
      </c>
      <c r="Q674" s="654">
        <f t="shared" ref="Q674:S674" si="686">+F674</f>
        <v>0</v>
      </c>
      <c r="R674" s="653">
        <f t="shared" si="686"/>
        <v>0</v>
      </c>
      <c r="S674" s="654">
        <f t="shared" si="686"/>
        <v>0</v>
      </c>
      <c r="T674" s="656" t="e">
        <f>+VLOOKUP($L674,Data_Validation!$A:$D,1,0)</f>
        <v>#N/A</v>
      </c>
      <c r="U674" s="656" t="e">
        <f>+VLOOKUP($L674,Data_Validation!$A:$D,3,0)</f>
        <v>#N/A</v>
      </c>
      <c r="V674" s="656" t="e">
        <f>+VLOOKUP($L674,Data_Validation!$A:$D,4,0)</f>
        <v>#N/A</v>
      </c>
      <c r="W674" s="656" t="e">
        <f>+VLOOKUP($L674,Data_Validation!$A:$E,5,0)</f>
        <v>#N/A</v>
      </c>
      <c r="X674" s="656" t="e">
        <f>+VLOOKUP($L674,Data_Validation!$A:$F,6,0)</f>
        <v>#N/A</v>
      </c>
    </row>
    <row r="675" spans="1:24" ht="15.75" customHeight="1">
      <c r="A675" s="714"/>
      <c r="B675" s="714"/>
      <c r="C675" s="715"/>
      <c r="D675" s="715"/>
      <c r="E675" s="715"/>
      <c r="F675" s="714"/>
      <c r="G675" s="714"/>
      <c r="H675" s="714"/>
      <c r="I675" s="716"/>
      <c r="J675" s="716"/>
      <c r="K675" s="716"/>
      <c r="L675" s="653" t="str">
        <f t="shared" si="654"/>
        <v>0</v>
      </c>
      <c r="M675" s="654">
        <f t="shared" si="520"/>
        <v>0</v>
      </c>
      <c r="N675" s="655">
        <f>+IF(OR($Q675=Parametres!$G$2,$Q675=Parametres!$G$3),I675,C675)</f>
        <v>0</v>
      </c>
      <c r="O675" s="655">
        <f>+IF(OR($Q675=Parametres!$G$2,$Q675=Parametres!$G$3),J675,D675)</f>
        <v>0</v>
      </c>
      <c r="P675" s="655">
        <f>+IF(OR($Q675=Parametres!$G$2,$Q675=Parametres!$G$3),K675,E675)</f>
        <v>0</v>
      </c>
      <c r="Q675" s="654">
        <f t="shared" ref="Q675:S675" si="687">+F675</f>
        <v>0</v>
      </c>
      <c r="R675" s="653">
        <f t="shared" si="687"/>
        <v>0</v>
      </c>
      <c r="S675" s="654">
        <f t="shared" si="687"/>
        <v>0</v>
      </c>
      <c r="T675" s="656" t="e">
        <f>+VLOOKUP($L675,Data_Validation!$A:$D,1,0)</f>
        <v>#N/A</v>
      </c>
      <c r="U675" s="656" t="e">
        <f>+VLOOKUP($L675,Data_Validation!$A:$D,3,0)</f>
        <v>#N/A</v>
      </c>
      <c r="V675" s="656" t="e">
        <f>+VLOOKUP($L675,Data_Validation!$A:$D,4,0)</f>
        <v>#N/A</v>
      </c>
      <c r="W675" s="656" t="e">
        <f>+VLOOKUP($L675,Data_Validation!$A:$E,5,0)</f>
        <v>#N/A</v>
      </c>
      <c r="X675" s="656" t="e">
        <f>+VLOOKUP($L675,Data_Validation!$A:$F,6,0)</f>
        <v>#N/A</v>
      </c>
    </row>
    <row r="676" spans="1:24" ht="15.75" customHeight="1">
      <c r="A676" s="714"/>
      <c r="B676" s="714"/>
      <c r="C676" s="715"/>
      <c r="D676" s="715"/>
      <c r="E676" s="715"/>
      <c r="F676" s="714"/>
      <c r="G676" s="714"/>
      <c r="H676" s="714"/>
      <c r="I676" s="716"/>
      <c r="J676" s="716"/>
      <c r="K676" s="716"/>
      <c r="L676" s="653" t="str">
        <f t="shared" si="654"/>
        <v>0</v>
      </c>
      <c r="M676" s="654">
        <f t="shared" si="520"/>
        <v>0</v>
      </c>
      <c r="N676" s="655">
        <f>+IF(OR($Q676=Parametres!$G$2,$Q676=Parametres!$G$3),I676,C676)</f>
        <v>0</v>
      </c>
      <c r="O676" s="655">
        <f>+IF(OR($Q676=Parametres!$G$2,$Q676=Parametres!$G$3),J676,D676)</f>
        <v>0</v>
      </c>
      <c r="P676" s="655">
        <f>+IF(OR($Q676=Parametres!$G$2,$Q676=Parametres!$G$3),K676,E676)</f>
        <v>0</v>
      </c>
      <c r="Q676" s="654">
        <f t="shared" ref="Q676:S676" si="688">+F676</f>
        <v>0</v>
      </c>
      <c r="R676" s="653">
        <f t="shared" si="688"/>
        <v>0</v>
      </c>
      <c r="S676" s="654">
        <f t="shared" si="688"/>
        <v>0</v>
      </c>
      <c r="T676" s="656" t="e">
        <f>+VLOOKUP($L676,Data_Validation!$A:$D,1,0)</f>
        <v>#N/A</v>
      </c>
      <c r="U676" s="656" t="e">
        <f>+VLOOKUP($L676,Data_Validation!$A:$D,3,0)</f>
        <v>#N/A</v>
      </c>
      <c r="V676" s="656" t="e">
        <f>+VLOOKUP($L676,Data_Validation!$A:$D,4,0)</f>
        <v>#N/A</v>
      </c>
      <c r="W676" s="656" t="e">
        <f>+VLOOKUP($L676,Data_Validation!$A:$E,5,0)</f>
        <v>#N/A</v>
      </c>
      <c r="X676" s="656" t="e">
        <f>+VLOOKUP($L676,Data_Validation!$A:$F,6,0)</f>
        <v>#N/A</v>
      </c>
    </row>
    <row r="677" spans="1:24" ht="15.75" customHeight="1">
      <c r="A677" s="714"/>
      <c r="B677" s="714"/>
      <c r="C677" s="715"/>
      <c r="D677" s="715"/>
      <c r="E677" s="715"/>
      <c r="F677" s="714"/>
      <c r="G677" s="714"/>
      <c r="H677" s="714"/>
      <c r="I677" s="716"/>
      <c r="J677" s="716"/>
      <c r="K677" s="716"/>
      <c r="L677" s="653" t="str">
        <f t="shared" si="654"/>
        <v>0</v>
      </c>
      <c r="M677" s="654">
        <f t="shared" si="520"/>
        <v>0</v>
      </c>
      <c r="N677" s="655">
        <f>+IF(OR($Q677=Parametres!$G$2,$Q677=Parametres!$G$3),I677,C677)</f>
        <v>0</v>
      </c>
      <c r="O677" s="655">
        <f>+IF(OR($Q677=Parametres!$G$2,$Q677=Parametres!$G$3),J677,D677)</f>
        <v>0</v>
      </c>
      <c r="P677" s="655">
        <f>+IF(OR($Q677=Parametres!$G$2,$Q677=Parametres!$G$3),K677,E677)</f>
        <v>0</v>
      </c>
      <c r="Q677" s="654">
        <f t="shared" ref="Q677:S677" si="689">+F677</f>
        <v>0</v>
      </c>
      <c r="R677" s="653">
        <f t="shared" si="689"/>
        <v>0</v>
      </c>
      <c r="S677" s="654">
        <f t="shared" si="689"/>
        <v>0</v>
      </c>
      <c r="T677" s="656" t="e">
        <f>+VLOOKUP($L677,Data_Validation!$A:$D,1,0)</f>
        <v>#N/A</v>
      </c>
      <c r="U677" s="656" t="e">
        <f>+VLOOKUP($L677,Data_Validation!$A:$D,3,0)</f>
        <v>#N/A</v>
      </c>
      <c r="V677" s="656" t="e">
        <f>+VLOOKUP($L677,Data_Validation!$A:$D,4,0)</f>
        <v>#N/A</v>
      </c>
      <c r="W677" s="656" t="e">
        <f>+VLOOKUP($L677,Data_Validation!$A:$E,5,0)</f>
        <v>#N/A</v>
      </c>
      <c r="X677" s="656" t="e">
        <f>+VLOOKUP($L677,Data_Validation!$A:$F,6,0)</f>
        <v>#N/A</v>
      </c>
    </row>
    <row r="678" spans="1:24" ht="15.75" customHeight="1">
      <c r="A678" s="714"/>
      <c r="B678" s="714"/>
      <c r="C678" s="715"/>
      <c r="D678" s="715"/>
      <c r="E678" s="715"/>
      <c r="F678" s="714"/>
      <c r="G678" s="714"/>
      <c r="H678" s="714"/>
      <c r="I678" s="716"/>
      <c r="J678" s="716"/>
      <c r="K678" s="716"/>
      <c r="L678" s="653" t="str">
        <f t="shared" si="654"/>
        <v>0</v>
      </c>
      <c r="M678" s="654">
        <f t="shared" si="520"/>
        <v>0</v>
      </c>
      <c r="N678" s="655">
        <f>+IF(OR($Q678=Parametres!$G$2,$Q678=Parametres!$G$3),I678,C678)</f>
        <v>0</v>
      </c>
      <c r="O678" s="655">
        <f>+IF(OR($Q678=Parametres!$G$2,$Q678=Parametres!$G$3),J678,D678)</f>
        <v>0</v>
      </c>
      <c r="P678" s="655">
        <f>+IF(OR($Q678=Parametres!$G$2,$Q678=Parametres!$G$3),K678,E678)</f>
        <v>0</v>
      </c>
      <c r="Q678" s="654">
        <f t="shared" ref="Q678:S678" si="690">+F678</f>
        <v>0</v>
      </c>
      <c r="R678" s="653">
        <f t="shared" si="690"/>
        <v>0</v>
      </c>
      <c r="S678" s="654">
        <f t="shared" si="690"/>
        <v>0</v>
      </c>
      <c r="T678" s="656" t="e">
        <f>+VLOOKUP($L678,Data_Validation!$A:$D,1,0)</f>
        <v>#N/A</v>
      </c>
      <c r="U678" s="656" t="e">
        <f>+VLOOKUP($L678,Data_Validation!$A:$D,3,0)</f>
        <v>#N/A</v>
      </c>
      <c r="V678" s="656" t="e">
        <f>+VLOOKUP($L678,Data_Validation!$A:$D,4,0)</f>
        <v>#N/A</v>
      </c>
      <c r="W678" s="656" t="e">
        <f>+VLOOKUP($L678,Data_Validation!$A:$E,5,0)</f>
        <v>#N/A</v>
      </c>
      <c r="X678" s="656" t="e">
        <f>+VLOOKUP($L678,Data_Validation!$A:$F,6,0)</f>
        <v>#N/A</v>
      </c>
    </row>
    <row r="679" spans="1:24" ht="15.75" customHeight="1">
      <c r="A679" s="714"/>
      <c r="B679" s="714"/>
      <c r="C679" s="715"/>
      <c r="D679" s="715"/>
      <c r="E679" s="715"/>
      <c r="F679" s="714"/>
      <c r="G679" s="714"/>
      <c r="H679" s="714"/>
      <c r="I679" s="716"/>
      <c r="J679" s="716"/>
      <c r="K679" s="716"/>
      <c r="L679" s="653" t="str">
        <f t="shared" si="654"/>
        <v>0</v>
      </c>
      <c r="M679" s="654">
        <f t="shared" si="520"/>
        <v>0</v>
      </c>
      <c r="N679" s="655">
        <f>+IF(OR($Q679=Parametres!$G$2,$Q679=Parametres!$G$3),I679,C679)</f>
        <v>0</v>
      </c>
      <c r="O679" s="655">
        <f>+IF(OR($Q679=Parametres!$G$2,$Q679=Parametres!$G$3),J679,D679)</f>
        <v>0</v>
      </c>
      <c r="P679" s="655">
        <f>+IF(OR($Q679=Parametres!$G$2,$Q679=Parametres!$G$3),K679,E679)</f>
        <v>0</v>
      </c>
      <c r="Q679" s="654">
        <f t="shared" ref="Q679:S679" si="691">+F679</f>
        <v>0</v>
      </c>
      <c r="R679" s="653">
        <f t="shared" si="691"/>
        <v>0</v>
      </c>
      <c r="S679" s="654">
        <f t="shared" si="691"/>
        <v>0</v>
      </c>
      <c r="T679" s="656" t="e">
        <f>+VLOOKUP($L679,Data_Validation!$A:$D,1,0)</f>
        <v>#N/A</v>
      </c>
      <c r="U679" s="656" t="e">
        <f>+VLOOKUP($L679,Data_Validation!$A:$D,3,0)</f>
        <v>#N/A</v>
      </c>
      <c r="V679" s="656" t="e">
        <f>+VLOOKUP($L679,Data_Validation!$A:$D,4,0)</f>
        <v>#N/A</v>
      </c>
      <c r="W679" s="656" t="e">
        <f>+VLOOKUP($L679,Data_Validation!$A:$E,5,0)</f>
        <v>#N/A</v>
      </c>
      <c r="X679" s="656" t="e">
        <f>+VLOOKUP($L679,Data_Validation!$A:$F,6,0)</f>
        <v>#N/A</v>
      </c>
    </row>
    <row r="680" spans="1:24" ht="15.75" customHeight="1">
      <c r="A680" s="714"/>
      <c r="B680" s="714"/>
      <c r="C680" s="715"/>
      <c r="D680" s="715"/>
      <c r="E680" s="715"/>
      <c r="F680" s="714"/>
      <c r="G680" s="714"/>
      <c r="H680" s="714"/>
      <c r="I680" s="716"/>
      <c r="J680" s="716"/>
      <c r="K680" s="716"/>
      <c r="L680" s="653" t="str">
        <f t="shared" si="654"/>
        <v>0</v>
      </c>
      <c r="M680" s="654">
        <f t="shared" si="520"/>
        <v>0</v>
      </c>
      <c r="N680" s="655">
        <f>+IF(OR($Q680=Parametres!$G$2,$Q680=Parametres!$G$3),I680,C680)</f>
        <v>0</v>
      </c>
      <c r="O680" s="655">
        <f>+IF(OR($Q680=Parametres!$G$2,$Q680=Parametres!$G$3),J680,D680)</f>
        <v>0</v>
      </c>
      <c r="P680" s="655">
        <f>+IF(OR($Q680=Parametres!$G$2,$Q680=Parametres!$G$3),K680,E680)</f>
        <v>0</v>
      </c>
      <c r="Q680" s="654">
        <f t="shared" ref="Q680:S680" si="692">+F680</f>
        <v>0</v>
      </c>
      <c r="R680" s="653">
        <f t="shared" si="692"/>
        <v>0</v>
      </c>
      <c r="S680" s="654">
        <f t="shared" si="692"/>
        <v>0</v>
      </c>
      <c r="T680" s="656" t="e">
        <f>+VLOOKUP($L680,Data_Validation!$A:$D,1,0)</f>
        <v>#N/A</v>
      </c>
      <c r="U680" s="656" t="e">
        <f>+VLOOKUP($L680,Data_Validation!$A:$D,3,0)</f>
        <v>#N/A</v>
      </c>
      <c r="V680" s="656" t="e">
        <f>+VLOOKUP($L680,Data_Validation!$A:$D,4,0)</f>
        <v>#N/A</v>
      </c>
      <c r="W680" s="656" t="e">
        <f>+VLOOKUP($L680,Data_Validation!$A:$E,5,0)</f>
        <v>#N/A</v>
      </c>
      <c r="X680" s="656" t="e">
        <f>+VLOOKUP($L680,Data_Validation!$A:$F,6,0)</f>
        <v>#N/A</v>
      </c>
    </row>
    <row r="681" spans="1:24" ht="15.75" customHeight="1">
      <c r="A681" s="714"/>
      <c r="B681" s="714"/>
      <c r="C681" s="715"/>
      <c r="D681" s="715"/>
      <c r="E681" s="715"/>
      <c r="F681" s="714"/>
      <c r="G681" s="714"/>
      <c r="H681" s="714"/>
      <c r="I681" s="716"/>
      <c r="J681" s="716"/>
      <c r="K681" s="716"/>
      <c r="L681" s="653" t="str">
        <f t="shared" si="654"/>
        <v>0</v>
      </c>
      <c r="M681" s="654">
        <f t="shared" si="520"/>
        <v>0</v>
      </c>
      <c r="N681" s="655">
        <f>+IF(OR($Q681=Parametres!$G$2,$Q681=Parametres!$G$3),I681,C681)</f>
        <v>0</v>
      </c>
      <c r="O681" s="655">
        <f>+IF(OR($Q681=Parametres!$G$2,$Q681=Parametres!$G$3),J681,D681)</f>
        <v>0</v>
      </c>
      <c r="P681" s="655">
        <f>+IF(OR($Q681=Parametres!$G$2,$Q681=Parametres!$G$3),K681,E681)</f>
        <v>0</v>
      </c>
      <c r="Q681" s="654">
        <f t="shared" ref="Q681:S681" si="693">+F681</f>
        <v>0</v>
      </c>
      <c r="R681" s="653">
        <f t="shared" si="693"/>
        <v>0</v>
      </c>
      <c r="S681" s="654">
        <f t="shared" si="693"/>
        <v>0</v>
      </c>
      <c r="T681" s="656" t="e">
        <f>+VLOOKUP($L681,Data_Validation!$A:$D,1,0)</f>
        <v>#N/A</v>
      </c>
      <c r="U681" s="656" t="e">
        <f>+VLOOKUP($L681,Data_Validation!$A:$D,3,0)</f>
        <v>#N/A</v>
      </c>
      <c r="V681" s="656" t="e">
        <f>+VLOOKUP($L681,Data_Validation!$A:$D,4,0)</f>
        <v>#N/A</v>
      </c>
      <c r="W681" s="656" t="e">
        <f>+VLOOKUP($L681,Data_Validation!$A:$E,5,0)</f>
        <v>#N/A</v>
      </c>
      <c r="X681" s="656" t="e">
        <f>+VLOOKUP($L681,Data_Validation!$A:$F,6,0)</f>
        <v>#N/A</v>
      </c>
    </row>
    <row r="682" spans="1:24" ht="15.75" customHeight="1">
      <c r="A682" s="714"/>
      <c r="B682" s="714"/>
      <c r="C682" s="715"/>
      <c r="D682" s="715"/>
      <c r="E682" s="715"/>
      <c r="F682" s="714"/>
      <c r="G682" s="714"/>
      <c r="H682" s="714"/>
      <c r="I682" s="716"/>
      <c r="J682" s="716"/>
      <c r="K682" s="716"/>
      <c r="L682" s="653" t="str">
        <f t="shared" si="654"/>
        <v>0</v>
      </c>
      <c r="M682" s="654">
        <f t="shared" si="520"/>
        <v>0</v>
      </c>
      <c r="N682" s="655">
        <f>+IF(OR($Q682=Parametres!$G$2,$Q682=Parametres!$G$3),I682,C682)</f>
        <v>0</v>
      </c>
      <c r="O682" s="655">
        <f>+IF(OR($Q682=Parametres!$G$2,$Q682=Parametres!$G$3),J682,D682)</f>
        <v>0</v>
      </c>
      <c r="P682" s="655">
        <f>+IF(OR($Q682=Parametres!$G$2,$Q682=Parametres!$G$3),K682,E682)</f>
        <v>0</v>
      </c>
      <c r="Q682" s="654">
        <f t="shared" ref="Q682:S682" si="694">+F682</f>
        <v>0</v>
      </c>
      <c r="R682" s="653">
        <f t="shared" si="694"/>
        <v>0</v>
      </c>
      <c r="S682" s="654">
        <f t="shared" si="694"/>
        <v>0</v>
      </c>
      <c r="T682" s="656" t="e">
        <f>+VLOOKUP($L682,Data_Validation!$A:$D,1,0)</f>
        <v>#N/A</v>
      </c>
      <c r="U682" s="656" t="e">
        <f>+VLOOKUP($L682,Data_Validation!$A:$D,3,0)</f>
        <v>#N/A</v>
      </c>
      <c r="V682" s="656" t="e">
        <f>+VLOOKUP($L682,Data_Validation!$A:$D,4,0)</f>
        <v>#N/A</v>
      </c>
      <c r="W682" s="656" t="e">
        <f>+VLOOKUP($L682,Data_Validation!$A:$E,5,0)</f>
        <v>#N/A</v>
      </c>
      <c r="X682" s="656" t="e">
        <f>+VLOOKUP($L682,Data_Validation!$A:$F,6,0)</f>
        <v>#N/A</v>
      </c>
    </row>
    <row r="683" spans="1:24" ht="15.75" customHeight="1">
      <c r="A683" s="714"/>
      <c r="B683" s="714"/>
      <c r="C683" s="715"/>
      <c r="D683" s="715"/>
      <c r="E683" s="715"/>
      <c r="F683" s="714"/>
      <c r="G683" s="714"/>
      <c r="H683" s="714"/>
      <c r="I683" s="716"/>
      <c r="J683" s="716"/>
      <c r="K683" s="716"/>
      <c r="L683" s="653" t="str">
        <f t="shared" si="654"/>
        <v>0</v>
      </c>
      <c r="M683" s="654">
        <f t="shared" si="520"/>
        <v>0</v>
      </c>
      <c r="N683" s="655">
        <f>+IF(OR($Q683=Parametres!$G$2,$Q683=Parametres!$G$3),I683,C683)</f>
        <v>0</v>
      </c>
      <c r="O683" s="655">
        <f>+IF(OR($Q683=Parametres!$G$2,$Q683=Parametres!$G$3),J683,D683)</f>
        <v>0</v>
      </c>
      <c r="P683" s="655">
        <f>+IF(OR($Q683=Parametres!$G$2,$Q683=Parametres!$G$3),K683,E683)</f>
        <v>0</v>
      </c>
      <c r="Q683" s="654">
        <f t="shared" ref="Q683:S683" si="695">+F683</f>
        <v>0</v>
      </c>
      <c r="R683" s="653">
        <f t="shared" si="695"/>
        <v>0</v>
      </c>
      <c r="S683" s="654">
        <f t="shared" si="695"/>
        <v>0</v>
      </c>
      <c r="T683" s="656" t="e">
        <f>+VLOOKUP($L683,Data_Validation!$A:$D,1,0)</f>
        <v>#N/A</v>
      </c>
      <c r="U683" s="656" t="e">
        <f>+VLOOKUP($L683,Data_Validation!$A:$D,3,0)</f>
        <v>#N/A</v>
      </c>
      <c r="V683" s="656" t="e">
        <f>+VLOOKUP($L683,Data_Validation!$A:$D,4,0)</f>
        <v>#N/A</v>
      </c>
      <c r="W683" s="656" t="e">
        <f>+VLOOKUP($L683,Data_Validation!$A:$E,5,0)</f>
        <v>#N/A</v>
      </c>
      <c r="X683" s="656" t="e">
        <f>+VLOOKUP($L683,Data_Validation!$A:$F,6,0)</f>
        <v>#N/A</v>
      </c>
    </row>
    <row r="684" spans="1:24" ht="15.75" customHeight="1">
      <c r="A684" s="714"/>
      <c r="B684" s="714"/>
      <c r="C684" s="715"/>
      <c r="D684" s="715"/>
      <c r="E684" s="715"/>
      <c r="F684" s="714"/>
      <c r="G684" s="714"/>
      <c r="H684" s="714"/>
      <c r="I684" s="716"/>
      <c r="J684" s="716"/>
      <c r="K684" s="716"/>
      <c r="L684" s="653" t="str">
        <f t="shared" si="654"/>
        <v>0</v>
      </c>
      <c r="M684" s="654">
        <f t="shared" si="520"/>
        <v>0</v>
      </c>
      <c r="N684" s="655">
        <f>+IF(OR($Q684=Parametres!$G$2,$Q684=Parametres!$G$3),I684,C684)</f>
        <v>0</v>
      </c>
      <c r="O684" s="655">
        <f>+IF(OR($Q684=Parametres!$G$2,$Q684=Parametres!$G$3),J684,D684)</f>
        <v>0</v>
      </c>
      <c r="P684" s="655">
        <f>+IF(OR($Q684=Parametres!$G$2,$Q684=Parametres!$G$3),K684,E684)</f>
        <v>0</v>
      </c>
      <c r="Q684" s="654">
        <f t="shared" ref="Q684:S684" si="696">+F684</f>
        <v>0</v>
      </c>
      <c r="R684" s="653">
        <f t="shared" si="696"/>
        <v>0</v>
      </c>
      <c r="S684" s="654">
        <f t="shared" si="696"/>
        <v>0</v>
      </c>
      <c r="T684" s="656" t="e">
        <f>+VLOOKUP($L684,Data_Validation!$A:$D,1,0)</f>
        <v>#N/A</v>
      </c>
      <c r="U684" s="656" t="e">
        <f>+VLOOKUP($L684,Data_Validation!$A:$D,3,0)</f>
        <v>#N/A</v>
      </c>
      <c r="V684" s="656" t="e">
        <f>+VLOOKUP($L684,Data_Validation!$A:$D,4,0)</f>
        <v>#N/A</v>
      </c>
      <c r="W684" s="656" t="e">
        <f>+VLOOKUP($L684,Data_Validation!$A:$E,5,0)</f>
        <v>#N/A</v>
      </c>
      <c r="X684" s="656" t="e">
        <f>+VLOOKUP($L684,Data_Validation!$A:$F,6,0)</f>
        <v>#N/A</v>
      </c>
    </row>
    <row r="685" spans="1:24" ht="15.75" customHeight="1">
      <c r="A685" s="714"/>
      <c r="B685" s="714"/>
      <c r="C685" s="715"/>
      <c r="D685" s="715"/>
      <c r="E685" s="715"/>
      <c r="F685" s="714"/>
      <c r="G685" s="714"/>
      <c r="H685" s="714"/>
      <c r="I685" s="716"/>
      <c r="J685" s="716"/>
      <c r="K685" s="716"/>
      <c r="L685" s="653" t="str">
        <f t="shared" si="654"/>
        <v>0</v>
      </c>
      <c r="M685" s="654">
        <f t="shared" si="520"/>
        <v>0</v>
      </c>
      <c r="N685" s="655">
        <f>+IF(OR($Q685=Parametres!$G$2,$Q685=Parametres!$G$3),I685,C685)</f>
        <v>0</v>
      </c>
      <c r="O685" s="655">
        <f>+IF(OR($Q685=Parametres!$G$2,$Q685=Parametres!$G$3),J685,D685)</f>
        <v>0</v>
      </c>
      <c r="P685" s="655">
        <f>+IF(OR($Q685=Parametres!$G$2,$Q685=Parametres!$G$3),K685,E685)</f>
        <v>0</v>
      </c>
      <c r="Q685" s="654">
        <f t="shared" ref="Q685:S685" si="697">+F685</f>
        <v>0</v>
      </c>
      <c r="R685" s="653">
        <f t="shared" si="697"/>
        <v>0</v>
      </c>
      <c r="S685" s="654">
        <f t="shared" si="697"/>
        <v>0</v>
      </c>
      <c r="T685" s="656" t="e">
        <f>+VLOOKUP($L685,Data_Validation!$A:$D,1,0)</f>
        <v>#N/A</v>
      </c>
      <c r="U685" s="656" t="e">
        <f>+VLOOKUP($L685,Data_Validation!$A:$D,3,0)</f>
        <v>#N/A</v>
      </c>
      <c r="V685" s="656" t="e">
        <f>+VLOOKUP($L685,Data_Validation!$A:$D,4,0)</f>
        <v>#N/A</v>
      </c>
      <c r="W685" s="656" t="e">
        <f>+VLOOKUP($L685,Data_Validation!$A:$E,5,0)</f>
        <v>#N/A</v>
      </c>
      <c r="X685" s="656" t="e">
        <f>+VLOOKUP($L685,Data_Validation!$A:$F,6,0)</f>
        <v>#N/A</v>
      </c>
    </row>
    <row r="686" spans="1:24" ht="15.75" customHeight="1">
      <c r="A686" s="714"/>
      <c r="B686" s="714"/>
      <c r="C686" s="715"/>
      <c r="D686" s="715"/>
      <c r="E686" s="715"/>
      <c r="F686" s="714"/>
      <c r="G686" s="714"/>
      <c r="H686" s="714"/>
      <c r="I686" s="716"/>
      <c r="J686" s="716"/>
      <c r="K686" s="716"/>
      <c r="L686" s="653" t="str">
        <f t="shared" si="654"/>
        <v>0</v>
      </c>
      <c r="M686" s="654">
        <f t="shared" si="520"/>
        <v>0</v>
      </c>
      <c r="N686" s="655">
        <f>+IF(OR($Q686=Parametres!$G$2,$Q686=Parametres!$G$3),I686,C686)</f>
        <v>0</v>
      </c>
      <c r="O686" s="655">
        <f>+IF(OR($Q686=Parametres!$G$2,$Q686=Parametres!$G$3),J686,D686)</f>
        <v>0</v>
      </c>
      <c r="P686" s="655">
        <f>+IF(OR($Q686=Parametres!$G$2,$Q686=Parametres!$G$3),K686,E686)</f>
        <v>0</v>
      </c>
      <c r="Q686" s="654">
        <f t="shared" ref="Q686:S686" si="698">+F686</f>
        <v>0</v>
      </c>
      <c r="R686" s="653">
        <f t="shared" si="698"/>
        <v>0</v>
      </c>
      <c r="S686" s="654">
        <f t="shared" si="698"/>
        <v>0</v>
      </c>
      <c r="T686" s="656" t="e">
        <f>+VLOOKUP($L686,Data_Validation!$A:$D,1,0)</f>
        <v>#N/A</v>
      </c>
      <c r="U686" s="656" t="e">
        <f>+VLOOKUP($L686,Data_Validation!$A:$D,3,0)</f>
        <v>#N/A</v>
      </c>
      <c r="V686" s="656" t="e">
        <f>+VLOOKUP($L686,Data_Validation!$A:$D,4,0)</f>
        <v>#N/A</v>
      </c>
      <c r="W686" s="656" t="e">
        <f>+VLOOKUP($L686,Data_Validation!$A:$E,5,0)</f>
        <v>#N/A</v>
      </c>
      <c r="X686" s="656" t="e">
        <f>+VLOOKUP($L686,Data_Validation!$A:$F,6,0)</f>
        <v>#N/A</v>
      </c>
    </row>
    <row r="687" spans="1:24" ht="15.75" customHeight="1">
      <c r="A687" s="714"/>
      <c r="B687" s="714"/>
      <c r="C687" s="715"/>
      <c r="D687" s="715"/>
      <c r="E687" s="715"/>
      <c r="F687" s="714"/>
      <c r="G687" s="714"/>
      <c r="H687" s="714"/>
      <c r="I687" s="716"/>
      <c r="J687" s="716"/>
      <c r="K687" s="716"/>
      <c r="L687" s="653" t="str">
        <f t="shared" si="654"/>
        <v>0</v>
      </c>
      <c r="M687" s="654">
        <f t="shared" si="520"/>
        <v>0</v>
      </c>
      <c r="N687" s="655">
        <f>+IF(OR($Q687=Parametres!$G$2,$Q687=Parametres!$G$3),I687,C687)</f>
        <v>0</v>
      </c>
      <c r="O687" s="655">
        <f>+IF(OR($Q687=Parametres!$G$2,$Q687=Parametres!$G$3),J687,D687)</f>
        <v>0</v>
      </c>
      <c r="P687" s="655">
        <f>+IF(OR($Q687=Parametres!$G$2,$Q687=Parametres!$G$3),K687,E687)</f>
        <v>0</v>
      </c>
      <c r="Q687" s="654">
        <f t="shared" ref="Q687:S687" si="699">+F687</f>
        <v>0</v>
      </c>
      <c r="R687" s="653">
        <f t="shared" si="699"/>
        <v>0</v>
      </c>
      <c r="S687" s="654">
        <f t="shared" si="699"/>
        <v>0</v>
      </c>
      <c r="T687" s="656" t="e">
        <f>+VLOOKUP($L687,Data_Validation!$A:$D,1,0)</f>
        <v>#N/A</v>
      </c>
      <c r="U687" s="656" t="e">
        <f>+VLOOKUP($L687,Data_Validation!$A:$D,3,0)</f>
        <v>#N/A</v>
      </c>
      <c r="V687" s="656" t="e">
        <f>+VLOOKUP($L687,Data_Validation!$A:$D,4,0)</f>
        <v>#N/A</v>
      </c>
      <c r="W687" s="656" t="e">
        <f>+VLOOKUP($L687,Data_Validation!$A:$E,5,0)</f>
        <v>#N/A</v>
      </c>
      <c r="X687" s="656" t="e">
        <f>+VLOOKUP($L687,Data_Validation!$A:$F,6,0)</f>
        <v>#N/A</v>
      </c>
    </row>
    <row r="688" spans="1:24" ht="15.75" customHeight="1">
      <c r="A688" s="714"/>
      <c r="B688" s="714"/>
      <c r="C688" s="715"/>
      <c r="D688" s="715"/>
      <c r="E688" s="715"/>
      <c r="F688" s="714"/>
      <c r="G688" s="714"/>
      <c r="H688" s="714"/>
      <c r="I688" s="716"/>
      <c r="J688" s="716"/>
      <c r="K688" s="716"/>
      <c r="L688" s="653" t="str">
        <f t="shared" si="654"/>
        <v>0</v>
      </c>
      <c r="M688" s="654">
        <f t="shared" si="520"/>
        <v>0</v>
      </c>
      <c r="N688" s="655">
        <f>+IF(OR($Q688=Parametres!$G$2,$Q688=Parametres!$G$3),I688,C688)</f>
        <v>0</v>
      </c>
      <c r="O688" s="655">
        <f>+IF(OR($Q688=Parametres!$G$2,$Q688=Parametres!$G$3),J688,D688)</f>
        <v>0</v>
      </c>
      <c r="P688" s="655">
        <f>+IF(OR($Q688=Parametres!$G$2,$Q688=Parametres!$G$3),K688,E688)</f>
        <v>0</v>
      </c>
      <c r="Q688" s="654">
        <f t="shared" ref="Q688:S688" si="700">+F688</f>
        <v>0</v>
      </c>
      <c r="R688" s="653">
        <f t="shared" si="700"/>
        <v>0</v>
      </c>
      <c r="S688" s="654">
        <f t="shared" si="700"/>
        <v>0</v>
      </c>
      <c r="T688" s="656" t="e">
        <f>+VLOOKUP($L688,Data_Validation!$A:$D,1,0)</f>
        <v>#N/A</v>
      </c>
      <c r="U688" s="656" t="e">
        <f>+VLOOKUP($L688,Data_Validation!$A:$D,3,0)</f>
        <v>#N/A</v>
      </c>
      <c r="V688" s="656" t="e">
        <f>+VLOOKUP($L688,Data_Validation!$A:$D,4,0)</f>
        <v>#N/A</v>
      </c>
      <c r="W688" s="656" t="e">
        <f>+VLOOKUP($L688,Data_Validation!$A:$E,5,0)</f>
        <v>#N/A</v>
      </c>
      <c r="X688" s="656" t="e">
        <f>+VLOOKUP($L688,Data_Validation!$A:$F,6,0)</f>
        <v>#N/A</v>
      </c>
    </row>
    <row r="689" spans="1:24" ht="15.75" customHeight="1">
      <c r="A689" s="714"/>
      <c r="B689" s="714"/>
      <c r="C689" s="715"/>
      <c r="D689" s="715"/>
      <c r="E689" s="715"/>
      <c r="F689" s="714"/>
      <c r="G689" s="714"/>
      <c r="H689" s="714"/>
      <c r="I689" s="716"/>
      <c r="J689" s="716"/>
      <c r="K689" s="716"/>
      <c r="L689" s="653" t="str">
        <f t="shared" si="654"/>
        <v>0</v>
      </c>
      <c r="M689" s="654">
        <f t="shared" si="520"/>
        <v>0</v>
      </c>
      <c r="N689" s="655">
        <f>+IF(OR($Q689=Parametres!$G$2,$Q689=Parametres!$G$3),I689,C689)</f>
        <v>0</v>
      </c>
      <c r="O689" s="655">
        <f>+IF(OR($Q689=Parametres!$G$2,$Q689=Parametres!$G$3),J689,D689)</f>
        <v>0</v>
      </c>
      <c r="P689" s="655">
        <f>+IF(OR($Q689=Parametres!$G$2,$Q689=Parametres!$G$3),K689,E689)</f>
        <v>0</v>
      </c>
      <c r="Q689" s="654">
        <f t="shared" ref="Q689:S689" si="701">+F689</f>
        <v>0</v>
      </c>
      <c r="R689" s="653">
        <f t="shared" si="701"/>
        <v>0</v>
      </c>
      <c r="S689" s="654">
        <f t="shared" si="701"/>
        <v>0</v>
      </c>
      <c r="T689" s="656" t="e">
        <f>+VLOOKUP($L689,Data_Validation!$A:$D,1,0)</f>
        <v>#N/A</v>
      </c>
      <c r="U689" s="656" t="e">
        <f>+VLOOKUP($L689,Data_Validation!$A:$D,3,0)</f>
        <v>#N/A</v>
      </c>
      <c r="V689" s="656" t="e">
        <f>+VLOOKUP($L689,Data_Validation!$A:$D,4,0)</f>
        <v>#N/A</v>
      </c>
      <c r="W689" s="656" t="e">
        <f>+VLOOKUP($L689,Data_Validation!$A:$E,5,0)</f>
        <v>#N/A</v>
      </c>
      <c r="X689" s="656" t="e">
        <f>+VLOOKUP($L689,Data_Validation!$A:$F,6,0)</f>
        <v>#N/A</v>
      </c>
    </row>
    <row r="690" spans="1:24" ht="15.75" customHeight="1">
      <c r="A690" s="714"/>
      <c r="B690" s="714"/>
      <c r="C690" s="715"/>
      <c r="D690" s="715"/>
      <c r="E690" s="715"/>
      <c r="F690" s="714"/>
      <c r="G690" s="714"/>
      <c r="H690" s="714"/>
      <c r="I690" s="716"/>
      <c r="J690" s="716"/>
      <c r="K690" s="716"/>
      <c r="L690" s="653" t="str">
        <f t="shared" si="654"/>
        <v>0</v>
      </c>
      <c r="M690" s="654">
        <f t="shared" si="520"/>
        <v>0</v>
      </c>
      <c r="N690" s="655">
        <f>+IF(OR($Q690=Parametres!$G$2,$Q690=Parametres!$G$3),I690,C690)</f>
        <v>0</v>
      </c>
      <c r="O690" s="655">
        <f>+IF(OR($Q690=Parametres!$G$2,$Q690=Parametres!$G$3),J690,D690)</f>
        <v>0</v>
      </c>
      <c r="P690" s="655">
        <f>+IF(OR($Q690=Parametres!$G$2,$Q690=Parametres!$G$3),K690,E690)</f>
        <v>0</v>
      </c>
      <c r="Q690" s="654">
        <f t="shared" ref="Q690:S690" si="702">+F690</f>
        <v>0</v>
      </c>
      <c r="R690" s="653">
        <f t="shared" si="702"/>
        <v>0</v>
      </c>
      <c r="S690" s="654">
        <f t="shared" si="702"/>
        <v>0</v>
      </c>
      <c r="T690" s="656" t="e">
        <f>+VLOOKUP($L690,Data_Validation!$A:$D,1,0)</f>
        <v>#N/A</v>
      </c>
      <c r="U690" s="656" t="e">
        <f>+VLOOKUP($L690,Data_Validation!$A:$D,3,0)</f>
        <v>#N/A</v>
      </c>
      <c r="V690" s="656" t="e">
        <f>+VLOOKUP($L690,Data_Validation!$A:$D,4,0)</f>
        <v>#N/A</v>
      </c>
      <c r="W690" s="656" t="e">
        <f>+VLOOKUP($L690,Data_Validation!$A:$E,5,0)</f>
        <v>#N/A</v>
      </c>
      <c r="X690" s="656" t="e">
        <f>+VLOOKUP($L690,Data_Validation!$A:$F,6,0)</f>
        <v>#N/A</v>
      </c>
    </row>
    <row r="691" spans="1:24" ht="15.75" customHeight="1">
      <c r="A691" s="714"/>
      <c r="B691" s="714"/>
      <c r="C691" s="715"/>
      <c r="D691" s="715"/>
      <c r="E691" s="715"/>
      <c r="F691" s="714"/>
      <c r="G691" s="714"/>
      <c r="H691" s="714"/>
      <c r="I691" s="716"/>
      <c r="J691" s="716"/>
      <c r="K691" s="716"/>
      <c r="L691" s="653" t="str">
        <f t="shared" si="654"/>
        <v>0</v>
      </c>
      <c r="M691" s="654">
        <f t="shared" si="520"/>
        <v>0</v>
      </c>
      <c r="N691" s="655">
        <f>+IF(OR($Q691=Parametres!$G$2,$Q691=Parametres!$G$3),I691,C691)</f>
        <v>0</v>
      </c>
      <c r="O691" s="655">
        <f>+IF(OR($Q691=Parametres!$G$2,$Q691=Parametres!$G$3),J691,D691)</f>
        <v>0</v>
      </c>
      <c r="P691" s="655">
        <f>+IF(OR($Q691=Parametres!$G$2,$Q691=Parametres!$G$3),K691,E691)</f>
        <v>0</v>
      </c>
      <c r="Q691" s="654">
        <f t="shared" ref="Q691:S691" si="703">+F691</f>
        <v>0</v>
      </c>
      <c r="R691" s="653">
        <f t="shared" si="703"/>
        <v>0</v>
      </c>
      <c r="S691" s="654">
        <f t="shared" si="703"/>
        <v>0</v>
      </c>
      <c r="T691" s="656" t="e">
        <f>+VLOOKUP($L691,Data_Validation!$A:$D,1,0)</f>
        <v>#N/A</v>
      </c>
      <c r="U691" s="656" t="e">
        <f>+VLOOKUP($L691,Data_Validation!$A:$D,3,0)</f>
        <v>#N/A</v>
      </c>
      <c r="V691" s="656" t="e">
        <f>+VLOOKUP($L691,Data_Validation!$A:$D,4,0)</f>
        <v>#N/A</v>
      </c>
      <c r="W691" s="656" t="e">
        <f>+VLOOKUP($L691,Data_Validation!$A:$E,5,0)</f>
        <v>#N/A</v>
      </c>
      <c r="X691" s="656" t="e">
        <f>+VLOOKUP($L691,Data_Validation!$A:$F,6,0)</f>
        <v>#N/A</v>
      </c>
    </row>
    <row r="692" spans="1:24" ht="15.75" customHeight="1">
      <c r="A692" s="714"/>
      <c r="B692" s="714"/>
      <c r="C692" s="715"/>
      <c r="D692" s="715"/>
      <c r="E692" s="715"/>
      <c r="F692" s="714"/>
      <c r="G692" s="714"/>
      <c r="H692" s="714"/>
      <c r="I692" s="716"/>
      <c r="J692" s="716"/>
      <c r="K692" s="716"/>
      <c r="L692" s="653" t="str">
        <f t="shared" si="654"/>
        <v>0</v>
      </c>
      <c r="M692" s="654">
        <f t="shared" si="520"/>
        <v>0</v>
      </c>
      <c r="N692" s="655">
        <f>+IF(OR($Q692=Parametres!$G$2,$Q692=Parametres!$G$3),I692,C692)</f>
        <v>0</v>
      </c>
      <c r="O692" s="655">
        <f>+IF(OR($Q692=Parametres!$G$2,$Q692=Parametres!$G$3),J692,D692)</f>
        <v>0</v>
      </c>
      <c r="P692" s="655">
        <f>+IF(OR($Q692=Parametres!$G$2,$Q692=Parametres!$G$3),K692,E692)</f>
        <v>0</v>
      </c>
      <c r="Q692" s="654">
        <f t="shared" ref="Q692:S692" si="704">+F692</f>
        <v>0</v>
      </c>
      <c r="R692" s="653">
        <f t="shared" si="704"/>
        <v>0</v>
      </c>
      <c r="S692" s="654">
        <f t="shared" si="704"/>
        <v>0</v>
      </c>
      <c r="T692" s="656" t="e">
        <f>+VLOOKUP($L692,Data_Validation!$A:$D,1,0)</f>
        <v>#N/A</v>
      </c>
      <c r="U692" s="656" t="e">
        <f>+VLOOKUP($L692,Data_Validation!$A:$D,3,0)</f>
        <v>#N/A</v>
      </c>
      <c r="V692" s="656" t="e">
        <f>+VLOOKUP($L692,Data_Validation!$A:$D,4,0)</f>
        <v>#N/A</v>
      </c>
      <c r="W692" s="656" t="e">
        <f>+VLOOKUP($L692,Data_Validation!$A:$E,5,0)</f>
        <v>#N/A</v>
      </c>
      <c r="X692" s="656" t="e">
        <f>+VLOOKUP($L692,Data_Validation!$A:$F,6,0)</f>
        <v>#N/A</v>
      </c>
    </row>
    <row r="693" spans="1:24" ht="15.75" customHeight="1">
      <c r="A693" s="714"/>
      <c r="B693" s="714"/>
      <c r="C693" s="715"/>
      <c r="D693" s="715"/>
      <c r="E693" s="715"/>
      <c r="F693" s="714"/>
      <c r="G693" s="714"/>
      <c r="H693" s="714"/>
      <c r="I693" s="716"/>
      <c r="J693" s="716"/>
      <c r="K693" s="716"/>
      <c r="L693" s="653" t="str">
        <f t="shared" si="654"/>
        <v>0</v>
      </c>
      <c r="M693" s="654">
        <f t="shared" si="520"/>
        <v>0</v>
      </c>
      <c r="N693" s="655">
        <f>+IF(OR($Q693=Parametres!$G$2,$Q693=Parametres!$G$3),I693,C693)</f>
        <v>0</v>
      </c>
      <c r="O693" s="655">
        <f>+IF(OR($Q693=Parametres!$G$2,$Q693=Parametres!$G$3),J693,D693)</f>
        <v>0</v>
      </c>
      <c r="P693" s="655">
        <f>+IF(OR($Q693=Parametres!$G$2,$Q693=Parametres!$G$3),K693,E693)</f>
        <v>0</v>
      </c>
      <c r="Q693" s="654">
        <f t="shared" ref="Q693:S693" si="705">+F693</f>
        <v>0</v>
      </c>
      <c r="R693" s="653">
        <f t="shared" si="705"/>
        <v>0</v>
      </c>
      <c r="S693" s="654">
        <f t="shared" si="705"/>
        <v>0</v>
      </c>
      <c r="T693" s="656" t="e">
        <f>+VLOOKUP($L693,Data_Validation!$A:$D,1,0)</f>
        <v>#N/A</v>
      </c>
      <c r="U693" s="656" t="e">
        <f>+VLOOKUP($L693,Data_Validation!$A:$D,3,0)</f>
        <v>#N/A</v>
      </c>
      <c r="V693" s="656" t="e">
        <f>+VLOOKUP($L693,Data_Validation!$A:$D,4,0)</f>
        <v>#N/A</v>
      </c>
      <c r="W693" s="656" t="e">
        <f>+VLOOKUP($L693,Data_Validation!$A:$E,5,0)</f>
        <v>#N/A</v>
      </c>
      <c r="X693" s="656" t="e">
        <f>+VLOOKUP($L693,Data_Validation!$A:$F,6,0)</f>
        <v>#N/A</v>
      </c>
    </row>
    <row r="694" spans="1:24" ht="15.75" customHeight="1">
      <c r="A694" s="714"/>
      <c r="B694" s="714"/>
      <c r="C694" s="715"/>
      <c r="D694" s="715"/>
      <c r="E694" s="715"/>
      <c r="F694" s="714"/>
      <c r="G694" s="714"/>
      <c r="H694" s="714"/>
      <c r="I694" s="716"/>
      <c r="J694" s="716"/>
      <c r="K694" s="716"/>
      <c r="L694" s="653" t="str">
        <f t="shared" si="654"/>
        <v>0</v>
      </c>
      <c r="M694" s="654">
        <f t="shared" si="520"/>
        <v>0</v>
      </c>
      <c r="N694" s="655">
        <f>+IF(OR($Q694=Parametres!$G$2,$Q694=Parametres!$G$3),I694,C694)</f>
        <v>0</v>
      </c>
      <c r="O694" s="655">
        <f>+IF(OR($Q694=Parametres!$G$2,$Q694=Parametres!$G$3),J694,D694)</f>
        <v>0</v>
      </c>
      <c r="P694" s="655">
        <f>+IF(OR($Q694=Parametres!$G$2,$Q694=Parametres!$G$3),K694,E694)</f>
        <v>0</v>
      </c>
      <c r="Q694" s="654">
        <f t="shared" ref="Q694:S694" si="706">+F694</f>
        <v>0</v>
      </c>
      <c r="R694" s="653">
        <f t="shared" si="706"/>
        <v>0</v>
      </c>
      <c r="S694" s="654">
        <f t="shared" si="706"/>
        <v>0</v>
      </c>
      <c r="T694" s="656" t="e">
        <f>+VLOOKUP($L694,Data_Validation!$A:$D,1,0)</f>
        <v>#N/A</v>
      </c>
      <c r="U694" s="656" t="e">
        <f>+VLOOKUP($L694,Data_Validation!$A:$D,3,0)</f>
        <v>#N/A</v>
      </c>
      <c r="V694" s="656" t="e">
        <f>+VLOOKUP($L694,Data_Validation!$A:$D,4,0)</f>
        <v>#N/A</v>
      </c>
      <c r="W694" s="656" t="e">
        <f>+VLOOKUP($L694,Data_Validation!$A:$E,5,0)</f>
        <v>#N/A</v>
      </c>
      <c r="X694" s="656" t="e">
        <f>+VLOOKUP($L694,Data_Validation!$A:$F,6,0)</f>
        <v>#N/A</v>
      </c>
    </row>
    <row r="695" spans="1:24" ht="15.75" customHeight="1">
      <c r="A695" s="714"/>
      <c r="B695" s="714"/>
      <c r="C695" s="715"/>
      <c r="D695" s="715"/>
      <c r="E695" s="715"/>
      <c r="F695" s="714"/>
      <c r="G695" s="714"/>
      <c r="H695" s="714"/>
      <c r="I695" s="716"/>
      <c r="J695" s="716"/>
      <c r="K695" s="716"/>
      <c r="L695" s="653" t="str">
        <f t="shared" si="654"/>
        <v>0</v>
      </c>
      <c r="M695" s="654">
        <f t="shared" si="520"/>
        <v>0</v>
      </c>
      <c r="N695" s="655">
        <f>+IF(OR($Q695=Parametres!$G$2,$Q695=Parametres!$G$3),I695,C695)</f>
        <v>0</v>
      </c>
      <c r="O695" s="655">
        <f>+IF(OR($Q695=Parametres!$G$2,$Q695=Parametres!$G$3),J695,D695)</f>
        <v>0</v>
      </c>
      <c r="P695" s="655">
        <f>+IF(OR($Q695=Parametres!$G$2,$Q695=Parametres!$G$3),K695,E695)</f>
        <v>0</v>
      </c>
      <c r="Q695" s="654">
        <f t="shared" ref="Q695:S695" si="707">+F695</f>
        <v>0</v>
      </c>
      <c r="R695" s="653">
        <f t="shared" si="707"/>
        <v>0</v>
      </c>
      <c r="S695" s="654">
        <f t="shared" si="707"/>
        <v>0</v>
      </c>
      <c r="T695" s="656" t="e">
        <f>+VLOOKUP($L695,Data_Validation!$A:$D,1,0)</f>
        <v>#N/A</v>
      </c>
      <c r="U695" s="656" t="e">
        <f>+VLOOKUP($L695,Data_Validation!$A:$D,3,0)</f>
        <v>#N/A</v>
      </c>
      <c r="V695" s="656" t="e">
        <f>+VLOOKUP($L695,Data_Validation!$A:$D,4,0)</f>
        <v>#N/A</v>
      </c>
      <c r="W695" s="656" t="e">
        <f>+VLOOKUP($L695,Data_Validation!$A:$E,5,0)</f>
        <v>#N/A</v>
      </c>
      <c r="X695" s="656" t="e">
        <f>+VLOOKUP($L695,Data_Validation!$A:$F,6,0)</f>
        <v>#N/A</v>
      </c>
    </row>
    <row r="696" spans="1:24" ht="15.75" customHeight="1">
      <c r="A696" s="714"/>
      <c r="B696" s="714"/>
      <c r="C696" s="715"/>
      <c r="D696" s="715"/>
      <c r="E696" s="715"/>
      <c r="F696" s="714"/>
      <c r="G696" s="714"/>
      <c r="H696" s="714"/>
      <c r="I696" s="716"/>
      <c r="J696" s="716"/>
      <c r="K696" s="716"/>
      <c r="L696" s="653" t="str">
        <f t="shared" si="654"/>
        <v>0</v>
      </c>
      <c r="M696" s="654">
        <f t="shared" si="520"/>
        <v>0</v>
      </c>
      <c r="N696" s="655">
        <f>+IF(OR($Q696=Parametres!$G$2,$Q696=Parametres!$G$3),I696,C696)</f>
        <v>0</v>
      </c>
      <c r="O696" s="655">
        <f>+IF(OR($Q696=Parametres!$G$2,$Q696=Parametres!$G$3),J696,D696)</f>
        <v>0</v>
      </c>
      <c r="P696" s="655">
        <f>+IF(OR($Q696=Parametres!$G$2,$Q696=Parametres!$G$3),K696,E696)</f>
        <v>0</v>
      </c>
      <c r="Q696" s="654">
        <f t="shared" ref="Q696:S696" si="708">+F696</f>
        <v>0</v>
      </c>
      <c r="R696" s="653">
        <f t="shared" si="708"/>
        <v>0</v>
      </c>
      <c r="S696" s="654">
        <f t="shared" si="708"/>
        <v>0</v>
      </c>
      <c r="T696" s="656" t="e">
        <f>+VLOOKUP($L696,Data_Validation!$A:$D,1,0)</f>
        <v>#N/A</v>
      </c>
      <c r="U696" s="656" t="e">
        <f>+VLOOKUP($L696,Data_Validation!$A:$D,3,0)</f>
        <v>#N/A</v>
      </c>
      <c r="V696" s="656" t="e">
        <f>+VLOOKUP($L696,Data_Validation!$A:$D,4,0)</f>
        <v>#N/A</v>
      </c>
      <c r="W696" s="656" t="e">
        <f>+VLOOKUP($L696,Data_Validation!$A:$E,5,0)</f>
        <v>#N/A</v>
      </c>
      <c r="X696" s="656" t="e">
        <f>+VLOOKUP($L696,Data_Validation!$A:$F,6,0)</f>
        <v>#N/A</v>
      </c>
    </row>
    <row r="697" spans="1:24" ht="15.75" customHeight="1">
      <c r="A697" s="716"/>
      <c r="B697" s="654"/>
      <c r="C697" s="717"/>
      <c r="D697" s="716"/>
      <c r="E697" s="716"/>
      <c r="F697" s="716"/>
      <c r="G697" s="716"/>
      <c r="H697" s="716"/>
      <c r="I697" s="716"/>
      <c r="J697" s="716"/>
      <c r="K697" s="716"/>
      <c r="L697" s="653" t="str">
        <f t="shared" si="654"/>
        <v>0</v>
      </c>
      <c r="M697" s="654">
        <f t="shared" si="520"/>
        <v>0</v>
      </c>
      <c r="N697" s="655">
        <f>+IF(OR($Q697=Parametres!$G$2,$Q697=Parametres!$G$3),I697,C697)</f>
        <v>0</v>
      </c>
      <c r="O697" s="655">
        <f>+IF(OR($Q697=Parametres!$G$2,$Q697=Parametres!$G$3),J697,D697)</f>
        <v>0</v>
      </c>
      <c r="P697" s="655">
        <f>+IF(OR($Q697=Parametres!$G$2,$Q697=Parametres!$G$3),K697,E697)</f>
        <v>0</v>
      </c>
      <c r="Q697" s="654">
        <f t="shared" ref="Q697:S697" si="709">+F697</f>
        <v>0</v>
      </c>
      <c r="R697" s="653">
        <f t="shared" si="709"/>
        <v>0</v>
      </c>
      <c r="S697" s="654">
        <f t="shared" si="709"/>
        <v>0</v>
      </c>
      <c r="T697" s="656" t="e">
        <f>+VLOOKUP($L697,Data_Validation!$A:$D,1,0)</f>
        <v>#N/A</v>
      </c>
      <c r="U697" s="656" t="e">
        <f>+VLOOKUP($L697,Data_Validation!$A:$D,3,0)</f>
        <v>#N/A</v>
      </c>
      <c r="V697" s="656" t="e">
        <f>+VLOOKUP($L697,Data_Validation!$A:$D,4,0)</f>
        <v>#N/A</v>
      </c>
      <c r="W697" s="656" t="e">
        <f>+VLOOKUP($L697,Data_Validation!$A:$E,5,0)</f>
        <v>#N/A</v>
      </c>
    </row>
    <row r="698" spans="1:24" ht="15.75" customHeight="1">
      <c r="A698" s="716"/>
      <c r="B698" s="654"/>
      <c r="C698" s="717"/>
      <c r="D698" s="716"/>
      <c r="E698" s="716"/>
      <c r="F698" s="716"/>
      <c r="G698" s="716"/>
      <c r="H698" s="716"/>
      <c r="I698" s="716"/>
      <c r="J698" s="716"/>
      <c r="K698" s="716"/>
      <c r="L698" s="653" t="str">
        <f t="shared" si="654"/>
        <v>0</v>
      </c>
      <c r="M698" s="654">
        <f t="shared" si="520"/>
        <v>0</v>
      </c>
      <c r="N698" s="655">
        <f>+IF(OR($Q698=Parametres!$G$2,$Q698=Parametres!$G$3),I698,C698)</f>
        <v>0</v>
      </c>
      <c r="O698" s="655">
        <f>+IF(OR($Q698=Parametres!$G$2,$Q698=Parametres!$G$3),J698,D698)</f>
        <v>0</v>
      </c>
      <c r="P698" s="655">
        <f>+IF(OR($Q698=Parametres!$G$2,$Q698=Parametres!$G$3),K698,E698)</f>
        <v>0</v>
      </c>
      <c r="Q698" s="654">
        <f t="shared" ref="Q698:S698" si="710">+F698</f>
        <v>0</v>
      </c>
      <c r="R698" s="653">
        <f t="shared" si="710"/>
        <v>0</v>
      </c>
      <c r="S698" s="654">
        <f t="shared" si="710"/>
        <v>0</v>
      </c>
      <c r="T698" s="656" t="e">
        <f>+VLOOKUP($L698,Data_Validation!$A:$D,1,0)</f>
        <v>#N/A</v>
      </c>
      <c r="U698" s="656" t="e">
        <f>+VLOOKUP($L698,Data_Validation!$A:$D,3,0)</f>
        <v>#N/A</v>
      </c>
      <c r="V698" s="656" t="e">
        <f>+VLOOKUP($L698,Data_Validation!$A:$D,4,0)</f>
        <v>#N/A</v>
      </c>
      <c r="W698" s="656" t="e">
        <f>+VLOOKUP($L698,Data_Validation!$A:$E,5,0)</f>
        <v>#N/A</v>
      </c>
    </row>
    <row r="699" spans="1:24" ht="15.75" customHeight="1">
      <c r="A699" s="716"/>
      <c r="B699" s="654"/>
      <c r="C699" s="717"/>
      <c r="D699" s="716"/>
      <c r="E699" s="716"/>
      <c r="F699" s="716"/>
      <c r="G699" s="716"/>
      <c r="H699" s="716"/>
      <c r="I699" s="716"/>
      <c r="J699" s="716"/>
      <c r="K699" s="716"/>
      <c r="L699" s="653" t="str">
        <f t="shared" si="654"/>
        <v>0</v>
      </c>
      <c r="M699" s="654">
        <f t="shared" si="520"/>
        <v>0</v>
      </c>
      <c r="N699" s="655">
        <f>+IF(OR($Q699=Parametres!$G$2,$Q699=Parametres!$G$3),I699,C699)</f>
        <v>0</v>
      </c>
      <c r="O699" s="655">
        <f>+IF(OR($Q699=Parametres!$G$2,$Q699=Parametres!$G$3),J699,D699)</f>
        <v>0</v>
      </c>
      <c r="P699" s="655">
        <f>+IF(OR($Q699=Parametres!$G$2,$Q699=Parametres!$G$3),K699,E699)</f>
        <v>0</v>
      </c>
      <c r="Q699" s="654">
        <f t="shared" ref="Q699:S699" si="711">+F699</f>
        <v>0</v>
      </c>
      <c r="R699" s="653">
        <f t="shared" si="711"/>
        <v>0</v>
      </c>
      <c r="S699" s="654">
        <f t="shared" si="711"/>
        <v>0</v>
      </c>
      <c r="T699" s="656" t="e">
        <f>+VLOOKUP($L699,Data_Validation!$A:$D,1,0)</f>
        <v>#N/A</v>
      </c>
      <c r="U699" s="656" t="e">
        <f>+VLOOKUP($L699,Data_Validation!$A:$D,3,0)</f>
        <v>#N/A</v>
      </c>
      <c r="V699" s="656" t="e">
        <f>+VLOOKUP($L699,Data_Validation!$A:$D,4,0)</f>
        <v>#N/A</v>
      </c>
      <c r="W699" s="656" t="e">
        <f>+VLOOKUP($L699,Data_Validation!$A:$E,5,0)</f>
        <v>#N/A</v>
      </c>
    </row>
    <row r="700" spans="1:24" ht="15.75" customHeight="1">
      <c r="A700" s="716"/>
      <c r="B700" s="654"/>
      <c r="C700" s="717"/>
      <c r="D700" s="716"/>
      <c r="E700" s="716"/>
      <c r="F700" s="716"/>
      <c r="G700" s="716"/>
      <c r="H700" s="716"/>
      <c r="I700" s="716"/>
      <c r="J700" s="716"/>
      <c r="K700" s="716"/>
      <c r="L700" s="653" t="str">
        <f t="shared" si="654"/>
        <v>0</v>
      </c>
      <c r="M700" s="654">
        <f t="shared" si="520"/>
        <v>0</v>
      </c>
      <c r="N700" s="655">
        <f>+IF(OR($Q700=Parametres!$G$2,$Q700=Parametres!$G$3),I700,C700)</f>
        <v>0</v>
      </c>
      <c r="O700" s="655">
        <f>+IF(OR($Q700=Parametres!$G$2,$Q700=Parametres!$G$3),J700,D700)</f>
        <v>0</v>
      </c>
      <c r="P700" s="655">
        <f>+IF(OR($Q700=Parametres!$G$2,$Q700=Parametres!$G$3),K700,E700)</f>
        <v>0</v>
      </c>
      <c r="Q700" s="654">
        <f t="shared" ref="Q700:S700" si="712">+F700</f>
        <v>0</v>
      </c>
      <c r="R700" s="653">
        <f t="shared" si="712"/>
        <v>0</v>
      </c>
      <c r="S700" s="654">
        <f t="shared" si="712"/>
        <v>0</v>
      </c>
      <c r="T700" s="656" t="e">
        <f>+VLOOKUP($L700,Data_Validation!$A:$D,1,0)</f>
        <v>#N/A</v>
      </c>
      <c r="U700" s="656" t="e">
        <f>+VLOOKUP($L700,Data_Validation!$A:$D,3,0)</f>
        <v>#N/A</v>
      </c>
      <c r="V700" s="656" t="e">
        <f>+VLOOKUP($L700,Data_Validation!$A:$D,4,0)</f>
        <v>#N/A</v>
      </c>
      <c r="W700" s="656" t="e">
        <f>+VLOOKUP($L700,Data_Validation!$A:$E,5,0)</f>
        <v>#N/A</v>
      </c>
    </row>
    <row r="701" spans="1:24" ht="15.75" customHeight="1">
      <c r="A701" s="716"/>
      <c r="B701" s="654"/>
      <c r="C701" s="717"/>
      <c r="D701" s="716"/>
      <c r="E701" s="716"/>
      <c r="F701" s="716"/>
      <c r="G701" s="716"/>
      <c r="H701" s="716"/>
      <c r="I701" s="716"/>
      <c r="J701" s="716"/>
      <c r="K701" s="716"/>
      <c r="L701" s="653" t="str">
        <f t="shared" si="654"/>
        <v>0</v>
      </c>
      <c r="M701" s="654">
        <f t="shared" si="520"/>
        <v>0</v>
      </c>
      <c r="N701" s="655">
        <f>+IF(OR($Q701=Parametres!$G$2,$Q701=Parametres!$G$3),I701,C701)</f>
        <v>0</v>
      </c>
      <c r="O701" s="655">
        <f>+IF(OR($Q701=Parametres!$G$2,$Q701=Parametres!$G$3),J701,D701)</f>
        <v>0</v>
      </c>
      <c r="P701" s="655">
        <f>+IF(OR($Q701=Parametres!$G$2,$Q701=Parametres!$G$3),K701,E701)</f>
        <v>0</v>
      </c>
      <c r="Q701" s="654">
        <f t="shared" ref="Q701:S701" si="713">+F701</f>
        <v>0</v>
      </c>
      <c r="R701" s="653">
        <f t="shared" si="713"/>
        <v>0</v>
      </c>
      <c r="S701" s="654">
        <f t="shared" si="713"/>
        <v>0</v>
      </c>
      <c r="T701" s="656" t="e">
        <f>+VLOOKUP($L701,Data_Validation!$A:$D,1,0)</f>
        <v>#N/A</v>
      </c>
      <c r="U701" s="656" t="e">
        <f>+VLOOKUP($L701,Data_Validation!$A:$D,3,0)</f>
        <v>#N/A</v>
      </c>
      <c r="V701" s="656" t="e">
        <f>+VLOOKUP($L701,Data_Validation!$A:$D,4,0)</f>
        <v>#N/A</v>
      </c>
      <c r="W701" s="656" t="e">
        <f>+VLOOKUP($L701,Data_Validation!$A:$E,5,0)</f>
        <v>#N/A</v>
      </c>
    </row>
    <row r="702" spans="1:24" ht="15.75" customHeight="1">
      <c r="A702" s="716"/>
      <c r="B702" s="654"/>
      <c r="C702" s="717"/>
      <c r="D702" s="716"/>
      <c r="E702" s="716"/>
      <c r="F702" s="716"/>
      <c r="G702" s="716"/>
      <c r="H702" s="716"/>
      <c r="I702" s="716"/>
      <c r="J702" s="716"/>
      <c r="K702" s="716"/>
      <c r="L702" s="653" t="str">
        <f t="shared" si="654"/>
        <v>0</v>
      </c>
      <c r="M702" s="654">
        <f t="shared" si="520"/>
        <v>0</v>
      </c>
      <c r="N702" s="655">
        <f>+IF(OR($Q702=Parametres!$G$2,$Q702=Parametres!$G$3),I702,C702)</f>
        <v>0</v>
      </c>
      <c r="O702" s="655">
        <f>+IF(OR($Q702=Parametres!$G$2,$Q702=Parametres!$G$3),J702,D702)</f>
        <v>0</v>
      </c>
      <c r="P702" s="655">
        <f>+IF(OR($Q702=Parametres!$G$2,$Q702=Parametres!$G$3),K702,E702)</f>
        <v>0</v>
      </c>
      <c r="Q702" s="654">
        <f t="shared" ref="Q702:S702" si="714">+F702</f>
        <v>0</v>
      </c>
      <c r="R702" s="653">
        <f t="shared" si="714"/>
        <v>0</v>
      </c>
      <c r="S702" s="654">
        <f t="shared" si="714"/>
        <v>0</v>
      </c>
      <c r="T702" s="656" t="e">
        <f>+VLOOKUP($L702,Data_Validation!$A:$D,1,0)</f>
        <v>#N/A</v>
      </c>
      <c r="U702" s="656" t="e">
        <f>+VLOOKUP($L702,Data_Validation!$A:$D,3,0)</f>
        <v>#N/A</v>
      </c>
      <c r="V702" s="656" t="e">
        <f>+VLOOKUP($L702,Data_Validation!$A:$D,4,0)</f>
        <v>#N/A</v>
      </c>
      <c r="W702" s="656" t="e">
        <f>+VLOOKUP($L702,Data_Validation!$A:$E,5,0)</f>
        <v>#N/A</v>
      </c>
    </row>
    <row r="703" spans="1:24" ht="15.75" customHeight="1">
      <c r="A703" s="716"/>
      <c r="B703" s="654"/>
      <c r="C703" s="717"/>
      <c r="D703" s="716"/>
      <c r="E703" s="716"/>
      <c r="F703" s="716"/>
      <c r="G703" s="716"/>
      <c r="H703" s="716"/>
      <c r="I703" s="716"/>
      <c r="J703" s="716"/>
      <c r="K703" s="716"/>
      <c r="L703" s="653" t="str">
        <f t="shared" si="654"/>
        <v>0</v>
      </c>
      <c r="M703" s="654">
        <f t="shared" si="520"/>
        <v>0</v>
      </c>
      <c r="N703" s="655">
        <f>+IF(OR($Q703=Parametres!$G$2,$Q703=Parametres!$G$3),I703,C703)</f>
        <v>0</v>
      </c>
      <c r="O703" s="655">
        <f>+IF(OR($Q703=Parametres!$G$2,$Q703=Parametres!$G$3),J703,D703)</f>
        <v>0</v>
      </c>
      <c r="P703" s="655">
        <f>+IF(OR($Q703=Parametres!$G$2,$Q703=Parametres!$G$3),K703,E703)</f>
        <v>0</v>
      </c>
      <c r="Q703" s="654">
        <f t="shared" ref="Q703:S703" si="715">+F703</f>
        <v>0</v>
      </c>
      <c r="R703" s="653">
        <f t="shared" si="715"/>
        <v>0</v>
      </c>
      <c r="S703" s="654">
        <f t="shared" si="715"/>
        <v>0</v>
      </c>
      <c r="T703" s="656" t="e">
        <f>+VLOOKUP($L703,Data_Validation!$A:$D,1,0)</f>
        <v>#N/A</v>
      </c>
      <c r="U703" s="656" t="e">
        <f>+VLOOKUP($L703,Data_Validation!$A:$D,3,0)</f>
        <v>#N/A</v>
      </c>
      <c r="V703" s="656" t="e">
        <f>+VLOOKUP($L703,Data_Validation!$A:$D,4,0)</f>
        <v>#N/A</v>
      </c>
      <c r="W703" s="656" t="e">
        <f>+VLOOKUP($L703,Data_Validation!$A:$E,5,0)</f>
        <v>#N/A</v>
      </c>
    </row>
    <row r="704" spans="1:24" ht="15.75" customHeight="1">
      <c r="A704" s="716"/>
      <c r="B704" s="654"/>
      <c r="C704" s="717"/>
      <c r="D704" s="716"/>
      <c r="E704" s="716"/>
      <c r="F704" s="716"/>
      <c r="G704" s="716"/>
      <c r="H704" s="716"/>
      <c r="I704" s="716"/>
      <c r="J704" s="716"/>
      <c r="K704" s="716"/>
      <c r="L704" s="653" t="str">
        <f t="shared" si="654"/>
        <v>0</v>
      </c>
      <c r="M704" s="654">
        <f t="shared" si="520"/>
        <v>0</v>
      </c>
      <c r="N704" s="655">
        <f>+IF(OR($Q704=Parametres!$G$2,$Q704=Parametres!$G$3),I704,C704)</f>
        <v>0</v>
      </c>
      <c r="O704" s="655">
        <f>+IF(OR($Q704=Parametres!$G$2,$Q704=Parametres!$G$3),J704,D704)</f>
        <v>0</v>
      </c>
      <c r="P704" s="655">
        <f>+IF(OR($Q704=Parametres!$G$2,$Q704=Parametres!$G$3),K704,E704)</f>
        <v>0</v>
      </c>
      <c r="Q704" s="654">
        <f t="shared" ref="Q704:S704" si="716">+F704</f>
        <v>0</v>
      </c>
      <c r="R704" s="653">
        <f t="shared" si="716"/>
        <v>0</v>
      </c>
      <c r="S704" s="654">
        <f t="shared" si="716"/>
        <v>0</v>
      </c>
      <c r="T704" s="656" t="e">
        <f>+VLOOKUP($L704,Data_Validation!$A:$D,1,0)</f>
        <v>#N/A</v>
      </c>
      <c r="U704" s="656" t="e">
        <f>+VLOOKUP($L704,Data_Validation!$A:$D,3,0)</f>
        <v>#N/A</v>
      </c>
      <c r="V704" s="656" t="e">
        <f>+VLOOKUP($L704,Data_Validation!$A:$D,4,0)</f>
        <v>#N/A</v>
      </c>
      <c r="W704" s="656" t="e">
        <f>+VLOOKUP($L704,Data_Validation!$A:$E,5,0)</f>
        <v>#N/A</v>
      </c>
    </row>
    <row r="705" spans="1:23" ht="15.75" customHeight="1">
      <c r="A705" s="716"/>
      <c r="B705" s="654"/>
      <c r="C705" s="717"/>
      <c r="D705" s="716"/>
      <c r="E705" s="716"/>
      <c r="F705" s="716"/>
      <c r="G705" s="716"/>
      <c r="H705" s="716"/>
      <c r="I705" s="716"/>
      <c r="J705" s="716"/>
      <c r="K705" s="716"/>
      <c r="L705" s="653" t="str">
        <f t="shared" si="654"/>
        <v>0</v>
      </c>
      <c r="M705" s="654">
        <f t="shared" si="520"/>
        <v>0</v>
      </c>
      <c r="N705" s="655">
        <f>+IF(OR($Q705=Parametres!$G$2,$Q705=Parametres!$G$3),I705,C705)</f>
        <v>0</v>
      </c>
      <c r="O705" s="655">
        <f>+IF(OR($Q705=Parametres!$G$2,$Q705=Parametres!$G$3),J705,D705)</f>
        <v>0</v>
      </c>
      <c r="P705" s="655">
        <f>+IF(OR($Q705=Parametres!$G$2,$Q705=Parametres!$G$3),K705,E705)</f>
        <v>0</v>
      </c>
      <c r="Q705" s="654">
        <f t="shared" ref="Q705:S705" si="717">+F705</f>
        <v>0</v>
      </c>
      <c r="R705" s="653">
        <f t="shared" si="717"/>
        <v>0</v>
      </c>
      <c r="S705" s="654">
        <f t="shared" si="717"/>
        <v>0</v>
      </c>
      <c r="T705" s="656" t="e">
        <f>+VLOOKUP($L705,Data_Validation!$A:$D,1,0)</f>
        <v>#N/A</v>
      </c>
      <c r="U705" s="656" t="e">
        <f>+VLOOKUP($L705,Data_Validation!$A:$D,3,0)</f>
        <v>#N/A</v>
      </c>
      <c r="V705" s="656" t="e">
        <f>+VLOOKUP($L705,Data_Validation!$A:$D,4,0)</f>
        <v>#N/A</v>
      </c>
      <c r="W705" s="656" t="e">
        <f>+VLOOKUP($L705,Data_Validation!$A:$E,5,0)</f>
        <v>#N/A</v>
      </c>
    </row>
    <row r="706" spans="1:23" ht="15.75" customHeight="1">
      <c r="A706" s="716"/>
      <c r="B706" s="654"/>
      <c r="C706" s="717"/>
      <c r="D706" s="716"/>
      <c r="E706" s="716"/>
      <c r="F706" s="716"/>
      <c r="G706" s="716"/>
      <c r="H706" s="716"/>
      <c r="I706" s="716"/>
      <c r="J706" s="716"/>
      <c r="K706" s="716"/>
      <c r="L706" s="653" t="str">
        <f t="shared" si="654"/>
        <v>0</v>
      </c>
      <c r="M706" s="654">
        <f t="shared" si="520"/>
        <v>0</v>
      </c>
      <c r="N706" s="655">
        <f>+IF(OR($Q706=Parametres!$G$2,$Q706=Parametres!$G$3),I706,C706)</f>
        <v>0</v>
      </c>
      <c r="O706" s="655">
        <f>+IF(OR($Q706=Parametres!$G$2,$Q706=Parametres!$G$3),J706,D706)</f>
        <v>0</v>
      </c>
      <c r="P706" s="655">
        <f>+IF(OR($Q706=Parametres!$G$2,$Q706=Parametres!$G$3),K706,E706)</f>
        <v>0</v>
      </c>
      <c r="Q706" s="654">
        <f t="shared" ref="Q706:S706" si="718">+F706</f>
        <v>0</v>
      </c>
      <c r="R706" s="653">
        <f t="shared" si="718"/>
        <v>0</v>
      </c>
      <c r="S706" s="654">
        <f t="shared" si="718"/>
        <v>0</v>
      </c>
      <c r="T706" s="656" t="e">
        <f>+VLOOKUP($L706,Data_Validation!$A:$D,1,0)</f>
        <v>#N/A</v>
      </c>
      <c r="U706" s="656" t="e">
        <f>+VLOOKUP($L706,Data_Validation!$A:$D,3,0)</f>
        <v>#N/A</v>
      </c>
      <c r="V706" s="656" t="e">
        <f>+VLOOKUP($L706,Data_Validation!$A:$D,4,0)</f>
        <v>#N/A</v>
      </c>
      <c r="W706" s="656" t="e">
        <f>+VLOOKUP($L706,Data_Validation!$A:$E,5,0)</f>
        <v>#N/A</v>
      </c>
    </row>
    <row r="707" spans="1:23" ht="15.75" customHeight="1">
      <c r="A707" s="716"/>
      <c r="B707" s="654"/>
      <c r="C707" s="717"/>
      <c r="D707" s="716"/>
      <c r="E707" s="716"/>
      <c r="F707" s="716"/>
      <c r="G707" s="716"/>
      <c r="H707" s="716"/>
      <c r="I707" s="716"/>
      <c r="J707" s="716"/>
      <c r="K707" s="716"/>
      <c r="L707" s="653" t="str">
        <f t="shared" ref="L707:L770" si="719">TEXT(B707,0)</f>
        <v>0</v>
      </c>
      <c r="M707" s="654">
        <f t="shared" si="520"/>
        <v>0</v>
      </c>
      <c r="N707" s="655">
        <f>+IF(OR($Q707=Parametres!$G$2,$Q707=Parametres!$G$3),I707,C707)</f>
        <v>0</v>
      </c>
      <c r="O707" s="655">
        <f>+IF(OR($Q707=Parametres!$G$2,$Q707=Parametres!$G$3),J707,D707)</f>
        <v>0</v>
      </c>
      <c r="P707" s="655">
        <f>+IF(OR($Q707=Parametres!$G$2,$Q707=Parametres!$G$3),K707,E707)</f>
        <v>0</v>
      </c>
      <c r="Q707" s="654">
        <f t="shared" ref="Q707:S707" si="720">+F707</f>
        <v>0</v>
      </c>
      <c r="R707" s="653">
        <f t="shared" si="720"/>
        <v>0</v>
      </c>
      <c r="S707" s="654">
        <f t="shared" si="720"/>
        <v>0</v>
      </c>
      <c r="T707" s="656" t="e">
        <f>+VLOOKUP($L707,Data_Validation!$A:$D,1,0)</f>
        <v>#N/A</v>
      </c>
      <c r="U707" s="656" t="e">
        <f>+VLOOKUP($L707,Data_Validation!$A:$D,3,0)</f>
        <v>#N/A</v>
      </c>
      <c r="V707" s="656" t="e">
        <f>+VLOOKUP($L707,Data_Validation!$A:$D,4,0)</f>
        <v>#N/A</v>
      </c>
      <c r="W707" s="656" t="e">
        <f>+VLOOKUP($L707,Data_Validation!$A:$E,5,0)</f>
        <v>#N/A</v>
      </c>
    </row>
    <row r="708" spans="1:23" ht="15.75" customHeight="1">
      <c r="A708" s="716"/>
      <c r="B708" s="654"/>
      <c r="C708" s="717"/>
      <c r="D708" s="716"/>
      <c r="E708" s="716"/>
      <c r="F708" s="716"/>
      <c r="G708" s="716"/>
      <c r="H708" s="716"/>
      <c r="I708" s="716"/>
      <c r="J708" s="716"/>
      <c r="K708" s="716"/>
      <c r="L708" s="653" t="str">
        <f t="shared" si="719"/>
        <v>0</v>
      </c>
      <c r="M708" s="654">
        <f t="shared" si="520"/>
        <v>0</v>
      </c>
      <c r="N708" s="655">
        <f>+IF(OR($Q708=Parametres!$G$2,$Q708=Parametres!$G$3),I708,C708)</f>
        <v>0</v>
      </c>
      <c r="O708" s="655">
        <f>+IF(OR($Q708=Parametres!$G$2,$Q708=Parametres!$G$3),J708,D708)</f>
        <v>0</v>
      </c>
      <c r="P708" s="655">
        <f>+IF(OR($Q708=Parametres!$G$2,$Q708=Parametres!$G$3),K708,E708)</f>
        <v>0</v>
      </c>
      <c r="Q708" s="654">
        <f t="shared" ref="Q708:S708" si="721">+F708</f>
        <v>0</v>
      </c>
      <c r="R708" s="653">
        <f t="shared" si="721"/>
        <v>0</v>
      </c>
      <c r="S708" s="654">
        <f t="shared" si="721"/>
        <v>0</v>
      </c>
      <c r="T708" s="656" t="e">
        <f>+VLOOKUP($L708,Data_Validation!$A:$D,1,0)</f>
        <v>#N/A</v>
      </c>
      <c r="U708" s="656" t="e">
        <f>+VLOOKUP($L708,Data_Validation!$A:$D,3,0)</f>
        <v>#N/A</v>
      </c>
      <c r="V708" s="656" t="e">
        <f>+VLOOKUP($L708,Data_Validation!$A:$D,4,0)</f>
        <v>#N/A</v>
      </c>
      <c r="W708" s="656" t="e">
        <f>+VLOOKUP($L708,Data_Validation!$A:$E,5,0)</f>
        <v>#N/A</v>
      </c>
    </row>
    <row r="709" spans="1:23" ht="15.75" customHeight="1">
      <c r="A709" s="716"/>
      <c r="B709" s="654"/>
      <c r="C709" s="717"/>
      <c r="D709" s="716"/>
      <c r="E709" s="716"/>
      <c r="F709" s="716"/>
      <c r="G709" s="716"/>
      <c r="H709" s="716"/>
      <c r="I709" s="716"/>
      <c r="J709" s="716"/>
      <c r="K709" s="716"/>
      <c r="L709" s="653" t="str">
        <f t="shared" si="719"/>
        <v>0</v>
      </c>
      <c r="M709" s="654">
        <f t="shared" si="520"/>
        <v>0</v>
      </c>
      <c r="N709" s="655">
        <f>+IF(OR($Q709=Parametres!$G$2,$Q709=Parametres!$G$3),I709,C709)</f>
        <v>0</v>
      </c>
      <c r="O709" s="655">
        <f>+IF(OR($Q709=Parametres!$G$2,$Q709=Parametres!$G$3),J709,D709)</f>
        <v>0</v>
      </c>
      <c r="P709" s="655">
        <f>+IF(OR($Q709=Parametres!$G$2,$Q709=Parametres!$G$3),K709,E709)</f>
        <v>0</v>
      </c>
      <c r="Q709" s="654">
        <f t="shared" ref="Q709:S709" si="722">+F709</f>
        <v>0</v>
      </c>
      <c r="R709" s="653">
        <f t="shared" si="722"/>
        <v>0</v>
      </c>
      <c r="S709" s="654">
        <f t="shared" si="722"/>
        <v>0</v>
      </c>
      <c r="T709" s="656" t="e">
        <f>+VLOOKUP($L709,Data_Validation!$A:$D,1,0)</f>
        <v>#N/A</v>
      </c>
      <c r="U709" s="656" t="e">
        <f>+VLOOKUP($L709,Data_Validation!$A:$D,3,0)</f>
        <v>#N/A</v>
      </c>
      <c r="V709" s="656" t="e">
        <f>+VLOOKUP($L709,Data_Validation!$A:$D,4,0)</f>
        <v>#N/A</v>
      </c>
      <c r="W709" s="656" t="e">
        <f>+VLOOKUP($L709,Data_Validation!$A:$E,5,0)</f>
        <v>#N/A</v>
      </c>
    </row>
    <row r="710" spans="1:23" ht="15.75" customHeight="1">
      <c r="A710" s="716"/>
      <c r="B710" s="654"/>
      <c r="C710" s="717"/>
      <c r="D710" s="716"/>
      <c r="E710" s="716"/>
      <c r="F710" s="716"/>
      <c r="G710" s="716"/>
      <c r="H710" s="716"/>
      <c r="I710" s="716"/>
      <c r="J710" s="716"/>
      <c r="K710" s="716"/>
      <c r="L710" s="653" t="str">
        <f t="shared" si="719"/>
        <v>0</v>
      </c>
      <c r="M710" s="654">
        <f t="shared" si="520"/>
        <v>0</v>
      </c>
      <c r="N710" s="655">
        <f>+IF(OR($Q710=Parametres!$G$2,$Q710=Parametres!$G$3),I710,C710)</f>
        <v>0</v>
      </c>
      <c r="O710" s="655">
        <f>+IF(OR($Q710=Parametres!$G$2,$Q710=Parametres!$G$3),J710,D710)</f>
        <v>0</v>
      </c>
      <c r="P710" s="655">
        <f>+IF(OR($Q710=Parametres!$G$2,$Q710=Parametres!$G$3),K710,E710)</f>
        <v>0</v>
      </c>
      <c r="Q710" s="654">
        <f t="shared" ref="Q710:S710" si="723">+F710</f>
        <v>0</v>
      </c>
      <c r="R710" s="653">
        <f t="shared" si="723"/>
        <v>0</v>
      </c>
      <c r="S710" s="654">
        <f t="shared" si="723"/>
        <v>0</v>
      </c>
      <c r="T710" s="656" t="e">
        <f>+VLOOKUP($L710,Data_Validation!$A:$D,1,0)</f>
        <v>#N/A</v>
      </c>
      <c r="U710" s="656" t="e">
        <f>+VLOOKUP($L710,Data_Validation!$A:$D,3,0)</f>
        <v>#N/A</v>
      </c>
      <c r="V710" s="656" t="e">
        <f>+VLOOKUP($L710,Data_Validation!$A:$D,4,0)</f>
        <v>#N/A</v>
      </c>
      <c r="W710" s="656" t="e">
        <f>+VLOOKUP($L710,Data_Validation!$A:$E,5,0)</f>
        <v>#N/A</v>
      </c>
    </row>
    <row r="711" spans="1:23" ht="15.75" customHeight="1">
      <c r="A711" s="716"/>
      <c r="B711" s="654"/>
      <c r="C711" s="717"/>
      <c r="D711" s="716"/>
      <c r="E711" s="716"/>
      <c r="F711" s="716"/>
      <c r="G711" s="716"/>
      <c r="H711" s="716"/>
      <c r="I711" s="716"/>
      <c r="J711" s="716"/>
      <c r="K711" s="716"/>
      <c r="L711" s="653" t="str">
        <f t="shared" si="719"/>
        <v>0</v>
      </c>
      <c r="M711" s="654">
        <f t="shared" si="520"/>
        <v>0</v>
      </c>
      <c r="N711" s="655">
        <f>+IF(OR($Q711=Parametres!$G$2,$Q711=Parametres!$G$3),I711,C711)</f>
        <v>0</v>
      </c>
      <c r="O711" s="655">
        <f>+IF(OR($Q711=Parametres!$G$2,$Q711=Parametres!$G$3),J711,D711)</f>
        <v>0</v>
      </c>
      <c r="P711" s="655">
        <f>+IF(OR($Q711=Parametres!$G$2,$Q711=Parametres!$G$3),K711,E711)</f>
        <v>0</v>
      </c>
      <c r="Q711" s="654">
        <f t="shared" ref="Q711:S711" si="724">+F711</f>
        <v>0</v>
      </c>
      <c r="R711" s="653">
        <f t="shared" si="724"/>
        <v>0</v>
      </c>
      <c r="S711" s="654">
        <f t="shared" si="724"/>
        <v>0</v>
      </c>
      <c r="T711" s="656" t="e">
        <f>+VLOOKUP($L711,Data_Validation!$A:$D,1,0)</f>
        <v>#N/A</v>
      </c>
      <c r="U711" s="656" t="e">
        <f>+VLOOKUP($L711,Data_Validation!$A:$D,3,0)</f>
        <v>#N/A</v>
      </c>
      <c r="V711" s="656" t="e">
        <f>+VLOOKUP($L711,Data_Validation!$A:$D,4,0)</f>
        <v>#N/A</v>
      </c>
      <c r="W711" s="656" t="e">
        <f>+VLOOKUP($L711,Data_Validation!$A:$E,5,0)</f>
        <v>#N/A</v>
      </c>
    </row>
    <row r="712" spans="1:23" ht="15.75" customHeight="1">
      <c r="A712" s="716"/>
      <c r="B712" s="654"/>
      <c r="C712" s="717"/>
      <c r="D712" s="716"/>
      <c r="E712" s="716"/>
      <c r="F712" s="716"/>
      <c r="G712" s="716"/>
      <c r="H712" s="716"/>
      <c r="I712" s="716"/>
      <c r="J712" s="716"/>
      <c r="K712" s="716"/>
      <c r="L712" s="653" t="str">
        <f t="shared" si="719"/>
        <v>0</v>
      </c>
      <c r="M712" s="654">
        <f t="shared" si="520"/>
        <v>0</v>
      </c>
      <c r="N712" s="655">
        <f>+IF(OR($Q712=Parametres!$G$2,$Q712=Parametres!$G$3),I712,C712)</f>
        <v>0</v>
      </c>
      <c r="O712" s="655">
        <f>+IF(OR($Q712=Parametres!$G$2,$Q712=Parametres!$G$3),J712,D712)</f>
        <v>0</v>
      </c>
      <c r="P712" s="655">
        <f>+IF(OR($Q712=Parametres!$G$2,$Q712=Parametres!$G$3),K712,E712)</f>
        <v>0</v>
      </c>
      <c r="Q712" s="654">
        <f t="shared" ref="Q712:S712" si="725">+F712</f>
        <v>0</v>
      </c>
      <c r="R712" s="653">
        <f t="shared" si="725"/>
        <v>0</v>
      </c>
      <c r="S712" s="654">
        <f t="shared" si="725"/>
        <v>0</v>
      </c>
      <c r="T712" s="656" t="e">
        <f>+VLOOKUP($L712,Data_Validation!$A:$D,1,0)</f>
        <v>#N/A</v>
      </c>
      <c r="U712" s="656" t="e">
        <f>+VLOOKUP($L712,Data_Validation!$A:$D,3,0)</f>
        <v>#N/A</v>
      </c>
      <c r="V712" s="656" t="e">
        <f>+VLOOKUP($L712,Data_Validation!$A:$D,4,0)</f>
        <v>#N/A</v>
      </c>
      <c r="W712" s="656" t="e">
        <f>+VLOOKUP($L712,Data_Validation!$A:$E,5,0)</f>
        <v>#N/A</v>
      </c>
    </row>
    <row r="713" spans="1:23" ht="15.75" customHeight="1">
      <c r="A713" s="716"/>
      <c r="B713" s="654"/>
      <c r="C713" s="717"/>
      <c r="D713" s="716"/>
      <c r="E713" s="716"/>
      <c r="F713" s="716"/>
      <c r="G713" s="716"/>
      <c r="H713" s="716"/>
      <c r="I713" s="716"/>
      <c r="J713" s="716"/>
      <c r="K713" s="716"/>
      <c r="L713" s="653" t="str">
        <f t="shared" si="719"/>
        <v>0</v>
      </c>
      <c r="M713" s="654">
        <f t="shared" si="520"/>
        <v>0</v>
      </c>
      <c r="N713" s="655">
        <f>+IF(OR($Q713=Parametres!$G$2,$Q713=Parametres!$G$3),I713,C713)</f>
        <v>0</v>
      </c>
      <c r="O713" s="655">
        <f>+IF(OR($Q713=Parametres!$G$2,$Q713=Parametres!$G$3),J713,D713)</f>
        <v>0</v>
      </c>
      <c r="P713" s="655">
        <f>+IF(OR($Q713=Parametres!$G$2,$Q713=Parametres!$G$3),K713,E713)</f>
        <v>0</v>
      </c>
      <c r="Q713" s="654">
        <f t="shared" ref="Q713:S713" si="726">+F713</f>
        <v>0</v>
      </c>
      <c r="R713" s="653">
        <f t="shared" si="726"/>
        <v>0</v>
      </c>
      <c r="S713" s="654">
        <f t="shared" si="726"/>
        <v>0</v>
      </c>
      <c r="T713" s="656" t="e">
        <f>+VLOOKUP($L713,Data_Validation!$A:$D,1,0)</f>
        <v>#N/A</v>
      </c>
      <c r="U713" s="656" t="e">
        <f>+VLOOKUP($L713,Data_Validation!$A:$D,3,0)</f>
        <v>#N/A</v>
      </c>
      <c r="V713" s="656" t="e">
        <f>+VLOOKUP($L713,Data_Validation!$A:$D,4,0)</f>
        <v>#N/A</v>
      </c>
      <c r="W713" s="656" t="e">
        <f>+VLOOKUP($L713,Data_Validation!$A:$E,5,0)</f>
        <v>#N/A</v>
      </c>
    </row>
    <row r="714" spans="1:23" ht="15.75" customHeight="1">
      <c r="A714" s="716"/>
      <c r="B714" s="654"/>
      <c r="C714" s="717"/>
      <c r="D714" s="716"/>
      <c r="E714" s="716"/>
      <c r="F714" s="716"/>
      <c r="G714" s="716"/>
      <c r="H714" s="716"/>
      <c r="I714" s="716"/>
      <c r="J714" s="716"/>
      <c r="K714" s="716"/>
      <c r="L714" s="653" t="str">
        <f t="shared" si="719"/>
        <v>0</v>
      </c>
      <c r="M714" s="654">
        <f t="shared" si="520"/>
        <v>0</v>
      </c>
      <c r="N714" s="655">
        <f>+IF(OR($Q714=Parametres!$G$2,$Q714=Parametres!$G$3),I714,C714)</f>
        <v>0</v>
      </c>
      <c r="O714" s="655">
        <f>+IF(OR($Q714=Parametres!$G$2,$Q714=Parametres!$G$3),J714,D714)</f>
        <v>0</v>
      </c>
      <c r="P714" s="655">
        <f>+IF(OR($Q714=Parametres!$G$2,$Q714=Parametres!$G$3),K714,E714)</f>
        <v>0</v>
      </c>
      <c r="Q714" s="654">
        <f t="shared" ref="Q714:S714" si="727">+F714</f>
        <v>0</v>
      </c>
      <c r="R714" s="653">
        <f t="shared" si="727"/>
        <v>0</v>
      </c>
      <c r="S714" s="654">
        <f t="shared" si="727"/>
        <v>0</v>
      </c>
      <c r="T714" s="656" t="e">
        <f>+VLOOKUP($L714,Data_Validation!$A:$D,1,0)</f>
        <v>#N/A</v>
      </c>
      <c r="U714" s="656" t="e">
        <f>+VLOOKUP($L714,Data_Validation!$A:$D,3,0)</f>
        <v>#N/A</v>
      </c>
      <c r="V714" s="656" t="e">
        <f>+VLOOKUP($L714,Data_Validation!$A:$D,4,0)</f>
        <v>#N/A</v>
      </c>
      <c r="W714" s="656" t="e">
        <f>+VLOOKUP($L714,Data_Validation!$A:$E,5,0)</f>
        <v>#N/A</v>
      </c>
    </row>
    <row r="715" spans="1:23" ht="15.75" customHeight="1">
      <c r="A715" s="716"/>
      <c r="B715" s="654"/>
      <c r="C715" s="717"/>
      <c r="D715" s="716"/>
      <c r="E715" s="716"/>
      <c r="F715" s="716"/>
      <c r="G715" s="716"/>
      <c r="H715" s="716"/>
      <c r="I715" s="716"/>
      <c r="J715" s="716"/>
      <c r="K715" s="716"/>
      <c r="L715" s="653" t="str">
        <f t="shared" si="719"/>
        <v>0</v>
      </c>
      <c r="M715" s="654">
        <f t="shared" si="520"/>
        <v>0</v>
      </c>
      <c r="N715" s="655">
        <f>+IF(OR($Q715=Parametres!$G$2,$Q715=Parametres!$G$3),I715,C715)</f>
        <v>0</v>
      </c>
      <c r="O715" s="655">
        <f>+IF(OR($Q715=Parametres!$G$2,$Q715=Parametres!$G$3),J715,D715)</f>
        <v>0</v>
      </c>
      <c r="P715" s="655">
        <f>+IF(OR($Q715=Parametres!$G$2,$Q715=Parametres!$G$3),K715,E715)</f>
        <v>0</v>
      </c>
      <c r="Q715" s="654">
        <f t="shared" ref="Q715:S715" si="728">+F715</f>
        <v>0</v>
      </c>
      <c r="R715" s="653">
        <f t="shared" si="728"/>
        <v>0</v>
      </c>
      <c r="S715" s="654">
        <f t="shared" si="728"/>
        <v>0</v>
      </c>
      <c r="T715" s="656" t="e">
        <f>+VLOOKUP($L715,Data_Validation!$A:$D,1,0)</f>
        <v>#N/A</v>
      </c>
      <c r="U715" s="656" t="e">
        <f>+VLOOKUP($L715,Data_Validation!$A:$D,3,0)</f>
        <v>#N/A</v>
      </c>
      <c r="V715" s="656" t="e">
        <f>+VLOOKUP($L715,Data_Validation!$A:$D,4,0)</f>
        <v>#N/A</v>
      </c>
      <c r="W715" s="656" t="e">
        <f>+VLOOKUP($L715,Data_Validation!$A:$E,5,0)</f>
        <v>#N/A</v>
      </c>
    </row>
    <row r="716" spans="1:23" ht="15.75" customHeight="1">
      <c r="A716" s="716"/>
      <c r="B716" s="654"/>
      <c r="C716" s="717"/>
      <c r="D716" s="716"/>
      <c r="E716" s="716"/>
      <c r="F716" s="716"/>
      <c r="G716" s="716"/>
      <c r="H716" s="716"/>
      <c r="I716" s="716"/>
      <c r="J716" s="716"/>
      <c r="K716" s="716"/>
      <c r="L716" s="653" t="str">
        <f t="shared" si="719"/>
        <v>0</v>
      </c>
      <c r="M716" s="654">
        <f t="shared" si="520"/>
        <v>0</v>
      </c>
      <c r="N716" s="655">
        <f>+IF(OR($Q716=Parametres!$G$2,$Q716=Parametres!$G$3),I716,C716)</f>
        <v>0</v>
      </c>
      <c r="O716" s="655">
        <f>+IF(OR($Q716=Parametres!$G$2,$Q716=Parametres!$G$3),J716,D716)</f>
        <v>0</v>
      </c>
      <c r="P716" s="655">
        <f>+IF(OR($Q716=Parametres!$G$2,$Q716=Parametres!$G$3),K716,E716)</f>
        <v>0</v>
      </c>
      <c r="Q716" s="654">
        <f t="shared" ref="Q716:S716" si="729">+F716</f>
        <v>0</v>
      </c>
      <c r="R716" s="653">
        <f t="shared" si="729"/>
        <v>0</v>
      </c>
      <c r="S716" s="654">
        <f t="shared" si="729"/>
        <v>0</v>
      </c>
      <c r="T716" s="656" t="e">
        <f>+VLOOKUP($L716,Data_Validation!$A:$D,1,0)</f>
        <v>#N/A</v>
      </c>
      <c r="U716" s="656" t="e">
        <f>+VLOOKUP($L716,Data_Validation!$A:$D,3,0)</f>
        <v>#N/A</v>
      </c>
      <c r="V716" s="656" t="e">
        <f>+VLOOKUP($L716,Data_Validation!$A:$D,4,0)</f>
        <v>#N/A</v>
      </c>
      <c r="W716" s="656" t="e">
        <f>+VLOOKUP($L716,Data_Validation!$A:$E,5,0)</f>
        <v>#N/A</v>
      </c>
    </row>
    <row r="717" spans="1:23" ht="15.75" customHeight="1">
      <c r="A717" s="716"/>
      <c r="B717" s="654"/>
      <c r="C717" s="717"/>
      <c r="D717" s="716"/>
      <c r="E717" s="716"/>
      <c r="F717" s="716"/>
      <c r="G717" s="716"/>
      <c r="H717" s="716"/>
      <c r="I717" s="716"/>
      <c r="J717" s="716"/>
      <c r="K717" s="716"/>
      <c r="L717" s="653" t="str">
        <f t="shared" si="719"/>
        <v>0</v>
      </c>
      <c r="M717" s="654">
        <f t="shared" si="520"/>
        <v>0</v>
      </c>
      <c r="N717" s="655">
        <f>+IF(OR($Q717=Parametres!$G$2,$Q717=Parametres!$G$3),I717,C717)</f>
        <v>0</v>
      </c>
      <c r="O717" s="655">
        <f>+IF(OR($Q717=Parametres!$G$2,$Q717=Parametres!$G$3),J717,D717)</f>
        <v>0</v>
      </c>
      <c r="P717" s="655">
        <f>+IF(OR($Q717=Parametres!$G$2,$Q717=Parametres!$G$3),K717,E717)</f>
        <v>0</v>
      </c>
      <c r="Q717" s="654">
        <f t="shared" ref="Q717:S717" si="730">+F717</f>
        <v>0</v>
      </c>
      <c r="R717" s="653">
        <f t="shared" si="730"/>
        <v>0</v>
      </c>
      <c r="S717" s="654">
        <f t="shared" si="730"/>
        <v>0</v>
      </c>
      <c r="T717" s="656" t="e">
        <f>+VLOOKUP($L717,Data_Validation!$A:$D,1,0)</f>
        <v>#N/A</v>
      </c>
      <c r="U717" s="656" t="e">
        <f>+VLOOKUP($L717,Data_Validation!$A:$D,3,0)</f>
        <v>#N/A</v>
      </c>
      <c r="V717" s="656" t="e">
        <f>+VLOOKUP($L717,Data_Validation!$A:$D,4,0)</f>
        <v>#N/A</v>
      </c>
      <c r="W717" s="656" t="e">
        <f>+VLOOKUP($L717,Data_Validation!$A:$E,5,0)</f>
        <v>#N/A</v>
      </c>
    </row>
    <row r="718" spans="1:23" ht="15.75" customHeight="1">
      <c r="A718" s="716"/>
      <c r="B718" s="654"/>
      <c r="C718" s="717"/>
      <c r="D718" s="716"/>
      <c r="E718" s="716"/>
      <c r="F718" s="716"/>
      <c r="G718" s="716"/>
      <c r="H718" s="716"/>
      <c r="I718" s="716"/>
      <c r="J718" s="716"/>
      <c r="K718" s="716"/>
      <c r="L718" s="653" t="str">
        <f t="shared" si="719"/>
        <v>0</v>
      </c>
      <c r="M718" s="654">
        <f t="shared" si="520"/>
        <v>0</v>
      </c>
      <c r="N718" s="655">
        <f>+IF(OR($Q718=Parametres!$G$2,$Q718=Parametres!$G$3),I718,C718)</f>
        <v>0</v>
      </c>
      <c r="O718" s="655">
        <f>+IF(OR($Q718=Parametres!$G$2,$Q718=Parametres!$G$3),J718,D718)</f>
        <v>0</v>
      </c>
      <c r="P718" s="655">
        <f>+IF(OR($Q718=Parametres!$G$2,$Q718=Parametres!$G$3),K718,E718)</f>
        <v>0</v>
      </c>
      <c r="Q718" s="654">
        <f t="shared" ref="Q718:S718" si="731">+F718</f>
        <v>0</v>
      </c>
      <c r="R718" s="653">
        <f t="shared" si="731"/>
        <v>0</v>
      </c>
      <c r="S718" s="654">
        <f t="shared" si="731"/>
        <v>0</v>
      </c>
      <c r="T718" s="656" t="e">
        <f>+VLOOKUP($L718,Data_Validation!$A:$D,1,0)</f>
        <v>#N/A</v>
      </c>
      <c r="U718" s="656" t="e">
        <f>+VLOOKUP($L718,Data_Validation!$A:$D,3,0)</f>
        <v>#N/A</v>
      </c>
      <c r="V718" s="656" t="e">
        <f>+VLOOKUP($L718,Data_Validation!$A:$D,4,0)</f>
        <v>#N/A</v>
      </c>
      <c r="W718" s="656" t="e">
        <f>+VLOOKUP($L718,Data_Validation!$A:$E,5,0)</f>
        <v>#N/A</v>
      </c>
    </row>
    <row r="719" spans="1:23" ht="15.75" customHeight="1">
      <c r="A719" s="716"/>
      <c r="B719" s="654"/>
      <c r="C719" s="717"/>
      <c r="D719" s="716"/>
      <c r="E719" s="716"/>
      <c r="F719" s="716"/>
      <c r="G719" s="716"/>
      <c r="H719" s="716"/>
      <c r="I719" s="716"/>
      <c r="J719" s="716"/>
      <c r="K719" s="716"/>
      <c r="L719" s="653" t="str">
        <f t="shared" si="719"/>
        <v>0</v>
      </c>
      <c r="M719" s="654">
        <f t="shared" si="520"/>
        <v>0</v>
      </c>
      <c r="N719" s="655">
        <f>+IF(OR($Q719=Parametres!$G$2,$Q719=Parametres!$G$3),I719,C719)</f>
        <v>0</v>
      </c>
      <c r="O719" s="655">
        <f>+IF(OR($Q719=Parametres!$G$2,$Q719=Parametres!$G$3),J719,D719)</f>
        <v>0</v>
      </c>
      <c r="P719" s="655">
        <f>+IF(OR($Q719=Parametres!$G$2,$Q719=Parametres!$G$3),K719,E719)</f>
        <v>0</v>
      </c>
      <c r="Q719" s="654">
        <f t="shared" ref="Q719:S719" si="732">+F719</f>
        <v>0</v>
      </c>
      <c r="R719" s="653">
        <f t="shared" si="732"/>
        <v>0</v>
      </c>
      <c r="S719" s="654">
        <f t="shared" si="732"/>
        <v>0</v>
      </c>
      <c r="T719" s="656" t="e">
        <f>+VLOOKUP($L719,Data_Validation!$A:$D,1,0)</f>
        <v>#N/A</v>
      </c>
      <c r="U719" s="656" t="e">
        <f>+VLOOKUP($L719,Data_Validation!$A:$D,3,0)</f>
        <v>#N/A</v>
      </c>
      <c r="V719" s="656" t="e">
        <f>+VLOOKUP($L719,Data_Validation!$A:$D,4,0)</f>
        <v>#N/A</v>
      </c>
      <c r="W719" s="656" t="e">
        <f>+VLOOKUP($L719,Data_Validation!$A:$E,5,0)</f>
        <v>#N/A</v>
      </c>
    </row>
    <row r="720" spans="1:23" ht="15.75" customHeight="1">
      <c r="A720" s="716"/>
      <c r="B720" s="654"/>
      <c r="C720" s="717"/>
      <c r="D720" s="716"/>
      <c r="E720" s="716"/>
      <c r="F720" s="716"/>
      <c r="G720" s="716"/>
      <c r="H720" s="716"/>
      <c r="I720" s="716"/>
      <c r="J720" s="716"/>
      <c r="K720" s="716"/>
      <c r="L720" s="653" t="str">
        <f t="shared" si="719"/>
        <v>0</v>
      </c>
      <c r="M720" s="654">
        <f t="shared" si="520"/>
        <v>0</v>
      </c>
      <c r="N720" s="655">
        <f>+IF(OR($Q720=Parametres!$G$2,$Q720=Parametres!$G$3),I720,C720)</f>
        <v>0</v>
      </c>
      <c r="O720" s="655">
        <f>+IF(OR($Q720=Parametres!$G$2,$Q720=Parametres!$G$3),J720,D720)</f>
        <v>0</v>
      </c>
      <c r="P720" s="655">
        <f>+IF(OR($Q720=Parametres!$G$2,$Q720=Parametres!$G$3),K720,E720)</f>
        <v>0</v>
      </c>
      <c r="Q720" s="654">
        <f t="shared" ref="Q720:S720" si="733">+F720</f>
        <v>0</v>
      </c>
      <c r="R720" s="653">
        <f t="shared" si="733"/>
        <v>0</v>
      </c>
      <c r="S720" s="654">
        <f t="shared" si="733"/>
        <v>0</v>
      </c>
      <c r="T720" s="656" t="e">
        <f>+VLOOKUP($L720,Data_Validation!$A:$D,1,0)</f>
        <v>#N/A</v>
      </c>
      <c r="U720" s="656" t="e">
        <f>+VLOOKUP($L720,Data_Validation!$A:$D,3,0)</f>
        <v>#N/A</v>
      </c>
      <c r="V720" s="656" t="e">
        <f>+VLOOKUP($L720,Data_Validation!$A:$D,4,0)</f>
        <v>#N/A</v>
      </c>
      <c r="W720" s="656" t="e">
        <f>+VLOOKUP($L720,Data_Validation!$A:$E,5,0)</f>
        <v>#N/A</v>
      </c>
    </row>
    <row r="721" spans="1:23" ht="15.75" customHeight="1">
      <c r="A721" s="716"/>
      <c r="B721" s="654"/>
      <c r="C721" s="717"/>
      <c r="D721" s="716"/>
      <c r="E721" s="716"/>
      <c r="F721" s="716"/>
      <c r="G721" s="716"/>
      <c r="H721" s="716"/>
      <c r="I721" s="716"/>
      <c r="J721" s="716"/>
      <c r="K721" s="716"/>
      <c r="L721" s="653" t="str">
        <f t="shared" si="719"/>
        <v>0</v>
      </c>
      <c r="M721" s="654">
        <f t="shared" si="520"/>
        <v>0</v>
      </c>
      <c r="N721" s="655">
        <f>+IF(OR($Q721=Parametres!$G$2,$Q721=Parametres!$G$3),I721,C721)</f>
        <v>0</v>
      </c>
      <c r="O721" s="655">
        <f>+IF(OR($Q721=Parametres!$G$2,$Q721=Parametres!$G$3),J721,D721)</f>
        <v>0</v>
      </c>
      <c r="P721" s="655">
        <f>+IF(OR($Q721=Parametres!$G$2,$Q721=Parametres!$G$3),K721,E721)</f>
        <v>0</v>
      </c>
      <c r="Q721" s="654">
        <f t="shared" ref="Q721:S721" si="734">+F721</f>
        <v>0</v>
      </c>
      <c r="R721" s="653">
        <f t="shared" si="734"/>
        <v>0</v>
      </c>
      <c r="S721" s="654">
        <f t="shared" si="734"/>
        <v>0</v>
      </c>
      <c r="T721" s="656" t="e">
        <f>+VLOOKUP($L721,Data_Validation!$A:$D,1,0)</f>
        <v>#N/A</v>
      </c>
      <c r="U721" s="656" t="e">
        <f>+VLOOKUP($L721,Data_Validation!$A:$D,3,0)</f>
        <v>#N/A</v>
      </c>
      <c r="V721" s="656" t="e">
        <f>+VLOOKUP($L721,Data_Validation!$A:$D,4,0)</f>
        <v>#N/A</v>
      </c>
      <c r="W721" s="656" t="e">
        <f>+VLOOKUP($L721,Data_Validation!$A:$E,5,0)</f>
        <v>#N/A</v>
      </c>
    </row>
    <row r="722" spans="1:23" ht="15.75" customHeight="1">
      <c r="A722" s="716"/>
      <c r="B722" s="654"/>
      <c r="C722" s="717"/>
      <c r="D722" s="716"/>
      <c r="E722" s="716"/>
      <c r="F722" s="716"/>
      <c r="G722" s="716"/>
      <c r="H722" s="716"/>
      <c r="I722" s="716"/>
      <c r="J722" s="716"/>
      <c r="K722" s="716"/>
      <c r="L722" s="653" t="str">
        <f t="shared" si="719"/>
        <v>0</v>
      </c>
      <c r="M722" s="654">
        <f t="shared" si="520"/>
        <v>0</v>
      </c>
      <c r="N722" s="655">
        <f>+IF(OR($Q722=Parametres!$G$2,$Q722=Parametres!$G$3),I722,C722)</f>
        <v>0</v>
      </c>
      <c r="O722" s="655">
        <f>+IF(OR($Q722=Parametres!$G$2,$Q722=Parametres!$G$3),J722,D722)</f>
        <v>0</v>
      </c>
      <c r="P722" s="655">
        <f>+IF(OR($Q722=Parametres!$G$2,$Q722=Parametres!$G$3),K722,E722)</f>
        <v>0</v>
      </c>
      <c r="Q722" s="654">
        <f t="shared" ref="Q722:S722" si="735">+F722</f>
        <v>0</v>
      </c>
      <c r="R722" s="653">
        <f t="shared" si="735"/>
        <v>0</v>
      </c>
      <c r="S722" s="654">
        <f t="shared" si="735"/>
        <v>0</v>
      </c>
      <c r="T722" s="656" t="e">
        <f>+VLOOKUP($L722,Data_Validation!$A:$D,1,0)</f>
        <v>#N/A</v>
      </c>
      <c r="U722" s="656" t="e">
        <f>+VLOOKUP($L722,Data_Validation!$A:$D,3,0)</f>
        <v>#N/A</v>
      </c>
      <c r="V722" s="656" t="e">
        <f>+VLOOKUP($L722,Data_Validation!$A:$D,4,0)</f>
        <v>#N/A</v>
      </c>
      <c r="W722" s="656" t="e">
        <f>+VLOOKUP($L722,Data_Validation!$A:$E,5,0)</f>
        <v>#N/A</v>
      </c>
    </row>
    <row r="723" spans="1:23" ht="15.75" customHeight="1">
      <c r="A723" s="716"/>
      <c r="B723" s="654"/>
      <c r="C723" s="717"/>
      <c r="D723" s="716"/>
      <c r="E723" s="716"/>
      <c r="F723" s="716"/>
      <c r="G723" s="716"/>
      <c r="H723" s="716"/>
      <c r="I723" s="716"/>
      <c r="J723" s="716"/>
      <c r="K723" s="716"/>
      <c r="L723" s="653" t="str">
        <f t="shared" si="719"/>
        <v>0</v>
      </c>
      <c r="M723" s="654">
        <f t="shared" si="520"/>
        <v>0</v>
      </c>
      <c r="N723" s="655">
        <f>+IF(OR($Q723=Parametres!$G$2,$Q723=Parametres!$G$3),I723,C723)</f>
        <v>0</v>
      </c>
      <c r="O723" s="655">
        <f>+IF(OR($Q723=Parametres!$G$2,$Q723=Parametres!$G$3),J723,D723)</f>
        <v>0</v>
      </c>
      <c r="P723" s="655">
        <f>+IF(OR($Q723=Parametres!$G$2,$Q723=Parametres!$G$3),K723,E723)</f>
        <v>0</v>
      </c>
      <c r="Q723" s="654">
        <f t="shared" ref="Q723:S723" si="736">+F723</f>
        <v>0</v>
      </c>
      <c r="R723" s="653">
        <f t="shared" si="736"/>
        <v>0</v>
      </c>
      <c r="S723" s="654">
        <f t="shared" si="736"/>
        <v>0</v>
      </c>
      <c r="T723" s="656" t="e">
        <f>+VLOOKUP($L723,Data_Validation!$A:$D,1,0)</f>
        <v>#N/A</v>
      </c>
      <c r="U723" s="656" t="e">
        <f>+VLOOKUP($L723,Data_Validation!$A:$D,3,0)</f>
        <v>#N/A</v>
      </c>
      <c r="V723" s="656" t="e">
        <f>+VLOOKUP($L723,Data_Validation!$A:$D,4,0)</f>
        <v>#N/A</v>
      </c>
      <c r="W723" s="656" t="e">
        <f>+VLOOKUP($L723,Data_Validation!$A:$E,5,0)</f>
        <v>#N/A</v>
      </c>
    </row>
    <row r="724" spans="1:23" ht="15.75" customHeight="1">
      <c r="A724" s="716"/>
      <c r="B724" s="654"/>
      <c r="C724" s="717"/>
      <c r="D724" s="716"/>
      <c r="E724" s="716"/>
      <c r="F724" s="716"/>
      <c r="G724" s="716"/>
      <c r="H724" s="716"/>
      <c r="I724" s="716"/>
      <c r="J724" s="716"/>
      <c r="K724" s="716"/>
      <c r="L724" s="653" t="str">
        <f t="shared" si="719"/>
        <v>0</v>
      </c>
      <c r="M724" s="654">
        <f t="shared" si="520"/>
        <v>0</v>
      </c>
      <c r="N724" s="655">
        <f>+IF(OR($Q724=Parametres!$G$2,$Q724=Parametres!$G$3),I724,C724)</f>
        <v>0</v>
      </c>
      <c r="O724" s="655">
        <f>+IF(OR($Q724=Parametres!$G$2,$Q724=Parametres!$G$3),J724,D724)</f>
        <v>0</v>
      </c>
      <c r="P724" s="655">
        <f>+IF(OR($Q724=Parametres!$G$2,$Q724=Parametres!$G$3),K724,E724)</f>
        <v>0</v>
      </c>
      <c r="Q724" s="654">
        <f t="shared" ref="Q724:S724" si="737">+F724</f>
        <v>0</v>
      </c>
      <c r="R724" s="653">
        <f t="shared" si="737"/>
        <v>0</v>
      </c>
      <c r="S724" s="654">
        <f t="shared" si="737"/>
        <v>0</v>
      </c>
      <c r="T724" s="656" t="e">
        <f>+VLOOKUP($L724,Data_Validation!$A:$D,1,0)</f>
        <v>#N/A</v>
      </c>
      <c r="U724" s="656" t="e">
        <f>+VLOOKUP($L724,Data_Validation!$A:$D,3,0)</f>
        <v>#N/A</v>
      </c>
      <c r="V724" s="656" t="e">
        <f>+VLOOKUP($L724,Data_Validation!$A:$D,4,0)</f>
        <v>#N/A</v>
      </c>
      <c r="W724" s="656" t="e">
        <f>+VLOOKUP($L724,Data_Validation!$A:$E,5,0)</f>
        <v>#N/A</v>
      </c>
    </row>
    <row r="725" spans="1:23" ht="15.75" customHeight="1">
      <c r="A725" s="716"/>
      <c r="B725" s="654"/>
      <c r="C725" s="717"/>
      <c r="D725" s="716"/>
      <c r="E725" s="716"/>
      <c r="F725" s="716"/>
      <c r="G725" s="716"/>
      <c r="H725" s="716"/>
      <c r="I725" s="716"/>
      <c r="J725" s="716"/>
      <c r="K725" s="716"/>
      <c r="L725" s="653" t="str">
        <f t="shared" si="719"/>
        <v>0</v>
      </c>
      <c r="M725" s="654">
        <f t="shared" si="520"/>
        <v>0</v>
      </c>
      <c r="N725" s="655">
        <f>+IF(OR($Q725=Parametres!$G$2,$Q725=Parametres!$G$3),I725,C725)</f>
        <v>0</v>
      </c>
      <c r="O725" s="655">
        <f>+IF(OR($Q725=Parametres!$G$2,$Q725=Parametres!$G$3),J725,D725)</f>
        <v>0</v>
      </c>
      <c r="P725" s="655">
        <f>+IF(OR($Q725=Parametres!$G$2,$Q725=Parametres!$G$3),K725,E725)</f>
        <v>0</v>
      </c>
      <c r="Q725" s="654">
        <f t="shared" ref="Q725:S725" si="738">+F725</f>
        <v>0</v>
      </c>
      <c r="R725" s="653">
        <f t="shared" si="738"/>
        <v>0</v>
      </c>
      <c r="S725" s="654">
        <f t="shared" si="738"/>
        <v>0</v>
      </c>
      <c r="T725" s="656" t="e">
        <f>+VLOOKUP($L725,Data_Validation!$A:$D,1,0)</f>
        <v>#N/A</v>
      </c>
      <c r="U725" s="656" t="e">
        <f>+VLOOKUP($L725,Data_Validation!$A:$D,3,0)</f>
        <v>#N/A</v>
      </c>
      <c r="V725" s="656" t="e">
        <f>+VLOOKUP($L725,Data_Validation!$A:$D,4,0)</f>
        <v>#N/A</v>
      </c>
      <c r="W725" s="656" t="e">
        <f>+VLOOKUP($L725,Data_Validation!$A:$E,5,0)</f>
        <v>#N/A</v>
      </c>
    </row>
    <row r="726" spans="1:23" ht="15.75" customHeight="1">
      <c r="A726" s="716"/>
      <c r="B726" s="654"/>
      <c r="C726" s="717"/>
      <c r="D726" s="716"/>
      <c r="E726" s="716"/>
      <c r="F726" s="716"/>
      <c r="G726" s="716"/>
      <c r="H726" s="716"/>
      <c r="I726" s="716"/>
      <c r="J726" s="716"/>
      <c r="K726" s="716"/>
      <c r="L726" s="653" t="str">
        <f t="shared" si="719"/>
        <v>0</v>
      </c>
      <c r="M726" s="654">
        <f t="shared" si="520"/>
        <v>0</v>
      </c>
      <c r="N726" s="655">
        <f>+IF(OR($Q726=Parametres!$G$2,$Q726=Parametres!$G$3),I726,C726)</f>
        <v>0</v>
      </c>
      <c r="O726" s="655">
        <f>+IF(OR($Q726=Parametres!$G$2,$Q726=Parametres!$G$3),J726,D726)</f>
        <v>0</v>
      </c>
      <c r="P726" s="655">
        <f>+IF(OR($Q726=Parametres!$G$2,$Q726=Parametres!$G$3),K726,E726)</f>
        <v>0</v>
      </c>
      <c r="Q726" s="654">
        <f t="shared" ref="Q726:S726" si="739">+F726</f>
        <v>0</v>
      </c>
      <c r="R726" s="653">
        <f t="shared" si="739"/>
        <v>0</v>
      </c>
      <c r="S726" s="654">
        <f t="shared" si="739"/>
        <v>0</v>
      </c>
      <c r="T726" s="656" t="e">
        <f>+VLOOKUP($L726,Data_Validation!$A:$D,1,0)</f>
        <v>#N/A</v>
      </c>
      <c r="U726" s="656" t="e">
        <f>+VLOOKUP($L726,Data_Validation!$A:$D,3,0)</f>
        <v>#N/A</v>
      </c>
      <c r="V726" s="656" t="e">
        <f>+VLOOKUP($L726,Data_Validation!$A:$D,4,0)</f>
        <v>#N/A</v>
      </c>
      <c r="W726" s="656" t="e">
        <f>+VLOOKUP($L726,Data_Validation!$A:$E,5,0)</f>
        <v>#N/A</v>
      </c>
    </row>
    <row r="727" spans="1:23" ht="15.75" customHeight="1">
      <c r="A727" s="716"/>
      <c r="B727" s="654"/>
      <c r="C727" s="717"/>
      <c r="D727" s="716"/>
      <c r="E727" s="716"/>
      <c r="F727" s="716"/>
      <c r="G727" s="716"/>
      <c r="H727" s="716"/>
      <c r="I727" s="716"/>
      <c r="J727" s="716"/>
      <c r="K727" s="716"/>
      <c r="L727" s="653" t="str">
        <f t="shared" si="719"/>
        <v>0</v>
      </c>
      <c r="M727" s="654">
        <f t="shared" si="520"/>
        <v>0</v>
      </c>
      <c r="N727" s="655">
        <f>+IF(OR($Q727=Parametres!$G$2,$Q727=Parametres!$G$3),I727,C727)</f>
        <v>0</v>
      </c>
      <c r="O727" s="655">
        <f>+IF(OR($Q727=Parametres!$G$2,$Q727=Parametres!$G$3),J727,D727)</f>
        <v>0</v>
      </c>
      <c r="P727" s="655">
        <f>+IF(OR($Q727=Parametres!$G$2,$Q727=Parametres!$G$3),K727,E727)</f>
        <v>0</v>
      </c>
      <c r="Q727" s="654">
        <f t="shared" ref="Q727:S727" si="740">+F727</f>
        <v>0</v>
      </c>
      <c r="R727" s="653">
        <f t="shared" si="740"/>
        <v>0</v>
      </c>
      <c r="S727" s="654">
        <f t="shared" si="740"/>
        <v>0</v>
      </c>
      <c r="T727" s="656" t="e">
        <f>+VLOOKUP($L727,Data_Validation!$A:$D,1,0)</f>
        <v>#N/A</v>
      </c>
      <c r="U727" s="656" t="e">
        <f>+VLOOKUP($L727,Data_Validation!$A:$D,3,0)</f>
        <v>#N/A</v>
      </c>
      <c r="V727" s="656" t="e">
        <f>+VLOOKUP($L727,Data_Validation!$A:$D,4,0)</f>
        <v>#N/A</v>
      </c>
      <c r="W727" s="656" t="e">
        <f>+VLOOKUP($L727,Data_Validation!$A:$E,5,0)</f>
        <v>#N/A</v>
      </c>
    </row>
    <row r="728" spans="1:23" ht="15.75" customHeight="1">
      <c r="A728" s="716"/>
      <c r="B728" s="654"/>
      <c r="C728" s="717"/>
      <c r="D728" s="716"/>
      <c r="E728" s="716"/>
      <c r="F728" s="716"/>
      <c r="G728" s="716"/>
      <c r="H728" s="716"/>
      <c r="I728" s="716"/>
      <c r="J728" s="716"/>
      <c r="K728" s="716"/>
      <c r="L728" s="653" t="str">
        <f t="shared" si="719"/>
        <v>0</v>
      </c>
      <c r="M728" s="654">
        <f t="shared" si="520"/>
        <v>0</v>
      </c>
      <c r="N728" s="655">
        <f>+IF(OR($Q728=Parametres!$G$2,$Q728=Parametres!$G$3),I728,C728)</f>
        <v>0</v>
      </c>
      <c r="O728" s="655">
        <f>+IF(OR($Q728=Parametres!$G$2,$Q728=Parametres!$G$3),J728,D728)</f>
        <v>0</v>
      </c>
      <c r="P728" s="655">
        <f>+IF(OR($Q728=Parametres!$G$2,$Q728=Parametres!$G$3),K728,E728)</f>
        <v>0</v>
      </c>
      <c r="Q728" s="654">
        <f t="shared" ref="Q728:S728" si="741">+F728</f>
        <v>0</v>
      </c>
      <c r="R728" s="653">
        <f t="shared" si="741"/>
        <v>0</v>
      </c>
      <c r="S728" s="654">
        <f t="shared" si="741"/>
        <v>0</v>
      </c>
      <c r="T728" s="656" t="e">
        <f>+VLOOKUP($L728,Data_Validation!$A:$D,1,0)</f>
        <v>#N/A</v>
      </c>
      <c r="U728" s="656" t="e">
        <f>+VLOOKUP($L728,Data_Validation!$A:$D,3,0)</f>
        <v>#N/A</v>
      </c>
      <c r="V728" s="656" t="e">
        <f>+VLOOKUP($L728,Data_Validation!$A:$D,4,0)</f>
        <v>#N/A</v>
      </c>
      <c r="W728" s="656" t="e">
        <f>+VLOOKUP($L728,Data_Validation!$A:$E,5,0)</f>
        <v>#N/A</v>
      </c>
    </row>
    <row r="729" spans="1:23" ht="15.75" customHeight="1">
      <c r="A729" s="716"/>
      <c r="B729" s="654"/>
      <c r="C729" s="717"/>
      <c r="D729" s="716"/>
      <c r="E729" s="716"/>
      <c r="F729" s="716"/>
      <c r="G729" s="716"/>
      <c r="H729" s="716"/>
      <c r="I729" s="716"/>
      <c r="J729" s="716"/>
      <c r="K729" s="716"/>
      <c r="L729" s="653" t="str">
        <f t="shared" si="719"/>
        <v>0</v>
      </c>
      <c r="M729" s="654">
        <f t="shared" si="520"/>
        <v>0</v>
      </c>
      <c r="N729" s="655">
        <f>+IF(OR($Q729=Parametres!$G$2,$Q729=Parametres!$G$3),I729,C729)</f>
        <v>0</v>
      </c>
      <c r="O729" s="655">
        <f>+IF(OR($Q729=Parametres!$G$2,$Q729=Parametres!$G$3),J729,D729)</f>
        <v>0</v>
      </c>
      <c r="P729" s="655">
        <f>+IF(OR($Q729=Parametres!$G$2,$Q729=Parametres!$G$3),K729,E729)</f>
        <v>0</v>
      </c>
      <c r="Q729" s="654">
        <f t="shared" ref="Q729:S729" si="742">+F729</f>
        <v>0</v>
      </c>
      <c r="R729" s="653">
        <f t="shared" si="742"/>
        <v>0</v>
      </c>
      <c r="S729" s="654">
        <f t="shared" si="742"/>
        <v>0</v>
      </c>
      <c r="T729" s="656" t="e">
        <f>+VLOOKUP($L729,Data_Validation!$A:$D,1,0)</f>
        <v>#N/A</v>
      </c>
      <c r="U729" s="656" t="e">
        <f>+VLOOKUP($L729,Data_Validation!$A:$D,3,0)</f>
        <v>#N/A</v>
      </c>
      <c r="V729" s="656" t="e">
        <f>+VLOOKUP($L729,Data_Validation!$A:$D,4,0)</f>
        <v>#N/A</v>
      </c>
      <c r="W729" s="656" t="e">
        <f>+VLOOKUP($L729,Data_Validation!$A:$E,5,0)</f>
        <v>#N/A</v>
      </c>
    </row>
    <row r="730" spans="1:23" ht="15.75" customHeight="1">
      <c r="A730" s="716"/>
      <c r="B730" s="654"/>
      <c r="C730" s="717"/>
      <c r="D730" s="716"/>
      <c r="E730" s="716"/>
      <c r="F730" s="716"/>
      <c r="G730" s="716"/>
      <c r="H730" s="716"/>
      <c r="I730" s="716"/>
      <c r="J730" s="716"/>
      <c r="K730" s="716"/>
      <c r="L730" s="653" t="str">
        <f t="shared" si="719"/>
        <v>0</v>
      </c>
      <c r="M730" s="654">
        <f t="shared" si="520"/>
        <v>0</v>
      </c>
      <c r="N730" s="655">
        <f>+IF(OR($Q730=Parametres!$G$2,$Q730=Parametres!$G$3),I730,C730)</f>
        <v>0</v>
      </c>
      <c r="O730" s="655">
        <f>+IF(OR($Q730=Parametres!$G$2,$Q730=Parametres!$G$3),J730,D730)</f>
        <v>0</v>
      </c>
      <c r="P730" s="655">
        <f>+IF(OR($Q730=Parametres!$G$2,$Q730=Parametres!$G$3),K730,E730)</f>
        <v>0</v>
      </c>
      <c r="Q730" s="654">
        <f t="shared" ref="Q730:S730" si="743">+F730</f>
        <v>0</v>
      </c>
      <c r="R730" s="653">
        <f t="shared" si="743"/>
        <v>0</v>
      </c>
      <c r="S730" s="654">
        <f t="shared" si="743"/>
        <v>0</v>
      </c>
      <c r="T730" s="656" t="e">
        <f>+VLOOKUP($L730,Data_Validation!$A:$D,1,0)</f>
        <v>#N/A</v>
      </c>
      <c r="U730" s="656" t="e">
        <f>+VLOOKUP($L730,Data_Validation!$A:$D,3,0)</f>
        <v>#N/A</v>
      </c>
      <c r="V730" s="656" t="e">
        <f>+VLOOKUP($L730,Data_Validation!$A:$D,4,0)</f>
        <v>#N/A</v>
      </c>
      <c r="W730" s="656" t="e">
        <f>+VLOOKUP($L730,Data_Validation!$A:$E,5,0)</f>
        <v>#N/A</v>
      </c>
    </row>
    <row r="731" spans="1:23" ht="15.75" customHeight="1">
      <c r="A731" s="716"/>
      <c r="B731" s="654"/>
      <c r="C731" s="717"/>
      <c r="D731" s="716"/>
      <c r="E731" s="716"/>
      <c r="F731" s="716"/>
      <c r="G731" s="716"/>
      <c r="H731" s="716"/>
      <c r="I731" s="716"/>
      <c r="J731" s="716"/>
      <c r="K731" s="716"/>
      <c r="L731" s="653" t="str">
        <f t="shared" si="719"/>
        <v>0</v>
      </c>
      <c r="M731" s="654">
        <f t="shared" si="520"/>
        <v>0</v>
      </c>
      <c r="N731" s="655">
        <f>+IF(OR($Q731=Parametres!$G$2,$Q731=Parametres!$G$3),I731,C731)</f>
        <v>0</v>
      </c>
      <c r="O731" s="655">
        <f>+IF(OR($Q731=Parametres!$G$2,$Q731=Parametres!$G$3),J731,D731)</f>
        <v>0</v>
      </c>
      <c r="P731" s="655">
        <f>+IF(OR($Q731=Parametres!$G$2,$Q731=Parametres!$G$3),K731,E731)</f>
        <v>0</v>
      </c>
      <c r="Q731" s="654">
        <f t="shared" ref="Q731:S731" si="744">+F731</f>
        <v>0</v>
      </c>
      <c r="R731" s="653">
        <f t="shared" si="744"/>
        <v>0</v>
      </c>
      <c r="S731" s="654">
        <f t="shared" si="744"/>
        <v>0</v>
      </c>
      <c r="T731" s="656" t="e">
        <f>+VLOOKUP($L731,Data_Validation!$A:$D,1,0)</f>
        <v>#N/A</v>
      </c>
      <c r="U731" s="656" t="e">
        <f>+VLOOKUP($L731,Data_Validation!$A:$D,3,0)</f>
        <v>#N/A</v>
      </c>
      <c r="V731" s="656" t="e">
        <f>+VLOOKUP($L731,Data_Validation!$A:$D,4,0)</f>
        <v>#N/A</v>
      </c>
      <c r="W731" s="656" t="e">
        <f>+VLOOKUP($L731,Data_Validation!$A:$E,5,0)</f>
        <v>#N/A</v>
      </c>
    </row>
    <row r="732" spans="1:23" ht="15.75" customHeight="1">
      <c r="A732" s="716"/>
      <c r="B732" s="654"/>
      <c r="C732" s="717"/>
      <c r="D732" s="716"/>
      <c r="E732" s="716"/>
      <c r="F732" s="716"/>
      <c r="G732" s="716"/>
      <c r="H732" s="716"/>
      <c r="I732" s="716"/>
      <c r="J732" s="716"/>
      <c r="K732" s="716"/>
      <c r="L732" s="653" t="str">
        <f t="shared" si="719"/>
        <v>0</v>
      </c>
      <c r="M732" s="654">
        <f t="shared" si="520"/>
        <v>0</v>
      </c>
      <c r="N732" s="655">
        <f>+IF(OR($Q732=Parametres!$G$2,$Q732=Parametres!$G$3),I732,C732)</f>
        <v>0</v>
      </c>
      <c r="O732" s="655">
        <f>+IF(OR($Q732=Parametres!$G$2,$Q732=Parametres!$G$3),J732,D732)</f>
        <v>0</v>
      </c>
      <c r="P732" s="655">
        <f>+IF(OR($Q732=Parametres!$G$2,$Q732=Parametres!$G$3),K732,E732)</f>
        <v>0</v>
      </c>
      <c r="Q732" s="654">
        <f t="shared" ref="Q732:S732" si="745">+F732</f>
        <v>0</v>
      </c>
      <c r="R732" s="653">
        <f t="shared" si="745"/>
        <v>0</v>
      </c>
      <c r="S732" s="654">
        <f t="shared" si="745"/>
        <v>0</v>
      </c>
      <c r="T732" s="656" t="e">
        <f>+VLOOKUP($L732,Data_Validation!$A:$D,1,0)</f>
        <v>#N/A</v>
      </c>
      <c r="U732" s="656" t="e">
        <f>+VLOOKUP($L732,Data_Validation!$A:$D,3,0)</f>
        <v>#N/A</v>
      </c>
      <c r="V732" s="656" t="e">
        <f>+VLOOKUP($L732,Data_Validation!$A:$D,4,0)</f>
        <v>#N/A</v>
      </c>
      <c r="W732" s="656" t="e">
        <f>+VLOOKUP($L732,Data_Validation!$A:$E,5,0)</f>
        <v>#N/A</v>
      </c>
    </row>
    <row r="733" spans="1:23" ht="15.75" customHeight="1">
      <c r="A733" s="716"/>
      <c r="B733" s="654"/>
      <c r="C733" s="717"/>
      <c r="D733" s="716"/>
      <c r="E733" s="716"/>
      <c r="F733" s="716"/>
      <c r="G733" s="716"/>
      <c r="H733" s="716"/>
      <c r="I733" s="716"/>
      <c r="J733" s="716"/>
      <c r="K733" s="716"/>
      <c r="L733" s="653" t="str">
        <f t="shared" si="719"/>
        <v>0</v>
      </c>
      <c r="M733" s="654">
        <f t="shared" si="520"/>
        <v>0</v>
      </c>
      <c r="N733" s="655">
        <f>+IF(OR($Q733=Parametres!$G$2,$Q733=Parametres!$G$3),I733,C733)</f>
        <v>0</v>
      </c>
      <c r="O733" s="655">
        <f>+IF(OR($Q733=Parametres!$G$2,$Q733=Parametres!$G$3),J733,D733)</f>
        <v>0</v>
      </c>
      <c r="P733" s="655">
        <f>+IF(OR($Q733=Parametres!$G$2,$Q733=Parametres!$G$3),K733,E733)</f>
        <v>0</v>
      </c>
      <c r="Q733" s="654">
        <f t="shared" ref="Q733:S733" si="746">+F733</f>
        <v>0</v>
      </c>
      <c r="R733" s="653">
        <f t="shared" si="746"/>
        <v>0</v>
      </c>
      <c r="S733" s="654">
        <f t="shared" si="746"/>
        <v>0</v>
      </c>
      <c r="T733" s="656" t="e">
        <f>+VLOOKUP($L733,Data_Validation!$A:$D,1,0)</f>
        <v>#N/A</v>
      </c>
      <c r="U733" s="656" t="e">
        <f>+VLOOKUP($L733,Data_Validation!$A:$D,3,0)</f>
        <v>#N/A</v>
      </c>
      <c r="V733" s="656" t="e">
        <f>+VLOOKUP($L733,Data_Validation!$A:$D,4,0)</f>
        <v>#N/A</v>
      </c>
      <c r="W733" s="656" t="e">
        <f>+VLOOKUP($L733,Data_Validation!$A:$E,5,0)</f>
        <v>#N/A</v>
      </c>
    </row>
    <row r="734" spans="1:23" ht="15.75" customHeight="1">
      <c r="A734" s="716"/>
      <c r="B734" s="654"/>
      <c r="C734" s="717"/>
      <c r="D734" s="716"/>
      <c r="E734" s="716"/>
      <c r="F734" s="716"/>
      <c r="G734" s="716"/>
      <c r="H734" s="716"/>
      <c r="I734" s="716"/>
      <c r="J734" s="716"/>
      <c r="K734" s="716"/>
      <c r="L734" s="653" t="str">
        <f t="shared" si="719"/>
        <v>0</v>
      </c>
      <c r="M734" s="654">
        <f t="shared" si="520"/>
        <v>0</v>
      </c>
      <c r="N734" s="655">
        <f>+IF(OR($Q734=Parametres!$G$2,$Q734=Parametres!$G$3),I734,C734)</f>
        <v>0</v>
      </c>
      <c r="O734" s="655">
        <f>+IF(OR($Q734=Parametres!$G$2,$Q734=Parametres!$G$3),J734,D734)</f>
        <v>0</v>
      </c>
      <c r="P734" s="655">
        <f>+IF(OR($Q734=Parametres!$G$2,$Q734=Parametres!$G$3),K734,E734)</f>
        <v>0</v>
      </c>
      <c r="Q734" s="654">
        <f t="shared" ref="Q734:S734" si="747">+F734</f>
        <v>0</v>
      </c>
      <c r="R734" s="653">
        <f t="shared" si="747"/>
        <v>0</v>
      </c>
      <c r="S734" s="654">
        <f t="shared" si="747"/>
        <v>0</v>
      </c>
      <c r="T734" s="656" t="e">
        <f>+VLOOKUP($L734,Data_Validation!$A:$D,1,0)</f>
        <v>#N/A</v>
      </c>
      <c r="U734" s="656" t="e">
        <f>+VLOOKUP($L734,Data_Validation!$A:$D,3,0)</f>
        <v>#N/A</v>
      </c>
      <c r="V734" s="656" t="e">
        <f>+VLOOKUP($L734,Data_Validation!$A:$D,4,0)</f>
        <v>#N/A</v>
      </c>
      <c r="W734" s="656" t="e">
        <f>+VLOOKUP($L734,Data_Validation!$A:$E,5,0)</f>
        <v>#N/A</v>
      </c>
    </row>
    <row r="735" spans="1:23" ht="15.75" customHeight="1">
      <c r="A735" s="716"/>
      <c r="B735" s="654"/>
      <c r="C735" s="717"/>
      <c r="D735" s="716"/>
      <c r="E735" s="716"/>
      <c r="F735" s="716"/>
      <c r="G735" s="716"/>
      <c r="H735" s="716"/>
      <c r="I735" s="716"/>
      <c r="J735" s="716"/>
      <c r="K735" s="716"/>
      <c r="L735" s="653" t="str">
        <f t="shared" si="719"/>
        <v>0</v>
      </c>
      <c r="M735" s="654">
        <f t="shared" si="520"/>
        <v>0</v>
      </c>
      <c r="N735" s="655">
        <f>+IF(OR($Q735=Parametres!$G$2,$Q735=Parametres!$G$3),I735,C735)</f>
        <v>0</v>
      </c>
      <c r="O735" s="655">
        <f>+IF(OR($Q735=Parametres!$G$2,$Q735=Parametres!$G$3),J735,D735)</f>
        <v>0</v>
      </c>
      <c r="P735" s="655">
        <f>+IF(OR($Q735=Parametres!$G$2,$Q735=Parametres!$G$3),K735,E735)</f>
        <v>0</v>
      </c>
      <c r="Q735" s="654">
        <f t="shared" ref="Q735:S735" si="748">+F735</f>
        <v>0</v>
      </c>
      <c r="R735" s="653">
        <f t="shared" si="748"/>
        <v>0</v>
      </c>
      <c r="S735" s="654">
        <f t="shared" si="748"/>
        <v>0</v>
      </c>
      <c r="T735" s="656" t="e">
        <f>+VLOOKUP($L735,Data_Validation!$A:$D,1,0)</f>
        <v>#N/A</v>
      </c>
      <c r="U735" s="656" t="e">
        <f>+VLOOKUP($L735,Data_Validation!$A:$D,3,0)</f>
        <v>#N/A</v>
      </c>
      <c r="V735" s="656" t="e">
        <f>+VLOOKUP($L735,Data_Validation!$A:$D,4,0)</f>
        <v>#N/A</v>
      </c>
      <c r="W735" s="656" t="e">
        <f>+VLOOKUP($L735,Data_Validation!$A:$E,5,0)</f>
        <v>#N/A</v>
      </c>
    </row>
    <row r="736" spans="1:23" ht="15.75" customHeight="1">
      <c r="A736" s="716"/>
      <c r="B736" s="654"/>
      <c r="C736" s="717"/>
      <c r="D736" s="716"/>
      <c r="E736" s="716"/>
      <c r="F736" s="716"/>
      <c r="G736" s="716"/>
      <c r="H736" s="716"/>
      <c r="I736" s="716"/>
      <c r="J736" s="716"/>
      <c r="K736" s="716"/>
      <c r="L736" s="653" t="str">
        <f t="shared" si="719"/>
        <v>0</v>
      </c>
      <c r="M736" s="654">
        <f t="shared" si="520"/>
        <v>0</v>
      </c>
      <c r="N736" s="655">
        <f>+IF(OR($Q736=Parametres!$G$2,$Q736=Parametres!$G$3),I736,C736)</f>
        <v>0</v>
      </c>
      <c r="O736" s="655">
        <f>+IF(OR($Q736=Parametres!$G$2,$Q736=Parametres!$G$3),J736,D736)</f>
        <v>0</v>
      </c>
      <c r="P736" s="655">
        <f>+IF(OR($Q736=Parametres!$G$2,$Q736=Parametres!$G$3),K736,E736)</f>
        <v>0</v>
      </c>
      <c r="Q736" s="654">
        <f t="shared" ref="Q736:S736" si="749">+F736</f>
        <v>0</v>
      </c>
      <c r="R736" s="653">
        <f t="shared" si="749"/>
        <v>0</v>
      </c>
      <c r="S736" s="654">
        <f t="shared" si="749"/>
        <v>0</v>
      </c>
      <c r="T736" s="656" t="e">
        <f>+VLOOKUP($L736,Data_Validation!$A:$D,1,0)</f>
        <v>#N/A</v>
      </c>
      <c r="U736" s="656" t="e">
        <f>+VLOOKUP($L736,Data_Validation!$A:$D,3,0)</f>
        <v>#N/A</v>
      </c>
      <c r="V736" s="656" t="e">
        <f>+VLOOKUP($L736,Data_Validation!$A:$D,4,0)</f>
        <v>#N/A</v>
      </c>
      <c r="W736" s="656" t="e">
        <f>+VLOOKUP($L736,Data_Validation!$A:$E,5,0)</f>
        <v>#N/A</v>
      </c>
    </row>
    <row r="737" spans="1:23" ht="15.75" customHeight="1">
      <c r="A737" s="716"/>
      <c r="B737" s="654"/>
      <c r="C737" s="717"/>
      <c r="D737" s="716"/>
      <c r="E737" s="716"/>
      <c r="F737" s="716"/>
      <c r="G737" s="716"/>
      <c r="H737" s="716"/>
      <c r="I737" s="716"/>
      <c r="J737" s="716"/>
      <c r="K737" s="716"/>
      <c r="L737" s="653" t="str">
        <f t="shared" si="719"/>
        <v>0</v>
      </c>
      <c r="M737" s="654">
        <f t="shared" si="520"/>
        <v>0</v>
      </c>
      <c r="N737" s="655">
        <f>+IF(OR($Q737=Parametres!$G$2,$Q737=Parametres!$G$3),I737,C737)</f>
        <v>0</v>
      </c>
      <c r="O737" s="655">
        <f>+IF(OR($Q737=Parametres!$G$2,$Q737=Parametres!$G$3),J737,D737)</f>
        <v>0</v>
      </c>
      <c r="P737" s="655">
        <f>+IF(OR($Q737=Parametres!$G$2,$Q737=Parametres!$G$3),K737,E737)</f>
        <v>0</v>
      </c>
      <c r="Q737" s="654">
        <f t="shared" ref="Q737:S737" si="750">+F737</f>
        <v>0</v>
      </c>
      <c r="R737" s="653">
        <f t="shared" si="750"/>
        <v>0</v>
      </c>
      <c r="S737" s="654">
        <f t="shared" si="750"/>
        <v>0</v>
      </c>
      <c r="T737" s="656" t="e">
        <f>+VLOOKUP($L737,Data_Validation!$A:$D,1,0)</f>
        <v>#N/A</v>
      </c>
      <c r="U737" s="656" t="e">
        <f>+VLOOKUP($L737,Data_Validation!$A:$D,3,0)</f>
        <v>#N/A</v>
      </c>
      <c r="V737" s="656" t="e">
        <f>+VLOOKUP($L737,Data_Validation!$A:$D,4,0)</f>
        <v>#N/A</v>
      </c>
      <c r="W737" s="656" t="e">
        <f>+VLOOKUP($L737,Data_Validation!$A:$E,5,0)</f>
        <v>#N/A</v>
      </c>
    </row>
    <row r="738" spans="1:23" ht="15.75" customHeight="1">
      <c r="A738" s="716"/>
      <c r="B738" s="654"/>
      <c r="C738" s="717"/>
      <c r="D738" s="716"/>
      <c r="E738" s="716"/>
      <c r="F738" s="716"/>
      <c r="G738" s="716"/>
      <c r="H738" s="716"/>
      <c r="I738" s="716"/>
      <c r="J738" s="716"/>
      <c r="K738" s="716"/>
      <c r="L738" s="653" t="str">
        <f t="shared" si="719"/>
        <v>0</v>
      </c>
      <c r="M738" s="654">
        <f t="shared" si="520"/>
        <v>0</v>
      </c>
      <c r="N738" s="655">
        <f>+IF(OR($Q738=Parametres!$G$2,$Q738=Parametres!$G$3),I738,C738)</f>
        <v>0</v>
      </c>
      <c r="O738" s="655">
        <f>+IF(OR($Q738=Parametres!$G$2,$Q738=Parametres!$G$3),J738,D738)</f>
        <v>0</v>
      </c>
      <c r="P738" s="655">
        <f>+IF(OR($Q738=Parametres!$G$2,$Q738=Parametres!$G$3),K738,E738)</f>
        <v>0</v>
      </c>
      <c r="Q738" s="654">
        <f t="shared" ref="Q738:S738" si="751">+F738</f>
        <v>0</v>
      </c>
      <c r="R738" s="653">
        <f t="shared" si="751"/>
        <v>0</v>
      </c>
      <c r="S738" s="654">
        <f t="shared" si="751"/>
        <v>0</v>
      </c>
      <c r="T738" s="656" t="e">
        <f>+VLOOKUP($L738,Data_Validation!$A:$D,1,0)</f>
        <v>#N/A</v>
      </c>
      <c r="U738" s="656" t="e">
        <f>+VLOOKUP($L738,Data_Validation!$A:$D,3,0)</f>
        <v>#N/A</v>
      </c>
      <c r="V738" s="656" t="e">
        <f>+VLOOKUP($L738,Data_Validation!$A:$D,4,0)</f>
        <v>#N/A</v>
      </c>
      <c r="W738" s="656" t="e">
        <f>+VLOOKUP($L738,Data_Validation!$A:$E,5,0)</f>
        <v>#N/A</v>
      </c>
    </row>
    <row r="739" spans="1:23" ht="15.75" customHeight="1">
      <c r="A739" s="716"/>
      <c r="B739" s="654"/>
      <c r="C739" s="717"/>
      <c r="D739" s="716"/>
      <c r="E739" s="716"/>
      <c r="F739" s="716"/>
      <c r="G739" s="716"/>
      <c r="H739" s="716"/>
      <c r="I739" s="716"/>
      <c r="J739" s="716"/>
      <c r="K739" s="716"/>
      <c r="L739" s="653" t="str">
        <f t="shared" si="719"/>
        <v>0</v>
      </c>
      <c r="M739" s="654">
        <f t="shared" si="520"/>
        <v>0</v>
      </c>
      <c r="N739" s="655">
        <f>+IF(OR($Q739=Parametres!$G$2,$Q739=Parametres!$G$3),I739,C739)</f>
        <v>0</v>
      </c>
      <c r="O739" s="655">
        <f>+IF(OR($Q739=Parametres!$G$2,$Q739=Parametres!$G$3),J739,D739)</f>
        <v>0</v>
      </c>
      <c r="P739" s="655">
        <f>+IF(OR($Q739=Parametres!$G$2,$Q739=Parametres!$G$3),K739,E739)</f>
        <v>0</v>
      </c>
      <c r="Q739" s="654">
        <f t="shared" ref="Q739:S739" si="752">+F739</f>
        <v>0</v>
      </c>
      <c r="R739" s="653">
        <f t="shared" si="752"/>
        <v>0</v>
      </c>
      <c r="S739" s="654">
        <f t="shared" si="752"/>
        <v>0</v>
      </c>
      <c r="T739" s="656" t="e">
        <f>+VLOOKUP($L739,Data_Validation!$A:$D,1,0)</f>
        <v>#N/A</v>
      </c>
      <c r="U739" s="656" t="e">
        <f>+VLOOKUP($L739,Data_Validation!$A:$D,3,0)</f>
        <v>#N/A</v>
      </c>
      <c r="V739" s="656" t="e">
        <f>+VLOOKUP($L739,Data_Validation!$A:$D,4,0)</f>
        <v>#N/A</v>
      </c>
      <c r="W739" s="656" t="e">
        <f>+VLOOKUP($L739,Data_Validation!$A:$E,5,0)</f>
        <v>#N/A</v>
      </c>
    </row>
    <row r="740" spans="1:23" ht="15.75" customHeight="1">
      <c r="A740" s="716"/>
      <c r="B740" s="654"/>
      <c r="C740" s="717"/>
      <c r="D740" s="716"/>
      <c r="E740" s="716"/>
      <c r="F740" s="716"/>
      <c r="G740" s="716"/>
      <c r="H740" s="716"/>
      <c r="I740" s="716"/>
      <c r="J740" s="716"/>
      <c r="K740" s="716"/>
      <c r="L740" s="653" t="str">
        <f t="shared" si="719"/>
        <v>0</v>
      </c>
      <c r="M740" s="654">
        <f t="shared" si="520"/>
        <v>0</v>
      </c>
      <c r="N740" s="655">
        <f>+IF(OR($Q740=Parametres!$G$2,$Q740=Parametres!$G$3),I740,C740)</f>
        <v>0</v>
      </c>
      <c r="O740" s="655">
        <f>+IF(OR($Q740=Parametres!$G$2,$Q740=Parametres!$G$3),J740,D740)</f>
        <v>0</v>
      </c>
      <c r="P740" s="655">
        <f>+IF(OR($Q740=Parametres!$G$2,$Q740=Parametres!$G$3),K740,E740)</f>
        <v>0</v>
      </c>
      <c r="Q740" s="654">
        <f t="shared" ref="Q740:S740" si="753">+F740</f>
        <v>0</v>
      </c>
      <c r="R740" s="653">
        <f t="shared" si="753"/>
        <v>0</v>
      </c>
      <c r="S740" s="654">
        <f t="shared" si="753"/>
        <v>0</v>
      </c>
      <c r="T740" s="656" t="e">
        <f>+VLOOKUP($L740,Data_Validation!$A:$D,1,0)</f>
        <v>#N/A</v>
      </c>
      <c r="U740" s="656" t="e">
        <f>+VLOOKUP($L740,Data_Validation!$A:$D,3,0)</f>
        <v>#N/A</v>
      </c>
      <c r="V740" s="656" t="e">
        <f>+VLOOKUP($L740,Data_Validation!$A:$D,4,0)</f>
        <v>#N/A</v>
      </c>
      <c r="W740" s="656" t="e">
        <f>+VLOOKUP($L740,Data_Validation!$A:$E,5,0)</f>
        <v>#N/A</v>
      </c>
    </row>
    <row r="741" spans="1:23" ht="15.75" customHeight="1">
      <c r="A741" s="716"/>
      <c r="B741" s="654"/>
      <c r="C741" s="717"/>
      <c r="D741" s="716"/>
      <c r="E741" s="716"/>
      <c r="F741" s="716"/>
      <c r="G741" s="716"/>
      <c r="H741" s="716"/>
      <c r="I741" s="716"/>
      <c r="J741" s="716"/>
      <c r="K741" s="716"/>
      <c r="L741" s="653" t="str">
        <f t="shared" si="719"/>
        <v>0</v>
      </c>
      <c r="M741" s="654">
        <f t="shared" si="520"/>
        <v>0</v>
      </c>
      <c r="N741" s="655">
        <f>+IF(OR($Q741=Parametres!$G$2,$Q741=Parametres!$G$3),I741,C741)</f>
        <v>0</v>
      </c>
      <c r="O741" s="655">
        <f>+IF(OR($Q741=Parametres!$G$2,$Q741=Parametres!$G$3),J741,D741)</f>
        <v>0</v>
      </c>
      <c r="P741" s="655">
        <f>+IF(OR($Q741=Parametres!$G$2,$Q741=Parametres!$G$3),K741,E741)</f>
        <v>0</v>
      </c>
      <c r="Q741" s="654">
        <f t="shared" ref="Q741:S741" si="754">+F741</f>
        <v>0</v>
      </c>
      <c r="R741" s="653">
        <f t="shared" si="754"/>
        <v>0</v>
      </c>
      <c r="S741" s="654">
        <f t="shared" si="754"/>
        <v>0</v>
      </c>
      <c r="T741" s="656" t="e">
        <f>+VLOOKUP($L741,Data_Validation!$A:$D,1,0)</f>
        <v>#N/A</v>
      </c>
      <c r="U741" s="656" t="e">
        <f>+VLOOKUP($L741,Data_Validation!$A:$D,3,0)</f>
        <v>#N/A</v>
      </c>
      <c r="V741" s="656" t="e">
        <f>+VLOOKUP($L741,Data_Validation!$A:$D,4,0)</f>
        <v>#N/A</v>
      </c>
      <c r="W741" s="656" t="e">
        <f>+VLOOKUP($L741,Data_Validation!$A:$E,5,0)</f>
        <v>#N/A</v>
      </c>
    </row>
    <row r="742" spans="1:23" ht="15.75" customHeight="1">
      <c r="A742" s="716"/>
      <c r="B742" s="654"/>
      <c r="C742" s="717"/>
      <c r="D742" s="716"/>
      <c r="E742" s="716"/>
      <c r="F742" s="716"/>
      <c r="G742" s="716"/>
      <c r="H742" s="716"/>
      <c r="I742" s="716"/>
      <c r="J742" s="716"/>
      <c r="K742" s="716"/>
      <c r="L742" s="653" t="str">
        <f t="shared" si="719"/>
        <v>0</v>
      </c>
      <c r="M742" s="654">
        <f t="shared" si="520"/>
        <v>0</v>
      </c>
      <c r="N742" s="655">
        <f>+IF(OR($Q742=Parametres!$G$2,$Q742=Parametres!$G$3),I742,C742)</f>
        <v>0</v>
      </c>
      <c r="O742" s="655">
        <f>+IF(OR($Q742=Parametres!$G$2,$Q742=Parametres!$G$3),J742,D742)</f>
        <v>0</v>
      </c>
      <c r="P742" s="655">
        <f>+IF(OR($Q742=Parametres!$G$2,$Q742=Parametres!$G$3),K742,E742)</f>
        <v>0</v>
      </c>
      <c r="Q742" s="654">
        <f t="shared" ref="Q742:S742" si="755">+F742</f>
        <v>0</v>
      </c>
      <c r="R742" s="653">
        <f t="shared" si="755"/>
        <v>0</v>
      </c>
      <c r="S742" s="654">
        <f t="shared" si="755"/>
        <v>0</v>
      </c>
      <c r="T742" s="656" t="e">
        <f>+VLOOKUP($L742,Data_Validation!$A:$D,1,0)</f>
        <v>#N/A</v>
      </c>
      <c r="U742" s="656" t="e">
        <f>+VLOOKUP($L742,Data_Validation!$A:$D,3,0)</f>
        <v>#N/A</v>
      </c>
      <c r="V742" s="656" t="e">
        <f>+VLOOKUP($L742,Data_Validation!$A:$D,4,0)</f>
        <v>#N/A</v>
      </c>
      <c r="W742" s="656" t="e">
        <f>+VLOOKUP($L742,Data_Validation!$A:$E,5,0)</f>
        <v>#N/A</v>
      </c>
    </row>
    <row r="743" spans="1:23" ht="15.75" customHeight="1">
      <c r="A743" s="716"/>
      <c r="B743" s="654"/>
      <c r="C743" s="717"/>
      <c r="D743" s="716"/>
      <c r="E743" s="716"/>
      <c r="F743" s="716"/>
      <c r="G743" s="716"/>
      <c r="H743" s="716"/>
      <c r="I743" s="716"/>
      <c r="J743" s="716"/>
      <c r="K743" s="716"/>
      <c r="L743" s="653" t="str">
        <f t="shared" si="719"/>
        <v>0</v>
      </c>
      <c r="M743" s="654">
        <f t="shared" si="520"/>
        <v>0</v>
      </c>
      <c r="N743" s="655">
        <f>+IF(OR($Q743=Parametres!$G$2,$Q743=Parametres!$G$3),I743,C743)</f>
        <v>0</v>
      </c>
      <c r="O743" s="655">
        <f>+IF(OR($Q743=Parametres!$G$2,$Q743=Parametres!$G$3),J743,D743)</f>
        <v>0</v>
      </c>
      <c r="P743" s="655">
        <f>+IF(OR($Q743=Parametres!$G$2,$Q743=Parametres!$G$3),K743,E743)</f>
        <v>0</v>
      </c>
      <c r="Q743" s="654">
        <f t="shared" ref="Q743:S743" si="756">+F743</f>
        <v>0</v>
      </c>
      <c r="R743" s="653">
        <f t="shared" si="756"/>
        <v>0</v>
      </c>
      <c r="S743" s="654">
        <f t="shared" si="756"/>
        <v>0</v>
      </c>
      <c r="T743" s="656" t="e">
        <f>+VLOOKUP($L743,Data_Validation!$A:$D,1,0)</f>
        <v>#N/A</v>
      </c>
      <c r="U743" s="656" t="e">
        <f>+VLOOKUP($L743,Data_Validation!$A:$D,3,0)</f>
        <v>#N/A</v>
      </c>
      <c r="V743" s="656" t="e">
        <f>+VLOOKUP($L743,Data_Validation!$A:$D,4,0)</f>
        <v>#N/A</v>
      </c>
      <c r="W743" s="656" t="e">
        <f>+VLOOKUP($L743,Data_Validation!$A:$E,5,0)</f>
        <v>#N/A</v>
      </c>
    </row>
    <row r="744" spans="1:23" ht="15.75" customHeight="1">
      <c r="A744" s="716"/>
      <c r="B744" s="654"/>
      <c r="C744" s="717"/>
      <c r="D744" s="716"/>
      <c r="E744" s="716"/>
      <c r="F744" s="716"/>
      <c r="G744" s="716"/>
      <c r="H744" s="716"/>
      <c r="I744" s="716"/>
      <c r="J744" s="716"/>
      <c r="K744" s="716"/>
      <c r="L744" s="653" t="str">
        <f t="shared" si="719"/>
        <v>0</v>
      </c>
      <c r="M744" s="654">
        <f t="shared" si="520"/>
        <v>0</v>
      </c>
      <c r="N744" s="655">
        <f>+IF(OR($Q744=Parametres!$G$2,$Q744=Parametres!$G$3),I744,C744)</f>
        <v>0</v>
      </c>
      <c r="O744" s="655">
        <f>+IF(OR($Q744=Parametres!$G$2,$Q744=Parametres!$G$3),J744,D744)</f>
        <v>0</v>
      </c>
      <c r="P744" s="655">
        <f>+IF(OR($Q744=Parametres!$G$2,$Q744=Parametres!$G$3),K744,E744)</f>
        <v>0</v>
      </c>
      <c r="Q744" s="654">
        <f t="shared" ref="Q744:S744" si="757">+F744</f>
        <v>0</v>
      </c>
      <c r="R744" s="653">
        <f t="shared" si="757"/>
        <v>0</v>
      </c>
      <c r="S744" s="654">
        <f t="shared" si="757"/>
        <v>0</v>
      </c>
      <c r="T744" s="656" t="e">
        <f>+VLOOKUP($L744,Data_Validation!$A:$D,1,0)</f>
        <v>#N/A</v>
      </c>
      <c r="U744" s="656" t="e">
        <f>+VLOOKUP($L744,Data_Validation!$A:$D,3,0)</f>
        <v>#N/A</v>
      </c>
      <c r="V744" s="656" t="e">
        <f>+VLOOKUP($L744,Data_Validation!$A:$D,4,0)</f>
        <v>#N/A</v>
      </c>
      <c r="W744" s="656" t="e">
        <f>+VLOOKUP($L744,Data_Validation!$A:$E,5,0)</f>
        <v>#N/A</v>
      </c>
    </row>
    <row r="745" spans="1:23" ht="15.75" customHeight="1">
      <c r="A745" s="716"/>
      <c r="B745" s="654"/>
      <c r="C745" s="717"/>
      <c r="D745" s="716"/>
      <c r="E745" s="716"/>
      <c r="F745" s="716"/>
      <c r="G745" s="716"/>
      <c r="H745" s="716"/>
      <c r="I745" s="716"/>
      <c r="J745" s="716"/>
      <c r="K745" s="716"/>
      <c r="L745" s="653" t="str">
        <f t="shared" si="719"/>
        <v>0</v>
      </c>
      <c r="M745" s="654">
        <f t="shared" si="520"/>
        <v>0</v>
      </c>
      <c r="N745" s="655">
        <f>+IF(OR($Q745=Parametres!$G$2,$Q745=Parametres!$G$3),I745,C745)</f>
        <v>0</v>
      </c>
      <c r="O745" s="655">
        <f>+IF(OR($Q745=Parametres!$G$2,$Q745=Parametres!$G$3),J745,D745)</f>
        <v>0</v>
      </c>
      <c r="P745" s="655">
        <f>+IF(OR($Q745=Parametres!$G$2,$Q745=Parametres!$G$3),K745,E745)</f>
        <v>0</v>
      </c>
      <c r="Q745" s="654">
        <f t="shared" ref="Q745:S745" si="758">+F745</f>
        <v>0</v>
      </c>
      <c r="R745" s="653">
        <f t="shared" si="758"/>
        <v>0</v>
      </c>
      <c r="S745" s="654">
        <f t="shared" si="758"/>
        <v>0</v>
      </c>
      <c r="T745" s="656" t="e">
        <f>+VLOOKUP($L745,Data_Validation!$A:$D,1,0)</f>
        <v>#N/A</v>
      </c>
      <c r="U745" s="656" t="e">
        <f>+VLOOKUP($L745,Data_Validation!$A:$D,3,0)</f>
        <v>#N/A</v>
      </c>
      <c r="V745" s="656" t="e">
        <f>+VLOOKUP($L745,Data_Validation!$A:$D,4,0)</f>
        <v>#N/A</v>
      </c>
      <c r="W745" s="656" t="e">
        <f>+VLOOKUP($L745,Data_Validation!$A:$E,5,0)</f>
        <v>#N/A</v>
      </c>
    </row>
    <row r="746" spans="1:23" ht="15.75" customHeight="1">
      <c r="A746" s="716"/>
      <c r="B746" s="654"/>
      <c r="C746" s="717"/>
      <c r="D746" s="716"/>
      <c r="E746" s="716"/>
      <c r="F746" s="716"/>
      <c r="G746" s="716"/>
      <c r="H746" s="716"/>
      <c r="I746" s="716"/>
      <c r="J746" s="716"/>
      <c r="K746" s="716"/>
      <c r="L746" s="653" t="str">
        <f t="shared" si="719"/>
        <v>0</v>
      </c>
      <c r="M746" s="654">
        <f t="shared" si="520"/>
        <v>0</v>
      </c>
      <c r="N746" s="655">
        <f>+IF(OR($Q746=Parametres!$G$2,$Q746=Parametres!$G$3),I746,C746)</f>
        <v>0</v>
      </c>
      <c r="O746" s="655">
        <f>+IF(OR($Q746=Parametres!$G$2,$Q746=Parametres!$G$3),J746,D746)</f>
        <v>0</v>
      </c>
      <c r="P746" s="655">
        <f>+IF(OR($Q746=Parametres!$G$2,$Q746=Parametres!$G$3),K746,E746)</f>
        <v>0</v>
      </c>
      <c r="Q746" s="654">
        <f t="shared" ref="Q746:S746" si="759">+F746</f>
        <v>0</v>
      </c>
      <c r="R746" s="653">
        <f t="shared" si="759"/>
        <v>0</v>
      </c>
      <c r="S746" s="654">
        <f t="shared" si="759"/>
        <v>0</v>
      </c>
      <c r="T746" s="656" t="e">
        <f>+VLOOKUP($L746,Data_Validation!$A:$D,1,0)</f>
        <v>#N/A</v>
      </c>
      <c r="U746" s="656" t="e">
        <f>+VLOOKUP($L746,Data_Validation!$A:$D,3,0)</f>
        <v>#N/A</v>
      </c>
      <c r="V746" s="656" t="e">
        <f>+VLOOKUP($L746,Data_Validation!$A:$D,4,0)</f>
        <v>#N/A</v>
      </c>
      <c r="W746" s="656" t="e">
        <f>+VLOOKUP($L746,Data_Validation!$A:$E,5,0)</f>
        <v>#N/A</v>
      </c>
    </row>
    <row r="747" spans="1:23" ht="15.75" customHeight="1">
      <c r="A747" s="716"/>
      <c r="B747" s="654"/>
      <c r="C747" s="717"/>
      <c r="D747" s="716"/>
      <c r="E747" s="716"/>
      <c r="F747" s="716"/>
      <c r="G747" s="716"/>
      <c r="H747" s="716"/>
      <c r="I747" s="716"/>
      <c r="J747" s="716"/>
      <c r="K747" s="716"/>
      <c r="L747" s="653" t="str">
        <f t="shared" si="719"/>
        <v>0</v>
      </c>
      <c r="M747" s="654">
        <f t="shared" si="520"/>
        <v>0</v>
      </c>
      <c r="N747" s="655">
        <f>+IF(OR($Q747=Parametres!$G$2,$Q747=Parametres!$G$3),I747,C747)</f>
        <v>0</v>
      </c>
      <c r="O747" s="655">
        <f>+IF(OR($Q747=Parametres!$G$2,$Q747=Parametres!$G$3),J747,D747)</f>
        <v>0</v>
      </c>
      <c r="P747" s="655">
        <f>+IF(OR($Q747=Parametres!$G$2,$Q747=Parametres!$G$3),K747,E747)</f>
        <v>0</v>
      </c>
      <c r="Q747" s="654">
        <f t="shared" ref="Q747:S747" si="760">+F747</f>
        <v>0</v>
      </c>
      <c r="R747" s="653">
        <f t="shared" si="760"/>
        <v>0</v>
      </c>
      <c r="S747" s="654">
        <f t="shared" si="760"/>
        <v>0</v>
      </c>
      <c r="T747" s="656" t="e">
        <f>+VLOOKUP($L747,Data_Validation!$A:$D,1,0)</f>
        <v>#N/A</v>
      </c>
      <c r="U747" s="656" t="e">
        <f>+VLOOKUP($L747,Data_Validation!$A:$D,3,0)</f>
        <v>#N/A</v>
      </c>
      <c r="V747" s="656" t="e">
        <f>+VLOOKUP($L747,Data_Validation!$A:$D,4,0)</f>
        <v>#N/A</v>
      </c>
      <c r="W747" s="656" t="e">
        <f>+VLOOKUP($L747,Data_Validation!$A:$E,5,0)</f>
        <v>#N/A</v>
      </c>
    </row>
    <row r="748" spans="1:23" ht="15.75" customHeight="1">
      <c r="A748" s="716"/>
      <c r="B748" s="654"/>
      <c r="C748" s="717"/>
      <c r="D748" s="716"/>
      <c r="E748" s="716"/>
      <c r="F748" s="716"/>
      <c r="G748" s="716"/>
      <c r="H748" s="716"/>
      <c r="I748" s="716"/>
      <c r="J748" s="716"/>
      <c r="K748" s="716"/>
      <c r="L748" s="653" t="str">
        <f t="shared" si="719"/>
        <v>0</v>
      </c>
      <c r="M748" s="654">
        <f t="shared" si="520"/>
        <v>0</v>
      </c>
      <c r="N748" s="655">
        <f>+IF(OR($Q748=Parametres!$G$2,$Q748=Parametres!$G$3),I748,C748)</f>
        <v>0</v>
      </c>
      <c r="O748" s="655">
        <f>+IF(OR($Q748=Parametres!$G$2,$Q748=Parametres!$G$3),J748,D748)</f>
        <v>0</v>
      </c>
      <c r="P748" s="655">
        <f>+IF(OR($Q748=Parametres!$G$2,$Q748=Parametres!$G$3),K748,E748)</f>
        <v>0</v>
      </c>
      <c r="Q748" s="654">
        <f t="shared" ref="Q748:S748" si="761">+F748</f>
        <v>0</v>
      </c>
      <c r="R748" s="653">
        <f t="shared" si="761"/>
        <v>0</v>
      </c>
      <c r="S748" s="654">
        <f t="shared" si="761"/>
        <v>0</v>
      </c>
      <c r="T748" s="656" t="e">
        <f>+VLOOKUP($L748,Data_Validation!$A:$D,1,0)</f>
        <v>#N/A</v>
      </c>
      <c r="U748" s="656" t="e">
        <f>+VLOOKUP($L748,Data_Validation!$A:$D,3,0)</f>
        <v>#N/A</v>
      </c>
      <c r="V748" s="656" t="e">
        <f>+VLOOKUP($L748,Data_Validation!$A:$D,4,0)</f>
        <v>#N/A</v>
      </c>
      <c r="W748" s="656" t="e">
        <f>+VLOOKUP($L748,Data_Validation!$A:$E,5,0)</f>
        <v>#N/A</v>
      </c>
    </row>
    <row r="749" spans="1:23" ht="15.75" customHeight="1">
      <c r="A749" s="716"/>
      <c r="B749" s="654"/>
      <c r="C749" s="717"/>
      <c r="D749" s="716"/>
      <c r="E749" s="716"/>
      <c r="F749" s="716"/>
      <c r="G749" s="716"/>
      <c r="H749" s="716"/>
      <c r="I749" s="716"/>
      <c r="J749" s="716"/>
      <c r="K749" s="716"/>
      <c r="L749" s="653" t="str">
        <f t="shared" si="719"/>
        <v>0</v>
      </c>
      <c r="M749" s="654">
        <f t="shared" si="520"/>
        <v>0</v>
      </c>
      <c r="N749" s="655">
        <f>+IF(OR($Q749=Parametres!$G$2,$Q749=Parametres!$G$3),I749,C749)</f>
        <v>0</v>
      </c>
      <c r="O749" s="655">
        <f>+IF(OR($Q749=Parametres!$G$2,$Q749=Parametres!$G$3),J749,D749)</f>
        <v>0</v>
      </c>
      <c r="P749" s="655">
        <f>+IF(OR($Q749=Parametres!$G$2,$Q749=Parametres!$G$3),K749,E749)</f>
        <v>0</v>
      </c>
      <c r="Q749" s="654">
        <f t="shared" ref="Q749:S749" si="762">+F749</f>
        <v>0</v>
      </c>
      <c r="R749" s="653">
        <f t="shared" si="762"/>
        <v>0</v>
      </c>
      <c r="S749" s="654">
        <f t="shared" si="762"/>
        <v>0</v>
      </c>
      <c r="T749" s="656" t="e">
        <f>+VLOOKUP($L749,Data_Validation!$A:$D,1,0)</f>
        <v>#N/A</v>
      </c>
      <c r="U749" s="656" t="e">
        <f>+VLOOKUP($L749,Data_Validation!$A:$D,3,0)</f>
        <v>#N/A</v>
      </c>
      <c r="V749" s="656" t="e">
        <f>+VLOOKUP($L749,Data_Validation!$A:$D,4,0)</f>
        <v>#N/A</v>
      </c>
      <c r="W749" s="656" t="e">
        <f>+VLOOKUP($L749,Data_Validation!$A:$E,5,0)</f>
        <v>#N/A</v>
      </c>
    </row>
    <row r="750" spans="1:23" ht="15.75" customHeight="1">
      <c r="A750" s="716"/>
      <c r="B750" s="654"/>
      <c r="C750" s="717"/>
      <c r="D750" s="716"/>
      <c r="E750" s="716"/>
      <c r="F750" s="716"/>
      <c r="G750" s="716"/>
      <c r="H750" s="716"/>
      <c r="I750" s="716"/>
      <c r="J750" s="716"/>
      <c r="K750" s="716"/>
      <c r="L750" s="653" t="str">
        <f t="shared" si="719"/>
        <v>0</v>
      </c>
      <c r="M750" s="654">
        <f t="shared" si="520"/>
        <v>0</v>
      </c>
      <c r="N750" s="655">
        <f>+IF(OR($Q750=Parametres!$G$2,$Q750=Parametres!$G$3),I750,C750)</f>
        <v>0</v>
      </c>
      <c r="O750" s="655">
        <f>+IF(OR($Q750=Parametres!$G$2,$Q750=Parametres!$G$3),J750,D750)</f>
        <v>0</v>
      </c>
      <c r="P750" s="655">
        <f>+IF(OR($Q750=Parametres!$G$2,$Q750=Parametres!$G$3),K750,E750)</f>
        <v>0</v>
      </c>
      <c r="Q750" s="654">
        <f t="shared" ref="Q750:S750" si="763">+F750</f>
        <v>0</v>
      </c>
      <c r="R750" s="653">
        <f t="shared" si="763"/>
        <v>0</v>
      </c>
      <c r="S750" s="654">
        <f t="shared" si="763"/>
        <v>0</v>
      </c>
      <c r="T750" s="656" t="e">
        <f>+VLOOKUP($L750,Data_Validation!$A:$D,1,0)</f>
        <v>#N/A</v>
      </c>
      <c r="U750" s="656" t="e">
        <f>+VLOOKUP($L750,Data_Validation!$A:$D,3,0)</f>
        <v>#N/A</v>
      </c>
      <c r="V750" s="656" t="e">
        <f>+VLOOKUP($L750,Data_Validation!$A:$D,4,0)</f>
        <v>#N/A</v>
      </c>
      <c r="W750" s="656" t="e">
        <f>+VLOOKUP($L750,Data_Validation!$A:$E,5,0)</f>
        <v>#N/A</v>
      </c>
    </row>
    <row r="751" spans="1:23" ht="15.75" customHeight="1">
      <c r="A751" s="716"/>
      <c r="B751" s="654"/>
      <c r="C751" s="717"/>
      <c r="D751" s="716"/>
      <c r="E751" s="716"/>
      <c r="F751" s="716"/>
      <c r="G751" s="716"/>
      <c r="H751" s="716"/>
      <c r="I751" s="716"/>
      <c r="J751" s="716"/>
      <c r="K751" s="716"/>
      <c r="L751" s="653" t="str">
        <f t="shared" si="719"/>
        <v>0</v>
      </c>
      <c r="M751" s="654">
        <f t="shared" si="520"/>
        <v>0</v>
      </c>
      <c r="N751" s="655">
        <f>+IF(OR($Q751=Parametres!$G$2,$Q751=Parametres!$G$3),I751,C751)</f>
        <v>0</v>
      </c>
      <c r="O751" s="655">
        <f>+IF(OR($Q751=Parametres!$G$2,$Q751=Parametres!$G$3),J751,D751)</f>
        <v>0</v>
      </c>
      <c r="P751" s="655">
        <f>+IF(OR($Q751=Parametres!$G$2,$Q751=Parametres!$G$3),K751,E751)</f>
        <v>0</v>
      </c>
      <c r="Q751" s="654">
        <f t="shared" ref="Q751:S751" si="764">+F751</f>
        <v>0</v>
      </c>
      <c r="R751" s="653">
        <f t="shared" si="764"/>
        <v>0</v>
      </c>
      <c r="S751" s="654">
        <f t="shared" si="764"/>
        <v>0</v>
      </c>
      <c r="T751" s="656" t="e">
        <f>+VLOOKUP($L751,Data_Validation!$A:$D,1,0)</f>
        <v>#N/A</v>
      </c>
      <c r="U751" s="656" t="e">
        <f>+VLOOKUP($L751,Data_Validation!$A:$D,3,0)</f>
        <v>#N/A</v>
      </c>
      <c r="V751" s="656" t="e">
        <f>+VLOOKUP($L751,Data_Validation!$A:$D,4,0)</f>
        <v>#N/A</v>
      </c>
      <c r="W751" s="656" t="e">
        <f>+VLOOKUP($L751,Data_Validation!$A:$E,5,0)</f>
        <v>#N/A</v>
      </c>
    </row>
    <row r="752" spans="1:23" ht="15.75" customHeight="1">
      <c r="A752" s="716"/>
      <c r="B752" s="654"/>
      <c r="C752" s="717"/>
      <c r="D752" s="716"/>
      <c r="E752" s="716"/>
      <c r="F752" s="716"/>
      <c r="G752" s="716"/>
      <c r="H752" s="716"/>
      <c r="I752" s="716"/>
      <c r="J752" s="716"/>
      <c r="K752" s="716"/>
      <c r="L752" s="653" t="str">
        <f t="shared" si="719"/>
        <v>0</v>
      </c>
      <c r="M752" s="654">
        <f t="shared" si="520"/>
        <v>0</v>
      </c>
      <c r="N752" s="655">
        <f>+IF(OR($Q752=Parametres!$G$2,$Q752=Parametres!$G$3),I752,C752)</f>
        <v>0</v>
      </c>
      <c r="O752" s="655">
        <f>+IF(OR($Q752=Parametres!$G$2,$Q752=Parametres!$G$3),J752,D752)</f>
        <v>0</v>
      </c>
      <c r="P752" s="655">
        <f>+IF(OR($Q752=Parametres!$G$2,$Q752=Parametres!$G$3),K752,E752)</f>
        <v>0</v>
      </c>
      <c r="Q752" s="654">
        <f t="shared" ref="Q752:S752" si="765">+F752</f>
        <v>0</v>
      </c>
      <c r="R752" s="653">
        <f t="shared" si="765"/>
        <v>0</v>
      </c>
      <c r="S752" s="654">
        <f t="shared" si="765"/>
        <v>0</v>
      </c>
      <c r="T752" s="656" t="e">
        <f>+VLOOKUP($L752,Data_Validation!$A:$D,1,0)</f>
        <v>#N/A</v>
      </c>
      <c r="U752" s="656" t="e">
        <f>+VLOOKUP($L752,Data_Validation!$A:$D,3,0)</f>
        <v>#N/A</v>
      </c>
      <c r="V752" s="656" t="e">
        <f>+VLOOKUP($L752,Data_Validation!$A:$D,4,0)</f>
        <v>#N/A</v>
      </c>
      <c r="W752" s="656" t="e">
        <f>+VLOOKUP($L752,Data_Validation!$A:$E,5,0)</f>
        <v>#N/A</v>
      </c>
    </row>
    <row r="753" spans="1:23" ht="15.75" customHeight="1">
      <c r="A753" s="716"/>
      <c r="B753" s="654"/>
      <c r="C753" s="717"/>
      <c r="D753" s="716"/>
      <c r="E753" s="716"/>
      <c r="F753" s="716"/>
      <c r="G753" s="716"/>
      <c r="H753" s="716"/>
      <c r="I753" s="716"/>
      <c r="J753" s="716"/>
      <c r="K753" s="716"/>
      <c r="L753" s="653" t="str">
        <f t="shared" si="719"/>
        <v>0</v>
      </c>
      <c r="M753" s="654">
        <f t="shared" si="520"/>
        <v>0</v>
      </c>
      <c r="N753" s="655">
        <f>+IF(OR($Q753=Parametres!$G$2,$Q753=Parametres!$G$3),I753,C753)</f>
        <v>0</v>
      </c>
      <c r="O753" s="655">
        <f>+IF(OR($Q753=Parametres!$G$2,$Q753=Parametres!$G$3),J753,D753)</f>
        <v>0</v>
      </c>
      <c r="P753" s="655">
        <f>+IF(OR($Q753=Parametres!$G$2,$Q753=Parametres!$G$3),K753,E753)</f>
        <v>0</v>
      </c>
      <c r="Q753" s="654">
        <f t="shared" ref="Q753:S753" si="766">+F753</f>
        <v>0</v>
      </c>
      <c r="R753" s="653">
        <f t="shared" si="766"/>
        <v>0</v>
      </c>
      <c r="S753" s="654">
        <f t="shared" si="766"/>
        <v>0</v>
      </c>
      <c r="T753" s="656" t="e">
        <f>+VLOOKUP($L753,Data_Validation!$A:$D,1,0)</f>
        <v>#N/A</v>
      </c>
      <c r="U753" s="656" t="e">
        <f>+VLOOKUP($L753,Data_Validation!$A:$D,3,0)</f>
        <v>#N/A</v>
      </c>
      <c r="V753" s="656" t="e">
        <f>+VLOOKUP($L753,Data_Validation!$A:$D,4,0)</f>
        <v>#N/A</v>
      </c>
      <c r="W753" s="656" t="e">
        <f>+VLOOKUP($L753,Data_Validation!$A:$E,5,0)</f>
        <v>#N/A</v>
      </c>
    </row>
    <row r="754" spans="1:23" ht="15.75" customHeight="1">
      <c r="A754" s="716"/>
      <c r="B754" s="654"/>
      <c r="C754" s="717"/>
      <c r="D754" s="716"/>
      <c r="E754" s="716"/>
      <c r="F754" s="716"/>
      <c r="G754" s="716"/>
      <c r="H754" s="716"/>
      <c r="I754" s="716"/>
      <c r="J754" s="716"/>
      <c r="K754" s="716"/>
      <c r="L754" s="653" t="str">
        <f t="shared" si="719"/>
        <v>0</v>
      </c>
      <c r="M754" s="654">
        <f t="shared" si="520"/>
        <v>0</v>
      </c>
      <c r="N754" s="655">
        <f>+IF(OR($Q754=Parametres!$G$2,$Q754=Parametres!$G$3),I754,C754)</f>
        <v>0</v>
      </c>
      <c r="O754" s="655">
        <f>+IF(OR($Q754=Parametres!$G$2,$Q754=Parametres!$G$3),J754,D754)</f>
        <v>0</v>
      </c>
      <c r="P754" s="655">
        <f>+IF(OR($Q754=Parametres!$G$2,$Q754=Parametres!$G$3),K754,E754)</f>
        <v>0</v>
      </c>
      <c r="Q754" s="654">
        <f t="shared" ref="Q754:S754" si="767">+F754</f>
        <v>0</v>
      </c>
      <c r="R754" s="653">
        <f t="shared" si="767"/>
        <v>0</v>
      </c>
      <c r="S754" s="654">
        <f t="shared" si="767"/>
        <v>0</v>
      </c>
      <c r="T754" s="656" t="e">
        <f>+VLOOKUP($L754,Data_Validation!$A:$D,1,0)</f>
        <v>#N/A</v>
      </c>
      <c r="U754" s="656" t="e">
        <f>+VLOOKUP($L754,Data_Validation!$A:$D,3,0)</f>
        <v>#N/A</v>
      </c>
      <c r="V754" s="656" t="e">
        <f>+VLOOKUP($L754,Data_Validation!$A:$D,4,0)</f>
        <v>#N/A</v>
      </c>
      <c r="W754" s="656" t="e">
        <f>+VLOOKUP($L754,Data_Validation!$A:$E,5,0)</f>
        <v>#N/A</v>
      </c>
    </row>
    <row r="755" spans="1:23" ht="15.75" customHeight="1">
      <c r="A755" s="716"/>
      <c r="B755" s="654"/>
      <c r="C755" s="717"/>
      <c r="D755" s="716"/>
      <c r="E755" s="716"/>
      <c r="F755" s="716"/>
      <c r="G755" s="716"/>
      <c r="H755" s="716"/>
      <c r="I755" s="716"/>
      <c r="J755" s="716"/>
      <c r="K755" s="716"/>
      <c r="L755" s="653" t="str">
        <f t="shared" si="719"/>
        <v>0</v>
      </c>
      <c r="M755" s="654">
        <f t="shared" si="520"/>
        <v>0</v>
      </c>
      <c r="N755" s="655">
        <f>+IF(OR($Q755=Parametres!$G$2,$Q755=Parametres!$G$3),I755,C755)</f>
        <v>0</v>
      </c>
      <c r="O755" s="655">
        <f>+IF(OR($Q755=Parametres!$G$2,$Q755=Parametres!$G$3),J755,D755)</f>
        <v>0</v>
      </c>
      <c r="P755" s="655">
        <f>+IF(OR($Q755=Parametres!$G$2,$Q755=Parametres!$G$3),K755,E755)</f>
        <v>0</v>
      </c>
      <c r="Q755" s="654">
        <f t="shared" ref="Q755:S755" si="768">+F755</f>
        <v>0</v>
      </c>
      <c r="R755" s="653">
        <f t="shared" si="768"/>
        <v>0</v>
      </c>
      <c r="S755" s="654">
        <f t="shared" si="768"/>
        <v>0</v>
      </c>
      <c r="T755" s="656" t="e">
        <f>+VLOOKUP($L755,Data_Validation!$A:$D,1,0)</f>
        <v>#N/A</v>
      </c>
      <c r="U755" s="656" t="e">
        <f>+VLOOKUP($L755,Data_Validation!$A:$D,3,0)</f>
        <v>#N/A</v>
      </c>
      <c r="V755" s="656" t="e">
        <f>+VLOOKUP($L755,Data_Validation!$A:$D,4,0)</f>
        <v>#N/A</v>
      </c>
      <c r="W755" s="656" t="e">
        <f>+VLOOKUP($L755,Data_Validation!$A:$E,5,0)</f>
        <v>#N/A</v>
      </c>
    </row>
    <row r="756" spans="1:23" ht="15.75" customHeight="1">
      <c r="A756" s="716"/>
      <c r="B756" s="654"/>
      <c r="C756" s="717"/>
      <c r="D756" s="716"/>
      <c r="E756" s="716"/>
      <c r="F756" s="716"/>
      <c r="G756" s="716"/>
      <c r="H756" s="716"/>
      <c r="I756" s="716"/>
      <c r="J756" s="716"/>
      <c r="K756" s="716"/>
      <c r="L756" s="653" t="str">
        <f t="shared" si="719"/>
        <v>0</v>
      </c>
      <c r="M756" s="654">
        <f t="shared" si="520"/>
        <v>0</v>
      </c>
      <c r="N756" s="655">
        <f>+IF(OR($Q756=Parametres!$G$2,$Q756=Parametres!$G$3),I756,C756)</f>
        <v>0</v>
      </c>
      <c r="O756" s="655">
        <f>+IF(OR($Q756=Parametres!$G$2,$Q756=Parametres!$G$3),J756,D756)</f>
        <v>0</v>
      </c>
      <c r="P756" s="655">
        <f>+IF(OR($Q756=Parametres!$G$2,$Q756=Parametres!$G$3),K756,E756)</f>
        <v>0</v>
      </c>
      <c r="Q756" s="654">
        <f t="shared" ref="Q756:S756" si="769">+F756</f>
        <v>0</v>
      </c>
      <c r="R756" s="653">
        <f t="shared" si="769"/>
        <v>0</v>
      </c>
      <c r="S756" s="654">
        <f t="shared" si="769"/>
        <v>0</v>
      </c>
      <c r="T756" s="656" t="e">
        <f>+VLOOKUP($L756,Data_Validation!$A:$D,1,0)</f>
        <v>#N/A</v>
      </c>
      <c r="U756" s="656" t="e">
        <f>+VLOOKUP($L756,Data_Validation!$A:$D,3,0)</f>
        <v>#N/A</v>
      </c>
      <c r="V756" s="656" t="e">
        <f>+VLOOKUP($L756,Data_Validation!$A:$D,4,0)</f>
        <v>#N/A</v>
      </c>
      <c r="W756" s="656" t="e">
        <f>+VLOOKUP($L756,Data_Validation!$A:$E,5,0)</f>
        <v>#N/A</v>
      </c>
    </row>
    <row r="757" spans="1:23" ht="15.75" customHeight="1">
      <c r="A757" s="716"/>
      <c r="B757" s="654"/>
      <c r="C757" s="717"/>
      <c r="D757" s="716"/>
      <c r="E757" s="716"/>
      <c r="F757" s="716"/>
      <c r="G757" s="716"/>
      <c r="H757" s="716"/>
      <c r="I757" s="716"/>
      <c r="J757" s="716"/>
      <c r="K757" s="716"/>
      <c r="L757" s="653" t="str">
        <f t="shared" si="719"/>
        <v>0</v>
      </c>
      <c r="M757" s="654">
        <f t="shared" si="520"/>
        <v>0</v>
      </c>
      <c r="N757" s="655">
        <f>+IF(OR($Q757=Parametres!$G$2,$Q757=Parametres!$G$3),I757,C757)</f>
        <v>0</v>
      </c>
      <c r="O757" s="655">
        <f>+IF(OR($Q757=Parametres!$G$2,$Q757=Parametres!$G$3),J757,D757)</f>
        <v>0</v>
      </c>
      <c r="P757" s="655">
        <f>+IF(OR($Q757=Parametres!$G$2,$Q757=Parametres!$G$3),K757,E757)</f>
        <v>0</v>
      </c>
      <c r="Q757" s="654">
        <f t="shared" ref="Q757:S757" si="770">+F757</f>
        <v>0</v>
      </c>
      <c r="R757" s="653">
        <f t="shared" si="770"/>
        <v>0</v>
      </c>
      <c r="S757" s="654">
        <f t="shared" si="770"/>
        <v>0</v>
      </c>
      <c r="T757" s="656" t="e">
        <f>+VLOOKUP($L757,Data_Validation!$A:$D,1,0)</f>
        <v>#N/A</v>
      </c>
      <c r="U757" s="656" t="e">
        <f>+VLOOKUP($L757,Data_Validation!$A:$D,3,0)</f>
        <v>#N/A</v>
      </c>
      <c r="V757" s="656" t="e">
        <f>+VLOOKUP($L757,Data_Validation!$A:$D,4,0)</f>
        <v>#N/A</v>
      </c>
      <c r="W757" s="656" t="e">
        <f>+VLOOKUP($L757,Data_Validation!$A:$E,5,0)</f>
        <v>#N/A</v>
      </c>
    </row>
    <row r="758" spans="1:23" ht="15.75" customHeight="1">
      <c r="A758" s="716"/>
      <c r="B758" s="654"/>
      <c r="C758" s="717"/>
      <c r="D758" s="716"/>
      <c r="E758" s="716"/>
      <c r="F758" s="716"/>
      <c r="G758" s="716"/>
      <c r="H758" s="716"/>
      <c r="I758" s="716"/>
      <c r="J758" s="716"/>
      <c r="K758" s="716"/>
      <c r="L758" s="653" t="str">
        <f t="shared" si="719"/>
        <v>0</v>
      </c>
      <c r="M758" s="654">
        <f t="shared" si="520"/>
        <v>0</v>
      </c>
      <c r="N758" s="655">
        <f>+IF(OR($Q758=Parametres!$G$2,$Q758=Parametres!$G$3),I758,C758)</f>
        <v>0</v>
      </c>
      <c r="O758" s="655">
        <f>+IF(OR($Q758=Parametres!$G$2,$Q758=Parametres!$G$3),J758,D758)</f>
        <v>0</v>
      </c>
      <c r="P758" s="655">
        <f>+IF(OR($Q758=Parametres!$G$2,$Q758=Parametres!$G$3),K758,E758)</f>
        <v>0</v>
      </c>
      <c r="Q758" s="654">
        <f t="shared" ref="Q758:S758" si="771">+F758</f>
        <v>0</v>
      </c>
      <c r="R758" s="653">
        <f t="shared" si="771"/>
        <v>0</v>
      </c>
      <c r="S758" s="654">
        <f t="shared" si="771"/>
        <v>0</v>
      </c>
      <c r="T758" s="656" t="e">
        <f>+VLOOKUP($L758,Data_Validation!$A:$D,1,0)</f>
        <v>#N/A</v>
      </c>
      <c r="U758" s="656" t="e">
        <f>+VLOOKUP($L758,Data_Validation!$A:$D,3,0)</f>
        <v>#N/A</v>
      </c>
      <c r="V758" s="656" t="e">
        <f>+VLOOKUP($L758,Data_Validation!$A:$D,4,0)</f>
        <v>#N/A</v>
      </c>
      <c r="W758" s="656" t="e">
        <f>+VLOOKUP($L758,Data_Validation!$A:$E,5,0)</f>
        <v>#N/A</v>
      </c>
    </row>
    <row r="759" spans="1:23" ht="15.75" customHeight="1">
      <c r="A759" s="716"/>
      <c r="B759" s="654"/>
      <c r="C759" s="717"/>
      <c r="D759" s="716"/>
      <c r="E759" s="716"/>
      <c r="F759" s="716"/>
      <c r="G759" s="716"/>
      <c r="H759" s="716"/>
      <c r="I759" s="716"/>
      <c r="J759" s="716"/>
      <c r="K759" s="716"/>
      <c r="L759" s="653" t="str">
        <f t="shared" si="719"/>
        <v>0</v>
      </c>
      <c r="M759" s="654">
        <f t="shared" si="520"/>
        <v>0</v>
      </c>
      <c r="N759" s="655">
        <f>+IF(OR($Q759=Parametres!$G$2,$Q759=Parametres!$G$3),I759,C759)</f>
        <v>0</v>
      </c>
      <c r="O759" s="655">
        <f>+IF(OR($Q759=Parametres!$G$2,$Q759=Parametres!$G$3),J759,D759)</f>
        <v>0</v>
      </c>
      <c r="P759" s="655">
        <f>+IF(OR($Q759=Parametres!$G$2,$Q759=Parametres!$G$3),K759,E759)</f>
        <v>0</v>
      </c>
      <c r="Q759" s="654">
        <f t="shared" ref="Q759:S759" si="772">+F759</f>
        <v>0</v>
      </c>
      <c r="R759" s="653">
        <f t="shared" si="772"/>
        <v>0</v>
      </c>
      <c r="S759" s="654">
        <f t="shared" si="772"/>
        <v>0</v>
      </c>
      <c r="T759" s="656" t="e">
        <f>+VLOOKUP($L759,Data_Validation!$A:$D,1,0)</f>
        <v>#N/A</v>
      </c>
      <c r="U759" s="656" t="e">
        <f>+VLOOKUP($L759,Data_Validation!$A:$D,3,0)</f>
        <v>#N/A</v>
      </c>
      <c r="V759" s="656" t="e">
        <f>+VLOOKUP($L759,Data_Validation!$A:$D,4,0)</f>
        <v>#N/A</v>
      </c>
      <c r="W759" s="656" t="e">
        <f>+VLOOKUP($L759,Data_Validation!$A:$E,5,0)</f>
        <v>#N/A</v>
      </c>
    </row>
    <row r="760" spans="1:23" ht="15.75" customHeight="1">
      <c r="A760" s="716"/>
      <c r="B760" s="654"/>
      <c r="C760" s="717"/>
      <c r="D760" s="716"/>
      <c r="E760" s="716"/>
      <c r="F760" s="716"/>
      <c r="G760" s="716"/>
      <c r="H760" s="716"/>
      <c r="I760" s="716"/>
      <c r="J760" s="716"/>
      <c r="K760" s="716"/>
      <c r="L760" s="653" t="str">
        <f t="shared" si="719"/>
        <v>0</v>
      </c>
      <c r="M760" s="654">
        <f t="shared" si="520"/>
        <v>0</v>
      </c>
      <c r="N760" s="655">
        <f>+IF(OR($Q760=Parametres!$G$2,$Q760=Parametres!$G$3),I760,C760)</f>
        <v>0</v>
      </c>
      <c r="O760" s="655">
        <f>+IF(OR($Q760=Parametres!$G$2,$Q760=Parametres!$G$3),J760,D760)</f>
        <v>0</v>
      </c>
      <c r="P760" s="655">
        <f>+IF(OR($Q760=Parametres!$G$2,$Q760=Parametres!$G$3),K760,E760)</f>
        <v>0</v>
      </c>
      <c r="Q760" s="654">
        <f t="shared" ref="Q760:S760" si="773">+F760</f>
        <v>0</v>
      </c>
      <c r="R760" s="653">
        <f t="shared" si="773"/>
        <v>0</v>
      </c>
      <c r="S760" s="654">
        <f t="shared" si="773"/>
        <v>0</v>
      </c>
      <c r="T760" s="656" t="e">
        <f>+VLOOKUP($L760,Data_Validation!$A:$D,1,0)</f>
        <v>#N/A</v>
      </c>
      <c r="U760" s="656" t="e">
        <f>+VLOOKUP($L760,Data_Validation!$A:$D,3,0)</f>
        <v>#N/A</v>
      </c>
      <c r="V760" s="656" t="e">
        <f>+VLOOKUP($L760,Data_Validation!$A:$D,4,0)</f>
        <v>#N/A</v>
      </c>
      <c r="W760" s="656" t="e">
        <f>+VLOOKUP($L760,Data_Validation!$A:$E,5,0)</f>
        <v>#N/A</v>
      </c>
    </row>
    <row r="761" spans="1:23" ht="15.75" customHeight="1">
      <c r="A761" s="716"/>
      <c r="B761" s="654"/>
      <c r="C761" s="717"/>
      <c r="D761" s="716"/>
      <c r="E761" s="716"/>
      <c r="F761" s="716"/>
      <c r="G761" s="716"/>
      <c r="H761" s="716"/>
      <c r="I761" s="716"/>
      <c r="J761" s="716"/>
      <c r="K761" s="716"/>
      <c r="L761" s="653" t="str">
        <f t="shared" si="719"/>
        <v>0</v>
      </c>
      <c r="M761" s="654">
        <f t="shared" si="520"/>
        <v>0</v>
      </c>
      <c r="N761" s="655">
        <f>+IF(OR($Q761=Parametres!$G$2,$Q761=Parametres!$G$3),I761,C761)</f>
        <v>0</v>
      </c>
      <c r="O761" s="655">
        <f>+IF(OR($Q761=Parametres!$G$2,$Q761=Parametres!$G$3),J761,D761)</f>
        <v>0</v>
      </c>
      <c r="P761" s="655">
        <f>+IF(OR($Q761=Parametres!$G$2,$Q761=Parametres!$G$3),K761,E761)</f>
        <v>0</v>
      </c>
      <c r="Q761" s="654">
        <f t="shared" ref="Q761:S761" si="774">+F761</f>
        <v>0</v>
      </c>
      <c r="R761" s="653">
        <f t="shared" si="774"/>
        <v>0</v>
      </c>
      <c r="S761" s="654">
        <f t="shared" si="774"/>
        <v>0</v>
      </c>
      <c r="T761" s="656" t="e">
        <f>+VLOOKUP($L761,Data_Validation!$A:$D,1,0)</f>
        <v>#N/A</v>
      </c>
      <c r="U761" s="656" t="e">
        <f>+VLOOKUP($L761,Data_Validation!$A:$D,3,0)</f>
        <v>#N/A</v>
      </c>
      <c r="V761" s="656" t="e">
        <f>+VLOOKUP($L761,Data_Validation!$A:$D,4,0)</f>
        <v>#N/A</v>
      </c>
      <c r="W761" s="656" t="e">
        <f>+VLOOKUP($L761,Data_Validation!$A:$E,5,0)</f>
        <v>#N/A</v>
      </c>
    </row>
    <row r="762" spans="1:23" ht="15.75" customHeight="1">
      <c r="A762" s="716"/>
      <c r="B762" s="654"/>
      <c r="C762" s="717"/>
      <c r="D762" s="716"/>
      <c r="E762" s="716"/>
      <c r="F762" s="716"/>
      <c r="G762" s="716"/>
      <c r="H762" s="716"/>
      <c r="I762" s="716"/>
      <c r="J762" s="716"/>
      <c r="K762" s="716"/>
      <c r="L762" s="653" t="str">
        <f t="shared" si="719"/>
        <v>0</v>
      </c>
      <c r="M762" s="654">
        <f t="shared" si="520"/>
        <v>0</v>
      </c>
      <c r="N762" s="655">
        <f>+IF(OR($Q762=Parametres!$G$2,$Q762=Parametres!$G$3),I762,C762)</f>
        <v>0</v>
      </c>
      <c r="O762" s="655">
        <f>+IF(OR($Q762=Parametres!$G$2,$Q762=Parametres!$G$3),J762,D762)</f>
        <v>0</v>
      </c>
      <c r="P762" s="655">
        <f>+IF(OR($Q762=Parametres!$G$2,$Q762=Parametres!$G$3),K762,E762)</f>
        <v>0</v>
      </c>
      <c r="Q762" s="654">
        <f t="shared" ref="Q762:S762" si="775">+F762</f>
        <v>0</v>
      </c>
      <c r="R762" s="653">
        <f t="shared" si="775"/>
        <v>0</v>
      </c>
      <c r="S762" s="654">
        <f t="shared" si="775"/>
        <v>0</v>
      </c>
      <c r="T762" s="656" t="e">
        <f>+VLOOKUP($L762,Data_Validation!$A:$D,1,0)</f>
        <v>#N/A</v>
      </c>
      <c r="U762" s="656" t="e">
        <f>+VLOOKUP($L762,Data_Validation!$A:$D,3,0)</f>
        <v>#N/A</v>
      </c>
      <c r="V762" s="656" t="e">
        <f>+VLOOKUP($L762,Data_Validation!$A:$D,4,0)</f>
        <v>#N/A</v>
      </c>
      <c r="W762" s="656" t="e">
        <f>+VLOOKUP($L762,Data_Validation!$A:$E,5,0)</f>
        <v>#N/A</v>
      </c>
    </row>
    <row r="763" spans="1:23" ht="15.75" customHeight="1">
      <c r="A763" s="716"/>
      <c r="B763" s="654"/>
      <c r="C763" s="717"/>
      <c r="D763" s="716"/>
      <c r="E763" s="716"/>
      <c r="F763" s="716"/>
      <c r="G763" s="716"/>
      <c r="H763" s="716"/>
      <c r="I763" s="716"/>
      <c r="J763" s="716"/>
      <c r="K763" s="716"/>
      <c r="L763" s="653" t="str">
        <f t="shared" si="719"/>
        <v>0</v>
      </c>
      <c r="M763" s="654">
        <f t="shared" si="520"/>
        <v>0</v>
      </c>
      <c r="N763" s="655">
        <f>+IF(OR($Q763=Parametres!$G$2,$Q763=Parametres!$G$3),I763,C763)</f>
        <v>0</v>
      </c>
      <c r="O763" s="655">
        <f>+IF(OR($Q763=Parametres!$G$2,$Q763=Parametres!$G$3),J763,D763)</f>
        <v>0</v>
      </c>
      <c r="P763" s="655">
        <f>+IF(OR($Q763=Parametres!$G$2,$Q763=Parametres!$G$3),K763,E763)</f>
        <v>0</v>
      </c>
      <c r="Q763" s="654">
        <f t="shared" ref="Q763:S763" si="776">+F763</f>
        <v>0</v>
      </c>
      <c r="R763" s="653">
        <f t="shared" si="776"/>
        <v>0</v>
      </c>
      <c r="S763" s="654">
        <f t="shared" si="776"/>
        <v>0</v>
      </c>
      <c r="T763" s="656" t="e">
        <f>+VLOOKUP($L763,Data_Validation!$A:$D,1,0)</f>
        <v>#N/A</v>
      </c>
      <c r="U763" s="656" t="e">
        <f>+VLOOKUP($L763,Data_Validation!$A:$D,3,0)</f>
        <v>#N/A</v>
      </c>
      <c r="V763" s="656" t="e">
        <f>+VLOOKUP($L763,Data_Validation!$A:$D,4,0)</f>
        <v>#N/A</v>
      </c>
      <c r="W763" s="656" t="e">
        <f>+VLOOKUP($L763,Data_Validation!$A:$E,5,0)</f>
        <v>#N/A</v>
      </c>
    </row>
    <row r="764" spans="1:23" ht="15.75" customHeight="1">
      <c r="A764" s="716"/>
      <c r="B764" s="654"/>
      <c r="C764" s="717"/>
      <c r="D764" s="716"/>
      <c r="E764" s="716"/>
      <c r="F764" s="716"/>
      <c r="G764" s="716"/>
      <c r="H764" s="716"/>
      <c r="I764" s="716"/>
      <c r="J764" s="716"/>
      <c r="K764" s="716"/>
      <c r="L764" s="653" t="str">
        <f t="shared" si="719"/>
        <v>0</v>
      </c>
      <c r="M764" s="654">
        <f t="shared" si="520"/>
        <v>0</v>
      </c>
      <c r="N764" s="655">
        <f>+IF(OR($Q764=Parametres!$G$2,$Q764=Parametres!$G$3),I764,C764)</f>
        <v>0</v>
      </c>
      <c r="O764" s="655">
        <f>+IF(OR($Q764=Parametres!$G$2,$Q764=Parametres!$G$3),J764,D764)</f>
        <v>0</v>
      </c>
      <c r="P764" s="655">
        <f>+IF(OR($Q764=Parametres!$G$2,$Q764=Parametres!$G$3),K764,E764)</f>
        <v>0</v>
      </c>
      <c r="Q764" s="654">
        <f t="shared" ref="Q764:S764" si="777">+F764</f>
        <v>0</v>
      </c>
      <c r="R764" s="653">
        <f t="shared" si="777"/>
        <v>0</v>
      </c>
      <c r="S764" s="654">
        <f t="shared" si="777"/>
        <v>0</v>
      </c>
      <c r="T764" s="656" t="e">
        <f>+VLOOKUP($L764,Data_Validation!$A:$D,1,0)</f>
        <v>#N/A</v>
      </c>
      <c r="U764" s="656" t="e">
        <f>+VLOOKUP($L764,Data_Validation!$A:$D,3,0)</f>
        <v>#N/A</v>
      </c>
      <c r="V764" s="656" t="e">
        <f>+VLOOKUP($L764,Data_Validation!$A:$D,4,0)</f>
        <v>#N/A</v>
      </c>
      <c r="W764" s="656" t="e">
        <f>+VLOOKUP($L764,Data_Validation!$A:$E,5,0)</f>
        <v>#N/A</v>
      </c>
    </row>
    <row r="765" spans="1:23" ht="15.75" customHeight="1">
      <c r="A765" s="716"/>
      <c r="B765" s="654"/>
      <c r="C765" s="717"/>
      <c r="D765" s="716"/>
      <c r="E765" s="716"/>
      <c r="F765" s="716"/>
      <c r="G765" s="716"/>
      <c r="H765" s="716"/>
      <c r="I765" s="716"/>
      <c r="J765" s="716"/>
      <c r="K765" s="716"/>
      <c r="L765" s="653" t="str">
        <f t="shared" si="719"/>
        <v>0</v>
      </c>
      <c r="M765" s="654">
        <f t="shared" si="520"/>
        <v>0</v>
      </c>
      <c r="N765" s="655">
        <f>+IF(OR($Q765=Parametres!$G$2,$Q765=Parametres!$G$3),I765,C765)</f>
        <v>0</v>
      </c>
      <c r="O765" s="655">
        <f>+IF(OR($Q765=Parametres!$G$2,$Q765=Parametres!$G$3),J765,D765)</f>
        <v>0</v>
      </c>
      <c r="P765" s="655">
        <f>+IF(OR($Q765=Parametres!$G$2,$Q765=Parametres!$G$3),K765,E765)</f>
        <v>0</v>
      </c>
      <c r="Q765" s="654">
        <f t="shared" ref="Q765:S765" si="778">+F765</f>
        <v>0</v>
      </c>
      <c r="R765" s="653">
        <f t="shared" si="778"/>
        <v>0</v>
      </c>
      <c r="S765" s="654">
        <f t="shared" si="778"/>
        <v>0</v>
      </c>
      <c r="T765" s="656" t="e">
        <f>+VLOOKUP($L765,Data_Validation!$A:$D,1,0)</f>
        <v>#N/A</v>
      </c>
      <c r="U765" s="656" t="e">
        <f>+VLOOKUP($L765,Data_Validation!$A:$D,3,0)</f>
        <v>#N/A</v>
      </c>
      <c r="V765" s="656" t="e">
        <f>+VLOOKUP($L765,Data_Validation!$A:$D,4,0)</f>
        <v>#N/A</v>
      </c>
      <c r="W765" s="656" t="e">
        <f>+VLOOKUP($L765,Data_Validation!$A:$E,5,0)</f>
        <v>#N/A</v>
      </c>
    </row>
    <row r="766" spans="1:23" ht="15.75" customHeight="1">
      <c r="A766" s="716"/>
      <c r="B766" s="654"/>
      <c r="C766" s="717"/>
      <c r="D766" s="716"/>
      <c r="E766" s="716"/>
      <c r="F766" s="716"/>
      <c r="G766" s="716"/>
      <c r="H766" s="716"/>
      <c r="I766" s="716"/>
      <c r="J766" s="716"/>
      <c r="K766" s="716"/>
      <c r="L766" s="653" t="str">
        <f t="shared" si="719"/>
        <v>0</v>
      </c>
      <c r="M766" s="654">
        <f t="shared" si="520"/>
        <v>0</v>
      </c>
      <c r="N766" s="655">
        <f>+IF(OR($Q766=Parametres!$G$2,$Q766=Parametres!$G$3),I766,C766)</f>
        <v>0</v>
      </c>
      <c r="O766" s="655">
        <f>+IF(OR($Q766=Parametres!$G$2,$Q766=Parametres!$G$3),J766,D766)</f>
        <v>0</v>
      </c>
      <c r="P766" s="655">
        <f>+IF(OR($Q766=Parametres!$G$2,$Q766=Parametres!$G$3),K766,E766)</f>
        <v>0</v>
      </c>
      <c r="Q766" s="654">
        <f t="shared" ref="Q766:S766" si="779">+F766</f>
        <v>0</v>
      </c>
      <c r="R766" s="653">
        <f t="shared" si="779"/>
        <v>0</v>
      </c>
      <c r="S766" s="654">
        <f t="shared" si="779"/>
        <v>0</v>
      </c>
      <c r="T766" s="656" t="e">
        <f>+VLOOKUP($L766,Data_Validation!$A:$D,1,0)</f>
        <v>#N/A</v>
      </c>
      <c r="U766" s="656" t="e">
        <f>+VLOOKUP($L766,Data_Validation!$A:$D,3,0)</f>
        <v>#N/A</v>
      </c>
      <c r="V766" s="656" t="e">
        <f>+VLOOKUP($L766,Data_Validation!$A:$D,4,0)</f>
        <v>#N/A</v>
      </c>
      <c r="W766" s="656" t="e">
        <f>+VLOOKUP($L766,Data_Validation!$A:$E,5,0)</f>
        <v>#N/A</v>
      </c>
    </row>
    <row r="767" spans="1:23" ht="15.75" customHeight="1">
      <c r="A767" s="716"/>
      <c r="B767" s="654"/>
      <c r="C767" s="717"/>
      <c r="D767" s="716"/>
      <c r="E767" s="716"/>
      <c r="F767" s="716"/>
      <c r="G767" s="716"/>
      <c r="H767" s="716"/>
      <c r="I767" s="716"/>
      <c r="J767" s="716"/>
      <c r="K767" s="716"/>
      <c r="L767" s="653" t="str">
        <f t="shared" si="719"/>
        <v>0</v>
      </c>
      <c r="M767" s="654">
        <f t="shared" ref="M767:M1021" si="780">+A767</f>
        <v>0</v>
      </c>
      <c r="N767" s="655">
        <f>+IF(OR($Q767=Parametres!$G$2,$Q767=Parametres!$G$3),I767,C767)</f>
        <v>0</v>
      </c>
      <c r="O767" s="655">
        <f>+IF(OR($Q767=Parametres!$G$2,$Q767=Parametres!$G$3),J767,D767)</f>
        <v>0</v>
      </c>
      <c r="P767" s="655">
        <f>+IF(OR($Q767=Parametres!$G$2,$Q767=Parametres!$G$3),K767,E767)</f>
        <v>0</v>
      </c>
      <c r="Q767" s="654">
        <f t="shared" ref="Q767:S767" si="781">+F767</f>
        <v>0</v>
      </c>
      <c r="R767" s="653">
        <f t="shared" si="781"/>
        <v>0</v>
      </c>
      <c r="S767" s="654">
        <f t="shared" si="781"/>
        <v>0</v>
      </c>
      <c r="T767" s="656" t="e">
        <f>+VLOOKUP($L767,Data_Validation!$A:$D,1,0)</f>
        <v>#N/A</v>
      </c>
      <c r="U767" s="656" t="e">
        <f>+VLOOKUP($L767,Data_Validation!$A:$D,3,0)</f>
        <v>#N/A</v>
      </c>
      <c r="V767" s="656" t="e">
        <f>+VLOOKUP($L767,Data_Validation!$A:$D,4,0)</f>
        <v>#N/A</v>
      </c>
      <c r="W767" s="656" t="e">
        <f>+VLOOKUP($L767,Data_Validation!$A:$E,5,0)</f>
        <v>#N/A</v>
      </c>
    </row>
    <row r="768" spans="1:23" ht="15.75" customHeight="1">
      <c r="A768" s="716"/>
      <c r="B768" s="654"/>
      <c r="C768" s="717"/>
      <c r="D768" s="716"/>
      <c r="E768" s="716"/>
      <c r="F768" s="716"/>
      <c r="G768" s="716"/>
      <c r="H768" s="716"/>
      <c r="I768" s="716"/>
      <c r="J768" s="716"/>
      <c r="K768" s="716"/>
      <c r="L768" s="653" t="str">
        <f t="shared" si="719"/>
        <v>0</v>
      </c>
      <c r="M768" s="654">
        <f t="shared" si="780"/>
        <v>0</v>
      </c>
      <c r="N768" s="655">
        <f>+IF(OR($Q768=Parametres!$G$2,$Q768=Parametres!$G$3),I768,C768)</f>
        <v>0</v>
      </c>
      <c r="O768" s="655">
        <f>+IF(OR($Q768=Parametres!$G$2,$Q768=Parametres!$G$3),J768,D768)</f>
        <v>0</v>
      </c>
      <c r="P768" s="655">
        <f>+IF(OR($Q768=Parametres!$G$2,$Q768=Parametres!$G$3),K768,E768)</f>
        <v>0</v>
      </c>
      <c r="Q768" s="654">
        <f t="shared" ref="Q768:S768" si="782">+F768</f>
        <v>0</v>
      </c>
      <c r="R768" s="653">
        <f t="shared" si="782"/>
        <v>0</v>
      </c>
      <c r="S768" s="654">
        <f t="shared" si="782"/>
        <v>0</v>
      </c>
      <c r="T768" s="656" t="e">
        <f>+VLOOKUP($L768,Data_Validation!$A:$D,1,0)</f>
        <v>#N/A</v>
      </c>
      <c r="U768" s="656" t="e">
        <f>+VLOOKUP($L768,Data_Validation!$A:$D,3,0)</f>
        <v>#N/A</v>
      </c>
      <c r="V768" s="656" t="e">
        <f>+VLOOKUP($L768,Data_Validation!$A:$D,4,0)</f>
        <v>#N/A</v>
      </c>
      <c r="W768" s="656" t="e">
        <f>+VLOOKUP($L768,Data_Validation!$A:$E,5,0)</f>
        <v>#N/A</v>
      </c>
    </row>
    <row r="769" spans="1:23" ht="15.75" customHeight="1">
      <c r="A769" s="716"/>
      <c r="B769" s="654"/>
      <c r="C769" s="717"/>
      <c r="D769" s="716"/>
      <c r="E769" s="716"/>
      <c r="F769" s="716"/>
      <c r="G769" s="716"/>
      <c r="H769" s="716"/>
      <c r="I769" s="716"/>
      <c r="J769" s="716"/>
      <c r="K769" s="716"/>
      <c r="L769" s="653" t="str">
        <f t="shared" si="719"/>
        <v>0</v>
      </c>
      <c r="M769" s="654">
        <f t="shared" si="780"/>
        <v>0</v>
      </c>
      <c r="N769" s="655">
        <f>+IF(OR($Q769=Parametres!$G$2,$Q769=Parametres!$G$3),I769,C769)</f>
        <v>0</v>
      </c>
      <c r="O769" s="655">
        <f>+IF(OR($Q769=Parametres!$G$2,$Q769=Parametres!$G$3),J769,D769)</f>
        <v>0</v>
      </c>
      <c r="P769" s="655">
        <f>+IF(OR($Q769=Parametres!$G$2,$Q769=Parametres!$G$3),K769,E769)</f>
        <v>0</v>
      </c>
      <c r="Q769" s="654">
        <f t="shared" ref="Q769:S769" si="783">+F769</f>
        <v>0</v>
      </c>
      <c r="R769" s="653">
        <f t="shared" si="783"/>
        <v>0</v>
      </c>
      <c r="S769" s="654">
        <f t="shared" si="783"/>
        <v>0</v>
      </c>
      <c r="T769" s="656" t="e">
        <f>+VLOOKUP($L769,Data_Validation!$A:$D,1,0)</f>
        <v>#N/A</v>
      </c>
      <c r="U769" s="656" t="e">
        <f>+VLOOKUP($L769,Data_Validation!$A:$D,3,0)</f>
        <v>#N/A</v>
      </c>
      <c r="V769" s="656" t="e">
        <f>+VLOOKUP($L769,Data_Validation!$A:$D,4,0)</f>
        <v>#N/A</v>
      </c>
      <c r="W769" s="656" t="e">
        <f>+VLOOKUP($L769,Data_Validation!$A:$E,5,0)</f>
        <v>#N/A</v>
      </c>
    </row>
    <row r="770" spans="1:23" ht="15.75" customHeight="1">
      <c r="A770" s="716"/>
      <c r="B770" s="654"/>
      <c r="C770" s="717"/>
      <c r="D770" s="716"/>
      <c r="E770" s="716"/>
      <c r="F770" s="716"/>
      <c r="G770" s="716"/>
      <c r="H770" s="716"/>
      <c r="I770" s="716"/>
      <c r="J770" s="716"/>
      <c r="K770" s="716"/>
      <c r="L770" s="653" t="str">
        <f t="shared" si="719"/>
        <v>0</v>
      </c>
      <c r="M770" s="654">
        <f t="shared" si="780"/>
        <v>0</v>
      </c>
      <c r="N770" s="655">
        <f>+IF(OR($Q770=Parametres!$G$2,$Q770=Parametres!$G$3),I770,C770)</f>
        <v>0</v>
      </c>
      <c r="O770" s="655">
        <f>+IF(OR($Q770=Parametres!$G$2,$Q770=Parametres!$G$3),J770,D770)</f>
        <v>0</v>
      </c>
      <c r="P770" s="655">
        <f>+IF(OR($Q770=Parametres!$G$2,$Q770=Parametres!$G$3),K770,E770)</f>
        <v>0</v>
      </c>
      <c r="Q770" s="654">
        <f t="shared" ref="Q770:S770" si="784">+F770</f>
        <v>0</v>
      </c>
      <c r="R770" s="653">
        <f t="shared" si="784"/>
        <v>0</v>
      </c>
      <c r="S770" s="654">
        <f t="shared" si="784"/>
        <v>0</v>
      </c>
      <c r="T770" s="656" t="e">
        <f>+VLOOKUP($L770,Data_Validation!$A:$D,1,0)</f>
        <v>#N/A</v>
      </c>
      <c r="U770" s="656" t="e">
        <f>+VLOOKUP($L770,Data_Validation!$A:$D,3,0)</f>
        <v>#N/A</v>
      </c>
      <c r="V770" s="656" t="e">
        <f>+VLOOKUP($L770,Data_Validation!$A:$D,4,0)</f>
        <v>#N/A</v>
      </c>
      <c r="W770" s="656" t="e">
        <f>+VLOOKUP($L770,Data_Validation!$A:$E,5,0)</f>
        <v>#N/A</v>
      </c>
    </row>
    <row r="771" spans="1:23" ht="15.75" customHeight="1">
      <c r="A771" s="716"/>
      <c r="B771" s="654"/>
      <c r="C771" s="717"/>
      <c r="D771" s="716"/>
      <c r="E771" s="716"/>
      <c r="F771" s="716"/>
      <c r="G771" s="716"/>
      <c r="H771" s="716"/>
      <c r="I771" s="716"/>
      <c r="J771" s="716"/>
      <c r="K771" s="716"/>
      <c r="L771" s="653" t="str">
        <f t="shared" ref="L771:L834" si="785">TEXT(B771,0)</f>
        <v>0</v>
      </c>
      <c r="M771" s="654">
        <f t="shared" si="780"/>
        <v>0</v>
      </c>
      <c r="N771" s="655">
        <f>+IF(OR($Q771=Parametres!$G$2,$Q771=Parametres!$G$3),I771,C771)</f>
        <v>0</v>
      </c>
      <c r="O771" s="655">
        <f>+IF(OR($Q771=Parametres!$G$2,$Q771=Parametres!$G$3),J771,D771)</f>
        <v>0</v>
      </c>
      <c r="P771" s="655">
        <f>+IF(OR($Q771=Parametres!$G$2,$Q771=Parametres!$G$3),K771,E771)</f>
        <v>0</v>
      </c>
      <c r="Q771" s="654">
        <f t="shared" ref="Q771:S771" si="786">+F771</f>
        <v>0</v>
      </c>
      <c r="R771" s="653">
        <f t="shared" si="786"/>
        <v>0</v>
      </c>
      <c r="S771" s="654">
        <f t="shared" si="786"/>
        <v>0</v>
      </c>
      <c r="T771" s="656" t="e">
        <f>+VLOOKUP($L771,Data_Validation!$A:$D,1,0)</f>
        <v>#N/A</v>
      </c>
      <c r="U771" s="656" t="e">
        <f>+VLOOKUP($L771,Data_Validation!$A:$D,3,0)</f>
        <v>#N/A</v>
      </c>
      <c r="V771" s="656" t="e">
        <f>+VLOOKUP($L771,Data_Validation!$A:$D,4,0)</f>
        <v>#N/A</v>
      </c>
      <c r="W771" s="656" t="e">
        <f>+VLOOKUP($L771,Data_Validation!$A:$E,5,0)</f>
        <v>#N/A</v>
      </c>
    </row>
    <row r="772" spans="1:23" ht="15.75" customHeight="1">
      <c r="A772" s="716"/>
      <c r="B772" s="654"/>
      <c r="C772" s="717"/>
      <c r="D772" s="716"/>
      <c r="E772" s="716"/>
      <c r="F772" s="716"/>
      <c r="G772" s="716"/>
      <c r="H772" s="716"/>
      <c r="I772" s="716"/>
      <c r="J772" s="716"/>
      <c r="K772" s="716"/>
      <c r="L772" s="653" t="str">
        <f t="shared" si="785"/>
        <v>0</v>
      </c>
      <c r="M772" s="654">
        <f t="shared" si="780"/>
        <v>0</v>
      </c>
      <c r="N772" s="655">
        <f>+IF(OR($Q772=Parametres!$G$2,$Q772=Parametres!$G$3),I772,C772)</f>
        <v>0</v>
      </c>
      <c r="O772" s="655">
        <f>+IF(OR($Q772=Parametres!$G$2,$Q772=Parametres!$G$3),J772,D772)</f>
        <v>0</v>
      </c>
      <c r="P772" s="655">
        <f>+IF(OR($Q772=Parametres!$G$2,$Q772=Parametres!$G$3),K772,E772)</f>
        <v>0</v>
      </c>
      <c r="Q772" s="654">
        <f t="shared" ref="Q772:S772" si="787">+F772</f>
        <v>0</v>
      </c>
      <c r="R772" s="653">
        <f t="shared" si="787"/>
        <v>0</v>
      </c>
      <c r="S772" s="654">
        <f t="shared" si="787"/>
        <v>0</v>
      </c>
      <c r="T772" s="656" t="e">
        <f>+VLOOKUP($L772,Data_Validation!$A:$D,1,0)</f>
        <v>#N/A</v>
      </c>
      <c r="U772" s="656" t="e">
        <f>+VLOOKUP($L772,Data_Validation!$A:$D,3,0)</f>
        <v>#N/A</v>
      </c>
      <c r="V772" s="656" t="e">
        <f>+VLOOKUP($L772,Data_Validation!$A:$D,4,0)</f>
        <v>#N/A</v>
      </c>
      <c r="W772" s="656" t="e">
        <f>+VLOOKUP($L772,Data_Validation!$A:$E,5,0)</f>
        <v>#N/A</v>
      </c>
    </row>
    <row r="773" spans="1:23" ht="15.75" customHeight="1">
      <c r="A773" s="716"/>
      <c r="B773" s="654"/>
      <c r="C773" s="717"/>
      <c r="D773" s="716"/>
      <c r="E773" s="716"/>
      <c r="F773" s="716"/>
      <c r="G773" s="716"/>
      <c r="H773" s="716"/>
      <c r="I773" s="716"/>
      <c r="J773" s="716"/>
      <c r="K773" s="716"/>
      <c r="L773" s="653" t="str">
        <f t="shared" si="785"/>
        <v>0</v>
      </c>
      <c r="M773" s="654">
        <f t="shared" si="780"/>
        <v>0</v>
      </c>
      <c r="N773" s="655">
        <f>+IF(OR($Q773=Parametres!$G$2,$Q773=Parametres!$G$3),I773,C773)</f>
        <v>0</v>
      </c>
      <c r="O773" s="655">
        <f>+IF(OR($Q773=Parametres!$G$2,$Q773=Parametres!$G$3),J773,D773)</f>
        <v>0</v>
      </c>
      <c r="P773" s="655">
        <f>+IF(OR($Q773=Parametres!$G$2,$Q773=Parametres!$G$3),K773,E773)</f>
        <v>0</v>
      </c>
      <c r="Q773" s="654">
        <f t="shared" ref="Q773:S773" si="788">+F773</f>
        <v>0</v>
      </c>
      <c r="R773" s="653">
        <f t="shared" si="788"/>
        <v>0</v>
      </c>
      <c r="S773" s="654">
        <f t="shared" si="788"/>
        <v>0</v>
      </c>
      <c r="T773" s="656" t="e">
        <f>+VLOOKUP($L773,Data_Validation!$A:$D,1,0)</f>
        <v>#N/A</v>
      </c>
      <c r="U773" s="656" t="e">
        <f>+VLOOKUP($L773,Data_Validation!$A:$D,3,0)</f>
        <v>#N/A</v>
      </c>
      <c r="V773" s="656" t="e">
        <f>+VLOOKUP($L773,Data_Validation!$A:$D,4,0)</f>
        <v>#N/A</v>
      </c>
      <c r="W773" s="656" t="e">
        <f>+VLOOKUP($L773,Data_Validation!$A:$E,5,0)</f>
        <v>#N/A</v>
      </c>
    </row>
    <row r="774" spans="1:23" ht="15.75" customHeight="1">
      <c r="A774" s="716"/>
      <c r="B774" s="654"/>
      <c r="C774" s="717"/>
      <c r="D774" s="716"/>
      <c r="E774" s="716"/>
      <c r="F774" s="716"/>
      <c r="G774" s="716"/>
      <c r="H774" s="716"/>
      <c r="I774" s="716"/>
      <c r="J774" s="716"/>
      <c r="K774" s="716"/>
      <c r="L774" s="653" t="str">
        <f t="shared" si="785"/>
        <v>0</v>
      </c>
      <c r="M774" s="654">
        <f t="shared" si="780"/>
        <v>0</v>
      </c>
      <c r="N774" s="655">
        <f>+IF(OR($Q774=Parametres!$G$2,$Q774=Parametres!$G$3),I774,C774)</f>
        <v>0</v>
      </c>
      <c r="O774" s="655">
        <f>+IF(OR($Q774=Parametres!$G$2,$Q774=Parametres!$G$3),J774,D774)</f>
        <v>0</v>
      </c>
      <c r="P774" s="655">
        <f>+IF(OR($Q774=Parametres!$G$2,$Q774=Parametres!$G$3),K774,E774)</f>
        <v>0</v>
      </c>
      <c r="Q774" s="654">
        <f t="shared" ref="Q774:S774" si="789">+F774</f>
        <v>0</v>
      </c>
      <c r="R774" s="653">
        <f t="shared" si="789"/>
        <v>0</v>
      </c>
      <c r="S774" s="654">
        <f t="shared" si="789"/>
        <v>0</v>
      </c>
      <c r="T774" s="656" t="e">
        <f>+VLOOKUP($L774,Data_Validation!$A:$D,1,0)</f>
        <v>#N/A</v>
      </c>
      <c r="U774" s="656" t="e">
        <f>+VLOOKUP($L774,Data_Validation!$A:$D,3,0)</f>
        <v>#N/A</v>
      </c>
      <c r="V774" s="656" t="e">
        <f>+VLOOKUP($L774,Data_Validation!$A:$D,4,0)</f>
        <v>#N/A</v>
      </c>
      <c r="W774" s="656" t="e">
        <f>+VLOOKUP($L774,Data_Validation!$A:$E,5,0)</f>
        <v>#N/A</v>
      </c>
    </row>
    <row r="775" spans="1:23" ht="15.75" customHeight="1">
      <c r="A775" s="716"/>
      <c r="B775" s="654"/>
      <c r="C775" s="717"/>
      <c r="D775" s="716"/>
      <c r="E775" s="716"/>
      <c r="F775" s="716"/>
      <c r="G775" s="716"/>
      <c r="H775" s="716"/>
      <c r="I775" s="716"/>
      <c r="J775" s="716"/>
      <c r="K775" s="716"/>
      <c r="L775" s="653" t="str">
        <f t="shared" si="785"/>
        <v>0</v>
      </c>
      <c r="M775" s="654">
        <f t="shared" si="780"/>
        <v>0</v>
      </c>
      <c r="N775" s="655">
        <f>+IF(OR($Q775=Parametres!$G$2,$Q775=Parametres!$G$3),I775,C775)</f>
        <v>0</v>
      </c>
      <c r="O775" s="655">
        <f>+IF(OR($Q775=Parametres!$G$2,$Q775=Parametres!$G$3),J775,D775)</f>
        <v>0</v>
      </c>
      <c r="P775" s="655">
        <f>+IF(OR($Q775=Parametres!$G$2,$Q775=Parametres!$G$3),K775,E775)</f>
        <v>0</v>
      </c>
      <c r="Q775" s="654">
        <f t="shared" ref="Q775:S775" si="790">+F775</f>
        <v>0</v>
      </c>
      <c r="R775" s="653">
        <f t="shared" si="790"/>
        <v>0</v>
      </c>
      <c r="S775" s="654">
        <f t="shared" si="790"/>
        <v>0</v>
      </c>
      <c r="T775" s="656" t="e">
        <f>+VLOOKUP($L775,Data_Validation!$A:$D,1,0)</f>
        <v>#N/A</v>
      </c>
      <c r="U775" s="656" t="e">
        <f>+VLOOKUP($L775,Data_Validation!$A:$D,3,0)</f>
        <v>#N/A</v>
      </c>
      <c r="V775" s="656" t="e">
        <f>+VLOOKUP($L775,Data_Validation!$A:$D,4,0)</f>
        <v>#N/A</v>
      </c>
      <c r="W775" s="656" t="e">
        <f>+VLOOKUP($L775,Data_Validation!$A:$E,5,0)</f>
        <v>#N/A</v>
      </c>
    </row>
    <row r="776" spans="1:23" ht="15.75" customHeight="1">
      <c r="A776" s="716"/>
      <c r="B776" s="654"/>
      <c r="C776" s="717"/>
      <c r="D776" s="716"/>
      <c r="E776" s="716"/>
      <c r="F776" s="716"/>
      <c r="G776" s="716"/>
      <c r="H776" s="716"/>
      <c r="I776" s="716"/>
      <c r="J776" s="716"/>
      <c r="K776" s="716"/>
      <c r="L776" s="653" t="str">
        <f t="shared" si="785"/>
        <v>0</v>
      </c>
      <c r="M776" s="654">
        <f t="shared" si="780"/>
        <v>0</v>
      </c>
      <c r="N776" s="655">
        <f>+IF(OR($Q776=Parametres!$G$2,$Q776=Parametres!$G$3),I776,C776)</f>
        <v>0</v>
      </c>
      <c r="O776" s="655">
        <f>+IF(OR($Q776=Parametres!$G$2,$Q776=Parametres!$G$3),J776,D776)</f>
        <v>0</v>
      </c>
      <c r="P776" s="655">
        <f>+IF(OR($Q776=Parametres!$G$2,$Q776=Parametres!$G$3),K776,E776)</f>
        <v>0</v>
      </c>
      <c r="Q776" s="654">
        <f t="shared" ref="Q776:S776" si="791">+F776</f>
        <v>0</v>
      </c>
      <c r="R776" s="653">
        <f t="shared" si="791"/>
        <v>0</v>
      </c>
      <c r="S776" s="654">
        <f t="shared" si="791"/>
        <v>0</v>
      </c>
      <c r="T776" s="656" t="e">
        <f>+VLOOKUP($L776,Data_Validation!$A:$D,1,0)</f>
        <v>#N/A</v>
      </c>
      <c r="U776" s="656" t="e">
        <f>+VLOOKUP($L776,Data_Validation!$A:$D,3,0)</f>
        <v>#N/A</v>
      </c>
      <c r="V776" s="656" t="e">
        <f>+VLOOKUP($L776,Data_Validation!$A:$D,4,0)</f>
        <v>#N/A</v>
      </c>
      <c r="W776" s="656" t="e">
        <f>+VLOOKUP($L776,Data_Validation!$A:$E,5,0)</f>
        <v>#N/A</v>
      </c>
    </row>
    <row r="777" spans="1:23" ht="15.75" customHeight="1">
      <c r="A777" s="716"/>
      <c r="B777" s="654"/>
      <c r="C777" s="717"/>
      <c r="D777" s="716"/>
      <c r="E777" s="716"/>
      <c r="F777" s="716"/>
      <c r="G777" s="716"/>
      <c r="H777" s="716"/>
      <c r="I777" s="716"/>
      <c r="J777" s="716"/>
      <c r="K777" s="716"/>
      <c r="L777" s="653" t="str">
        <f t="shared" si="785"/>
        <v>0</v>
      </c>
      <c r="M777" s="654">
        <f t="shared" si="780"/>
        <v>0</v>
      </c>
      <c r="N777" s="655">
        <f>+IF(OR($Q777=Parametres!$G$2,$Q777=Parametres!$G$3),I777,C777)</f>
        <v>0</v>
      </c>
      <c r="O777" s="655">
        <f>+IF(OR($Q777=Parametres!$G$2,$Q777=Parametres!$G$3),J777,D777)</f>
        <v>0</v>
      </c>
      <c r="P777" s="655">
        <f>+IF(OR($Q777=Parametres!$G$2,$Q777=Parametres!$G$3),K777,E777)</f>
        <v>0</v>
      </c>
      <c r="Q777" s="654">
        <f t="shared" ref="Q777:S777" si="792">+F777</f>
        <v>0</v>
      </c>
      <c r="R777" s="653">
        <f t="shared" si="792"/>
        <v>0</v>
      </c>
      <c r="S777" s="654">
        <f t="shared" si="792"/>
        <v>0</v>
      </c>
      <c r="T777" s="656" t="e">
        <f>+VLOOKUP($L777,Data_Validation!$A:$D,1,0)</f>
        <v>#N/A</v>
      </c>
      <c r="U777" s="656" t="e">
        <f>+VLOOKUP($L777,Data_Validation!$A:$D,3,0)</f>
        <v>#N/A</v>
      </c>
      <c r="V777" s="656" t="e">
        <f>+VLOOKUP($L777,Data_Validation!$A:$D,4,0)</f>
        <v>#N/A</v>
      </c>
      <c r="W777" s="656" t="e">
        <f>+VLOOKUP($L777,Data_Validation!$A:$E,5,0)</f>
        <v>#N/A</v>
      </c>
    </row>
    <row r="778" spans="1:23" ht="15.75" customHeight="1">
      <c r="A778" s="716"/>
      <c r="B778" s="654"/>
      <c r="C778" s="717"/>
      <c r="D778" s="716"/>
      <c r="E778" s="716"/>
      <c r="F778" s="716"/>
      <c r="G778" s="716"/>
      <c r="H778" s="716"/>
      <c r="I778" s="716"/>
      <c r="J778" s="716"/>
      <c r="K778" s="716"/>
      <c r="L778" s="653" t="str">
        <f t="shared" si="785"/>
        <v>0</v>
      </c>
      <c r="M778" s="654">
        <f t="shared" si="780"/>
        <v>0</v>
      </c>
      <c r="N778" s="655">
        <f>+IF(OR($Q778=Parametres!$G$2,$Q778=Parametres!$G$3),I778,C778)</f>
        <v>0</v>
      </c>
      <c r="O778" s="655">
        <f>+IF(OR($Q778=Parametres!$G$2,$Q778=Parametres!$G$3),J778,D778)</f>
        <v>0</v>
      </c>
      <c r="P778" s="655">
        <f>+IF(OR($Q778=Parametres!$G$2,$Q778=Parametres!$G$3),K778,E778)</f>
        <v>0</v>
      </c>
      <c r="Q778" s="654">
        <f t="shared" ref="Q778:S778" si="793">+F778</f>
        <v>0</v>
      </c>
      <c r="R778" s="653">
        <f t="shared" si="793"/>
        <v>0</v>
      </c>
      <c r="S778" s="654">
        <f t="shared" si="793"/>
        <v>0</v>
      </c>
      <c r="T778" s="656" t="e">
        <f>+VLOOKUP($L778,Data_Validation!$A:$D,1,0)</f>
        <v>#N/A</v>
      </c>
      <c r="U778" s="656" t="e">
        <f>+VLOOKUP($L778,Data_Validation!$A:$D,3,0)</f>
        <v>#N/A</v>
      </c>
      <c r="V778" s="656" t="e">
        <f>+VLOOKUP($L778,Data_Validation!$A:$D,4,0)</f>
        <v>#N/A</v>
      </c>
      <c r="W778" s="656" t="e">
        <f>+VLOOKUP($L778,Data_Validation!$A:$E,5,0)</f>
        <v>#N/A</v>
      </c>
    </row>
    <row r="779" spans="1:23" ht="15.75" customHeight="1">
      <c r="A779" s="716"/>
      <c r="B779" s="654"/>
      <c r="C779" s="717"/>
      <c r="D779" s="716"/>
      <c r="E779" s="716"/>
      <c r="F779" s="716"/>
      <c r="G779" s="716"/>
      <c r="H779" s="716"/>
      <c r="I779" s="716"/>
      <c r="J779" s="716"/>
      <c r="K779" s="716"/>
      <c r="L779" s="653" t="str">
        <f t="shared" si="785"/>
        <v>0</v>
      </c>
      <c r="M779" s="654">
        <f t="shared" si="780"/>
        <v>0</v>
      </c>
      <c r="N779" s="655">
        <f>+IF(OR($Q779=Parametres!$G$2,$Q779=Parametres!$G$3),I779,C779)</f>
        <v>0</v>
      </c>
      <c r="O779" s="655">
        <f>+IF(OR($Q779=Parametres!$G$2,$Q779=Parametres!$G$3),J779,D779)</f>
        <v>0</v>
      </c>
      <c r="P779" s="655">
        <f>+IF(OR($Q779=Parametres!$G$2,$Q779=Parametres!$G$3),K779,E779)</f>
        <v>0</v>
      </c>
      <c r="Q779" s="654">
        <f t="shared" ref="Q779:S779" si="794">+F779</f>
        <v>0</v>
      </c>
      <c r="R779" s="653">
        <f t="shared" si="794"/>
        <v>0</v>
      </c>
      <c r="S779" s="654">
        <f t="shared" si="794"/>
        <v>0</v>
      </c>
      <c r="T779" s="656" t="e">
        <f>+VLOOKUP($L779,Data_Validation!$A:$D,1,0)</f>
        <v>#N/A</v>
      </c>
      <c r="U779" s="656" t="e">
        <f>+VLOOKUP($L779,Data_Validation!$A:$D,3,0)</f>
        <v>#N/A</v>
      </c>
      <c r="V779" s="656" t="e">
        <f>+VLOOKUP($L779,Data_Validation!$A:$D,4,0)</f>
        <v>#N/A</v>
      </c>
      <c r="W779" s="656" t="e">
        <f>+VLOOKUP($L779,Data_Validation!$A:$E,5,0)</f>
        <v>#N/A</v>
      </c>
    </row>
    <row r="780" spans="1:23" ht="15.75" customHeight="1">
      <c r="A780" s="716"/>
      <c r="B780" s="654"/>
      <c r="C780" s="717"/>
      <c r="D780" s="716"/>
      <c r="E780" s="716"/>
      <c r="F780" s="716"/>
      <c r="G780" s="716"/>
      <c r="H780" s="716"/>
      <c r="I780" s="716"/>
      <c r="J780" s="716"/>
      <c r="K780" s="716"/>
      <c r="L780" s="653" t="str">
        <f t="shared" si="785"/>
        <v>0</v>
      </c>
      <c r="M780" s="654">
        <f t="shared" si="780"/>
        <v>0</v>
      </c>
      <c r="N780" s="655">
        <f>+IF(OR($Q780=Parametres!$G$2,$Q780=Parametres!$G$3),I780,C780)</f>
        <v>0</v>
      </c>
      <c r="O780" s="655">
        <f>+IF(OR($Q780=Parametres!$G$2,$Q780=Parametres!$G$3),J780,D780)</f>
        <v>0</v>
      </c>
      <c r="P780" s="655">
        <f>+IF(OR($Q780=Parametres!$G$2,$Q780=Parametres!$G$3),K780,E780)</f>
        <v>0</v>
      </c>
      <c r="Q780" s="654">
        <f t="shared" ref="Q780:S780" si="795">+F780</f>
        <v>0</v>
      </c>
      <c r="R780" s="653">
        <f t="shared" si="795"/>
        <v>0</v>
      </c>
      <c r="S780" s="654">
        <f t="shared" si="795"/>
        <v>0</v>
      </c>
      <c r="T780" s="656" t="e">
        <f>+VLOOKUP($L780,Data_Validation!$A:$D,1,0)</f>
        <v>#N/A</v>
      </c>
      <c r="U780" s="656" t="e">
        <f>+VLOOKUP($L780,Data_Validation!$A:$D,3,0)</f>
        <v>#N/A</v>
      </c>
      <c r="V780" s="656" t="e">
        <f>+VLOOKUP($L780,Data_Validation!$A:$D,4,0)</f>
        <v>#N/A</v>
      </c>
      <c r="W780" s="656" t="e">
        <f>+VLOOKUP($L780,Data_Validation!$A:$E,5,0)</f>
        <v>#N/A</v>
      </c>
    </row>
    <row r="781" spans="1:23" ht="15.75" customHeight="1">
      <c r="A781" s="716"/>
      <c r="B781" s="654"/>
      <c r="C781" s="717"/>
      <c r="D781" s="716"/>
      <c r="E781" s="716"/>
      <c r="F781" s="716"/>
      <c r="G781" s="716"/>
      <c r="H781" s="716"/>
      <c r="I781" s="716"/>
      <c r="J781" s="716"/>
      <c r="K781" s="716"/>
      <c r="L781" s="653" t="str">
        <f t="shared" si="785"/>
        <v>0</v>
      </c>
      <c r="M781" s="654">
        <f t="shared" si="780"/>
        <v>0</v>
      </c>
      <c r="N781" s="655">
        <f>+IF(OR($Q781=Parametres!$G$2,$Q781=Parametres!$G$3),I781,C781)</f>
        <v>0</v>
      </c>
      <c r="O781" s="655">
        <f>+IF(OR($Q781=Parametres!$G$2,$Q781=Parametres!$G$3),J781,D781)</f>
        <v>0</v>
      </c>
      <c r="P781" s="655">
        <f>+IF(OR($Q781=Parametres!$G$2,$Q781=Parametres!$G$3),K781,E781)</f>
        <v>0</v>
      </c>
      <c r="Q781" s="654">
        <f t="shared" ref="Q781:S781" si="796">+F781</f>
        <v>0</v>
      </c>
      <c r="R781" s="653">
        <f t="shared" si="796"/>
        <v>0</v>
      </c>
      <c r="S781" s="654">
        <f t="shared" si="796"/>
        <v>0</v>
      </c>
      <c r="T781" s="656" t="e">
        <f>+VLOOKUP($L781,Data_Validation!$A:$D,1,0)</f>
        <v>#N/A</v>
      </c>
      <c r="U781" s="656" t="e">
        <f>+VLOOKUP($L781,Data_Validation!$A:$D,3,0)</f>
        <v>#N/A</v>
      </c>
      <c r="V781" s="656" t="e">
        <f>+VLOOKUP($L781,Data_Validation!$A:$D,4,0)</f>
        <v>#N/A</v>
      </c>
      <c r="W781" s="656" t="e">
        <f>+VLOOKUP($L781,Data_Validation!$A:$E,5,0)</f>
        <v>#N/A</v>
      </c>
    </row>
    <row r="782" spans="1:23" ht="15.75" customHeight="1">
      <c r="A782" s="716"/>
      <c r="B782" s="654"/>
      <c r="C782" s="717"/>
      <c r="D782" s="716"/>
      <c r="E782" s="716"/>
      <c r="F782" s="716"/>
      <c r="G782" s="716"/>
      <c r="H782" s="716"/>
      <c r="I782" s="716"/>
      <c r="J782" s="716"/>
      <c r="K782" s="716"/>
      <c r="L782" s="653" t="str">
        <f t="shared" si="785"/>
        <v>0</v>
      </c>
      <c r="M782" s="654">
        <f t="shared" si="780"/>
        <v>0</v>
      </c>
      <c r="N782" s="655">
        <f>+IF(OR($Q782=Parametres!$G$2,$Q782=Parametres!$G$3),I782,C782)</f>
        <v>0</v>
      </c>
      <c r="O782" s="655">
        <f>+IF(OR($Q782=Parametres!$G$2,$Q782=Parametres!$G$3),J782,D782)</f>
        <v>0</v>
      </c>
      <c r="P782" s="655">
        <f>+IF(OR($Q782=Parametres!$G$2,$Q782=Parametres!$G$3),K782,E782)</f>
        <v>0</v>
      </c>
      <c r="Q782" s="654">
        <f t="shared" ref="Q782:S782" si="797">+F782</f>
        <v>0</v>
      </c>
      <c r="R782" s="653">
        <f t="shared" si="797"/>
        <v>0</v>
      </c>
      <c r="S782" s="654">
        <f t="shared" si="797"/>
        <v>0</v>
      </c>
      <c r="T782" s="656" t="e">
        <f>+VLOOKUP($L782,Data_Validation!$A:$D,1,0)</f>
        <v>#N/A</v>
      </c>
      <c r="U782" s="656" t="e">
        <f>+VLOOKUP($L782,Data_Validation!$A:$D,3,0)</f>
        <v>#N/A</v>
      </c>
      <c r="V782" s="656" t="e">
        <f>+VLOOKUP($L782,Data_Validation!$A:$D,4,0)</f>
        <v>#N/A</v>
      </c>
      <c r="W782" s="656" t="e">
        <f>+VLOOKUP($L782,Data_Validation!$A:$E,5,0)</f>
        <v>#N/A</v>
      </c>
    </row>
    <row r="783" spans="1:23" ht="15.75" customHeight="1">
      <c r="A783" s="716"/>
      <c r="B783" s="654"/>
      <c r="C783" s="717"/>
      <c r="D783" s="716"/>
      <c r="E783" s="716"/>
      <c r="F783" s="716"/>
      <c r="G783" s="716"/>
      <c r="H783" s="716"/>
      <c r="I783" s="716"/>
      <c r="J783" s="716"/>
      <c r="K783" s="716"/>
      <c r="L783" s="653" t="str">
        <f t="shared" si="785"/>
        <v>0</v>
      </c>
      <c r="M783" s="654">
        <f t="shared" si="780"/>
        <v>0</v>
      </c>
      <c r="N783" s="655">
        <f>+IF(OR($Q783=Parametres!$G$2,$Q783=Parametres!$G$3),I783,C783)</f>
        <v>0</v>
      </c>
      <c r="O783" s="655">
        <f>+IF(OR($Q783=Parametres!$G$2,$Q783=Parametres!$G$3),J783,D783)</f>
        <v>0</v>
      </c>
      <c r="P783" s="655">
        <f>+IF(OR($Q783=Parametres!$G$2,$Q783=Parametres!$G$3),K783,E783)</f>
        <v>0</v>
      </c>
      <c r="Q783" s="654">
        <f t="shared" ref="Q783:S783" si="798">+F783</f>
        <v>0</v>
      </c>
      <c r="R783" s="653">
        <f t="shared" si="798"/>
        <v>0</v>
      </c>
      <c r="S783" s="654">
        <f t="shared" si="798"/>
        <v>0</v>
      </c>
      <c r="T783" s="656" t="e">
        <f>+VLOOKUP($L783,Data_Validation!$A:$D,1,0)</f>
        <v>#N/A</v>
      </c>
      <c r="U783" s="656" t="e">
        <f>+VLOOKUP($L783,Data_Validation!$A:$D,3,0)</f>
        <v>#N/A</v>
      </c>
      <c r="V783" s="656" t="e">
        <f>+VLOOKUP($L783,Data_Validation!$A:$D,4,0)</f>
        <v>#N/A</v>
      </c>
      <c r="W783" s="656" t="e">
        <f>+VLOOKUP($L783,Data_Validation!$A:$E,5,0)</f>
        <v>#N/A</v>
      </c>
    </row>
    <row r="784" spans="1:23" ht="15.75" customHeight="1">
      <c r="A784" s="716"/>
      <c r="B784" s="654"/>
      <c r="C784" s="717"/>
      <c r="D784" s="716"/>
      <c r="E784" s="716"/>
      <c r="F784" s="716"/>
      <c r="G784" s="716"/>
      <c r="H784" s="716"/>
      <c r="I784" s="716"/>
      <c r="J784" s="716"/>
      <c r="K784" s="716"/>
      <c r="L784" s="653" t="str">
        <f t="shared" si="785"/>
        <v>0</v>
      </c>
      <c r="M784" s="654">
        <f t="shared" si="780"/>
        <v>0</v>
      </c>
      <c r="N784" s="655">
        <f>+IF(OR($Q784=Parametres!$G$2,$Q784=Parametres!$G$3),I784,C784)</f>
        <v>0</v>
      </c>
      <c r="O784" s="655">
        <f>+IF(OR($Q784=Parametres!$G$2,$Q784=Parametres!$G$3),J784,D784)</f>
        <v>0</v>
      </c>
      <c r="P784" s="655">
        <f>+IF(OR($Q784=Parametres!$G$2,$Q784=Parametres!$G$3),K784,E784)</f>
        <v>0</v>
      </c>
      <c r="Q784" s="654">
        <f t="shared" ref="Q784:S784" si="799">+F784</f>
        <v>0</v>
      </c>
      <c r="R784" s="653">
        <f t="shared" si="799"/>
        <v>0</v>
      </c>
      <c r="S784" s="654">
        <f t="shared" si="799"/>
        <v>0</v>
      </c>
      <c r="T784" s="656" t="e">
        <f>+VLOOKUP($L784,Data_Validation!$A:$D,1,0)</f>
        <v>#N/A</v>
      </c>
      <c r="U784" s="656" t="e">
        <f>+VLOOKUP($L784,Data_Validation!$A:$D,3,0)</f>
        <v>#N/A</v>
      </c>
      <c r="V784" s="656" t="e">
        <f>+VLOOKUP($L784,Data_Validation!$A:$D,4,0)</f>
        <v>#N/A</v>
      </c>
      <c r="W784" s="656" t="e">
        <f>+VLOOKUP($L784,Data_Validation!$A:$E,5,0)</f>
        <v>#N/A</v>
      </c>
    </row>
    <row r="785" spans="1:23" ht="15.75" customHeight="1">
      <c r="A785" s="716"/>
      <c r="B785" s="654"/>
      <c r="C785" s="717"/>
      <c r="D785" s="716"/>
      <c r="E785" s="716"/>
      <c r="F785" s="716"/>
      <c r="G785" s="716"/>
      <c r="H785" s="716"/>
      <c r="I785" s="716"/>
      <c r="J785" s="716"/>
      <c r="K785" s="716"/>
      <c r="L785" s="653" t="str">
        <f t="shared" si="785"/>
        <v>0</v>
      </c>
      <c r="M785" s="654">
        <f t="shared" si="780"/>
        <v>0</v>
      </c>
      <c r="N785" s="655">
        <f>+IF(OR($Q785=Parametres!$G$2,$Q785=Parametres!$G$3),I785,C785)</f>
        <v>0</v>
      </c>
      <c r="O785" s="655">
        <f>+IF(OR($Q785=Parametres!$G$2,$Q785=Parametres!$G$3),J785,D785)</f>
        <v>0</v>
      </c>
      <c r="P785" s="655">
        <f>+IF(OR($Q785=Parametres!$G$2,$Q785=Parametres!$G$3),K785,E785)</f>
        <v>0</v>
      </c>
      <c r="Q785" s="654">
        <f t="shared" ref="Q785:S785" si="800">+F785</f>
        <v>0</v>
      </c>
      <c r="R785" s="653">
        <f t="shared" si="800"/>
        <v>0</v>
      </c>
      <c r="S785" s="654">
        <f t="shared" si="800"/>
        <v>0</v>
      </c>
      <c r="T785" s="656" t="e">
        <f>+VLOOKUP($L785,Data_Validation!$A:$D,1,0)</f>
        <v>#N/A</v>
      </c>
      <c r="U785" s="656" t="e">
        <f>+VLOOKUP($L785,Data_Validation!$A:$D,3,0)</f>
        <v>#N/A</v>
      </c>
      <c r="V785" s="656" t="e">
        <f>+VLOOKUP($L785,Data_Validation!$A:$D,4,0)</f>
        <v>#N/A</v>
      </c>
      <c r="W785" s="656" t="e">
        <f>+VLOOKUP($L785,Data_Validation!$A:$E,5,0)</f>
        <v>#N/A</v>
      </c>
    </row>
    <row r="786" spans="1:23" ht="15.75" customHeight="1">
      <c r="A786" s="716"/>
      <c r="B786" s="654"/>
      <c r="C786" s="717"/>
      <c r="D786" s="716"/>
      <c r="E786" s="716"/>
      <c r="F786" s="716"/>
      <c r="G786" s="716"/>
      <c r="H786" s="716"/>
      <c r="I786" s="716"/>
      <c r="J786" s="716"/>
      <c r="K786" s="716"/>
      <c r="L786" s="653" t="str">
        <f t="shared" si="785"/>
        <v>0</v>
      </c>
      <c r="M786" s="654">
        <f t="shared" si="780"/>
        <v>0</v>
      </c>
      <c r="N786" s="655">
        <f>+IF(OR($Q786=Parametres!$G$2,$Q786=Parametres!$G$3),I786,C786)</f>
        <v>0</v>
      </c>
      <c r="O786" s="655">
        <f>+IF(OR($Q786=Parametres!$G$2,$Q786=Parametres!$G$3),J786,D786)</f>
        <v>0</v>
      </c>
      <c r="P786" s="655">
        <f>+IF(OR($Q786=Parametres!$G$2,$Q786=Parametres!$G$3),K786,E786)</f>
        <v>0</v>
      </c>
      <c r="Q786" s="654">
        <f t="shared" ref="Q786:S786" si="801">+F786</f>
        <v>0</v>
      </c>
      <c r="R786" s="653">
        <f t="shared" si="801"/>
        <v>0</v>
      </c>
      <c r="S786" s="654">
        <f t="shared" si="801"/>
        <v>0</v>
      </c>
      <c r="T786" s="656" t="e">
        <f>+VLOOKUP($L786,Data_Validation!$A:$D,1,0)</f>
        <v>#N/A</v>
      </c>
      <c r="U786" s="656" t="e">
        <f>+VLOOKUP($L786,Data_Validation!$A:$D,3,0)</f>
        <v>#N/A</v>
      </c>
      <c r="V786" s="656" t="e">
        <f>+VLOOKUP($L786,Data_Validation!$A:$D,4,0)</f>
        <v>#N/A</v>
      </c>
      <c r="W786" s="656" t="e">
        <f>+VLOOKUP($L786,Data_Validation!$A:$E,5,0)</f>
        <v>#N/A</v>
      </c>
    </row>
    <row r="787" spans="1:23" ht="15.75" customHeight="1">
      <c r="A787" s="716"/>
      <c r="B787" s="654"/>
      <c r="C787" s="717"/>
      <c r="D787" s="716"/>
      <c r="E787" s="716"/>
      <c r="F787" s="716"/>
      <c r="G787" s="716"/>
      <c r="H787" s="716"/>
      <c r="I787" s="716"/>
      <c r="J787" s="716"/>
      <c r="K787" s="716"/>
      <c r="L787" s="653" t="str">
        <f t="shared" si="785"/>
        <v>0</v>
      </c>
      <c r="M787" s="654">
        <f t="shared" si="780"/>
        <v>0</v>
      </c>
      <c r="N787" s="655">
        <f>+IF(OR($Q787=Parametres!$G$2,$Q787=Parametres!$G$3),I787,C787)</f>
        <v>0</v>
      </c>
      <c r="O787" s="655">
        <f>+IF(OR($Q787=Parametres!$G$2,$Q787=Parametres!$G$3),J787,D787)</f>
        <v>0</v>
      </c>
      <c r="P787" s="655">
        <f>+IF(OR($Q787=Parametres!$G$2,$Q787=Parametres!$G$3),K787,E787)</f>
        <v>0</v>
      </c>
      <c r="Q787" s="654">
        <f t="shared" ref="Q787:S787" si="802">+F787</f>
        <v>0</v>
      </c>
      <c r="R787" s="653">
        <f t="shared" si="802"/>
        <v>0</v>
      </c>
      <c r="S787" s="654">
        <f t="shared" si="802"/>
        <v>0</v>
      </c>
      <c r="T787" s="656" t="e">
        <f>+VLOOKUP($L787,Data_Validation!$A:$D,1,0)</f>
        <v>#N/A</v>
      </c>
      <c r="U787" s="656" t="e">
        <f>+VLOOKUP($L787,Data_Validation!$A:$D,3,0)</f>
        <v>#N/A</v>
      </c>
      <c r="V787" s="656" t="e">
        <f>+VLOOKUP($L787,Data_Validation!$A:$D,4,0)</f>
        <v>#N/A</v>
      </c>
      <c r="W787" s="656" t="e">
        <f>+VLOOKUP($L787,Data_Validation!$A:$E,5,0)</f>
        <v>#N/A</v>
      </c>
    </row>
    <row r="788" spans="1:23" ht="15.75" customHeight="1">
      <c r="A788" s="716"/>
      <c r="B788" s="654"/>
      <c r="C788" s="717"/>
      <c r="D788" s="716"/>
      <c r="E788" s="716"/>
      <c r="F788" s="716"/>
      <c r="G788" s="716"/>
      <c r="H788" s="716"/>
      <c r="I788" s="716"/>
      <c r="J788" s="716"/>
      <c r="K788" s="716"/>
      <c r="L788" s="653" t="str">
        <f t="shared" si="785"/>
        <v>0</v>
      </c>
      <c r="M788" s="654">
        <f t="shared" si="780"/>
        <v>0</v>
      </c>
      <c r="N788" s="655">
        <f>+IF(OR($Q788=Parametres!$G$2,$Q788=Parametres!$G$3),I788,C788)</f>
        <v>0</v>
      </c>
      <c r="O788" s="655">
        <f>+IF(OR($Q788=Parametres!$G$2,$Q788=Parametres!$G$3),J788,D788)</f>
        <v>0</v>
      </c>
      <c r="P788" s="655">
        <f>+IF(OR($Q788=Parametres!$G$2,$Q788=Parametres!$G$3),K788,E788)</f>
        <v>0</v>
      </c>
      <c r="Q788" s="654">
        <f t="shared" ref="Q788:S788" si="803">+F788</f>
        <v>0</v>
      </c>
      <c r="R788" s="653">
        <f t="shared" si="803"/>
        <v>0</v>
      </c>
      <c r="S788" s="654">
        <f t="shared" si="803"/>
        <v>0</v>
      </c>
      <c r="T788" s="656" t="e">
        <f>+VLOOKUP($L788,Data_Validation!$A:$D,1,0)</f>
        <v>#N/A</v>
      </c>
      <c r="U788" s="656" t="e">
        <f>+VLOOKUP($L788,Data_Validation!$A:$D,3,0)</f>
        <v>#N/A</v>
      </c>
      <c r="V788" s="656" t="e">
        <f>+VLOOKUP($L788,Data_Validation!$A:$D,4,0)</f>
        <v>#N/A</v>
      </c>
      <c r="W788" s="656" t="e">
        <f>+VLOOKUP($L788,Data_Validation!$A:$E,5,0)</f>
        <v>#N/A</v>
      </c>
    </row>
    <row r="789" spans="1:23" ht="15.75" customHeight="1">
      <c r="A789" s="716"/>
      <c r="B789" s="654"/>
      <c r="C789" s="717"/>
      <c r="D789" s="716"/>
      <c r="E789" s="716"/>
      <c r="F789" s="716"/>
      <c r="G789" s="716"/>
      <c r="H789" s="716"/>
      <c r="I789" s="716"/>
      <c r="J789" s="716"/>
      <c r="K789" s="716"/>
      <c r="L789" s="653" t="str">
        <f t="shared" si="785"/>
        <v>0</v>
      </c>
      <c r="M789" s="654">
        <f t="shared" si="780"/>
        <v>0</v>
      </c>
      <c r="N789" s="655">
        <f>+IF(OR($Q789=Parametres!$G$2,$Q789=Parametres!$G$3),I789,C789)</f>
        <v>0</v>
      </c>
      <c r="O789" s="655">
        <f>+IF(OR($Q789=Parametres!$G$2,$Q789=Parametres!$G$3),J789,D789)</f>
        <v>0</v>
      </c>
      <c r="P789" s="655">
        <f>+IF(OR($Q789=Parametres!$G$2,$Q789=Parametres!$G$3),K789,E789)</f>
        <v>0</v>
      </c>
      <c r="Q789" s="654">
        <f t="shared" ref="Q789:S789" si="804">+F789</f>
        <v>0</v>
      </c>
      <c r="R789" s="653">
        <f t="shared" si="804"/>
        <v>0</v>
      </c>
      <c r="S789" s="654">
        <f t="shared" si="804"/>
        <v>0</v>
      </c>
      <c r="T789" s="656" t="e">
        <f>+VLOOKUP($L789,Data_Validation!$A:$D,1,0)</f>
        <v>#N/A</v>
      </c>
      <c r="U789" s="656" t="e">
        <f>+VLOOKUP($L789,Data_Validation!$A:$D,3,0)</f>
        <v>#N/A</v>
      </c>
      <c r="V789" s="656" t="e">
        <f>+VLOOKUP($L789,Data_Validation!$A:$D,4,0)</f>
        <v>#N/A</v>
      </c>
      <c r="W789" s="656" t="e">
        <f>+VLOOKUP($L789,Data_Validation!$A:$E,5,0)</f>
        <v>#N/A</v>
      </c>
    </row>
    <row r="790" spans="1:23" ht="15.75" customHeight="1">
      <c r="A790" s="716"/>
      <c r="B790" s="654"/>
      <c r="C790" s="717"/>
      <c r="D790" s="716"/>
      <c r="E790" s="716"/>
      <c r="F790" s="716"/>
      <c r="G790" s="716"/>
      <c r="H790" s="716"/>
      <c r="I790" s="716"/>
      <c r="J790" s="716"/>
      <c r="K790" s="716"/>
      <c r="L790" s="653" t="str">
        <f t="shared" si="785"/>
        <v>0</v>
      </c>
      <c r="M790" s="654">
        <f t="shared" si="780"/>
        <v>0</v>
      </c>
      <c r="N790" s="655">
        <f>+IF(OR($Q790=Parametres!$G$2,$Q790=Parametres!$G$3),I790,C790)</f>
        <v>0</v>
      </c>
      <c r="O790" s="655">
        <f>+IF(OR($Q790=Parametres!$G$2,$Q790=Parametres!$G$3),J790,D790)</f>
        <v>0</v>
      </c>
      <c r="P790" s="655">
        <f>+IF(OR($Q790=Parametres!$G$2,$Q790=Parametres!$G$3),K790,E790)</f>
        <v>0</v>
      </c>
      <c r="Q790" s="654">
        <f t="shared" ref="Q790:S790" si="805">+F790</f>
        <v>0</v>
      </c>
      <c r="R790" s="653">
        <f t="shared" si="805"/>
        <v>0</v>
      </c>
      <c r="S790" s="654">
        <f t="shared" si="805"/>
        <v>0</v>
      </c>
      <c r="T790" s="656" t="e">
        <f>+VLOOKUP($L790,Data_Validation!$A:$D,1,0)</f>
        <v>#N/A</v>
      </c>
      <c r="U790" s="656" t="e">
        <f>+VLOOKUP($L790,Data_Validation!$A:$D,3,0)</f>
        <v>#N/A</v>
      </c>
      <c r="V790" s="656" t="e">
        <f>+VLOOKUP($L790,Data_Validation!$A:$D,4,0)</f>
        <v>#N/A</v>
      </c>
      <c r="W790" s="656" t="e">
        <f>+VLOOKUP($L790,Data_Validation!$A:$E,5,0)</f>
        <v>#N/A</v>
      </c>
    </row>
    <row r="791" spans="1:23" ht="15.75" customHeight="1">
      <c r="A791" s="716"/>
      <c r="B791" s="654"/>
      <c r="C791" s="717"/>
      <c r="D791" s="716"/>
      <c r="E791" s="716"/>
      <c r="F791" s="716"/>
      <c r="G791" s="716"/>
      <c r="H791" s="716"/>
      <c r="I791" s="716"/>
      <c r="J791" s="716"/>
      <c r="K791" s="716"/>
      <c r="L791" s="653" t="str">
        <f t="shared" si="785"/>
        <v>0</v>
      </c>
      <c r="M791" s="654">
        <f t="shared" si="780"/>
        <v>0</v>
      </c>
      <c r="N791" s="655">
        <f>+IF(OR($Q791=Parametres!$G$2,$Q791=Parametres!$G$3),I791,C791)</f>
        <v>0</v>
      </c>
      <c r="O791" s="655">
        <f>+IF(OR($Q791=Parametres!$G$2,$Q791=Parametres!$G$3),J791,D791)</f>
        <v>0</v>
      </c>
      <c r="P791" s="655">
        <f>+IF(OR($Q791=Parametres!$G$2,$Q791=Parametres!$G$3),K791,E791)</f>
        <v>0</v>
      </c>
      <c r="Q791" s="654">
        <f t="shared" ref="Q791:S791" si="806">+F791</f>
        <v>0</v>
      </c>
      <c r="R791" s="653">
        <f t="shared" si="806"/>
        <v>0</v>
      </c>
      <c r="S791" s="654">
        <f t="shared" si="806"/>
        <v>0</v>
      </c>
      <c r="T791" s="656" t="e">
        <f>+VLOOKUP($L791,Data_Validation!$A:$D,1,0)</f>
        <v>#N/A</v>
      </c>
      <c r="U791" s="656" t="e">
        <f>+VLOOKUP($L791,Data_Validation!$A:$D,3,0)</f>
        <v>#N/A</v>
      </c>
      <c r="V791" s="656" t="e">
        <f>+VLOOKUP($L791,Data_Validation!$A:$D,4,0)</f>
        <v>#N/A</v>
      </c>
      <c r="W791" s="656" t="e">
        <f>+VLOOKUP($L791,Data_Validation!$A:$E,5,0)</f>
        <v>#N/A</v>
      </c>
    </row>
    <row r="792" spans="1:23" ht="15.75" customHeight="1">
      <c r="A792" s="716"/>
      <c r="B792" s="654"/>
      <c r="C792" s="717"/>
      <c r="D792" s="716"/>
      <c r="E792" s="716"/>
      <c r="F792" s="716"/>
      <c r="G792" s="716"/>
      <c r="H792" s="716"/>
      <c r="I792" s="716"/>
      <c r="J792" s="716"/>
      <c r="K792" s="716"/>
      <c r="L792" s="653" t="str">
        <f t="shared" si="785"/>
        <v>0</v>
      </c>
      <c r="M792" s="654">
        <f t="shared" si="780"/>
        <v>0</v>
      </c>
      <c r="N792" s="655">
        <f>+IF(OR($Q792=Parametres!$G$2,$Q792=Parametres!$G$3),I792,C792)</f>
        <v>0</v>
      </c>
      <c r="O792" s="655">
        <f>+IF(OR($Q792=Parametres!$G$2,$Q792=Parametres!$G$3),J792,D792)</f>
        <v>0</v>
      </c>
      <c r="P792" s="655">
        <f>+IF(OR($Q792=Parametres!$G$2,$Q792=Parametres!$G$3),K792,E792)</f>
        <v>0</v>
      </c>
      <c r="Q792" s="654">
        <f t="shared" ref="Q792:S792" si="807">+F792</f>
        <v>0</v>
      </c>
      <c r="R792" s="653">
        <f t="shared" si="807"/>
        <v>0</v>
      </c>
      <c r="S792" s="654">
        <f t="shared" si="807"/>
        <v>0</v>
      </c>
      <c r="T792" s="656" t="e">
        <f>+VLOOKUP($L792,Data_Validation!$A:$D,1,0)</f>
        <v>#N/A</v>
      </c>
      <c r="U792" s="656" t="e">
        <f>+VLOOKUP($L792,Data_Validation!$A:$D,3,0)</f>
        <v>#N/A</v>
      </c>
      <c r="V792" s="656" t="e">
        <f>+VLOOKUP($L792,Data_Validation!$A:$D,4,0)</f>
        <v>#N/A</v>
      </c>
      <c r="W792" s="656" t="e">
        <f>+VLOOKUP($L792,Data_Validation!$A:$E,5,0)</f>
        <v>#N/A</v>
      </c>
    </row>
    <row r="793" spans="1:23" ht="15.75" customHeight="1">
      <c r="A793" s="716"/>
      <c r="B793" s="654"/>
      <c r="C793" s="717"/>
      <c r="D793" s="716"/>
      <c r="E793" s="716"/>
      <c r="F793" s="716"/>
      <c r="G793" s="716"/>
      <c r="H793" s="716"/>
      <c r="I793" s="716"/>
      <c r="J793" s="716"/>
      <c r="K793" s="716"/>
      <c r="L793" s="653" t="str">
        <f t="shared" si="785"/>
        <v>0</v>
      </c>
      <c r="M793" s="654">
        <f t="shared" si="780"/>
        <v>0</v>
      </c>
      <c r="N793" s="655">
        <f>+IF(OR($Q793=Parametres!$G$2,$Q793=Parametres!$G$3),I793,C793)</f>
        <v>0</v>
      </c>
      <c r="O793" s="655">
        <f>+IF(OR($Q793=Parametres!$G$2,$Q793=Parametres!$G$3),J793,D793)</f>
        <v>0</v>
      </c>
      <c r="P793" s="655">
        <f>+IF(OR($Q793=Parametres!$G$2,$Q793=Parametres!$G$3),K793,E793)</f>
        <v>0</v>
      </c>
      <c r="Q793" s="654">
        <f t="shared" ref="Q793:S793" si="808">+F793</f>
        <v>0</v>
      </c>
      <c r="R793" s="653">
        <f t="shared" si="808"/>
        <v>0</v>
      </c>
      <c r="S793" s="654">
        <f t="shared" si="808"/>
        <v>0</v>
      </c>
      <c r="T793" s="656" t="e">
        <f>+VLOOKUP($L793,Data_Validation!$A:$D,1,0)</f>
        <v>#N/A</v>
      </c>
      <c r="U793" s="656" t="e">
        <f>+VLOOKUP($L793,Data_Validation!$A:$D,3,0)</f>
        <v>#N/A</v>
      </c>
      <c r="V793" s="656" t="e">
        <f>+VLOOKUP($L793,Data_Validation!$A:$D,4,0)</f>
        <v>#N/A</v>
      </c>
      <c r="W793" s="656" t="e">
        <f>+VLOOKUP($L793,Data_Validation!$A:$E,5,0)</f>
        <v>#N/A</v>
      </c>
    </row>
    <row r="794" spans="1:23" ht="15.75" customHeight="1">
      <c r="A794" s="716"/>
      <c r="B794" s="654"/>
      <c r="C794" s="717"/>
      <c r="D794" s="716"/>
      <c r="E794" s="716"/>
      <c r="F794" s="716"/>
      <c r="G794" s="716"/>
      <c r="H794" s="716"/>
      <c r="I794" s="716"/>
      <c r="J794" s="716"/>
      <c r="K794" s="716"/>
      <c r="L794" s="653" t="str">
        <f t="shared" si="785"/>
        <v>0</v>
      </c>
      <c r="M794" s="654">
        <f t="shared" si="780"/>
        <v>0</v>
      </c>
      <c r="N794" s="655">
        <f>+IF(OR($Q794=Parametres!$G$2,$Q794=Parametres!$G$3),I794,C794)</f>
        <v>0</v>
      </c>
      <c r="O794" s="655">
        <f>+IF(OR($Q794=Parametres!$G$2,$Q794=Parametres!$G$3),J794,D794)</f>
        <v>0</v>
      </c>
      <c r="P794" s="655">
        <f>+IF(OR($Q794=Parametres!$G$2,$Q794=Parametres!$G$3),K794,E794)</f>
        <v>0</v>
      </c>
      <c r="Q794" s="654">
        <f t="shared" ref="Q794:S794" si="809">+F794</f>
        <v>0</v>
      </c>
      <c r="R794" s="653">
        <f t="shared" si="809"/>
        <v>0</v>
      </c>
      <c r="S794" s="654">
        <f t="shared" si="809"/>
        <v>0</v>
      </c>
      <c r="T794" s="656" t="e">
        <f>+VLOOKUP($L794,Data_Validation!$A:$D,1,0)</f>
        <v>#N/A</v>
      </c>
      <c r="U794" s="656" t="e">
        <f>+VLOOKUP($L794,Data_Validation!$A:$D,3,0)</f>
        <v>#N/A</v>
      </c>
      <c r="V794" s="656" t="e">
        <f>+VLOOKUP($L794,Data_Validation!$A:$D,4,0)</f>
        <v>#N/A</v>
      </c>
      <c r="W794" s="656" t="e">
        <f>+VLOOKUP($L794,Data_Validation!$A:$E,5,0)</f>
        <v>#N/A</v>
      </c>
    </row>
    <row r="795" spans="1:23" ht="15.75" customHeight="1">
      <c r="A795" s="716"/>
      <c r="B795" s="654"/>
      <c r="C795" s="717"/>
      <c r="D795" s="716"/>
      <c r="E795" s="716"/>
      <c r="F795" s="716"/>
      <c r="G795" s="716"/>
      <c r="H795" s="716"/>
      <c r="I795" s="716"/>
      <c r="J795" s="716"/>
      <c r="K795" s="716"/>
      <c r="L795" s="653" t="str">
        <f t="shared" si="785"/>
        <v>0</v>
      </c>
      <c r="M795" s="654">
        <f t="shared" si="780"/>
        <v>0</v>
      </c>
      <c r="N795" s="655">
        <f>+IF(OR($Q795=Parametres!$G$2,$Q795=Parametres!$G$3),I795,C795)</f>
        <v>0</v>
      </c>
      <c r="O795" s="655">
        <f>+IF(OR($Q795=Parametres!$G$2,$Q795=Parametres!$G$3),J795,D795)</f>
        <v>0</v>
      </c>
      <c r="P795" s="655">
        <f>+IF(OR($Q795=Parametres!$G$2,$Q795=Parametres!$G$3),K795,E795)</f>
        <v>0</v>
      </c>
      <c r="Q795" s="654">
        <f t="shared" ref="Q795:S795" si="810">+F795</f>
        <v>0</v>
      </c>
      <c r="R795" s="653">
        <f t="shared" si="810"/>
        <v>0</v>
      </c>
      <c r="S795" s="654">
        <f t="shared" si="810"/>
        <v>0</v>
      </c>
      <c r="T795" s="656" t="e">
        <f>+VLOOKUP($L795,Data_Validation!$A:$D,1,0)</f>
        <v>#N/A</v>
      </c>
      <c r="U795" s="656" t="e">
        <f>+VLOOKUP($L795,Data_Validation!$A:$D,3,0)</f>
        <v>#N/A</v>
      </c>
      <c r="V795" s="656" t="e">
        <f>+VLOOKUP($L795,Data_Validation!$A:$D,4,0)</f>
        <v>#N/A</v>
      </c>
      <c r="W795" s="656" t="e">
        <f>+VLOOKUP($L795,Data_Validation!$A:$E,5,0)</f>
        <v>#N/A</v>
      </c>
    </row>
    <row r="796" spans="1:23" ht="15.75" customHeight="1">
      <c r="A796" s="716"/>
      <c r="B796" s="654"/>
      <c r="C796" s="717"/>
      <c r="D796" s="716"/>
      <c r="E796" s="716"/>
      <c r="F796" s="716"/>
      <c r="G796" s="716"/>
      <c r="H796" s="716"/>
      <c r="I796" s="716"/>
      <c r="J796" s="716"/>
      <c r="K796" s="716"/>
      <c r="L796" s="653" t="str">
        <f t="shared" si="785"/>
        <v>0</v>
      </c>
      <c r="M796" s="654">
        <f t="shared" si="780"/>
        <v>0</v>
      </c>
      <c r="N796" s="655">
        <f>+IF(OR($Q796=Parametres!$G$2,$Q796=Parametres!$G$3),I796,C796)</f>
        <v>0</v>
      </c>
      <c r="O796" s="655">
        <f>+IF(OR($Q796=Parametres!$G$2,$Q796=Parametres!$G$3),J796,D796)</f>
        <v>0</v>
      </c>
      <c r="P796" s="655">
        <f>+IF(OR($Q796=Parametres!$G$2,$Q796=Parametres!$G$3),K796,E796)</f>
        <v>0</v>
      </c>
      <c r="Q796" s="654">
        <f t="shared" ref="Q796:S796" si="811">+F796</f>
        <v>0</v>
      </c>
      <c r="R796" s="653">
        <f t="shared" si="811"/>
        <v>0</v>
      </c>
      <c r="S796" s="654">
        <f t="shared" si="811"/>
        <v>0</v>
      </c>
      <c r="T796" s="656" t="e">
        <f>+VLOOKUP($L796,Data_Validation!$A:$D,1,0)</f>
        <v>#N/A</v>
      </c>
      <c r="U796" s="656" t="e">
        <f>+VLOOKUP($L796,Data_Validation!$A:$D,3,0)</f>
        <v>#N/A</v>
      </c>
      <c r="V796" s="656" t="e">
        <f>+VLOOKUP($L796,Data_Validation!$A:$D,4,0)</f>
        <v>#N/A</v>
      </c>
      <c r="W796" s="656" t="e">
        <f>+VLOOKUP($L796,Data_Validation!$A:$E,5,0)</f>
        <v>#N/A</v>
      </c>
    </row>
    <row r="797" spans="1:23" ht="15.75" customHeight="1">
      <c r="A797" s="716"/>
      <c r="B797" s="654"/>
      <c r="C797" s="717"/>
      <c r="D797" s="716"/>
      <c r="E797" s="716"/>
      <c r="F797" s="716"/>
      <c r="G797" s="716"/>
      <c r="H797" s="716"/>
      <c r="I797" s="716"/>
      <c r="J797" s="716"/>
      <c r="K797" s="716"/>
      <c r="L797" s="653" t="str">
        <f t="shared" si="785"/>
        <v>0</v>
      </c>
      <c r="M797" s="654">
        <f t="shared" si="780"/>
        <v>0</v>
      </c>
      <c r="N797" s="655">
        <f>+IF(OR($Q797=Parametres!$G$2,$Q797=Parametres!$G$3),I797,C797)</f>
        <v>0</v>
      </c>
      <c r="O797" s="655">
        <f>+IF(OR($Q797=Parametres!$G$2,$Q797=Parametres!$G$3),J797,D797)</f>
        <v>0</v>
      </c>
      <c r="P797" s="655">
        <f>+IF(OR($Q797=Parametres!$G$2,$Q797=Parametres!$G$3),K797,E797)</f>
        <v>0</v>
      </c>
      <c r="Q797" s="654">
        <f t="shared" ref="Q797:S797" si="812">+F797</f>
        <v>0</v>
      </c>
      <c r="R797" s="653">
        <f t="shared" si="812"/>
        <v>0</v>
      </c>
      <c r="S797" s="654">
        <f t="shared" si="812"/>
        <v>0</v>
      </c>
      <c r="T797" s="656" t="e">
        <f>+VLOOKUP($L797,Data_Validation!$A:$D,1,0)</f>
        <v>#N/A</v>
      </c>
      <c r="U797" s="656" t="e">
        <f>+VLOOKUP($L797,Data_Validation!$A:$D,3,0)</f>
        <v>#N/A</v>
      </c>
      <c r="V797" s="656" t="e">
        <f>+VLOOKUP($L797,Data_Validation!$A:$D,4,0)</f>
        <v>#N/A</v>
      </c>
      <c r="W797" s="656" t="e">
        <f>+VLOOKUP($L797,Data_Validation!$A:$E,5,0)</f>
        <v>#N/A</v>
      </c>
    </row>
    <row r="798" spans="1:23" ht="15.75" customHeight="1">
      <c r="A798" s="716"/>
      <c r="B798" s="654"/>
      <c r="C798" s="717"/>
      <c r="D798" s="716"/>
      <c r="E798" s="716"/>
      <c r="F798" s="716"/>
      <c r="G798" s="716"/>
      <c r="H798" s="716"/>
      <c r="I798" s="716"/>
      <c r="J798" s="716"/>
      <c r="K798" s="716"/>
      <c r="L798" s="653" t="str">
        <f t="shared" si="785"/>
        <v>0</v>
      </c>
      <c r="M798" s="654">
        <f t="shared" si="780"/>
        <v>0</v>
      </c>
      <c r="N798" s="655">
        <f>+IF(OR($Q798=Parametres!$G$2,$Q798=Parametres!$G$3),I798,C798)</f>
        <v>0</v>
      </c>
      <c r="O798" s="655">
        <f>+IF(OR($Q798=Parametres!$G$2,$Q798=Parametres!$G$3),J798,D798)</f>
        <v>0</v>
      </c>
      <c r="P798" s="655">
        <f>+IF(OR($Q798=Parametres!$G$2,$Q798=Parametres!$G$3),K798,E798)</f>
        <v>0</v>
      </c>
      <c r="Q798" s="654">
        <f t="shared" ref="Q798:S798" si="813">+F798</f>
        <v>0</v>
      </c>
      <c r="R798" s="653">
        <f t="shared" si="813"/>
        <v>0</v>
      </c>
      <c r="S798" s="654">
        <f t="shared" si="813"/>
        <v>0</v>
      </c>
      <c r="T798" s="656" t="e">
        <f>+VLOOKUP($L798,Data_Validation!$A:$D,1,0)</f>
        <v>#N/A</v>
      </c>
      <c r="U798" s="656" t="e">
        <f>+VLOOKUP($L798,Data_Validation!$A:$D,3,0)</f>
        <v>#N/A</v>
      </c>
      <c r="V798" s="656" t="e">
        <f>+VLOOKUP($L798,Data_Validation!$A:$D,4,0)</f>
        <v>#N/A</v>
      </c>
      <c r="W798" s="656" t="e">
        <f>+VLOOKUP($L798,Data_Validation!$A:$E,5,0)</f>
        <v>#N/A</v>
      </c>
    </row>
    <row r="799" spans="1:23" ht="15.75" customHeight="1">
      <c r="A799" s="716"/>
      <c r="B799" s="654"/>
      <c r="C799" s="717"/>
      <c r="D799" s="716"/>
      <c r="E799" s="716"/>
      <c r="F799" s="716"/>
      <c r="G799" s="716"/>
      <c r="H799" s="716"/>
      <c r="I799" s="716"/>
      <c r="J799" s="716"/>
      <c r="K799" s="716"/>
      <c r="L799" s="653" t="str">
        <f t="shared" si="785"/>
        <v>0</v>
      </c>
      <c r="M799" s="654">
        <f t="shared" si="780"/>
        <v>0</v>
      </c>
      <c r="N799" s="655">
        <f>+IF(OR($Q799=Parametres!$G$2,$Q799=Parametres!$G$3),I799,C799)</f>
        <v>0</v>
      </c>
      <c r="O799" s="655">
        <f>+IF(OR($Q799=Parametres!$G$2,$Q799=Parametres!$G$3),J799,D799)</f>
        <v>0</v>
      </c>
      <c r="P799" s="655">
        <f>+IF(OR($Q799=Parametres!$G$2,$Q799=Parametres!$G$3),K799,E799)</f>
        <v>0</v>
      </c>
      <c r="Q799" s="654">
        <f t="shared" ref="Q799:S799" si="814">+F799</f>
        <v>0</v>
      </c>
      <c r="R799" s="653">
        <f t="shared" si="814"/>
        <v>0</v>
      </c>
      <c r="S799" s="654">
        <f t="shared" si="814"/>
        <v>0</v>
      </c>
      <c r="T799" s="656" t="e">
        <f>+VLOOKUP($L799,Data_Validation!$A:$D,1,0)</f>
        <v>#N/A</v>
      </c>
      <c r="U799" s="656" t="e">
        <f>+VLOOKUP($L799,Data_Validation!$A:$D,3,0)</f>
        <v>#N/A</v>
      </c>
      <c r="V799" s="656" t="e">
        <f>+VLOOKUP($L799,Data_Validation!$A:$D,4,0)</f>
        <v>#N/A</v>
      </c>
      <c r="W799" s="656" t="e">
        <f>+VLOOKUP($L799,Data_Validation!$A:$E,5,0)</f>
        <v>#N/A</v>
      </c>
    </row>
    <row r="800" spans="1:23" ht="15.75" customHeight="1">
      <c r="A800" s="716"/>
      <c r="B800" s="654"/>
      <c r="C800" s="717"/>
      <c r="D800" s="716"/>
      <c r="E800" s="716"/>
      <c r="F800" s="716"/>
      <c r="G800" s="716"/>
      <c r="H800" s="716"/>
      <c r="I800" s="716"/>
      <c r="J800" s="716"/>
      <c r="K800" s="716"/>
      <c r="L800" s="653" t="str">
        <f t="shared" si="785"/>
        <v>0</v>
      </c>
      <c r="M800" s="654">
        <f t="shared" si="780"/>
        <v>0</v>
      </c>
      <c r="N800" s="655">
        <f>+IF(OR($Q800=Parametres!$G$2,$Q800=Parametres!$G$3),I800,C800)</f>
        <v>0</v>
      </c>
      <c r="O800" s="655">
        <f>+IF(OR($Q800=Parametres!$G$2,$Q800=Parametres!$G$3),J800,D800)</f>
        <v>0</v>
      </c>
      <c r="P800" s="655">
        <f>+IF(OR($Q800=Parametres!$G$2,$Q800=Parametres!$G$3),K800,E800)</f>
        <v>0</v>
      </c>
      <c r="Q800" s="654">
        <f t="shared" ref="Q800:S800" si="815">+F800</f>
        <v>0</v>
      </c>
      <c r="R800" s="653">
        <f t="shared" si="815"/>
        <v>0</v>
      </c>
      <c r="S800" s="654">
        <f t="shared" si="815"/>
        <v>0</v>
      </c>
      <c r="T800" s="656" t="e">
        <f>+VLOOKUP($L800,Data_Validation!$A:$D,1,0)</f>
        <v>#N/A</v>
      </c>
      <c r="U800" s="656" t="e">
        <f>+VLOOKUP($L800,Data_Validation!$A:$D,3,0)</f>
        <v>#N/A</v>
      </c>
      <c r="V800" s="656" t="e">
        <f>+VLOOKUP($L800,Data_Validation!$A:$D,4,0)</f>
        <v>#N/A</v>
      </c>
      <c r="W800" s="656" t="e">
        <f>+VLOOKUP($L800,Data_Validation!$A:$E,5,0)</f>
        <v>#N/A</v>
      </c>
    </row>
    <row r="801" spans="1:23" ht="15.75" customHeight="1">
      <c r="A801" s="716"/>
      <c r="B801" s="654"/>
      <c r="C801" s="717"/>
      <c r="D801" s="716"/>
      <c r="E801" s="716"/>
      <c r="F801" s="716"/>
      <c r="G801" s="716"/>
      <c r="H801" s="716"/>
      <c r="I801" s="716"/>
      <c r="J801" s="716"/>
      <c r="K801" s="716"/>
      <c r="L801" s="653" t="str">
        <f t="shared" si="785"/>
        <v>0</v>
      </c>
      <c r="M801" s="654">
        <f t="shared" si="780"/>
        <v>0</v>
      </c>
      <c r="N801" s="655">
        <f>+IF(OR($Q801=Parametres!$G$2,$Q801=Parametres!$G$3),I801,C801)</f>
        <v>0</v>
      </c>
      <c r="O801" s="655">
        <f>+IF(OR($Q801=Parametres!$G$2,$Q801=Parametres!$G$3),J801,D801)</f>
        <v>0</v>
      </c>
      <c r="P801" s="655">
        <f>+IF(OR($Q801=Parametres!$G$2,$Q801=Parametres!$G$3),K801,E801)</f>
        <v>0</v>
      </c>
      <c r="Q801" s="654">
        <f t="shared" ref="Q801:S801" si="816">+F801</f>
        <v>0</v>
      </c>
      <c r="R801" s="653">
        <f t="shared" si="816"/>
        <v>0</v>
      </c>
      <c r="S801" s="654">
        <f t="shared" si="816"/>
        <v>0</v>
      </c>
      <c r="T801" s="656" t="e">
        <f>+VLOOKUP($L801,Data_Validation!$A:$D,1,0)</f>
        <v>#N/A</v>
      </c>
      <c r="U801" s="656" t="e">
        <f>+VLOOKUP($L801,Data_Validation!$A:$D,3,0)</f>
        <v>#N/A</v>
      </c>
      <c r="V801" s="656" t="e">
        <f>+VLOOKUP($L801,Data_Validation!$A:$D,4,0)</f>
        <v>#N/A</v>
      </c>
      <c r="W801" s="656" t="e">
        <f>+VLOOKUP($L801,Data_Validation!$A:$E,5,0)</f>
        <v>#N/A</v>
      </c>
    </row>
    <row r="802" spans="1:23" ht="15.75" customHeight="1">
      <c r="A802" s="716"/>
      <c r="B802" s="654"/>
      <c r="C802" s="717"/>
      <c r="D802" s="716"/>
      <c r="E802" s="716"/>
      <c r="F802" s="716"/>
      <c r="G802" s="716"/>
      <c r="H802" s="716"/>
      <c r="I802" s="716"/>
      <c r="J802" s="716"/>
      <c r="K802" s="716"/>
      <c r="L802" s="653" t="str">
        <f t="shared" si="785"/>
        <v>0</v>
      </c>
      <c r="M802" s="654">
        <f t="shared" si="780"/>
        <v>0</v>
      </c>
      <c r="N802" s="655">
        <f>+IF(OR($Q802=Parametres!$G$2,$Q802=Parametres!$G$3),I802,C802)</f>
        <v>0</v>
      </c>
      <c r="O802" s="655">
        <f>+IF(OR($Q802=Parametres!$G$2,$Q802=Parametres!$G$3),J802,D802)</f>
        <v>0</v>
      </c>
      <c r="P802" s="655">
        <f>+IF(OR($Q802=Parametres!$G$2,$Q802=Parametres!$G$3),K802,E802)</f>
        <v>0</v>
      </c>
      <c r="Q802" s="654">
        <f t="shared" ref="Q802:S802" si="817">+F802</f>
        <v>0</v>
      </c>
      <c r="R802" s="653">
        <f t="shared" si="817"/>
        <v>0</v>
      </c>
      <c r="S802" s="654">
        <f t="shared" si="817"/>
        <v>0</v>
      </c>
      <c r="T802" s="656" t="e">
        <f>+VLOOKUP($L802,Data_Validation!$A:$D,1,0)</f>
        <v>#N/A</v>
      </c>
      <c r="U802" s="656" t="e">
        <f>+VLOOKUP($L802,Data_Validation!$A:$D,3,0)</f>
        <v>#N/A</v>
      </c>
      <c r="V802" s="656" t="e">
        <f>+VLOOKUP($L802,Data_Validation!$A:$D,4,0)</f>
        <v>#N/A</v>
      </c>
      <c r="W802" s="656" t="e">
        <f>+VLOOKUP($L802,Data_Validation!$A:$E,5,0)</f>
        <v>#N/A</v>
      </c>
    </row>
    <row r="803" spans="1:23" ht="15.75" customHeight="1">
      <c r="A803" s="716"/>
      <c r="B803" s="654"/>
      <c r="C803" s="717"/>
      <c r="D803" s="716"/>
      <c r="E803" s="716"/>
      <c r="F803" s="716"/>
      <c r="G803" s="716"/>
      <c r="H803" s="716"/>
      <c r="I803" s="716"/>
      <c r="J803" s="716"/>
      <c r="K803" s="716"/>
      <c r="L803" s="653" t="str">
        <f t="shared" si="785"/>
        <v>0</v>
      </c>
      <c r="M803" s="654">
        <f t="shared" si="780"/>
        <v>0</v>
      </c>
      <c r="N803" s="655">
        <f>+IF(OR($Q803=Parametres!$G$2,$Q803=Parametres!$G$3),I803,C803)</f>
        <v>0</v>
      </c>
      <c r="O803" s="655">
        <f>+IF(OR($Q803=Parametres!$G$2,$Q803=Parametres!$G$3),J803,D803)</f>
        <v>0</v>
      </c>
      <c r="P803" s="655">
        <f>+IF(OR($Q803=Parametres!$G$2,$Q803=Parametres!$G$3),K803,E803)</f>
        <v>0</v>
      </c>
      <c r="Q803" s="654">
        <f t="shared" ref="Q803:S803" si="818">+F803</f>
        <v>0</v>
      </c>
      <c r="R803" s="653">
        <f t="shared" si="818"/>
        <v>0</v>
      </c>
      <c r="S803" s="654">
        <f t="shared" si="818"/>
        <v>0</v>
      </c>
      <c r="T803" s="656" t="e">
        <f>+VLOOKUP($L803,Data_Validation!$A:$D,1,0)</f>
        <v>#N/A</v>
      </c>
      <c r="U803" s="656" t="e">
        <f>+VLOOKUP($L803,Data_Validation!$A:$D,3,0)</f>
        <v>#N/A</v>
      </c>
      <c r="V803" s="656" t="e">
        <f>+VLOOKUP($L803,Data_Validation!$A:$D,4,0)</f>
        <v>#N/A</v>
      </c>
      <c r="W803" s="656" t="e">
        <f>+VLOOKUP($L803,Data_Validation!$A:$E,5,0)</f>
        <v>#N/A</v>
      </c>
    </row>
    <row r="804" spans="1:23" ht="15.75" customHeight="1">
      <c r="A804" s="716"/>
      <c r="B804" s="654"/>
      <c r="C804" s="717"/>
      <c r="D804" s="716"/>
      <c r="E804" s="716"/>
      <c r="F804" s="716"/>
      <c r="G804" s="716"/>
      <c r="H804" s="716"/>
      <c r="I804" s="716"/>
      <c r="J804" s="716"/>
      <c r="K804" s="716"/>
      <c r="L804" s="653" t="str">
        <f t="shared" si="785"/>
        <v>0</v>
      </c>
      <c r="M804" s="654">
        <f t="shared" si="780"/>
        <v>0</v>
      </c>
      <c r="N804" s="655">
        <f>+IF(OR($Q804=Parametres!$G$2,$Q804=Parametres!$G$3),I804,C804)</f>
        <v>0</v>
      </c>
      <c r="O804" s="655">
        <f>+IF(OR($Q804=Parametres!$G$2,$Q804=Parametres!$G$3),J804,D804)</f>
        <v>0</v>
      </c>
      <c r="P804" s="655">
        <f>+IF(OR($Q804=Parametres!$G$2,$Q804=Parametres!$G$3),K804,E804)</f>
        <v>0</v>
      </c>
      <c r="Q804" s="654">
        <f t="shared" ref="Q804:S804" si="819">+F804</f>
        <v>0</v>
      </c>
      <c r="R804" s="653">
        <f t="shared" si="819"/>
        <v>0</v>
      </c>
      <c r="S804" s="654">
        <f t="shared" si="819"/>
        <v>0</v>
      </c>
      <c r="T804" s="656" t="e">
        <f>+VLOOKUP($L804,Data_Validation!$A:$D,1,0)</f>
        <v>#N/A</v>
      </c>
      <c r="U804" s="656" t="e">
        <f>+VLOOKUP($L804,Data_Validation!$A:$D,3,0)</f>
        <v>#N/A</v>
      </c>
      <c r="V804" s="656" t="e">
        <f>+VLOOKUP($L804,Data_Validation!$A:$D,4,0)</f>
        <v>#N/A</v>
      </c>
      <c r="W804" s="656" t="e">
        <f>+VLOOKUP($L804,Data_Validation!$A:$E,5,0)</f>
        <v>#N/A</v>
      </c>
    </row>
    <row r="805" spans="1:23" ht="15.75" customHeight="1">
      <c r="A805" s="716"/>
      <c r="B805" s="654"/>
      <c r="C805" s="717"/>
      <c r="D805" s="716"/>
      <c r="E805" s="716"/>
      <c r="F805" s="716"/>
      <c r="G805" s="716"/>
      <c r="H805" s="716"/>
      <c r="I805" s="716"/>
      <c r="J805" s="716"/>
      <c r="K805" s="716"/>
      <c r="L805" s="653" t="str">
        <f t="shared" si="785"/>
        <v>0</v>
      </c>
      <c r="M805" s="654">
        <f t="shared" si="780"/>
        <v>0</v>
      </c>
      <c r="N805" s="655">
        <f>+IF(OR($Q805=Parametres!$G$2,$Q805=Parametres!$G$3),I805,C805)</f>
        <v>0</v>
      </c>
      <c r="O805" s="655">
        <f>+IF(OR($Q805=Parametres!$G$2,$Q805=Parametres!$G$3),J805,D805)</f>
        <v>0</v>
      </c>
      <c r="P805" s="655">
        <f>+IF(OR($Q805=Parametres!$G$2,$Q805=Parametres!$G$3),K805,E805)</f>
        <v>0</v>
      </c>
      <c r="Q805" s="654">
        <f t="shared" ref="Q805:S805" si="820">+F805</f>
        <v>0</v>
      </c>
      <c r="R805" s="653">
        <f t="shared" si="820"/>
        <v>0</v>
      </c>
      <c r="S805" s="654">
        <f t="shared" si="820"/>
        <v>0</v>
      </c>
      <c r="T805" s="656" t="e">
        <f>+VLOOKUP($L805,Data_Validation!$A:$D,1,0)</f>
        <v>#N/A</v>
      </c>
      <c r="U805" s="656" t="e">
        <f>+VLOOKUP($L805,Data_Validation!$A:$D,3,0)</f>
        <v>#N/A</v>
      </c>
      <c r="V805" s="656" t="e">
        <f>+VLOOKUP($L805,Data_Validation!$A:$D,4,0)</f>
        <v>#N/A</v>
      </c>
      <c r="W805" s="656" t="e">
        <f>+VLOOKUP($L805,Data_Validation!$A:$E,5,0)</f>
        <v>#N/A</v>
      </c>
    </row>
    <row r="806" spans="1:23" ht="15.75" customHeight="1">
      <c r="A806" s="716"/>
      <c r="B806" s="654"/>
      <c r="C806" s="717"/>
      <c r="D806" s="716"/>
      <c r="E806" s="716"/>
      <c r="F806" s="716"/>
      <c r="G806" s="716"/>
      <c r="H806" s="716"/>
      <c r="I806" s="716"/>
      <c r="J806" s="716"/>
      <c r="K806" s="716"/>
      <c r="L806" s="653" t="str">
        <f t="shared" si="785"/>
        <v>0</v>
      </c>
      <c r="M806" s="654">
        <f t="shared" si="780"/>
        <v>0</v>
      </c>
      <c r="N806" s="655">
        <f>+IF(OR($Q806=Parametres!$G$2,$Q806=Parametres!$G$3),I806,C806)</f>
        <v>0</v>
      </c>
      <c r="O806" s="655">
        <f>+IF(OR($Q806=Parametres!$G$2,$Q806=Parametres!$G$3),J806,D806)</f>
        <v>0</v>
      </c>
      <c r="P806" s="655">
        <f>+IF(OR($Q806=Parametres!$G$2,$Q806=Parametres!$G$3),K806,E806)</f>
        <v>0</v>
      </c>
      <c r="Q806" s="654">
        <f t="shared" ref="Q806:S806" si="821">+F806</f>
        <v>0</v>
      </c>
      <c r="R806" s="653">
        <f t="shared" si="821"/>
        <v>0</v>
      </c>
      <c r="S806" s="654">
        <f t="shared" si="821"/>
        <v>0</v>
      </c>
      <c r="T806" s="656" t="e">
        <f>+VLOOKUP($L806,Data_Validation!$A:$D,1,0)</f>
        <v>#N/A</v>
      </c>
      <c r="U806" s="656" t="e">
        <f>+VLOOKUP($L806,Data_Validation!$A:$D,3,0)</f>
        <v>#N/A</v>
      </c>
      <c r="V806" s="656" t="e">
        <f>+VLOOKUP($L806,Data_Validation!$A:$D,4,0)</f>
        <v>#N/A</v>
      </c>
      <c r="W806" s="656" t="e">
        <f>+VLOOKUP($L806,Data_Validation!$A:$E,5,0)</f>
        <v>#N/A</v>
      </c>
    </row>
    <row r="807" spans="1:23" ht="15.75" customHeight="1">
      <c r="A807" s="716"/>
      <c r="B807" s="654"/>
      <c r="C807" s="717"/>
      <c r="D807" s="716"/>
      <c r="E807" s="716"/>
      <c r="F807" s="716"/>
      <c r="G807" s="716"/>
      <c r="H807" s="716"/>
      <c r="I807" s="716"/>
      <c r="J807" s="716"/>
      <c r="K807" s="716"/>
      <c r="L807" s="653" t="str">
        <f t="shared" si="785"/>
        <v>0</v>
      </c>
      <c r="M807" s="654">
        <f t="shared" si="780"/>
        <v>0</v>
      </c>
      <c r="N807" s="655">
        <f>+IF(OR($Q807=Parametres!$G$2,$Q807=Parametres!$G$3),I807,C807)</f>
        <v>0</v>
      </c>
      <c r="O807" s="655">
        <f>+IF(OR($Q807=Parametres!$G$2,$Q807=Parametres!$G$3),J807,D807)</f>
        <v>0</v>
      </c>
      <c r="P807" s="655">
        <f>+IF(OR($Q807=Parametres!$G$2,$Q807=Parametres!$G$3),K807,E807)</f>
        <v>0</v>
      </c>
      <c r="Q807" s="654">
        <f t="shared" ref="Q807:S807" si="822">+F807</f>
        <v>0</v>
      </c>
      <c r="R807" s="653">
        <f t="shared" si="822"/>
        <v>0</v>
      </c>
      <c r="S807" s="654">
        <f t="shared" si="822"/>
        <v>0</v>
      </c>
      <c r="T807" s="656" t="e">
        <f>+VLOOKUP($L807,Data_Validation!$A:$D,1,0)</f>
        <v>#N/A</v>
      </c>
      <c r="U807" s="656" t="e">
        <f>+VLOOKUP($L807,Data_Validation!$A:$D,3,0)</f>
        <v>#N/A</v>
      </c>
      <c r="V807" s="656" t="e">
        <f>+VLOOKUP($L807,Data_Validation!$A:$D,4,0)</f>
        <v>#N/A</v>
      </c>
      <c r="W807" s="656" t="e">
        <f>+VLOOKUP($L807,Data_Validation!$A:$E,5,0)</f>
        <v>#N/A</v>
      </c>
    </row>
    <row r="808" spans="1:23" ht="15.75" customHeight="1">
      <c r="A808" s="716"/>
      <c r="B808" s="654"/>
      <c r="C808" s="717"/>
      <c r="D808" s="716"/>
      <c r="E808" s="716"/>
      <c r="F808" s="716"/>
      <c r="G808" s="716"/>
      <c r="H808" s="716"/>
      <c r="I808" s="716"/>
      <c r="J808" s="716"/>
      <c r="K808" s="716"/>
      <c r="L808" s="653" t="str">
        <f t="shared" si="785"/>
        <v>0</v>
      </c>
      <c r="M808" s="654">
        <f t="shared" si="780"/>
        <v>0</v>
      </c>
      <c r="N808" s="655">
        <f>+IF(OR($Q808=Parametres!$G$2,$Q808=Parametres!$G$3),I808,C808)</f>
        <v>0</v>
      </c>
      <c r="O808" s="655">
        <f>+IF(OR($Q808=Parametres!$G$2,$Q808=Parametres!$G$3),J808,D808)</f>
        <v>0</v>
      </c>
      <c r="P808" s="655">
        <f>+IF(OR($Q808=Parametres!$G$2,$Q808=Parametres!$G$3),K808,E808)</f>
        <v>0</v>
      </c>
      <c r="Q808" s="654">
        <f t="shared" ref="Q808:S808" si="823">+F808</f>
        <v>0</v>
      </c>
      <c r="R808" s="653">
        <f t="shared" si="823"/>
        <v>0</v>
      </c>
      <c r="S808" s="654">
        <f t="shared" si="823"/>
        <v>0</v>
      </c>
      <c r="T808" s="656" t="e">
        <f>+VLOOKUP($L808,Data_Validation!$A:$D,1,0)</f>
        <v>#N/A</v>
      </c>
      <c r="U808" s="656" t="e">
        <f>+VLOOKUP($L808,Data_Validation!$A:$D,3,0)</f>
        <v>#N/A</v>
      </c>
      <c r="V808" s="656" t="e">
        <f>+VLOOKUP($L808,Data_Validation!$A:$D,4,0)</f>
        <v>#N/A</v>
      </c>
      <c r="W808" s="656" t="e">
        <f>+VLOOKUP($L808,Data_Validation!$A:$E,5,0)</f>
        <v>#N/A</v>
      </c>
    </row>
    <row r="809" spans="1:23" ht="15.75" customHeight="1">
      <c r="A809" s="716"/>
      <c r="B809" s="654"/>
      <c r="C809" s="717"/>
      <c r="D809" s="716"/>
      <c r="E809" s="716"/>
      <c r="F809" s="716"/>
      <c r="G809" s="716"/>
      <c r="H809" s="716"/>
      <c r="I809" s="716"/>
      <c r="J809" s="716"/>
      <c r="K809" s="716"/>
      <c r="L809" s="653" t="str">
        <f t="shared" si="785"/>
        <v>0</v>
      </c>
      <c r="M809" s="654">
        <f t="shared" si="780"/>
        <v>0</v>
      </c>
      <c r="N809" s="655">
        <f>+IF(OR($Q809=Parametres!$G$2,$Q809=Parametres!$G$3),I809,C809)</f>
        <v>0</v>
      </c>
      <c r="O809" s="655">
        <f>+IF(OR($Q809=Parametres!$G$2,$Q809=Parametres!$G$3),J809,D809)</f>
        <v>0</v>
      </c>
      <c r="P809" s="655">
        <f>+IF(OR($Q809=Parametres!$G$2,$Q809=Parametres!$G$3),K809,E809)</f>
        <v>0</v>
      </c>
      <c r="Q809" s="654">
        <f t="shared" ref="Q809:S809" si="824">+F809</f>
        <v>0</v>
      </c>
      <c r="R809" s="653">
        <f t="shared" si="824"/>
        <v>0</v>
      </c>
      <c r="S809" s="654">
        <f t="shared" si="824"/>
        <v>0</v>
      </c>
      <c r="T809" s="656" t="e">
        <f>+VLOOKUP($L809,Data_Validation!$A:$D,1,0)</f>
        <v>#N/A</v>
      </c>
      <c r="U809" s="656" t="e">
        <f>+VLOOKUP($L809,Data_Validation!$A:$D,3,0)</f>
        <v>#N/A</v>
      </c>
      <c r="V809" s="656" t="e">
        <f>+VLOOKUP($L809,Data_Validation!$A:$D,4,0)</f>
        <v>#N/A</v>
      </c>
      <c r="W809" s="656" t="e">
        <f>+VLOOKUP($L809,Data_Validation!$A:$E,5,0)</f>
        <v>#N/A</v>
      </c>
    </row>
    <row r="810" spans="1:23" ht="15.75" customHeight="1">
      <c r="A810" s="716"/>
      <c r="B810" s="654"/>
      <c r="C810" s="717"/>
      <c r="D810" s="716"/>
      <c r="E810" s="716"/>
      <c r="F810" s="716"/>
      <c r="G810" s="716"/>
      <c r="H810" s="716"/>
      <c r="I810" s="716"/>
      <c r="J810" s="716"/>
      <c r="K810" s="716"/>
      <c r="L810" s="653" t="str">
        <f t="shared" si="785"/>
        <v>0</v>
      </c>
      <c r="M810" s="654">
        <f t="shared" si="780"/>
        <v>0</v>
      </c>
      <c r="N810" s="655">
        <f>+IF(OR($Q810=Parametres!$G$2,$Q810=Parametres!$G$3),I810,C810)</f>
        <v>0</v>
      </c>
      <c r="O810" s="655">
        <f>+IF(OR($Q810=Parametres!$G$2,$Q810=Parametres!$G$3),J810,D810)</f>
        <v>0</v>
      </c>
      <c r="P810" s="655">
        <f>+IF(OR($Q810=Parametres!$G$2,$Q810=Parametres!$G$3),K810,E810)</f>
        <v>0</v>
      </c>
      <c r="Q810" s="654">
        <f t="shared" ref="Q810:S810" si="825">+F810</f>
        <v>0</v>
      </c>
      <c r="R810" s="653">
        <f t="shared" si="825"/>
        <v>0</v>
      </c>
      <c r="S810" s="654">
        <f t="shared" si="825"/>
        <v>0</v>
      </c>
      <c r="T810" s="656" t="e">
        <f>+VLOOKUP($L810,Data_Validation!$A:$D,1,0)</f>
        <v>#N/A</v>
      </c>
      <c r="U810" s="656" t="e">
        <f>+VLOOKUP($L810,Data_Validation!$A:$D,3,0)</f>
        <v>#N/A</v>
      </c>
      <c r="V810" s="656" t="e">
        <f>+VLOOKUP($L810,Data_Validation!$A:$D,4,0)</f>
        <v>#N/A</v>
      </c>
      <c r="W810" s="656" t="e">
        <f>+VLOOKUP($L810,Data_Validation!$A:$E,5,0)</f>
        <v>#N/A</v>
      </c>
    </row>
    <row r="811" spans="1:23" ht="15.75" customHeight="1">
      <c r="A811" s="716"/>
      <c r="B811" s="654"/>
      <c r="C811" s="717"/>
      <c r="D811" s="716"/>
      <c r="E811" s="716"/>
      <c r="F811" s="716"/>
      <c r="G811" s="716"/>
      <c r="H811" s="716"/>
      <c r="I811" s="716"/>
      <c r="J811" s="716"/>
      <c r="K811" s="716"/>
      <c r="L811" s="653" t="str">
        <f t="shared" si="785"/>
        <v>0</v>
      </c>
      <c r="M811" s="654">
        <f t="shared" si="780"/>
        <v>0</v>
      </c>
      <c r="N811" s="655">
        <f>+IF(OR($Q811=Parametres!$G$2,$Q811=Parametres!$G$3),I811,C811)</f>
        <v>0</v>
      </c>
      <c r="O811" s="655">
        <f>+IF(OR($Q811=Parametres!$G$2,$Q811=Parametres!$G$3),J811,D811)</f>
        <v>0</v>
      </c>
      <c r="P811" s="655">
        <f>+IF(OR($Q811=Parametres!$G$2,$Q811=Parametres!$G$3),K811,E811)</f>
        <v>0</v>
      </c>
      <c r="Q811" s="654">
        <f t="shared" ref="Q811:S811" si="826">+F811</f>
        <v>0</v>
      </c>
      <c r="R811" s="653">
        <f t="shared" si="826"/>
        <v>0</v>
      </c>
      <c r="S811" s="654">
        <f t="shared" si="826"/>
        <v>0</v>
      </c>
      <c r="T811" s="656" t="e">
        <f>+VLOOKUP($L811,Data_Validation!$A:$D,1,0)</f>
        <v>#N/A</v>
      </c>
      <c r="U811" s="656" t="e">
        <f>+VLOOKUP($L811,Data_Validation!$A:$D,3,0)</f>
        <v>#N/A</v>
      </c>
      <c r="V811" s="656" t="e">
        <f>+VLOOKUP($L811,Data_Validation!$A:$D,4,0)</f>
        <v>#N/A</v>
      </c>
      <c r="W811" s="656" t="e">
        <f>+VLOOKUP($L811,Data_Validation!$A:$E,5,0)</f>
        <v>#N/A</v>
      </c>
    </row>
    <row r="812" spans="1:23" ht="15.75" customHeight="1">
      <c r="A812" s="716"/>
      <c r="B812" s="654"/>
      <c r="C812" s="717"/>
      <c r="D812" s="716"/>
      <c r="E812" s="716"/>
      <c r="F812" s="716"/>
      <c r="G812" s="716"/>
      <c r="H812" s="716"/>
      <c r="I812" s="716"/>
      <c r="J812" s="716"/>
      <c r="K812" s="716"/>
      <c r="L812" s="653" t="str">
        <f t="shared" si="785"/>
        <v>0</v>
      </c>
      <c r="M812" s="654">
        <f t="shared" si="780"/>
        <v>0</v>
      </c>
      <c r="N812" s="655">
        <f>+IF(OR($Q812=Parametres!$G$2,$Q812=Parametres!$G$3),I812,C812)</f>
        <v>0</v>
      </c>
      <c r="O812" s="655">
        <f>+IF(OR($Q812=Parametres!$G$2,$Q812=Parametres!$G$3),J812,D812)</f>
        <v>0</v>
      </c>
      <c r="P812" s="655">
        <f>+IF(OR($Q812=Parametres!$G$2,$Q812=Parametres!$G$3),K812,E812)</f>
        <v>0</v>
      </c>
      <c r="Q812" s="654">
        <f t="shared" ref="Q812:S812" si="827">+F812</f>
        <v>0</v>
      </c>
      <c r="R812" s="653">
        <f t="shared" si="827"/>
        <v>0</v>
      </c>
      <c r="S812" s="654">
        <f t="shared" si="827"/>
        <v>0</v>
      </c>
      <c r="T812" s="656" t="e">
        <f>+VLOOKUP($L812,Data_Validation!$A:$D,1,0)</f>
        <v>#N/A</v>
      </c>
      <c r="U812" s="656" t="e">
        <f>+VLOOKUP($L812,Data_Validation!$A:$D,3,0)</f>
        <v>#N/A</v>
      </c>
      <c r="V812" s="656" t="e">
        <f>+VLOOKUP($L812,Data_Validation!$A:$D,4,0)</f>
        <v>#N/A</v>
      </c>
      <c r="W812" s="656" t="e">
        <f>+VLOOKUP($L812,Data_Validation!$A:$E,5,0)</f>
        <v>#N/A</v>
      </c>
    </row>
    <row r="813" spans="1:23" ht="15.75" customHeight="1">
      <c r="A813" s="716"/>
      <c r="B813" s="654"/>
      <c r="C813" s="717"/>
      <c r="D813" s="716"/>
      <c r="E813" s="716"/>
      <c r="F813" s="716"/>
      <c r="G813" s="716"/>
      <c r="H813" s="716"/>
      <c r="I813" s="716"/>
      <c r="J813" s="716"/>
      <c r="K813" s="716"/>
      <c r="L813" s="653" t="str">
        <f t="shared" si="785"/>
        <v>0</v>
      </c>
      <c r="M813" s="654">
        <f t="shared" si="780"/>
        <v>0</v>
      </c>
      <c r="N813" s="655">
        <f>+IF(OR($Q813=Parametres!$G$2,$Q813=Parametres!$G$3),I813,C813)</f>
        <v>0</v>
      </c>
      <c r="O813" s="655">
        <f>+IF(OR($Q813=Parametres!$G$2,$Q813=Parametres!$G$3),J813,D813)</f>
        <v>0</v>
      </c>
      <c r="P813" s="655">
        <f>+IF(OR($Q813=Parametres!$G$2,$Q813=Parametres!$G$3),K813,E813)</f>
        <v>0</v>
      </c>
      <c r="Q813" s="654">
        <f t="shared" ref="Q813:S813" si="828">+F813</f>
        <v>0</v>
      </c>
      <c r="R813" s="653">
        <f t="shared" si="828"/>
        <v>0</v>
      </c>
      <c r="S813" s="654">
        <f t="shared" si="828"/>
        <v>0</v>
      </c>
      <c r="T813" s="656" t="e">
        <f>+VLOOKUP($L813,Data_Validation!$A:$D,1,0)</f>
        <v>#N/A</v>
      </c>
      <c r="U813" s="656" t="e">
        <f>+VLOOKUP($L813,Data_Validation!$A:$D,3,0)</f>
        <v>#N/A</v>
      </c>
      <c r="V813" s="656" t="e">
        <f>+VLOOKUP($L813,Data_Validation!$A:$D,4,0)</f>
        <v>#N/A</v>
      </c>
      <c r="W813" s="656" t="e">
        <f>+VLOOKUP($L813,Data_Validation!$A:$E,5,0)</f>
        <v>#N/A</v>
      </c>
    </row>
    <row r="814" spans="1:23" ht="15.75" customHeight="1">
      <c r="A814" s="716"/>
      <c r="B814" s="654"/>
      <c r="C814" s="717"/>
      <c r="D814" s="716"/>
      <c r="E814" s="716"/>
      <c r="F814" s="716"/>
      <c r="G814" s="716"/>
      <c r="H814" s="716"/>
      <c r="I814" s="716"/>
      <c r="J814" s="716"/>
      <c r="K814" s="716"/>
      <c r="L814" s="653" t="str">
        <f t="shared" si="785"/>
        <v>0</v>
      </c>
      <c r="M814" s="654">
        <f t="shared" si="780"/>
        <v>0</v>
      </c>
      <c r="N814" s="655">
        <f>+IF(OR($Q814=Parametres!$G$2,$Q814=Parametres!$G$3),I814,C814)</f>
        <v>0</v>
      </c>
      <c r="O814" s="655">
        <f>+IF(OR($Q814=Parametres!$G$2,$Q814=Parametres!$G$3),J814,D814)</f>
        <v>0</v>
      </c>
      <c r="P814" s="655">
        <f>+IF(OR($Q814=Parametres!$G$2,$Q814=Parametres!$G$3),K814,E814)</f>
        <v>0</v>
      </c>
      <c r="Q814" s="654">
        <f t="shared" ref="Q814:S814" si="829">+F814</f>
        <v>0</v>
      </c>
      <c r="R814" s="653">
        <f t="shared" si="829"/>
        <v>0</v>
      </c>
      <c r="S814" s="654">
        <f t="shared" si="829"/>
        <v>0</v>
      </c>
      <c r="T814" s="656" t="e">
        <f>+VLOOKUP($L814,Data_Validation!$A:$D,1,0)</f>
        <v>#N/A</v>
      </c>
      <c r="U814" s="656" t="e">
        <f>+VLOOKUP($L814,Data_Validation!$A:$D,3,0)</f>
        <v>#N/A</v>
      </c>
      <c r="V814" s="656" t="e">
        <f>+VLOOKUP($L814,Data_Validation!$A:$D,4,0)</f>
        <v>#N/A</v>
      </c>
      <c r="W814" s="656" t="e">
        <f>+VLOOKUP($L814,Data_Validation!$A:$E,5,0)</f>
        <v>#N/A</v>
      </c>
    </row>
    <row r="815" spans="1:23" ht="15.75" customHeight="1">
      <c r="A815" s="716"/>
      <c r="B815" s="654"/>
      <c r="C815" s="717"/>
      <c r="D815" s="716"/>
      <c r="E815" s="716"/>
      <c r="F815" s="716"/>
      <c r="G815" s="716"/>
      <c r="H815" s="716"/>
      <c r="I815" s="716"/>
      <c r="J815" s="716"/>
      <c r="K815" s="716"/>
      <c r="L815" s="653" t="str">
        <f t="shared" si="785"/>
        <v>0</v>
      </c>
      <c r="M815" s="654">
        <f t="shared" si="780"/>
        <v>0</v>
      </c>
      <c r="N815" s="655">
        <f>+IF(OR($Q815=Parametres!$G$2,$Q815=Parametres!$G$3),I815,C815)</f>
        <v>0</v>
      </c>
      <c r="O815" s="655">
        <f>+IF(OR($Q815=Parametres!$G$2,$Q815=Parametres!$G$3),J815,D815)</f>
        <v>0</v>
      </c>
      <c r="P815" s="655">
        <f>+IF(OR($Q815=Parametres!$G$2,$Q815=Parametres!$G$3),K815,E815)</f>
        <v>0</v>
      </c>
      <c r="Q815" s="654">
        <f t="shared" ref="Q815:S815" si="830">+F815</f>
        <v>0</v>
      </c>
      <c r="R815" s="653">
        <f t="shared" si="830"/>
        <v>0</v>
      </c>
      <c r="S815" s="654">
        <f t="shared" si="830"/>
        <v>0</v>
      </c>
      <c r="T815" s="656" t="e">
        <f>+VLOOKUP($L815,Data_Validation!$A:$D,1,0)</f>
        <v>#N/A</v>
      </c>
      <c r="U815" s="656" t="e">
        <f>+VLOOKUP($L815,Data_Validation!$A:$D,3,0)</f>
        <v>#N/A</v>
      </c>
      <c r="V815" s="656" t="e">
        <f>+VLOOKUP($L815,Data_Validation!$A:$D,4,0)</f>
        <v>#N/A</v>
      </c>
      <c r="W815" s="656" t="e">
        <f>+VLOOKUP($L815,Data_Validation!$A:$E,5,0)</f>
        <v>#N/A</v>
      </c>
    </row>
    <row r="816" spans="1:23" ht="15.75" customHeight="1">
      <c r="A816" s="716"/>
      <c r="B816" s="654"/>
      <c r="C816" s="717"/>
      <c r="D816" s="716"/>
      <c r="E816" s="716"/>
      <c r="F816" s="716"/>
      <c r="G816" s="716"/>
      <c r="H816" s="716"/>
      <c r="I816" s="716"/>
      <c r="J816" s="716"/>
      <c r="K816" s="716"/>
      <c r="L816" s="653" t="str">
        <f t="shared" si="785"/>
        <v>0</v>
      </c>
      <c r="M816" s="654">
        <f t="shared" si="780"/>
        <v>0</v>
      </c>
      <c r="N816" s="655">
        <f>+IF(OR($Q816=Parametres!$G$2,$Q816=Parametres!$G$3),I816,C816)</f>
        <v>0</v>
      </c>
      <c r="O816" s="655">
        <f>+IF(OR($Q816=Parametres!$G$2,$Q816=Parametres!$G$3),J816,D816)</f>
        <v>0</v>
      </c>
      <c r="P816" s="655">
        <f>+IF(OR($Q816=Parametres!$G$2,$Q816=Parametres!$G$3),K816,E816)</f>
        <v>0</v>
      </c>
      <c r="Q816" s="654">
        <f t="shared" ref="Q816:S816" si="831">+F816</f>
        <v>0</v>
      </c>
      <c r="R816" s="653">
        <f t="shared" si="831"/>
        <v>0</v>
      </c>
      <c r="S816" s="654">
        <f t="shared" si="831"/>
        <v>0</v>
      </c>
      <c r="T816" s="656" t="e">
        <f>+VLOOKUP($L816,Data_Validation!$A:$D,1,0)</f>
        <v>#N/A</v>
      </c>
      <c r="U816" s="656" t="e">
        <f>+VLOOKUP($L816,Data_Validation!$A:$D,3,0)</f>
        <v>#N/A</v>
      </c>
      <c r="V816" s="656" t="e">
        <f>+VLOOKUP($L816,Data_Validation!$A:$D,4,0)</f>
        <v>#N/A</v>
      </c>
      <c r="W816" s="656" t="e">
        <f>+VLOOKUP($L816,Data_Validation!$A:$E,5,0)</f>
        <v>#N/A</v>
      </c>
    </row>
    <row r="817" spans="1:23" ht="15.75" customHeight="1">
      <c r="A817" s="716"/>
      <c r="B817" s="654"/>
      <c r="C817" s="717"/>
      <c r="D817" s="716"/>
      <c r="E817" s="716"/>
      <c r="F817" s="716"/>
      <c r="G817" s="716"/>
      <c r="H817" s="716"/>
      <c r="I817" s="716"/>
      <c r="J817" s="716"/>
      <c r="K817" s="716"/>
      <c r="L817" s="653" t="str">
        <f t="shared" si="785"/>
        <v>0</v>
      </c>
      <c r="M817" s="654">
        <f t="shared" si="780"/>
        <v>0</v>
      </c>
      <c r="N817" s="655">
        <f>+IF(OR($Q817=Parametres!$G$2,$Q817=Parametres!$G$3),I817,C817)</f>
        <v>0</v>
      </c>
      <c r="O817" s="655">
        <f>+IF(OR($Q817=Parametres!$G$2,$Q817=Parametres!$G$3),J817,D817)</f>
        <v>0</v>
      </c>
      <c r="P817" s="655">
        <f>+IF(OR($Q817=Parametres!$G$2,$Q817=Parametres!$G$3),K817,E817)</f>
        <v>0</v>
      </c>
      <c r="Q817" s="654">
        <f t="shared" ref="Q817:S817" si="832">+F817</f>
        <v>0</v>
      </c>
      <c r="R817" s="653">
        <f t="shared" si="832"/>
        <v>0</v>
      </c>
      <c r="S817" s="654">
        <f t="shared" si="832"/>
        <v>0</v>
      </c>
      <c r="T817" s="656" t="e">
        <f>+VLOOKUP($L817,Data_Validation!$A:$D,1,0)</f>
        <v>#N/A</v>
      </c>
      <c r="U817" s="656" t="e">
        <f>+VLOOKUP($L817,Data_Validation!$A:$D,3,0)</f>
        <v>#N/A</v>
      </c>
      <c r="V817" s="656" t="e">
        <f>+VLOOKUP($L817,Data_Validation!$A:$D,4,0)</f>
        <v>#N/A</v>
      </c>
      <c r="W817" s="656" t="e">
        <f>+VLOOKUP($L817,Data_Validation!$A:$E,5,0)</f>
        <v>#N/A</v>
      </c>
    </row>
    <row r="818" spans="1:23" ht="15.75" customHeight="1">
      <c r="A818" s="716"/>
      <c r="B818" s="654"/>
      <c r="C818" s="717"/>
      <c r="D818" s="716"/>
      <c r="E818" s="716"/>
      <c r="F818" s="716"/>
      <c r="G818" s="716"/>
      <c r="H818" s="716"/>
      <c r="I818" s="716"/>
      <c r="J818" s="716"/>
      <c r="K818" s="716"/>
      <c r="L818" s="653" t="str">
        <f t="shared" si="785"/>
        <v>0</v>
      </c>
      <c r="M818" s="654">
        <f t="shared" si="780"/>
        <v>0</v>
      </c>
      <c r="N818" s="655">
        <f>+IF(OR($Q818=Parametres!$G$2,$Q818=Parametres!$G$3),I818,C818)</f>
        <v>0</v>
      </c>
      <c r="O818" s="655">
        <f>+IF(OR($Q818=Parametres!$G$2,$Q818=Parametres!$G$3),J818,D818)</f>
        <v>0</v>
      </c>
      <c r="P818" s="655">
        <f>+IF(OR($Q818=Parametres!$G$2,$Q818=Parametres!$G$3),K818,E818)</f>
        <v>0</v>
      </c>
      <c r="Q818" s="654">
        <f t="shared" ref="Q818:S818" si="833">+F818</f>
        <v>0</v>
      </c>
      <c r="R818" s="653">
        <f t="shared" si="833"/>
        <v>0</v>
      </c>
      <c r="S818" s="654">
        <f t="shared" si="833"/>
        <v>0</v>
      </c>
      <c r="T818" s="656" t="e">
        <f>+VLOOKUP($L818,Data_Validation!$A:$D,1,0)</f>
        <v>#N/A</v>
      </c>
      <c r="U818" s="656" t="e">
        <f>+VLOOKUP($L818,Data_Validation!$A:$D,3,0)</f>
        <v>#N/A</v>
      </c>
      <c r="V818" s="656" t="e">
        <f>+VLOOKUP($L818,Data_Validation!$A:$D,4,0)</f>
        <v>#N/A</v>
      </c>
      <c r="W818" s="656" t="e">
        <f>+VLOOKUP($L818,Data_Validation!$A:$E,5,0)</f>
        <v>#N/A</v>
      </c>
    </row>
    <row r="819" spans="1:23" ht="15.75" customHeight="1">
      <c r="A819" s="716"/>
      <c r="B819" s="654"/>
      <c r="C819" s="717"/>
      <c r="D819" s="716"/>
      <c r="E819" s="716"/>
      <c r="F819" s="716"/>
      <c r="G819" s="716"/>
      <c r="H819" s="716"/>
      <c r="I819" s="716"/>
      <c r="J819" s="716"/>
      <c r="K819" s="716"/>
      <c r="L819" s="653" t="str">
        <f t="shared" si="785"/>
        <v>0</v>
      </c>
      <c r="M819" s="654">
        <f t="shared" si="780"/>
        <v>0</v>
      </c>
      <c r="N819" s="655">
        <f>+IF(OR($Q819=Parametres!$G$2,$Q819=Parametres!$G$3),I819,C819)</f>
        <v>0</v>
      </c>
      <c r="O819" s="655">
        <f>+IF(OR($Q819=Parametres!$G$2,$Q819=Parametres!$G$3),J819,D819)</f>
        <v>0</v>
      </c>
      <c r="P819" s="655">
        <f>+IF(OR($Q819=Parametres!$G$2,$Q819=Parametres!$G$3),K819,E819)</f>
        <v>0</v>
      </c>
      <c r="Q819" s="654">
        <f t="shared" ref="Q819:S819" si="834">+F819</f>
        <v>0</v>
      </c>
      <c r="R819" s="653">
        <f t="shared" si="834"/>
        <v>0</v>
      </c>
      <c r="S819" s="654">
        <f t="shared" si="834"/>
        <v>0</v>
      </c>
      <c r="T819" s="656" t="e">
        <f>+VLOOKUP($L819,Data_Validation!$A:$D,1,0)</f>
        <v>#N/A</v>
      </c>
      <c r="U819" s="656" t="e">
        <f>+VLOOKUP($L819,Data_Validation!$A:$D,3,0)</f>
        <v>#N/A</v>
      </c>
      <c r="V819" s="656" t="e">
        <f>+VLOOKUP($L819,Data_Validation!$A:$D,4,0)</f>
        <v>#N/A</v>
      </c>
      <c r="W819" s="656" t="e">
        <f>+VLOOKUP($L819,Data_Validation!$A:$E,5,0)</f>
        <v>#N/A</v>
      </c>
    </row>
    <row r="820" spans="1:23" ht="15.75" customHeight="1">
      <c r="A820" s="716"/>
      <c r="B820" s="654"/>
      <c r="C820" s="717"/>
      <c r="D820" s="716"/>
      <c r="E820" s="716"/>
      <c r="F820" s="716"/>
      <c r="G820" s="716"/>
      <c r="H820" s="716"/>
      <c r="I820" s="716"/>
      <c r="J820" s="716"/>
      <c r="K820" s="716"/>
      <c r="L820" s="653" t="str">
        <f t="shared" si="785"/>
        <v>0</v>
      </c>
      <c r="M820" s="654">
        <f t="shared" si="780"/>
        <v>0</v>
      </c>
      <c r="N820" s="655">
        <f>+IF(OR($Q820=Parametres!$G$2,$Q820=Parametres!$G$3),I820,C820)</f>
        <v>0</v>
      </c>
      <c r="O820" s="655">
        <f>+IF(OR($Q820=Parametres!$G$2,$Q820=Parametres!$G$3),J820,D820)</f>
        <v>0</v>
      </c>
      <c r="P820" s="655">
        <f>+IF(OR($Q820=Parametres!$G$2,$Q820=Parametres!$G$3),K820,E820)</f>
        <v>0</v>
      </c>
      <c r="Q820" s="654">
        <f t="shared" ref="Q820:S820" si="835">+F820</f>
        <v>0</v>
      </c>
      <c r="R820" s="653">
        <f t="shared" si="835"/>
        <v>0</v>
      </c>
      <c r="S820" s="654">
        <f t="shared" si="835"/>
        <v>0</v>
      </c>
      <c r="T820" s="656" t="e">
        <f>+VLOOKUP($L820,Data_Validation!$A:$D,1,0)</f>
        <v>#N/A</v>
      </c>
      <c r="U820" s="656" t="e">
        <f>+VLOOKUP($L820,Data_Validation!$A:$D,3,0)</f>
        <v>#N/A</v>
      </c>
      <c r="V820" s="656" t="e">
        <f>+VLOOKUP($L820,Data_Validation!$A:$D,4,0)</f>
        <v>#N/A</v>
      </c>
      <c r="W820" s="656" t="e">
        <f>+VLOOKUP($L820,Data_Validation!$A:$E,5,0)</f>
        <v>#N/A</v>
      </c>
    </row>
    <row r="821" spans="1:23" ht="15.75" customHeight="1">
      <c r="A821" s="716"/>
      <c r="B821" s="654"/>
      <c r="C821" s="717"/>
      <c r="D821" s="716"/>
      <c r="E821" s="716"/>
      <c r="F821" s="716"/>
      <c r="G821" s="716"/>
      <c r="H821" s="716"/>
      <c r="I821" s="716"/>
      <c r="J821" s="716"/>
      <c r="K821" s="716"/>
      <c r="L821" s="653" t="str">
        <f t="shared" si="785"/>
        <v>0</v>
      </c>
      <c r="M821" s="654">
        <f t="shared" si="780"/>
        <v>0</v>
      </c>
      <c r="N821" s="655">
        <f>+IF(OR($Q821=Parametres!$G$2,$Q821=Parametres!$G$3),I821,C821)</f>
        <v>0</v>
      </c>
      <c r="O821" s="655">
        <f>+IF(OR($Q821=Parametres!$G$2,$Q821=Parametres!$G$3),J821,D821)</f>
        <v>0</v>
      </c>
      <c r="P821" s="655">
        <f>+IF(OR($Q821=Parametres!$G$2,$Q821=Parametres!$G$3),K821,E821)</f>
        <v>0</v>
      </c>
      <c r="Q821" s="654">
        <f t="shared" ref="Q821:S821" si="836">+F821</f>
        <v>0</v>
      </c>
      <c r="R821" s="653">
        <f t="shared" si="836"/>
        <v>0</v>
      </c>
      <c r="S821" s="654">
        <f t="shared" si="836"/>
        <v>0</v>
      </c>
      <c r="T821" s="656" t="e">
        <f>+VLOOKUP($L821,Data_Validation!$A:$D,1,0)</f>
        <v>#N/A</v>
      </c>
      <c r="U821" s="656" t="e">
        <f>+VLOOKUP($L821,Data_Validation!$A:$D,3,0)</f>
        <v>#N/A</v>
      </c>
      <c r="V821" s="656" t="e">
        <f>+VLOOKUP($L821,Data_Validation!$A:$D,4,0)</f>
        <v>#N/A</v>
      </c>
      <c r="W821" s="656" t="e">
        <f>+VLOOKUP($L821,Data_Validation!$A:$E,5,0)</f>
        <v>#N/A</v>
      </c>
    </row>
    <row r="822" spans="1:23" ht="15.75" customHeight="1">
      <c r="A822" s="716"/>
      <c r="B822" s="654"/>
      <c r="C822" s="717"/>
      <c r="D822" s="716"/>
      <c r="E822" s="716"/>
      <c r="F822" s="716"/>
      <c r="G822" s="716"/>
      <c r="H822" s="716"/>
      <c r="I822" s="716"/>
      <c r="J822" s="716"/>
      <c r="K822" s="716"/>
      <c r="L822" s="653" t="str">
        <f t="shared" si="785"/>
        <v>0</v>
      </c>
      <c r="M822" s="654">
        <f t="shared" si="780"/>
        <v>0</v>
      </c>
      <c r="N822" s="655">
        <f>+IF(OR($Q822=Parametres!$G$2,$Q822=Parametres!$G$3),I822,C822)</f>
        <v>0</v>
      </c>
      <c r="O822" s="655">
        <f>+IF(OR($Q822=Parametres!$G$2,$Q822=Parametres!$G$3),J822,D822)</f>
        <v>0</v>
      </c>
      <c r="P822" s="655">
        <f>+IF(OR($Q822=Parametres!$G$2,$Q822=Parametres!$G$3),K822,E822)</f>
        <v>0</v>
      </c>
      <c r="Q822" s="654">
        <f t="shared" ref="Q822:S822" si="837">+F822</f>
        <v>0</v>
      </c>
      <c r="R822" s="653">
        <f t="shared" si="837"/>
        <v>0</v>
      </c>
      <c r="S822" s="654">
        <f t="shared" si="837"/>
        <v>0</v>
      </c>
      <c r="T822" s="656" t="e">
        <f>+VLOOKUP($L822,Data_Validation!$A:$D,1,0)</f>
        <v>#N/A</v>
      </c>
      <c r="U822" s="656" t="e">
        <f>+VLOOKUP($L822,Data_Validation!$A:$D,3,0)</f>
        <v>#N/A</v>
      </c>
      <c r="V822" s="656" t="e">
        <f>+VLOOKUP($L822,Data_Validation!$A:$D,4,0)</f>
        <v>#N/A</v>
      </c>
      <c r="W822" s="656" t="e">
        <f>+VLOOKUP($L822,Data_Validation!$A:$E,5,0)</f>
        <v>#N/A</v>
      </c>
    </row>
    <row r="823" spans="1:23" ht="15.75" customHeight="1">
      <c r="A823" s="716"/>
      <c r="B823" s="654"/>
      <c r="C823" s="717"/>
      <c r="D823" s="716"/>
      <c r="E823" s="716"/>
      <c r="F823" s="716"/>
      <c r="G823" s="716"/>
      <c r="H823" s="716"/>
      <c r="I823" s="716"/>
      <c r="J823" s="716"/>
      <c r="K823" s="716"/>
      <c r="L823" s="653" t="str">
        <f t="shared" si="785"/>
        <v>0</v>
      </c>
      <c r="M823" s="654">
        <f t="shared" si="780"/>
        <v>0</v>
      </c>
      <c r="N823" s="655">
        <f>+IF(OR($Q823=Parametres!$G$2,$Q823=Parametres!$G$3),I823,C823)</f>
        <v>0</v>
      </c>
      <c r="O823" s="655">
        <f>+IF(OR($Q823=Parametres!$G$2,$Q823=Parametres!$G$3),J823,D823)</f>
        <v>0</v>
      </c>
      <c r="P823" s="655">
        <f>+IF(OR($Q823=Parametres!$G$2,$Q823=Parametres!$G$3),K823,E823)</f>
        <v>0</v>
      </c>
      <c r="Q823" s="654">
        <f t="shared" ref="Q823:S823" si="838">+F823</f>
        <v>0</v>
      </c>
      <c r="R823" s="653">
        <f t="shared" si="838"/>
        <v>0</v>
      </c>
      <c r="S823" s="654">
        <f t="shared" si="838"/>
        <v>0</v>
      </c>
      <c r="T823" s="656" t="e">
        <f>+VLOOKUP($L823,Data_Validation!$A:$D,1,0)</f>
        <v>#N/A</v>
      </c>
      <c r="U823" s="656" t="e">
        <f>+VLOOKUP($L823,Data_Validation!$A:$D,3,0)</f>
        <v>#N/A</v>
      </c>
      <c r="V823" s="656" t="e">
        <f>+VLOOKUP($L823,Data_Validation!$A:$D,4,0)</f>
        <v>#N/A</v>
      </c>
      <c r="W823" s="656" t="e">
        <f>+VLOOKUP($L823,Data_Validation!$A:$E,5,0)</f>
        <v>#N/A</v>
      </c>
    </row>
    <row r="824" spans="1:23" ht="15.75" customHeight="1">
      <c r="A824" s="716"/>
      <c r="B824" s="654"/>
      <c r="C824" s="717"/>
      <c r="D824" s="716"/>
      <c r="E824" s="716"/>
      <c r="F824" s="716"/>
      <c r="G824" s="716"/>
      <c r="H824" s="716"/>
      <c r="I824" s="716"/>
      <c r="J824" s="716"/>
      <c r="K824" s="716"/>
      <c r="L824" s="653" t="str">
        <f t="shared" si="785"/>
        <v>0</v>
      </c>
      <c r="M824" s="654">
        <f t="shared" si="780"/>
        <v>0</v>
      </c>
      <c r="N824" s="655">
        <f>+IF(OR($Q824=Parametres!$G$2,$Q824=Parametres!$G$3),I824,C824)</f>
        <v>0</v>
      </c>
      <c r="O824" s="655">
        <f>+IF(OR($Q824=Parametres!$G$2,$Q824=Parametres!$G$3),J824,D824)</f>
        <v>0</v>
      </c>
      <c r="P824" s="655">
        <f>+IF(OR($Q824=Parametres!$G$2,$Q824=Parametres!$G$3),K824,E824)</f>
        <v>0</v>
      </c>
      <c r="Q824" s="654">
        <f t="shared" ref="Q824:S824" si="839">+F824</f>
        <v>0</v>
      </c>
      <c r="R824" s="653">
        <f t="shared" si="839"/>
        <v>0</v>
      </c>
      <c r="S824" s="654">
        <f t="shared" si="839"/>
        <v>0</v>
      </c>
      <c r="T824" s="656" t="e">
        <f>+VLOOKUP($L824,Data_Validation!$A:$D,1,0)</f>
        <v>#N/A</v>
      </c>
      <c r="U824" s="656" t="e">
        <f>+VLOOKUP($L824,Data_Validation!$A:$D,3,0)</f>
        <v>#N/A</v>
      </c>
      <c r="V824" s="656" t="e">
        <f>+VLOOKUP($L824,Data_Validation!$A:$D,4,0)</f>
        <v>#N/A</v>
      </c>
      <c r="W824" s="656" t="e">
        <f>+VLOOKUP($L824,Data_Validation!$A:$E,5,0)</f>
        <v>#N/A</v>
      </c>
    </row>
    <row r="825" spans="1:23" ht="15.75" customHeight="1">
      <c r="A825" s="716"/>
      <c r="B825" s="654"/>
      <c r="C825" s="717"/>
      <c r="D825" s="716"/>
      <c r="E825" s="716"/>
      <c r="F825" s="716"/>
      <c r="G825" s="716"/>
      <c r="H825" s="716"/>
      <c r="I825" s="716"/>
      <c r="J825" s="716"/>
      <c r="K825" s="716"/>
      <c r="L825" s="653" t="str">
        <f t="shared" si="785"/>
        <v>0</v>
      </c>
      <c r="M825" s="654">
        <f t="shared" si="780"/>
        <v>0</v>
      </c>
      <c r="N825" s="655">
        <f>+IF(OR($Q825=Parametres!$G$2,$Q825=Parametres!$G$3),I825,C825)</f>
        <v>0</v>
      </c>
      <c r="O825" s="655">
        <f>+IF(OR($Q825=Parametres!$G$2,$Q825=Parametres!$G$3),J825,D825)</f>
        <v>0</v>
      </c>
      <c r="P825" s="655">
        <f>+IF(OR($Q825=Parametres!$G$2,$Q825=Parametres!$G$3),K825,E825)</f>
        <v>0</v>
      </c>
      <c r="Q825" s="654">
        <f t="shared" ref="Q825:S825" si="840">+F825</f>
        <v>0</v>
      </c>
      <c r="R825" s="653">
        <f t="shared" si="840"/>
        <v>0</v>
      </c>
      <c r="S825" s="654">
        <f t="shared" si="840"/>
        <v>0</v>
      </c>
      <c r="T825" s="656" t="e">
        <f>+VLOOKUP($L825,Data_Validation!$A:$D,1,0)</f>
        <v>#N/A</v>
      </c>
      <c r="U825" s="656" t="e">
        <f>+VLOOKUP($L825,Data_Validation!$A:$D,3,0)</f>
        <v>#N/A</v>
      </c>
      <c r="V825" s="656" t="e">
        <f>+VLOOKUP($L825,Data_Validation!$A:$D,4,0)</f>
        <v>#N/A</v>
      </c>
      <c r="W825" s="656" t="e">
        <f>+VLOOKUP($L825,Data_Validation!$A:$E,5,0)</f>
        <v>#N/A</v>
      </c>
    </row>
    <row r="826" spans="1:23" ht="15.75" customHeight="1">
      <c r="A826" s="716"/>
      <c r="B826" s="654"/>
      <c r="C826" s="717"/>
      <c r="D826" s="716"/>
      <c r="E826" s="716"/>
      <c r="F826" s="716"/>
      <c r="G826" s="716"/>
      <c r="H826" s="716"/>
      <c r="I826" s="716"/>
      <c r="J826" s="716"/>
      <c r="K826" s="716"/>
      <c r="L826" s="653" t="str">
        <f t="shared" si="785"/>
        <v>0</v>
      </c>
      <c r="M826" s="654">
        <f t="shared" si="780"/>
        <v>0</v>
      </c>
      <c r="N826" s="655">
        <f>+IF(OR($Q826=Parametres!$G$2,$Q826=Parametres!$G$3),I826,C826)</f>
        <v>0</v>
      </c>
      <c r="O826" s="655">
        <f>+IF(OR($Q826=Parametres!$G$2,$Q826=Parametres!$G$3),J826,D826)</f>
        <v>0</v>
      </c>
      <c r="P826" s="655">
        <f>+IF(OR($Q826=Parametres!$G$2,$Q826=Parametres!$G$3),K826,E826)</f>
        <v>0</v>
      </c>
      <c r="Q826" s="654">
        <f t="shared" ref="Q826:S826" si="841">+F826</f>
        <v>0</v>
      </c>
      <c r="R826" s="653">
        <f t="shared" si="841"/>
        <v>0</v>
      </c>
      <c r="S826" s="654">
        <f t="shared" si="841"/>
        <v>0</v>
      </c>
      <c r="T826" s="656" t="e">
        <f>+VLOOKUP($L826,Data_Validation!$A:$D,1,0)</f>
        <v>#N/A</v>
      </c>
      <c r="U826" s="656" t="e">
        <f>+VLOOKUP($L826,Data_Validation!$A:$D,3,0)</f>
        <v>#N/A</v>
      </c>
      <c r="V826" s="656" t="e">
        <f>+VLOOKUP($L826,Data_Validation!$A:$D,4,0)</f>
        <v>#N/A</v>
      </c>
      <c r="W826" s="656" t="e">
        <f>+VLOOKUP($L826,Data_Validation!$A:$E,5,0)</f>
        <v>#N/A</v>
      </c>
    </row>
    <row r="827" spans="1:23" ht="15.75" customHeight="1">
      <c r="A827" s="716"/>
      <c r="B827" s="654"/>
      <c r="C827" s="717"/>
      <c r="D827" s="716"/>
      <c r="E827" s="716"/>
      <c r="F827" s="716"/>
      <c r="G827" s="716"/>
      <c r="H827" s="716"/>
      <c r="I827" s="716"/>
      <c r="J827" s="716"/>
      <c r="K827" s="716"/>
      <c r="L827" s="653" t="str">
        <f t="shared" si="785"/>
        <v>0</v>
      </c>
      <c r="M827" s="654">
        <f t="shared" si="780"/>
        <v>0</v>
      </c>
      <c r="N827" s="655">
        <f>+IF(OR($Q827=Parametres!$G$2,$Q827=Parametres!$G$3),I827,C827)</f>
        <v>0</v>
      </c>
      <c r="O827" s="655">
        <f>+IF(OR($Q827=Parametres!$G$2,$Q827=Parametres!$G$3),J827,D827)</f>
        <v>0</v>
      </c>
      <c r="P827" s="655">
        <f>+IF(OR($Q827=Parametres!$G$2,$Q827=Parametres!$G$3),K827,E827)</f>
        <v>0</v>
      </c>
      <c r="Q827" s="654">
        <f t="shared" ref="Q827:S827" si="842">+F827</f>
        <v>0</v>
      </c>
      <c r="R827" s="653">
        <f t="shared" si="842"/>
        <v>0</v>
      </c>
      <c r="S827" s="654">
        <f t="shared" si="842"/>
        <v>0</v>
      </c>
      <c r="T827" s="656" t="e">
        <f>+VLOOKUP($L827,Data_Validation!$A:$D,1,0)</f>
        <v>#N/A</v>
      </c>
      <c r="U827" s="656" t="e">
        <f>+VLOOKUP($L827,Data_Validation!$A:$D,3,0)</f>
        <v>#N/A</v>
      </c>
      <c r="V827" s="656" t="e">
        <f>+VLOOKUP($L827,Data_Validation!$A:$D,4,0)</f>
        <v>#N/A</v>
      </c>
      <c r="W827" s="656" t="e">
        <f>+VLOOKUP($L827,Data_Validation!$A:$E,5,0)</f>
        <v>#N/A</v>
      </c>
    </row>
    <row r="828" spans="1:23" ht="15.75" customHeight="1">
      <c r="A828" s="716"/>
      <c r="B828" s="654"/>
      <c r="C828" s="717"/>
      <c r="D828" s="716"/>
      <c r="E828" s="716"/>
      <c r="F828" s="716"/>
      <c r="G828" s="716"/>
      <c r="H828" s="716"/>
      <c r="I828" s="716"/>
      <c r="J828" s="716"/>
      <c r="K828" s="716"/>
      <c r="L828" s="653" t="str">
        <f t="shared" si="785"/>
        <v>0</v>
      </c>
      <c r="M828" s="654">
        <f t="shared" si="780"/>
        <v>0</v>
      </c>
      <c r="N828" s="655">
        <f>+IF(OR($Q828=Parametres!$G$2,$Q828=Parametres!$G$3),I828,C828)</f>
        <v>0</v>
      </c>
      <c r="O828" s="655">
        <f>+IF(OR($Q828=Parametres!$G$2,$Q828=Parametres!$G$3),J828,D828)</f>
        <v>0</v>
      </c>
      <c r="P828" s="655">
        <f>+IF(OR($Q828=Parametres!$G$2,$Q828=Parametres!$G$3),K828,E828)</f>
        <v>0</v>
      </c>
      <c r="Q828" s="654">
        <f t="shared" ref="Q828:S828" si="843">+F828</f>
        <v>0</v>
      </c>
      <c r="R828" s="653">
        <f t="shared" si="843"/>
        <v>0</v>
      </c>
      <c r="S828" s="654">
        <f t="shared" si="843"/>
        <v>0</v>
      </c>
      <c r="T828" s="656" t="e">
        <f>+VLOOKUP($L828,Data_Validation!$A:$D,1,0)</f>
        <v>#N/A</v>
      </c>
      <c r="U828" s="656" t="e">
        <f>+VLOOKUP($L828,Data_Validation!$A:$D,3,0)</f>
        <v>#N/A</v>
      </c>
      <c r="V828" s="656" t="e">
        <f>+VLOOKUP($L828,Data_Validation!$A:$D,4,0)</f>
        <v>#N/A</v>
      </c>
      <c r="W828" s="656" t="e">
        <f>+VLOOKUP($L828,Data_Validation!$A:$E,5,0)</f>
        <v>#N/A</v>
      </c>
    </row>
    <row r="829" spans="1:23" ht="15.75" customHeight="1">
      <c r="A829" s="716"/>
      <c r="B829" s="654"/>
      <c r="C829" s="717"/>
      <c r="D829" s="716"/>
      <c r="E829" s="716"/>
      <c r="F829" s="716"/>
      <c r="G829" s="716"/>
      <c r="H829" s="716"/>
      <c r="I829" s="716"/>
      <c r="J829" s="716"/>
      <c r="K829" s="716"/>
      <c r="L829" s="653" t="str">
        <f t="shared" si="785"/>
        <v>0</v>
      </c>
      <c r="M829" s="654">
        <f t="shared" si="780"/>
        <v>0</v>
      </c>
      <c r="N829" s="655">
        <f>+IF(OR($Q829=Parametres!$G$2,$Q829=Parametres!$G$3),I829,C829)</f>
        <v>0</v>
      </c>
      <c r="O829" s="655">
        <f>+IF(OR($Q829=Parametres!$G$2,$Q829=Parametres!$G$3),J829,D829)</f>
        <v>0</v>
      </c>
      <c r="P829" s="655">
        <f>+IF(OR($Q829=Parametres!$G$2,$Q829=Parametres!$G$3),K829,E829)</f>
        <v>0</v>
      </c>
      <c r="Q829" s="654">
        <f t="shared" ref="Q829:S829" si="844">+F829</f>
        <v>0</v>
      </c>
      <c r="R829" s="653">
        <f t="shared" si="844"/>
        <v>0</v>
      </c>
      <c r="S829" s="654">
        <f t="shared" si="844"/>
        <v>0</v>
      </c>
      <c r="T829" s="656" t="e">
        <f>+VLOOKUP($L829,Data_Validation!$A:$D,1,0)</f>
        <v>#N/A</v>
      </c>
      <c r="U829" s="656" t="e">
        <f>+VLOOKUP($L829,Data_Validation!$A:$D,3,0)</f>
        <v>#N/A</v>
      </c>
      <c r="V829" s="656" t="e">
        <f>+VLOOKUP($L829,Data_Validation!$A:$D,4,0)</f>
        <v>#N/A</v>
      </c>
      <c r="W829" s="656" t="e">
        <f>+VLOOKUP($L829,Data_Validation!$A:$E,5,0)</f>
        <v>#N/A</v>
      </c>
    </row>
    <row r="830" spans="1:23" ht="15.75" customHeight="1">
      <c r="A830" s="716"/>
      <c r="B830" s="654"/>
      <c r="C830" s="717"/>
      <c r="D830" s="716"/>
      <c r="E830" s="716"/>
      <c r="F830" s="716"/>
      <c r="G830" s="716"/>
      <c r="H830" s="716"/>
      <c r="I830" s="716"/>
      <c r="J830" s="716"/>
      <c r="K830" s="716"/>
      <c r="L830" s="653" t="str">
        <f t="shared" si="785"/>
        <v>0</v>
      </c>
      <c r="M830" s="654">
        <f t="shared" si="780"/>
        <v>0</v>
      </c>
      <c r="N830" s="655">
        <f>+IF(OR($Q830=Parametres!$G$2,$Q830=Parametres!$G$3),I830,C830)</f>
        <v>0</v>
      </c>
      <c r="O830" s="655">
        <f>+IF(OR($Q830=Parametres!$G$2,$Q830=Parametres!$G$3),J830,D830)</f>
        <v>0</v>
      </c>
      <c r="P830" s="655">
        <f>+IF(OR($Q830=Parametres!$G$2,$Q830=Parametres!$G$3),K830,E830)</f>
        <v>0</v>
      </c>
      <c r="Q830" s="654">
        <f t="shared" ref="Q830:S830" si="845">+F830</f>
        <v>0</v>
      </c>
      <c r="R830" s="653">
        <f t="shared" si="845"/>
        <v>0</v>
      </c>
      <c r="S830" s="654">
        <f t="shared" si="845"/>
        <v>0</v>
      </c>
      <c r="T830" s="656" t="e">
        <f>+VLOOKUP($L830,Data_Validation!$A:$D,1,0)</f>
        <v>#N/A</v>
      </c>
      <c r="U830" s="656" t="e">
        <f>+VLOOKUP($L830,Data_Validation!$A:$D,3,0)</f>
        <v>#N/A</v>
      </c>
      <c r="V830" s="656" t="e">
        <f>+VLOOKUP($L830,Data_Validation!$A:$D,4,0)</f>
        <v>#N/A</v>
      </c>
      <c r="W830" s="656" t="e">
        <f>+VLOOKUP($L830,Data_Validation!$A:$E,5,0)</f>
        <v>#N/A</v>
      </c>
    </row>
    <row r="831" spans="1:23" ht="15.75" customHeight="1">
      <c r="A831" s="716"/>
      <c r="B831" s="654"/>
      <c r="C831" s="717"/>
      <c r="D831" s="716"/>
      <c r="E831" s="716"/>
      <c r="F831" s="716"/>
      <c r="G831" s="716"/>
      <c r="H831" s="716"/>
      <c r="I831" s="716"/>
      <c r="J831" s="716"/>
      <c r="K831" s="716"/>
      <c r="L831" s="653" t="str">
        <f t="shared" si="785"/>
        <v>0</v>
      </c>
      <c r="M831" s="654">
        <f t="shared" si="780"/>
        <v>0</v>
      </c>
      <c r="N831" s="655">
        <f>+IF(OR($Q831=Parametres!$G$2,$Q831=Parametres!$G$3),I831,C831)</f>
        <v>0</v>
      </c>
      <c r="O831" s="655">
        <f>+IF(OR($Q831=Parametres!$G$2,$Q831=Parametres!$G$3),J831,D831)</f>
        <v>0</v>
      </c>
      <c r="P831" s="655">
        <f>+IF(OR($Q831=Parametres!$G$2,$Q831=Parametres!$G$3),K831,E831)</f>
        <v>0</v>
      </c>
      <c r="Q831" s="654">
        <f t="shared" ref="Q831:S831" si="846">+F831</f>
        <v>0</v>
      </c>
      <c r="R831" s="653">
        <f t="shared" si="846"/>
        <v>0</v>
      </c>
      <c r="S831" s="654">
        <f t="shared" si="846"/>
        <v>0</v>
      </c>
      <c r="T831" s="656" t="e">
        <f>+VLOOKUP($L831,Data_Validation!$A:$D,1,0)</f>
        <v>#N/A</v>
      </c>
      <c r="U831" s="656" t="e">
        <f>+VLOOKUP($L831,Data_Validation!$A:$D,3,0)</f>
        <v>#N/A</v>
      </c>
      <c r="V831" s="656" t="e">
        <f>+VLOOKUP($L831,Data_Validation!$A:$D,4,0)</f>
        <v>#N/A</v>
      </c>
      <c r="W831" s="656" t="e">
        <f>+VLOOKUP($L831,Data_Validation!$A:$E,5,0)</f>
        <v>#N/A</v>
      </c>
    </row>
    <row r="832" spans="1:23" ht="15.75" customHeight="1">
      <c r="A832" s="716"/>
      <c r="B832" s="654"/>
      <c r="C832" s="717"/>
      <c r="D832" s="716"/>
      <c r="E832" s="716"/>
      <c r="F832" s="716"/>
      <c r="G832" s="716"/>
      <c r="H832" s="716"/>
      <c r="I832" s="716"/>
      <c r="J832" s="716"/>
      <c r="K832" s="716"/>
      <c r="L832" s="653" t="str">
        <f t="shared" si="785"/>
        <v>0</v>
      </c>
      <c r="M832" s="654">
        <f t="shared" si="780"/>
        <v>0</v>
      </c>
      <c r="N832" s="655">
        <f>+IF(OR($Q832=Parametres!$G$2,$Q832=Parametres!$G$3),I832,C832)</f>
        <v>0</v>
      </c>
      <c r="O832" s="655">
        <f>+IF(OR($Q832=Parametres!$G$2,$Q832=Parametres!$G$3),J832,D832)</f>
        <v>0</v>
      </c>
      <c r="P832" s="655">
        <f>+IF(OR($Q832=Parametres!$G$2,$Q832=Parametres!$G$3),K832,E832)</f>
        <v>0</v>
      </c>
      <c r="Q832" s="654">
        <f t="shared" ref="Q832:S832" si="847">+F832</f>
        <v>0</v>
      </c>
      <c r="R832" s="653">
        <f t="shared" si="847"/>
        <v>0</v>
      </c>
      <c r="S832" s="654">
        <f t="shared" si="847"/>
        <v>0</v>
      </c>
      <c r="T832" s="656" t="e">
        <f>+VLOOKUP($L832,Data_Validation!$A:$D,1,0)</f>
        <v>#N/A</v>
      </c>
      <c r="U832" s="656" t="e">
        <f>+VLOOKUP($L832,Data_Validation!$A:$D,3,0)</f>
        <v>#N/A</v>
      </c>
      <c r="V832" s="656" t="e">
        <f>+VLOOKUP($L832,Data_Validation!$A:$D,4,0)</f>
        <v>#N/A</v>
      </c>
      <c r="W832" s="656" t="e">
        <f>+VLOOKUP($L832,Data_Validation!$A:$E,5,0)</f>
        <v>#N/A</v>
      </c>
    </row>
    <row r="833" spans="1:23" ht="15.75" customHeight="1">
      <c r="A833" s="716"/>
      <c r="B833" s="654"/>
      <c r="C833" s="717"/>
      <c r="D833" s="716"/>
      <c r="E833" s="716"/>
      <c r="F833" s="716"/>
      <c r="G833" s="716"/>
      <c r="H833" s="716"/>
      <c r="I833" s="716"/>
      <c r="J833" s="716"/>
      <c r="K833" s="716"/>
      <c r="L833" s="653" t="str">
        <f t="shared" si="785"/>
        <v>0</v>
      </c>
      <c r="M833" s="654">
        <f t="shared" si="780"/>
        <v>0</v>
      </c>
      <c r="N833" s="655">
        <f>+IF(OR($Q833=Parametres!$G$2,$Q833=Parametres!$G$3),I833,C833)</f>
        <v>0</v>
      </c>
      <c r="O833" s="655">
        <f>+IF(OR($Q833=Parametres!$G$2,$Q833=Parametres!$G$3),J833,D833)</f>
        <v>0</v>
      </c>
      <c r="P833" s="655">
        <f>+IF(OR($Q833=Parametres!$G$2,$Q833=Parametres!$G$3),K833,E833)</f>
        <v>0</v>
      </c>
      <c r="Q833" s="654">
        <f t="shared" ref="Q833:S833" si="848">+F833</f>
        <v>0</v>
      </c>
      <c r="R833" s="653">
        <f t="shared" si="848"/>
        <v>0</v>
      </c>
      <c r="S833" s="654">
        <f t="shared" si="848"/>
        <v>0</v>
      </c>
      <c r="T833" s="656" t="e">
        <f>+VLOOKUP($L833,Data_Validation!$A:$D,1,0)</f>
        <v>#N/A</v>
      </c>
      <c r="U833" s="656" t="e">
        <f>+VLOOKUP($L833,Data_Validation!$A:$D,3,0)</f>
        <v>#N/A</v>
      </c>
      <c r="V833" s="656" t="e">
        <f>+VLOOKUP($L833,Data_Validation!$A:$D,4,0)</f>
        <v>#N/A</v>
      </c>
      <c r="W833" s="656" t="e">
        <f>+VLOOKUP($L833,Data_Validation!$A:$E,5,0)</f>
        <v>#N/A</v>
      </c>
    </row>
    <row r="834" spans="1:23" ht="15.75" customHeight="1">
      <c r="A834" s="716"/>
      <c r="B834" s="654"/>
      <c r="C834" s="717"/>
      <c r="D834" s="716"/>
      <c r="E834" s="716"/>
      <c r="F834" s="716"/>
      <c r="G834" s="716"/>
      <c r="H834" s="716"/>
      <c r="I834" s="716"/>
      <c r="J834" s="716"/>
      <c r="K834" s="716"/>
      <c r="L834" s="653" t="str">
        <f t="shared" si="785"/>
        <v>0</v>
      </c>
      <c r="M834" s="654">
        <f t="shared" si="780"/>
        <v>0</v>
      </c>
      <c r="N834" s="655">
        <f>+IF(OR($Q834=Parametres!$G$2,$Q834=Parametres!$G$3),I834,C834)</f>
        <v>0</v>
      </c>
      <c r="O834" s="655">
        <f>+IF(OR($Q834=Parametres!$G$2,$Q834=Parametres!$G$3),J834,D834)</f>
        <v>0</v>
      </c>
      <c r="P834" s="655">
        <f>+IF(OR($Q834=Parametres!$G$2,$Q834=Parametres!$G$3),K834,E834)</f>
        <v>0</v>
      </c>
      <c r="Q834" s="654">
        <f t="shared" ref="Q834:S834" si="849">+F834</f>
        <v>0</v>
      </c>
      <c r="R834" s="653">
        <f t="shared" si="849"/>
        <v>0</v>
      </c>
      <c r="S834" s="654">
        <f t="shared" si="849"/>
        <v>0</v>
      </c>
      <c r="T834" s="656" t="e">
        <f>+VLOOKUP($L834,Data_Validation!$A:$D,1,0)</f>
        <v>#N/A</v>
      </c>
      <c r="U834" s="656" t="e">
        <f>+VLOOKUP($L834,Data_Validation!$A:$D,3,0)</f>
        <v>#N/A</v>
      </c>
      <c r="V834" s="656" t="e">
        <f>+VLOOKUP($L834,Data_Validation!$A:$D,4,0)</f>
        <v>#N/A</v>
      </c>
      <c r="W834" s="656" t="e">
        <f>+VLOOKUP($L834,Data_Validation!$A:$E,5,0)</f>
        <v>#N/A</v>
      </c>
    </row>
    <row r="835" spans="1:23" ht="15.75" customHeight="1">
      <c r="A835" s="716"/>
      <c r="B835" s="654"/>
      <c r="C835" s="717"/>
      <c r="D835" s="716"/>
      <c r="E835" s="716"/>
      <c r="F835" s="716"/>
      <c r="G835" s="716"/>
      <c r="H835" s="716"/>
      <c r="I835" s="716"/>
      <c r="J835" s="716"/>
      <c r="K835" s="716"/>
      <c r="L835" s="653" t="str">
        <f t="shared" ref="L835:L898" si="850">TEXT(B835,0)</f>
        <v>0</v>
      </c>
      <c r="M835" s="654">
        <f t="shared" si="780"/>
        <v>0</v>
      </c>
      <c r="N835" s="655">
        <f>+IF(OR($Q835=Parametres!$G$2,$Q835=Parametres!$G$3),I835,C835)</f>
        <v>0</v>
      </c>
      <c r="O835" s="655">
        <f>+IF(OR($Q835=Parametres!$G$2,$Q835=Parametres!$G$3),J835,D835)</f>
        <v>0</v>
      </c>
      <c r="P835" s="655">
        <f>+IF(OR($Q835=Parametres!$G$2,$Q835=Parametres!$G$3),K835,E835)</f>
        <v>0</v>
      </c>
      <c r="Q835" s="654">
        <f t="shared" ref="Q835:S835" si="851">+F835</f>
        <v>0</v>
      </c>
      <c r="R835" s="653">
        <f t="shared" si="851"/>
        <v>0</v>
      </c>
      <c r="S835" s="654">
        <f t="shared" si="851"/>
        <v>0</v>
      </c>
      <c r="T835" s="656" t="e">
        <f>+VLOOKUP($L835,Data_Validation!$A:$D,1,0)</f>
        <v>#N/A</v>
      </c>
      <c r="U835" s="656" t="e">
        <f>+VLOOKUP($L835,Data_Validation!$A:$D,3,0)</f>
        <v>#N/A</v>
      </c>
      <c r="V835" s="656" t="e">
        <f>+VLOOKUP($L835,Data_Validation!$A:$D,4,0)</f>
        <v>#N/A</v>
      </c>
      <c r="W835" s="656" t="e">
        <f>+VLOOKUP($L835,Data_Validation!$A:$E,5,0)</f>
        <v>#N/A</v>
      </c>
    </row>
    <row r="836" spans="1:23" ht="15.75" customHeight="1">
      <c r="A836" s="716"/>
      <c r="B836" s="654"/>
      <c r="C836" s="717"/>
      <c r="D836" s="716"/>
      <c r="E836" s="716"/>
      <c r="F836" s="716"/>
      <c r="G836" s="716"/>
      <c r="H836" s="716"/>
      <c r="I836" s="716"/>
      <c r="J836" s="716"/>
      <c r="K836" s="716"/>
      <c r="L836" s="653" t="str">
        <f t="shared" si="850"/>
        <v>0</v>
      </c>
      <c r="M836" s="654">
        <f t="shared" si="780"/>
        <v>0</v>
      </c>
      <c r="N836" s="655">
        <f>+IF(OR($Q836=Parametres!$G$2,$Q836=Parametres!$G$3),I836,C836)</f>
        <v>0</v>
      </c>
      <c r="O836" s="655">
        <f>+IF(OR($Q836=Parametres!$G$2,$Q836=Parametres!$G$3),J836,D836)</f>
        <v>0</v>
      </c>
      <c r="P836" s="655">
        <f>+IF(OR($Q836=Parametres!$G$2,$Q836=Parametres!$G$3),K836,E836)</f>
        <v>0</v>
      </c>
      <c r="Q836" s="654">
        <f t="shared" ref="Q836:S836" si="852">+F836</f>
        <v>0</v>
      </c>
      <c r="R836" s="653">
        <f t="shared" si="852"/>
        <v>0</v>
      </c>
      <c r="S836" s="654">
        <f t="shared" si="852"/>
        <v>0</v>
      </c>
      <c r="T836" s="656" t="e">
        <f>+VLOOKUP($L836,Data_Validation!$A:$D,1,0)</f>
        <v>#N/A</v>
      </c>
      <c r="U836" s="656" t="e">
        <f>+VLOOKUP($L836,Data_Validation!$A:$D,3,0)</f>
        <v>#N/A</v>
      </c>
      <c r="V836" s="656" t="e">
        <f>+VLOOKUP($L836,Data_Validation!$A:$D,4,0)</f>
        <v>#N/A</v>
      </c>
      <c r="W836" s="656" t="e">
        <f>+VLOOKUP($L836,Data_Validation!$A:$E,5,0)</f>
        <v>#N/A</v>
      </c>
    </row>
    <row r="837" spans="1:23" ht="15.75" customHeight="1">
      <c r="A837" s="716"/>
      <c r="B837" s="654"/>
      <c r="C837" s="717"/>
      <c r="D837" s="716"/>
      <c r="E837" s="716"/>
      <c r="F837" s="716"/>
      <c r="G837" s="716"/>
      <c r="H837" s="716"/>
      <c r="I837" s="716"/>
      <c r="J837" s="716"/>
      <c r="K837" s="716"/>
      <c r="L837" s="653" t="str">
        <f t="shared" si="850"/>
        <v>0</v>
      </c>
      <c r="M837" s="654">
        <f t="shared" si="780"/>
        <v>0</v>
      </c>
      <c r="N837" s="655">
        <f>+IF(OR($Q837=Parametres!$G$2,$Q837=Parametres!$G$3),I837,C837)</f>
        <v>0</v>
      </c>
      <c r="O837" s="655">
        <f>+IF(OR($Q837=Parametres!$G$2,$Q837=Parametres!$G$3),J837,D837)</f>
        <v>0</v>
      </c>
      <c r="P837" s="655">
        <f>+IF(OR($Q837=Parametres!$G$2,$Q837=Parametres!$G$3),K837,E837)</f>
        <v>0</v>
      </c>
      <c r="Q837" s="654">
        <f t="shared" ref="Q837:S837" si="853">+F837</f>
        <v>0</v>
      </c>
      <c r="R837" s="653">
        <f t="shared" si="853"/>
        <v>0</v>
      </c>
      <c r="S837" s="654">
        <f t="shared" si="853"/>
        <v>0</v>
      </c>
      <c r="T837" s="656" t="e">
        <f>+VLOOKUP($L837,Data_Validation!$A:$D,1,0)</f>
        <v>#N/A</v>
      </c>
      <c r="U837" s="656" t="e">
        <f>+VLOOKUP($L837,Data_Validation!$A:$D,3,0)</f>
        <v>#N/A</v>
      </c>
      <c r="V837" s="656" t="e">
        <f>+VLOOKUP($L837,Data_Validation!$A:$D,4,0)</f>
        <v>#N/A</v>
      </c>
      <c r="W837" s="656" t="e">
        <f>+VLOOKUP($L837,Data_Validation!$A:$E,5,0)</f>
        <v>#N/A</v>
      </c>
    </row>
    <row r="838" spans="1:23" ht="15.75" customHeight="1">
      <c r="A838" s="716"/>
      <c r="B838" s="654"/>
      <c r="C838" s="717"/>
      <c r="D838" s="716"/>
      <c r="E838" s="716"/>
      <c r="F838" s="716"/>
      <c r="G838" s="716"/>
      <c r="H838" s="716"/>
      <c r="I838" s="716"/>
      <c r="J838" s="716"/>
      <c r="K838" s="716"/>
      <c r="L838" s="653" t="str">
        <f t="shared" si="850"/>
        <v>0</v>
      </c>
      <c r="M838" s="654">
        <f t="shared" si="780"/>
        <v>0</v>
      </c>
      <c r="N838" s="655">
        <f>+IF(OR($Q838=Parametres!$G$2,$Q838=Parametres!$G$3),I838,C838)</f>
        <v>0</v>
      </c>
      <c r="O838" s="655">
        <f>+IF(OR($Q838=Parametres!$G$2,$Q838=Parametres!$G$3),J838,D838)</f>
        <v>0</v>
      </c>
      <c r="P838" s="655">
        <f>+IF(OR($Q838=Parametres!$G$2,$Q838=Parametres!$G$3),K838,E838)</f>
        <v>0</v>
      </c>
      <c r="Q838" s="654">
        <f t="shared" ref="Q838:S838" si="854">+F838</f>
        <v>0</v>
      </c>
      <c r="R838" s="653">
        <f t="shared" si="854"/>
        <v>0</v>
      </c>
      <c r="S838" s="654">
        <f t="shared" si="854"/>
        <v>0</v>
      </c>
      <c r="T838" s="656" t="e">
        <f>+VLOOKUP($L838,Data_Validation!$A:$D,1,0)</f>
        <v>#N/A</v>
      </c>
      <c r="U838" s="656" t="e">
        <f>+VLOOKUP($L838,Data_Validation!$A:$D,3,0)</f>
        <v>#N/A</v>
      </c>
      <c r="V838" s="656" t="e">
        <f>+VLOOKUP($L838,Data_Validation!$A:$D,4,0)</f>
        <v>#N/A</v>
      </c>
      <c r="W838" s="656" t="e">
        <f>+VLOOKUP($L838,Data_Validation!$A:$E,5,0)</f>
        <v>#N/A</v>
      </c>
    </row>
    <row r="839" spans="1:23" ht="15.75" customHeight="1">
      <c r="A839" s="716"/>
      <c r="B839" s="654"/>
      <c r="C839" s="717"/>
      <c r="D839" s="716"/>
      <c r="E839" s="716"/>
      <c r="F839" s="716"/>
      <c r="G839" s="716"/>
      <c r="H839" s="716"/>
      <c r="I839" s="716"/>
      <c r="J839" s="716"/>
      <c r="K839" s="716"/>
      <c r="L839" s="653" t="str">
        <f t="shared" si="850"/>
        <v>0</v>
      </c>
      <c r="M839" s="654">
        <f t="shared" si="780"/>
        <v>0</v>
      </c>
      <c r="N839" s="655">
        <f>+IF(OR($Q839=Parametres!$G$2,$Q839=Parametres!$G$3),I839,C839)</f>
        <v>0</v>
      </c>
      <c r="O839" s="655">
        <f>+IF(OR($Q839=Parametres!$G$2,$Q839=Parametres!$G$3),J839,D839)</f>
        <v>0</v>
      </c>
      <c r="P839" s="655">
        <f>+IF(OR($Q839=Parametres!$G$2,$Q839=Parametres!$G$3),K839,E839)</f>
        <v>0</v>
      </c>
      <c r="Q839" s="654">
        <f t="shared" ref="Q839:S839" si="855">+F839</f>
        <v>0</v>
      </c>
      <c r="R839" s="653">
        <f t="shared" si="855"/>
        <v>0</v>
      </c>
      <c r="S839" s="654">
        <f t="shared" si="855"/>
        <v>0</v>
      </c>
      <c r="T839" s="656" t="e">
        <f>+VLOOKUP($L839,Data_Validation!$A:$D,1,0)</f>
        <v>#N/A</v>
      </c>
      <c r="U839" s="656" t="e">
        <f>+VLOOKUP($L839,Data_Validation!$A:$D,3,0)</f>
        <v>#N/A</v>
      </c>
      <c r="V839" s="656" t="e">
        <f>+VLOOKUP($L839,Data_Validation!$A:$D,4,0)</f>
        <v>#N/A</v>
      </c>
      <c r="W839" s="656" t="e">
        <f>+VLOOKUP($L839,Data_Validation!$A:$E,5,0)</f>
        <v>#N/A</v>
      </c>
    </row>
    <row r="840" spans="1:23" ht="15.75" customHeight="1">
      <c r="A840" s="716"/>
      <c r="B840" s="654"/>
      <c r="C840" s="717"/>
      <c r="D840" s="716"/>
      <c r="E840" s="716"/>
      <c r="F840" s="716"/>
      <c r="G840" s="716"/>
      <c r="H840" s="716"/>
      <c r="I840" s="716"/>
      <c r="J840" s="716"/>
      <c r="K840" s="716"/>
      <c r="L840" s="653" t="str">
        <f t="shared" si="850"/>
        <v>0</v>
      </c>
      <c r="M840" s="654">
        <f t="shared" si="780"/>
        <v>0</v>
      </c>
      <c r="N840" s="655">
        <f>+IF(OR($Q840=Parametres!$G$2,$Q840=Parametres!$G$3),I840,C840)</f>
        <v>0</v>
      </c>
      <c r="O840" s="655">
        <f>+IF(OR($Q840=Parametres!$G$2,$Q840=Parametres!$G$3),J840,D840)</f>
        <v>0</v>
      </c>
      <c r="P840" s="655">
        <f>+IF(OR($Q840=Parametres!$G$2,$Q840=Parametres!$G$3),K840,E840)</f>
        <v>0</v>
      </c>
      <c r="Q840" s="654">
        <f t="shared" ref="Q840:S840" si="856">+F840</f>
        <v>0</v>
      </c>
      <c r="R840" s="653">
        <f t="shared" si="856"/>
        <v>0</v>
      </c>
      <c r="S840" s="654">
        <f t="shared" si="856"/>
        <v>0</v>
      </c>
      <c r="T840" s="656" t="e">
        <f>+VLOOKUP($L840,Data_Validation!$A:$D,1,0)</f>
        <v>#N/A</v>
      </c>
      <c r="U840" s="656" t="e">
        <f>+VLOOKUP($L840,Data_Validation!$A:$D,3,0)</f>
        <v>#N/A</v>
      </c>
      <c r="V840" s="656" t="e">
        <f>+VLOOKUP($L840,Data_Validation!$A:$D,4,0)</f>
        <v>#N/A</v>
      </c>
      <c r="W840" s="656" t="e">
        <f>+VLOOKUP($L840,Data_Validation!$A:$E,5,0)</f>
        <v>#N/A</v>
      </c>
    </row>
    <row r="841" spans="1:23" ht="15.75" customHeight="1">
      <c r="A841" s="716"/>
      <c r="B841" s="654"/>
      <c r="C841" s="717"/>
      <c r="D841" s="716"/>
      <c r="E841" s="716"/>
      <c r="F841" s="716"/>
      <c r="G841" s="716"/>
      <c r="H841" s="716"/>
      <c r="I841" s="716"/>
      <c r="J841" s="716"/>
      <c r="K841" s="716"/>
      <c r="L841" s="653" t="str">
        <f t="shared" si="850"/>
        <v>0</v>
      </c>
      <c r="M841" s="654">
        <f t="shared" si="780"/>
        <v>0</v>
      </c>
      <c r="N841" s="655">
        <f>+IF(OR($Q841=Parametres!$G$2,$Q841=Parametres!$G$3),I841,C841)</f>
        <v>0</v>
      </c>
      <c r="O841" s="655">
        <f>+IF(OR($Q841=Parametres!$G$2,$Q841=Parametres!$G$3),J841,D841)</f>
        <v>0</v>
      </c>
      <c r="P841" s="655">
        <f>+IF(OR($Q841=Parametres!$G$2,$Q841=Parametres!$G$3),K841,E841)</f>
        <v>0</v>
      </c>
      <c r="Q841" s="654">
        <f t="shared" ref="Q841:S841" si="857">+F841</f>
        <v>0</v>
      </c>
      <c r="R841" s="653">
        <f t="shared" si="857"/>
        <v>0</v>
      </c>
      <c r="S841" s="654">
        <f t="shared" si="857"/>
        <v>0</v>
      </c>
      <c r="T841" s="656" t="e">
        <f>+VLOOKUP($L841,Data_Validation!$A:$D,1,0)</f>
        <v>#N/A</v>
      </c>
      <c r="U841" s="656" t="e">
        <f>+VLOOKUP($L841,Data_Validation!$A:$D,3,0)</f>
        <v>#N/A</v>
      </c>
      <c r="V841" s="656" t="e">
        <f>+VLOOKUP($L841,Data_Validation!$A:$D,4,0)</f>
        <v>#N/A</v>
      </c>
      <c r="W841" s="656" t="e">
        <f>+VLOOKUP($L841,Data_Validation!$A:$E,5,0)</f>
        <v>#N/A</v>
      </c>
    </row>
    <row r="842" spans="1:23" ht="15.75" customHeight="1">
      <c r="A842" s="716"/>
      <c r="B842" s="654"/>
      <c r="C842" s="717"/>
      <c r="D842" s="716"/>
      <c r="E842" s="716"/>
      <c r="F842" s="716"/>
      <c r="G842" s="716"/>
      <c r="H842" s="716"/>
      <c r="I842" s="716"/>
      <c r="J842" s="716"/>
      <c r="K842" s="716"/>
      <c r="L842" s="653" t="str">
        <f t="shared" si="850"/>
        <v>0</v>
      </c>
      <c r="M842" s="654">
        <f t="shared" si="780"/>
        <v>0</v>
      </c>
      <c r="N842" s="655">
        <f>+IF(OR($Q842=Parametres!$G$2,$Q842=Parametres!$G$3),I842,C842)</f>
        <v>0</v>
      </c>
      <c r="O842" s="655">
        <f>+IF(OR($Q842=Parametres!$G$2,$Q842=Parametres!$G$3),J842,D842)</f>
        <v>0</v>
      </c>
      <c r="P842" s="655">
        <f>+IF(OR($Q842=Parametres!$G$2,$Q842=Parametres!$G$3),K842,E842)</f>
        <v>0</v>
      </c>
      <c r="Q842" s="654">
        <f t="shared" ref="Q842:S842" si="858">+F842</f>
        <v>0</v>
      </c>
      <c r="R842" s="653">
        <f t="shared" si="858"/>
        <v>0</v>
      </c>
      <c r="S842" s="654">
        <f t="shared" si="858"/>
        <v>0</v>
      </c>
      <c r="T842" s="656" t="e">
        <f>+VLOOKUP($L842,Data_Validation!$A:$D,1,0)</f>
        <v>#N/A</v>
      </c>
      <c r="U842" s="656" t="e">
        <f>+VLOOKUP($L842,Data_Validation!$A:$D,3,0)</f>
        <v>#N/A</v>
      </c>
      <c r="V842" s="656" t="e">
        <f>+VLOOKUP($L842,Data_Validation!$A:$D,4,0)</f>
        <v>#N/A</v>
      </c>
      <c r="W842" s="656" t="e">
        <f>+VLOOKUP($L842,Data_Validation!$A:$E,5,0)</f>
        <v>#N/A</v>
      </c>
    </row>
    <row r="843" spans="1:23" ht="15.75" customHeight="1">
      <c r="A843" s="716"/>
      <c r="B843" s="654"/>
      <c r="C843" s="717"/>
      <c r="D843" s="716"/>
      <c r="E843" s="716"/>
      <c r="F843" s="716"/>
      <c r="G843" s="716"/>
      <c r="H843" s="716"/>
      <c r="I843" s="716"/>
      <c r="J843" s="716"/>
      <c r="K843" s="716"/>
      <c r="L843" s="653" t="str">
        <f t="shared" si="850"/>
        <v>0</v>
      </c>
      <c r="M843" s="654">
        <f t="shared" si="780"/>
        <v>0</v>
      </c>
      <c r="N843" s="655">
        <f>+IF(OR($Q843=Parametres!$G$2,$Q843=Parametres!$G$3),I843,C843)</f>
        <v>0</v>
      </c>
      <c r="O843" s="655">
        <f>+IF(OR($Q843=Parametres!$G$2,$Q843=Parametres!$G$3),J843,D843)</f>
        <v>0</v>
      </c>
      <c r="P843" s="655">
        <f>+IF(OR($Q843=Parametres!$G$2,$Q843=Parametres!$G$3),K843,E843)</f>
        <v>0</v>
      </c>
      <c r="Q843" s="654">
        <f t="shared" ref="Q843:S843" si="859">+F843</f>
        <v>0</v>
      </c>
      <c r="R843" s="653">
        <f t="shared" si="859"/>
        <v>0</v>
      </c>
      <c r="S843" s="654">
        <f t="shared" si="859"/>
        <v>0</v>
      </c>
      <c r="T843" s="656" t="e">
        <f>+VLOOKUP($L843,Data_Validation!$A:$D,1,0)</f>
        <v>#N/A</v>
      </c>
      <c r="U843" s="656" t="e">
        <f>+VLOOKUP($L843,Data_Validation!$A:$D,3,0)</f>
        <v>#N/A</v>
      </c>
      <c r="V843" s="656" t="e">
        <f>+VLOOKUP($L843,Data_Validation!$A:$D,4,0)</f>
        <v>#N/A</v>
      </c>
      <c r="W843" s="656" t="e">
        <f>+VLOOKUP($L843,Data_Validation!$A:$E,5,0)</f>
        <v>#N/A</v>
      </c>
    </row>
    <row r="844" spans="1:23" ht="15.75" customHeight="1">
      <c r="A844" s="716"/>
      <c r="B844" s="654"/>
      <c r="C844" s="717"/>
      <c r="D844" s="716"/>
      <c r="E844" s="716"/>
      <c r="F844" s="716"/>
      <c r="G844" s="716"/>
      <c r="H844" s="716"/>
      <c r="I844" s="716"/>
      <c r="J844" s="716"/>
      <c r="K844" s="716"/>
      <c r="L844" s="653" t="str">
        <f t="shared" si="850"/>
        <v>0</v>
      </c>
      <c r="M844" s="654">
        <f t="shared" si="780"/>
        <v>0</v>
      </c>
      <c r="N844" s="655">
        <f>+IF(OR($Q844=Parametres!$G$2,$Q844=Parametres!$G$3),I844,C844)</f>
        <v>0</v>
      </c>
      <c r="O844" s="655">
        <f>+IF(OR($Q844=Parametres!$G$2,$Q844=Parametres!$G$3),J844,D844)</f>
        <v>0</v>
      </c>
      <c r="P844" s="655">
        <f>+IF(OR($Q844=Parametres!$G$2,$Q844=Parametres!$G$3),K844,E844)</f>
        <v>0</v>
      </c>
      <c r="Q844" s="654">
        <f t="shared" ref="Q844:S844" si="860">+F844</f>
        <v>0</v>
      </c>
      <c r="R844" s="653">
        <f t="shared" si="860"/>
        <v>0</v>
      </c>
      <c r="S844" s="654">
        <f t="shared" si="860"/>
        <v>0</v>
      </c>
      <c r="T844" s="656" t="e">
        <f>+VLOOKUP($L844,Data_Validation!$A:$D,1,0)</f>
        <v>#N/A</v>
      </c>
      <c r="U844" s="656" t="e">
        <f>+VLOOKUP($L844,Data_Validation!$A:$D,3,0)</f>
        <v>#N/A</v>
      </c>
      <c r="V844" s="656" t="e">
        <f>+VLOOKUP($L844,Data_Validation!$A:$D,4,0)</f>
        <v>#N/A</v>
      </c>
      <c r="W844" s="656" t="e">
        <f>+VLOOKUP($L844,Data_Validation!$A:$E,5,0)</f>
        <v>#N/A</v>
      </c>
    </row>
    <row r="845" spans="1:23" ht="15.75" customHeight="1">
      <c r="A845" s="716"/>
      <c r="B845" s="654"/>
      <c r="C845" s="717"/>
      <c r="D845" s="716"/>
      <c r="E845" s="716"/>
      <c r="F845" s="716"/>
      <c r="G845" s="716"/>
      <c r="H845" s="716"/>
      <c r="I845" s="716"/>
      <c r="J845" s="716"/>
      <c r="K845" s="716"/>
      <c r="L845" s="653" t="str">
        <f t="shared" si="850"/>
        <v>0</v>
      </c>
      <c r="M845" s="654">
        <f t="shared" si="780"/>
        <v>0</v>
      </c>
      <c r="N845" s="655">
        <f>+IF(OR($Q845=Parametres!$G$2,$Q845=Parametres!$G$3),I845,C845)</f>
        <v>0</v>
      </c>
      <c r="O845" s="655">
        <f>+IF(OR($Q845=Parametres!$G$2,$Q845=Parametres!$G$3),J845,D845)</f>
        <v>0</v>
      </c>
      <c r="P845" s="655">
        <f>+IF(OR($Q845=Parametres!$G$2,$Q845=Parametres!$G$3),K845,E845)</f>
        <v>0</v>
      </c>
      <c r="Q845" s="654">
        <f t="shared" ref="Q845:S845" si="861">+F845</f>
        <v>0</v>
      </c>
      <c r="R845" s="653">
        <f t="shared" si="861"/>
        <v>0</v>
      </c>
      <c r="S845" s="654">
        <f t="shared" si="861"/>
        <v>0</v>
      </c>
      <c r="T845" s="656" t="e">
        <f>+VLOOKUP($L845,Data_Validation!$A:$D,1,0)</f>
        <v>#N/A</v>
      </c>
      <c r="U845" s="656" t="e">
        <f>+VLOOKUP($L845,Data_Validation!$A:$D,3,0)</f>
        <v>#N/A</v>
      </c>
      <c r="V845" s="656" t="e">
        <f>+VLOOKUP($L845,Data_Validation!$A:$D,4,0)</f>
        <v>#N/A</v>
      </c>
      <c r="W845" s="656" t="e">
        <f>+VLOOKUP($L845,Data_Validation!$A:$E,5,0)</f>
        <v>#N/A</v>
      </c>
    </row>
    <row r="846" spans="1:23" ht="15.75" customHeight="1">
      <c r="A846" s="716"/>
      <c r="B846" s="654"/>
      <c r="C846" s="717"/>
      <c r="D846" s="716"/>
      <c r="E846" s="716"/>
      <c r="F846" s="716"/>
      <c r="G846" s="716"/>
      <c r="H846" s="716"/>
      <c r="I846" s="716"/>
      <c r="J846" s="716"/>
      <c r="K846" s="716"/>
      <c r="L846" s="653" t="str">
        <f t="shared" si="850"/>
        <v>0</v>
      </c>
      <c r="M846" s="654">
        <f t="shared" si="780"/>
        <v>0</v>
      </c>
      <c r="N846" s="655">
        <f>+IF(OR($Q846=Parametres!$G$2,$Q846=Parametres!$G$3),I846,C846)</f>
        <v>0</v>
      </c>
      <c r="O846" s="655">
        <f>+IF(OR($Q846=Parametres!$G$2,$Q846=Parametres!$G$3),J846,D846)</f>
        <v>0</v>
      </c>
      <c r="P846" s="655">
        <f>+IF(OR($Q846=Parametres!$G$2,$Q846=Parametres!$G$3),K846,E846)</f>
        <v>0</v>
      </c>
      <c r="Q846" s="654">
        <f t="shared" ref="Q846:S846" si="862">+F846</f>
        <v>0</v>
      </c>
      <c r="R846" s="653">
        <f t="shared" si="862"/>
        <v>0</v>
      </c>
      <c r="S846" s="654">
        <f t="shared" si="862"/>
        <v>0</v>
      </c>
      <c r="T846" s="656" t="e">
        <f>+VLOOKUP($L846,Data_Validation!$A:$D,1,0)</f>
        <v>#N/A</v>
      </c>
      <c r="U846" s="656" t="e">
        <f>+VLOOKUP($L846,Data_Validation!$A:$D,3,0)</f>
        <v>#N/A</v>
      </c>
      <c r="V846" s="656" t="e">
        <f>+VLOOKUP($L846,Data_Validation!$A:$D,4,0)</f>
        <v>#N/A</v>
      </c>
      <c r="W846" s="656" t="e">
        <f>+VLOOKUP($L846,Data_Validation!$A:$E,5,0)</f>
        <v>#N/A</v>
      </c>
    </row>
    <row r="847" spans="1:23" ht="15.75" customHeight="1">
      <c r="A847" s="716"/>
      <c r="B847" s="654"/>
      <c r="C847" s="717"/>
      <c r="D847" s="716"/>
      <c r="E847" s="716"/>
      <c r="F847" s="716"/>
      <c r="G847" s="716"/>
      <c r="H847" s="716"/>
      <c r="I847" s="716"/>
      <c r="J847" s="716"/>
      <c r="K847" s="716"/>
      <c r="L847" s="653" t="str">
        <f t="shared" si="850"/>
        <v>0</v>
      </c>
      <c r="M847" s="654">
        <f t="shared" si="780"/>
        <v>0</v>
      </c>
      <c r="N847" s="655">
        <f>+IF(OR($Q847=Parametres!$G$2,$Q847=Parametres!$G$3),I847,C847)</f>
        <v>0</v>
      </c>
      <c r="O847" s="655">
        <f>+IF(OR($Q847=Parametres!$G$2,$Q847=Parametres!$G$3),J847,D847)</f>
        <v>0</v>
      </c>
      <c r="P847" s="655">
        <f>+IF(OR($Q847=Parametres!$G$2,$Q847=Parametres!$G$3),K847,E847)</f>
        <v>0</v>
      </c>
      <c r="Q847" s="654">
        <f t="shared" ref="Q847:S847" si="863">+F847</f>
        <v>0</v>
      </c>
      <c r="R847" s="653">
        <f t="shared" si="863"/>
        <v>0</v>
      </c>
      <c r="S847" s="654">
        <f t="shared" si="863"/>
        <v>0</v>
      </c>
      <c r="T847" s="656" t="e">
        <f>+VLOOKUP($L847,Data_Validation!$A:$D,1,0)</f>
        <v>#N/A</v>
      </c>
      <c r="U847" s="656" t="e">
        <f>+VLOOKUP($L847,Data_Validation!$A:$D,3,0)</f>
        <v>#N/A</v>
      </c>
      <c r="V847" s="656" t="e">
        <f>+VLOOKUP($L847,Data_Validation!$A:$D,4,0)</f>
        <v>#N/A</v>
      </c>
      <c r="W847" s="656" t="e">
        <f>+VLOOKUP($L847,Data_Validation!$A:$E,5,0)</f>
        <v>#N/A</v>
      </c>
    </row>
    <row r="848" spans="1:23" ht="15.75" customHeight="1">
      <c r="A848" s="716"/>
      <c r="B848" s="654"/>
      <c r="C848" s="717"/>
      <c r="D848" s="716"/>
      <c r="E848" s="716"/>
      <c r="F848" s="716"/>
      <c r="G848" s="716"/>
      <c r="H848" s="716"/>
      <c r="I848" s="716"/>
      <c r="J848" s="716"/>
      <c r="K848" s="716"/>
      <c r="L848" s="653" t="str">
        <f t="shared" si="850"/>
        <v>0</v>
      </c>
      <c r="M848" s="654">
        <f t="shared" si="780"/>
        <v>0</v>
      </c>
      <c r="N848" s="655">
        <f>+IF(OR($Q848=Parametres!$G$2,$Q848=Parametres!$G$3),I848,C848)</f>
        <v>0</v>
      </c>
      <c r="O848" s="655">
        <f>+IF(OR($Q848=Parametres!$G$2,$Q848=Parametres!$G$3),J848,D848)</f>
        <v>0</v>
      </c>
      <c r="P848" s="655">
        <f>+IF(OR($Q848=Parametres!$G$2,$Q848=Parametres!$G$3),K848,E848)</f>
        <v>0</v>
      </c>
      <c r="Q848" s="654">
        <f t="shared" ref="Q848:S848" si="864">+F848</f>
        <v>0</v>
      </c>
      <c r="R848" s="653">
        <f t="shared" si="864"/>
        <v>0</v>
      </c>
      <c r="S848" s="654">
        <f t="shared" si="864"/>
        <v>0</v>
      </c>
      <c r="T848" s="656" t="e">
        <f>+VLOOKUP($L848,Data_Validation!$A:$D,1,0)</f>
        <v>#N/A</v>
      </c>
      <c r="U848" s="656" t="e">
        <f>+VLOOKUP($L848,Data_Validation!$A:$D,3,0)</f>
        <v>#N/A</v>
      </c>
      <c r="V848" s="656" t="e">
        <f>+VLOOKUP($L848,Data_Validation!$A:$D,4,0)</f>
        <v>#N/A</v>
      </c>
      <c r="W848" s="656" t="e">
        <f>+VLOOKUP($L848,Data_Validation!$A:$E,5,0)</f>
        <v>#N/A</v>
      </c>
    </row>
    <row r="849" spans="1:23" ht="15.75" customHeight="1">
      <c r="A849" s="716"/>
      <c r="B849" s="654"/>
      <c r="C849" s="717"/>
      <c r="D849" s="716"/>
      <c r="E849" s="716"/>
      <c r="F849" s="716"/>
      <c r="G849" s="716"/>
      <c r="H849" s="716"/>
      <c r="I849" s="716"/>
      <c r="J849" s="716"/>
      <c r="K849" s="716"/>
      <c r="L849" s="653" t="str">
        <f t="shared" si="850"/>
        <v>0</v>
      </c>
      <c r="M849" s="654">
        <f t="shared" si="780"/>
        <v>0</v>
      </c>
      <c r="N849" s="655">
        <f>+IF(OR($Q849=Parametres!$G$2,$Q849=Parametres!$G$3),I849,C849)</f>
        <v>0</v>
      </c>
      <c r="O849" s="655">
        <f>+IF(OR($Q849=Parametres!$G$2,$Q849=Parametres!$G$3),J849,D849)</f>
        <v>0</v>
      </c>
      <c r="P849" s="655">
        <f>+IF(OR($Q849=Parametres!$G$2,$Q849=Parametres!$G$3),K849,E849)</f>
        <v>0</v>
      </c>
      <c r="Q849" s="654">
        <f t="shared" ref="Q849:S849" si="865">+F849</f>
        <v>0</v>
      </c>
      <c r="R849" s="653">
        <f t="shared" si="865"/>
        <v>0</v>
      </c>
      <c r="S849" s="654">
        <f t="shared" si="865"/>
        <v>0</v>
      </c>
      <c r="T849" s="656" t="e">
        <f>+VLOOKUP($L849,Data_Validation!$A:$D,1,0)</f>
        <v>#N/A</v>
      </c>
      <c r="U849" s="656" t="e">
        <f>+VLOOKUP($L849,Data_Validation!$A:$D,3,0)</f>
        <v>#N/A</v>
      </c>
      <c r="V849" s="656" t="e">
        <f>+VLOOKUP($L849,Data_Validation!$A:$D,4,0)</f>
        <v>#N/A</v>
      </c>
      <c r="W849" s="656" t="e">
        <f>+VLOOKUP($L849,Data_Validation!$A:$E,5,0)</f>
        <v>#N/A</v>
      </c>
    </row>
    <row r="850" spans="1:23" ht="15.75" customHeight="1">
      <c r="A850" s="716"/>
      <c r="B850" s="654"/>
      <c r="C850" s="717"/>
      <c r="D850" s="716"/>
      <c r="E850" s="716"/>
      <c r="F850" s="716"/>
      <c r="G850" s="716"/>
      <c r="H850" s="716"/>
      <c r="I850" s="716"/>
      <c r="J850" s="716"/>
      <c r="K850" s="716"/>
      <c r="L850" s="653" t="str">
        <f t="shared" si="850"/>
        <v>0</v>
      </c>
      <c r="M850" s="654">
        <f t="shared" si="780"/>
        <v>0</v>
      </c>
      <c r="N850" s="655">
        <f>+IF(OR($Q850=Parametres!$G$2,$Q850=Parametres!$G$3),I850,C850)</f>
        <v>0</v>
      </c>
      <c r="O850" s="655">
        <f>+IF(OR($Q850=Parametres!$G$2,$Q850=Parametres!$G$3),J850,D850)</f>
        <v>0</v>
      </c>
      <c r="P850" s="655">
        <f>+IF(OR($Q850=Parametres!$G$2,$Q850=Parametres!$G$3),K850,E850)</f>
        <v>0</v>
      </c>
      <c r="Q850" s="654">
        <f t="shared" ref="Q850:S850" si="866">+F850</f>
        <v>0</v>
      </c>
      <c r="R850" s="653">
        <f t="shared" si="866"/>
        <v>0</v>
      </c>
      <c r="S850" s="654">
        <f t="shared" si="866"/>
        <v>0</v>
      </c>
      <c r="T850" s="656" t="e">
        <f>+VLOOKUP($L850,Data_Validation!$A:$D,1,0)</f>
        <v>#N/A</v>
      </c>
      <c r="U850" s="656" t="e">
        <f>+VLOOKUP($L850,Data_Validation!$A:$D,3,0)</f>
        <v>#N/A</v>
      </c>
      <c r="V850" s="656" t="e">
        <f>+VLOOKUP($L850,Data_Validation!$A:$D,4,0)</f>
        <v>#N/A</v>
      </c>
      <c r="W850" s="656" t="e">
        <f>+VLOOKUP($L850,Data_Validation!$A:$E,5,0)</f>
        <v>#N/A</v>
      </c>
    </row>
    <row r="851" spans="1:23" ht="15.75" customHeight="1">
      <c r="A851" s="716"/>
      <c r="B851" s="654"/>
      <c r="C851" s="717"/>
      <c r="D851" s="716"/>
      <c r="E851" s="716"/>
      <c r="F851" s="716"/>
      <c r="G851" s="716"/>
      <c r="H851" s="716"/>
      <c r="I851" s="716"/>
      <c r="J851" s="716"/>
      <c r="K851" s="716"/>
      <c r="L851" s="653" t="str">
        <f t="shared" si="850"/>
        <v>0</v>
      </c>
      <c r="M851" s="654">
        <f t="shared" si="780"/>
        <v>0</v>
      </c>
      <c r="N851" s="655">
        <f>+IF(OR($Q851=Parametres!$G$2,$Q851=Parametres!$G$3),I851,C851)</f>
        <v>0</v>
      </c>
      <c r="O851" s="655">
        <f>+IF(OR($Q851=Parametres!$G$2,$Q851=Parametres!$G$3),J851,D851)</f>
        <v>0</v>
      </c>
      <c r="P851" s="655">
        <f>+IF(OR($Q851=Parametres!$G$2,$Q851=Parametres!$G$3),K851,E851)</f>
        <v>0</v>
      </c>
      <c r="Q851" s="654">
        <f t="shared" ref="Q851:S851" si="867">+F851</f>
        <v>0</v>
      </c>
      <c r="R851" s="653">
        <f t="shared" si="867"/>
        <v>0</v>
      </c>
      <c r="S851" s="654">
        <f t="shared" si="867"/>
        <v>0</v>
      </c>
      <c r="T851" s="656" t="e">
        <f>+VLOOKUP($L851,Data_Validation!$A:$D,1,0)</f>
        <v>#N/A</v>
      </c>
      <c r="U851" s="656" t="e">
        <f>+VLOOKUP($L851,Data_Validation!$A:$D,3,0)</f>
        <v>#N/A</v>
      </c>
      <c r="V851" s="656" t="e">
        <f>+VLOOKUP($L851,Data_Validation!$A:$D,4,0)</f>
        <v>#N/A</v>
      </c>
      <c r="W851" s="656" t="e">
        <f>+VLOOKUP($L851,Data_Validation!$A:$E,5,0)</f>
        <v>#N/A</v>
      </c>
    </row>
    <row r="852" spans="1:23" ht="15.75" customHeight="1">
      <c r="A852" s="716"/>
      <c r="B852" s="654"/>
      <c r="C852" s="717"/>
      <c r="D852" s="716"/>
      <c r="E852" s="716"/>
      <c r="F852" s="716"/>
      <c r="G852" s="716"/>
      <c r="H852" s="716"/>
      <c r="I852" s="716"/>
      <c r="J852" s="716"/>
      <c r="K852" s="716"/>
      <c r="L852" s="653" t="str">
        <f t="shared" si="850"/>
        <v>0</v>
      </c>
      <c r="M852" s="654">
        <f t="shared" si="780"/>
        <v>0</v>
      </c>
      <c r="N852" s="655">
        <f>+IF(OR($Q852=Parametres!$G$2,$Q852=Parametres!$G$3),I852,C852)</f>
        <v>0</v>
      </c>
      <c r="O852" s="655">
        <f>+IF(OR($Q852=Parametres!$G$2,$Q852=Parametres!$G$3),J852,D852)</f>
        <v>0</v>
      </c>
      <c r="P852" s="655">
        <f>+IF(OR($Q852=Parametres!$G$2,$Q852=Parametres!$G$3),K852,E852)</f>
        <v>0</v>
      </c>
      <c r="Q852" s="654">
        <f t="shared" ref="Q852:S852" si="868">+F852</f>
        <v>0</v>
      </c>
      <c r="R852" s="653">
        <f t="shared" si="868"/>
        <v>0</v>
      </c>
      <c r="S852" s="654">
        <f t="shared" si="868"/>
        <v>0</v>
      </c>
      <c r="T852" s="656" t="e">
        <f>+VLOOKUP($L852,Data_Validation!$A:$D,1,0)</f>
        <v>#N/A</v>
      </c>
      <c r="U852" s="656" t="e">
        <f>+VLOOKUP($L852,Data_Validation!$A:$D,3,0)</f>
        <v>#N/A</v>
      </c>
      <c r="V852" s="656" t="e">
        <f>+VLOOKUP($L852,Data_Validation!$A:$D,4,0)</f>
        <v>#N/A</v>
      </c>
      <c r="W852" s="656" t="e">
        <f>+VLOOKUP($L852,Data_Validation!$A:$E,5,0)</f>
        <v>#N/A</v>
      </c>
    </row>
    <row r="853" spans="1:23" ht="15.75" customHeight="1">
      <c r="A853" s="716"/>
      <c r="B853" s="654"/>
      <c r="C853" s="717"/>
      <c r="D853" s="716"/>
      <c r="E853" s="716"/>
      <c r="F853" s="716"/>
      <c r="G853" s="716"/>
      <c r="H853" s="716"/>
      <c r="I853" s="716"/>
      <c r="J853" s="716"/>
      <c r="K853" s="716"/>
      <c r="L853" s="653" t="str">
        <f t="shared" si="850"/>
        <v>0</v>
      </c>
      <c r="M853" s="654">
        <f t="shared" si="780"/>
        <v>0</v>
      </c>
      <c r="N853" s="655">
        <f>+IF(OR($Q853=Parametres!$G$2,$Q853=Parametres!$G$3),I853,C853)</f>
        <v>0</v>
      </c>
      <c r="O853" s="655">
        <f>+IF(OR($Q853=Parametres!$G$2,$Q853=Parametres!$G$3),J853,D853)</f>
        <v>0</v>
      </c>
      <c r="P853" s="655">
        <f>+IF(OR($Q853=Parametres!$G$2,$Q853=Parametres!$G$3),K853,E853)</f>
        <v>0</v>
      </c>
      <c r="Q853" s="654">
        <f t="shared" ref="Q853:S853" si="869">+F853</f>
        <v>0</v>
      </c>
      <c r="R853" s="653">
        <f t="shared" si="869"/>
        <v>0</v>
      </c>
      <c r="S853" s="654">
        <f t="shared" si="869"/>
        <v>0</v>
      </c>
      <c r="T853" s="656" t="e">
        <f>+VLOOKUP($L853,Data_Validation!$A:$D,1,0)</f>
        <v>#N/A</v>
      </c>
      <c r="U853" s="656" t="e">
        <f>+VLOOKUP($L853,Data_Validation!$A:$D,3,0)</f>
        <v>#N/A</v>
      </c>
      <c r="V853" s="656" t="e">
        <f>+VLOOKUP($L853,Data_Validation!$A:$D,4,0)</f>
        <v>#N/A</v>
      </c>
      <c r="W853" s="656" t="e">
        <f>+VLOOKUP($L853,Data_Validation!$A:$E,5,0)</f>
        <v>#N/A</v>
      </c>
    </row>
    <row r="854" spans="1:23" ht="15.75" customHeight="1">
      <c r="A854" s="716"/>
      <c r="B854" s="654"/>
      <c r="C854" s="717"/>
      <c r="D854" s="716"/>
      <c r="E854" s="716"/>
      <c r="F854" s="716"/>
      <c r="G854" s="716"/>
      <c r="H854" s="716"/>
      <c r="I854" s="716"/>
      <c r="J854" s="716"/>
      <c r="K854" s="716"/>
      <c r="L854" s="653" t="str">
        <f t="shared" si="850"/>
        <v>0</v>
      </c>
      <c r="M854" s="654">
        <f t="shared" si="780"/>
        <v>0</v>
      </c>
      <c r="N854" s="655">
        <f>+IF(OR($Q854=Parametres!$G$2,$Q854=Parametres!$G$3),I854,C854)</f>
        <v>0</v>
      </c>
      <c r="O854" s="655">
        <f>+IF(OR($Q854=Parametres!$G$2,$Q854=Parametres!$G$3),J854,D854)</f>
        <v>0</v>
      </c>
      <c r="P854" s="655">
        <f>+IF(OR($Q854=Parametres!$G$2,$Q854=Parametres!$G$3),K854,E854)</f>
        <v>0</v>
      </c>
      <c r="Q854" s="654">
        <f t="shared" ref="Q854:S854" si="870">+F854</f>
        <v>0</v>
      </c>
      <c r="R854" s="653">
        <f t="shared" si="870"/>
        <v>0</v>
      </c>
      <c r="S854" s="654">
        <f t="shared" si="870"/>
        <v>0</v>
      </c>
      <c r="T854" s="656" t="e">
        <f>+VLOOKUP($L854,Data_Validation!$A:$D,1,0)</f>
        <v>#N/A</v>
      </c>
      <c r="U854" s="656" t="e">
        <f>+VLOOKUP($L854,Data_Validation!$A:$D,3,0)</f>
        <v>#N/A</v>
      </c>
      <c r="V854" s="656" t="e">
        <f>+VLOOKUP($L854,Data_Validation!$A:$D,4,0)</f>
        <v>#N/A</v>
      </c>
      <c r="W854" s="656" t="e">
        <f>+VLOOKUP($L854,Data_Validation!$A:$E,5,0)</f>
        <v>#N/A</v>
      </c>
    </row>
    <row r="855" spans="1:23" ht="15.75" customHeight="1">
      <c r="A855" s="716"/>
      <c r="B855" s="654"/>
      <c r="C855" s="717"/>
      <c r="D855" s="716"/>
      <c r="E855" s="716"/>
      <c r="F855" s="716"/>
      <c r="G855" s="716"/>
      <c r="H855" s="716"/>
      <c r="I855" s="716"/>
      <c r="J855" s="716"/>
      <c r="K855" s="716"/>
      <c r="L855" s="653" t="str">
        <f t="shared" si="850"/>
        <v>0</v>
      </c>
      <c r="M855" s="654">
        <f t="shared" si="780"/>
        <v>0</v>
      </c>
      <c r="N855" s="655">
        <f>+IF(OR($Q855=Parametres!$G$2,$Q855=Parametres!$G$3),I855,C855)</f>
        <v>0</v>
      </c>
      <c r="O855" s="655">
        <f>+IF(OR($Q855=Parametres!$G$2,$Q855=Parametres!$G$3),J855,D855)</f>
        <v>0</v>
      </c>
      <c r="P855" s="655">
        <f>+IF(OR($Q855=Parametres!$G$2,$Q855=Parametres!$G$3),K855,E855)</f>
        <v>0</v>
      </c>
      <c r="Q855" s="654">
        <f t="shared" ref="Q855:S855" si="871">+F855</f>
        <v>0</v>
      </c>
      <c r="R855" s="653">
        <f t="shared" si="871"/>
        <v>0</v>
      </c>
      <c r="S855" s="654">
        <f t="shared" si="871"/>
        <v>0</v>
      </c>
      <c r="T855" s="656" t="e">
        <f>+VLOOKUP($L855,Data_Validation!$A:$D,1,0)</f>
        <v>#N/A</v>
      </c>
      <c r="U855" s="656" t="e">
        <f>+VLOOKUP($L855,Data_Validation!$A:$D,3,0)</f>
        <v>#N/A</v>
      </c>
      <c r="V855" s="656" t="e">
        <f>+VLOOKUP($L855,Data_Validation!$A:$D,4,0)</f>
        <v>#N/A</v>
      </c>
      <c r="W855" s="656" t="e">
        <f>+VLOOKUP($L855,Data_Validation!$A:$E,5,0)</f>
        <v>#N/A</v>
      </c>
    </row>
    <row r="856" spans="1:23" ht="15.75" customHeight="1">
      <c r="A856" s="716"/>
      <c r="B856" s="654"/>
      <c r="C856" s="717"/>
      <c r="D856" s="716"/>
      <c r="E856" s="716"/>
      <c r="F856" s="716"/>
      <c r="G856" s="716"/>
      <c r="H856" s="716"/>
      <c r="I856" s="716"/>
      <c r="J856" s="716"/>
      <c r="K856" s="716"/>
      <c r="L856" s="653" t="str">
        <f t="shared" si="850"/>
        <v>0</v>
      </c>
      <c r="M856" s="654">
        <f t="shared" si="780"/>
        <v>0</v>
      </c>
      <c r="N856" s="655">
        <f>+IF(OR($Q856=Parametres!$G$2,$Q856=Parametres!$G$3),I856,C856)</f>
        <v>0</v>
      </c>
      <c r="O856" s="655">
        <f>+IF(OR($Q856=Parametres!$G$2,$Q856=Parametres!$G$3),J856,D856)</f>
        <v>0</v>
      </c>
      <c r="P856" s="655">
        <f>+IF(OR($Q856=Parametres!$G$2,$Q856=Parametres!$G$3),K856,E856)</f>
        <v>0</v>
      </c>
      <c r="Q856" s="654">
        <f t="shared" ref="Q856:S856" si="872">+F856</f>
        <v>0</v>
      </c>
      <c r="R856" s="653">
        <f t="shared" si="872"/>
        <v>0</v>
      </c>
      <c r="S856" s="654">
        <f t="shared" si="872"/>
        <v>0</v>
      </c>
      <c r="T856" s="656" t="e">
        <f>+VLOOKUP($L856,Data_Validation!$A:$D,1,0)</f>
        <v>#N/A</v>
      </c>
      <c r="U856" s="656" t="e">
        <f>+VLOOKUP($L856,Data_Validation!$A:$D,3,0)</f>
        <v>#N/A</v>
      </c>
      <c r="V856" s="656" t="e">
        <f>+VLOOKUP($L856,Data_Validation!$A:$D,4,0)</f>
        <v>#N/A</v>
      </c>
      <c r="W856" s="656" t="e">
        <f>+VLOOKUP($L856,Data_Validation!$A:$E,5,0)</f>
        <v>#N/A</v>
      </c>
    </row>
    <row r="857" spans="1:23" ht="15.75" customHeight="1">
      <c r="A857" s="716"/>
      <c r="B857" s="654"/>
      <c r="C857" s="717"/>
      <c r="D857" s="716"/>
      <c r="E857" s="716"/>
      <c r="F857" s="716"/>
      <c r="G857" s="716"/>
      <c r="H857" s="716"/>
      <c r="I857" s="716"/>
      <c r="J857" s="716"/>
      <c r="K857" s="716"/>
      <c r="L857" s="653" t="str">
        <f t="shared" si="850"/>
        <v>0</v>
      </c>
      <c r="M857" s="654">
        <f t="shared" si="780"/>
        <v>0</v>
      </c>
      <c r="N857" s="655">
        <f>+IF(OR($Q857=Parametres!$G$2,$Q857=Parametres!$G$3),I857,C857)</f>
        <v>0</v>
      </c>
      <c r="O857" s="655">
        <f>+IF(OR($Q857=Parametres!$G$2,$Q857=Parametres!$G$3),J857,D857)</f>
        <v>0</v>
      </c>
      <c r="P857" s="655">
        <f>+IF(OR($Q857=Parametres!$G$2,$Q857=Parametres!$G$3),K857,E857)</f>
        <v>0</v>
      </c>
      <c r="Q857" s="654">
        <f t="shared" ref="Q857:S857" si="873">+F857</f>
        <v>0</v>
      </c>
      <c r="R857" s="653">
        <f t="shared" si="873"/>
        <v>0</v>
      </c>
      <c r="S857" s="654">
        <f t="shared" si="873"/>
        <v>0</v>
      </c>
      <c r="T857" s="656" t="e">
        <f>+VLOOKUP($L857,Data_Validation!$A:$D,1,0)</f>
        <v>#N/A</v>
      </c>
      <c r="U857" s="656" t="e">
        <f>+VLOOKUP($L857,Data_Validation!$A:$D,3,0)</f>
        <v>#N/A</v>
      </c>
      <c r="V857" s="656" t="e">
        <f>+VLOOKUP($L857,Data_Validation!$A:$D,4,0)</f>
        <v>#N/A</v>
      </c>
      <c r="W857" s="656" t="e">
        <f>+VLOOKUP($L857,Data_Validation!$A:$E,5,0)</f>
        <v>#N/A</v>
      </c>
    </row>
    <row r="858" spans="1:23" ht="15.75" customHeight="1">
      <c r="A858" s="716"/>
      <c r="B858" s="654"/>
      <c r="C858" s="717"/>
      <c r="D858" s="716"/>
      <c r="E858" s="716"/>
      <c r="F858" s="716"/>
      <c r="G858" s="716"/>
      <c r="H858" s="716"/>
      <c r="I858" s="716"/>
      <c r="J858" s="716"/>
      <c r="K858" s="716"/>
      <c r="L858" s="653" t="str">
        <f t="shared" si="850"/>
        <v>0</v>
      </c>
      <c r="M858" s="654">
        <f t="shared" si="780"/>
        <v>0</v>
      </c>
      <c r="N858" s="655">
        <f>+IF(OR($Q858=Parametres!$G$2,$Q858=Parametres!$G$3),I858,C858)</f>
        <v>0</v>
      </c>
      <c r="O858" s="655">
        <f>+IF(OR($Q858=Parametres!$G$2,$Q858=Parametres!$G$3),J858,D858)</f>
        <v>0</v>
      </c>
      <c r="P858" s="655">
        <f>+IF(OR($Q858=Parametres!$G$2,$Q858=Parametres!$G$3),K858,E858)</f>
        <v>0</v>
      </c>
      <c r="Q858" s="654">
        <f t="shared" ref="Q858:S858" si="874">+F858</f>
        <v>0</v>
      </c>
      <c r="R858" s="653">
        <f t="shared" si="874"/>
        <v>0</v>
      </c>
      <c r="S858" s="654">
        <f t="shared" si="874"/>
        <v>0</v>
      </c>
      <c r="T858" s="656" t="e">
        <f>+VLOOKUP($L858,Data_Validation!$A:$D,1,0)</f>
        <v>#N/A</v>
      </c>
      <c r="U858" s="656" t="e">
        <f>+VLOOKUP($L858,Data_Validation!$A:$D,3,0)</f>
        <v>#N/A</v>
      </c>
      <c r="V858" s="656" t="e">
        <f>+VLOOKUP($L858,Data_Validation!$A:$D,4,0)</f>
        <v>#N/A</v>
      </c>
      <c r="W858" s="656" t="e">
        <f>+VLOOKUP($L858,Data_Validation!$A:$E,5,0)</f>
        <v>#N/A</v>
      </c>
    </row>
    <row r="859" spans="1:23" ht="15.75" customHeight="1">
      <c r="A859" s="716"/>
      <c r="B859" s="654"/>
      <c r="C859" s="717"/>
      <c r="D859" s="716"/>
      <c r="E859" s="716"/>
      <c r="F859" s="716"/>
      <c r="G859" s="716"/>
      <c r="H859" s="716"/>
      <c r="I859" s="716"/>
      <c r="J859" s="716"/>
      <c r="K859" s="716"/>
      <c r="L859" s="653" t="str">
        <f t="shared" si="850"/>
        <v>0</v>
      </c>
      <c r="M859" s="654">
        <f t="shared" si="780"/>
        <v>0</v>
      </c>
      <c r="N859" s="655">
        <f>+IF(OR($Q859=Parametres!$G$2,$Q859=Parametres!$G$3),I859,C859)</f>
        <v>0</v>
      </c>
      <c r="O859" s="655">
        <f>+IF(OR($Q859=Parametres!$G$2,$Q859=Parametres!$G$3),J859,D859)</f>
        <v>0</v>
      </c>
      <c r="P859" s="655">
        <f>+IF(OR($Q859=Parametres!$G$2,$Q859=Parametres!$G$3),K859,E859)</f>
        <v>0</v>
      </c>
      <c r="Q859" s="654">
        <f t="shared" ref="Q859:S859" si="875">+F859</f>
        <v>0</v>
      </c>
      <c r="R859" s="653">
        <f t="shared" si="875"/>
        <v>0</v>
      </c>
      <c r="S859" s="654">
        <f t="shared" si="875"/>
        <v>0</v>
      </c>
      <c r="T859" s="656" t="e">
        <f>+VLOOKUP($L859,Data_Validation!$A:$D,1,0)</f>
        <v>#N/A</v>
      </c>
      <c r="U859" s="656" t="e">
        <f>+VLOOKUP($L859,Data_Validation!$A:$D,3,0)</f>
        <v>#N/A</v>
      </c>
      <c r="V859" s="656" t="e">
        <f>+VLOOKUP($L859,Data_Validation!$A:$D,4,0)</f>
        <v>#N/A</v>
      </c>
      <c r="W859" s="656" t="e">
        <f>+VLOOKUP($L859,Data_Validation!$A:$E,5,0)</f>
        <v>#N/A</v>
      </c>
    </row>
    <row r="860" spans="1:23" ht="15.75" customHeight="1">
      <c r="A860" s="716"/>
      <c r="B860" s="654"/>
      <c r="C860" s="717"/>
      <c r="D860" s="716"/>
      <c r="E860" s="716"/>
      <c r="F860" s="716"/>
      <c r="G860" s="716"/>
      <c r="H860" s="716"/>
      <c r="I860" s="716"/>
      <c r="J860" s="716"/>
      <c r="K860" s="716"/>
      <c r="L860" s="653" t="str">
        <f t="shared" si="850"/>
        <v>0</v>
      </c>
      <c r="M860" s="654">
        <f t="shared" si="780"/>
        <v>0</v>
      </c>
      <c r="N860" s="655">
        <f>+IF(OR($Q860=Parametres!$G$2,$Q860=Parametres!$G$3),I860,C860)</f>
        <v>0</v>
      </c>
      <c r="O860" s="655">
        <f>+IF(OR($Q860=Parametres!$G$2,$Q860=Parametres!$G$3),J860,D860)</f>
        <v>0</v>
      </c>
      <c r="P860" s="655">
        <f>+IF(OR($Q860=Parametres!$G$2,$Q860=Parametres!$G$3),K860,E860)</f>
        <v>0</v>
      </c>
      <c r="Q860" s="654">
        <f t="shared" ref="Q860:S860" si="876">+F860</f>
        <v>0</v>
      </c>
      <c r="R860" s="653">
        <f t="shared" si="876"/>
        <v>0</v>
      </c>
      <c r="S860" s="654">
        <f t="shared" si="876"/>
        <v>0</v>
      </c>
      <c r="T860" s="656" t="e">
        <f>+VLOOKUP($L860,Data_Validation!$A:$D,1,0)</f>
        <v>#N/A</v>
      </c>
      <c r="U860" s="656" t="e">
        <f>+VLOOKUP($L860,Data_Validation!$A:$D,3,0)</f>
        <v>#N/A</v>
      </c>
      <c r="V860" s="656" t="e">
        <f>+VLOOKUP($L860,Data_Validation!$A:$D,4,0)</f>
        <v>#N/A</v>
      </c>
      <c r="W860" s="656" t="e">
        <f>+VLOOKUP($L860,Data_Validation!$A:$E,5,0)</f>
        <v>#N/A</v>
      </c>
    </row>
    <row r="861" spans="1:23" ht="15.75" customHeight="1">
      <c r="A861" s="716"/>
      <c r="B861" s="654"/>
      <c r="C861" s="717"/>
      <c r="D861" s="716"/>
      <c r="E861" s="716"/>
      <c r="F861" s="716"/>
      <c r="G861" s="716"/>
      <c r="H861" s="716"/>
      <c r="I861" s="716"/>
      <c r="J861" s="716"/>
      <c r="K861" s="716"/>
      <c r="L861" s="653" t="str">
        <f t="shared" si="850"/>
        <v>0</v>
      </c>
      <c r="M861" s="654">
        <f t="shared" si="780"/>
        <v>0</v>
      </c>
      <c r="N861" s="655">
        <f>+IF(OR($Q861=Parametres!$G$2,$Q861=Parametres!$G$3),I861,C861)</f>
        <v>0</v>
      </c>
      <c r="O861" s="655">
        <f>+IF(OR($Q861=Parametres!$G$2,$Q861=Parametres!$G$3),J861,D861)</f>
        <v>0</v>
      </c>
      <c r="P861" s="655">
        <f>+IF(OR($Q861=Parametres!$G$2,$Q861=Parametres!$G$3),K861,E861)</f>
        <v>0</v>
      </c>
      <c r="Q861" s="654">
        <f t="shared" ref="Q861:S861" si="877">+F861</f>
        <v>0</v>
      </c>
      <c r="R861" s="653">
        <f t="shared" si="877"/>
        <v>0</v>
      </c>
      <c r="S861" s="654">
        <f t="shared" si="877"/>
        <v>0</v>
      </c>
      <c r="T861" s="656" t="e">
        <f>+VLOOKUP($L861,Data_Validation!$A:$D,1,0)</f>
        <v>#N/A</v>
      </c>
      <c r="U861" s="656" t="e">
        <f>+VLOOKUP($L861,Data_Validation!$A:$D,3,0)</f>
        <v>#N/A</v>
      </c>
      <c r="V861" s="656" t="e">
        <f>+VLOOKUP($L861,Data_Validation!$A:$D,4,0)</f>
        <v>#N/A</v>
      </c>
      <c r="W861" s="656" t="e">
        <f>+VLOOKUP($L861,Data_Validation!$A:$E,5,0)</f>
        <v>#N/A</v>
      </c>
    </row>
    <row r="862" spans="1:23" ht="15.75" customHeight="1">
      <c r="A862" s="716"/>
      <c r="B862" s="654"/>
      <c r="C862" s="717"/>
      <c r="D862" s="716"/>
      <c r="E862" s="716"/>
      <c r="F862" s="716"/>
      <c r="G862" s="716"/>
      <c r="H862" s="716"/>
      <c r="I862" s="716"/>
      <c r="J862" s="716"/>
      <c r="K862" s="716"/>
      <c r="L862" s="653" t="str">
        <f t="shared" si="850"/>
        <v>0</v>
      </c>
      <c r="M862" s="654">
        <f t="shared" si="780"/>
        <v>0</v>
      </c>
      <c r="N862" s="655">
        <f>+IF(OR($Q862=Parametres!$G$2,$Q862=Parametres!$G$3),I862,C862)</f>
        <v>0</v>
      </c>
      <c r="O862" s="655">
        <f>+IF(OR($Q862=Parametres!$G$2,$Q862=Parametres!$G$3),J862,D862)</f>
        <v>0</v>
      </c>
      <c r="P862" s="655">
        <f>+IF(OR($Q862=Parametres!$G$2,$Q862=Parametres!$G$3),K862,E862)</f>
        <v>0</v>
      </c>
      <c r="Q862" s="654">
        <f t="shared" ref="Q862:S862" si="878">+F862</f>
        <v>0</v>
      </c>
      <c r="R862" s="653">
        <f t="shared" si="878"/>
        <v>0</v>
      </c>
      <c r="S862" s="654">
        <f t="shared" si="878"/>
        <v>0</v>
      </c>
      <c r="T862" s="656" t="e">
        <f>+VLOOKUP($L862,Data_Validation!$A:$D,1,0)</f>
        <v>#N/A</v>
      </c>
      <c r="U862" s="656" t="e">
        <f>+VLOOKUP($L862,Data_Validation!$A:$D,3,0)</f>
        <v>#N/A</v>
      </c>
      <c r="V862" s="656" t="e">
        <f>+VLOOKUP($L862,Data_Validation!$A:$D,4,0)</f>
        <v>#N/A</v>
      </c>
      <c r="W862" s="656" t="e">
        <f>+VLOOKUP($L862,Data_Validation!$A:$E,5,0)</f>
        <v>#N/A</v>
      </c>
    </row>
    <row r="863" spans="1:23" ht="15.75" customHeight="1">
      <c r="A863" s="716"/>
      <c r="B863" s="654"/>
      <c r="C863" s="717"/>
      <c r="D863" s="716"/>
      <c r="E863" s="716"/>
      <c r="F863" s="716"/>
      <c r="G863" s="716"/>
      <c r="H863" s="716"/>
      <c r="I863" s="716"/>
      <c r="J863" s="716"/>
      <c r="K863" s="716"/>
      <c r="L863" s="653" t="str">
        <f t="shared" si="850"/>
        <v>0</v>
      </c>
      <c r="M863" s="654">
        <f t="shared" si="780"/>
        <v>0</v>
      </c>
      <c r="N863" s="655">
        <f>+IF(OR($Q863=Parametres!$G$2,$Q863=Parametres!$G$3),I863,C863)</f>
        <v>0</v>
      </c>
      <c r="O863" s="655">
        <f>+IF(OR($Q863=Parametres!$G$2,$Q863=Parametres!$G$3),J863,D863)</f>
        <v>0</v>
      </c>
      <c r="P863" s="655">
        <f>+IF(OR($Q863=Parametres!$G$2,$Q863=Parametres!$G$3),K863,E863)</f>
        <v>0</v>
      </c>
      <c r="Q863" s="654">
        <f t="shared" ref="Q863:S863" si="879">+F863</f>
        <v>0</v>
      </c>
      <c r="R863" s="653">
        <f t="shared" si="879"/>
        <v>0</v>
      </c>
      <c r="S863" s="654">
        <f t="shared" si="879"/>
        <v>0</v>
      </c>
      <c r="T863" s="656" t="e">
        <f>+VLOOKUP($L863,Data_Validation!$A:$D,1,0)</f>
        <v>#N/A</v>
      </c>
      <c r="U863" s="656" t="e">
        <f>+VLOOKUP($L863,Data_Validation!$A:$D,3,0)</f>
        <v>#N/A</v>
      </c>
      <c r="V863" s="656" t="e">
        <f>+VLOOKUP($L863,Data_Validation!$A:$D,4,0)</f>
        <v>#N/A</v>
      </c>
      <c r="W863" s="656" t="e">
        <f>+VLOOKUP($L863,Data_Validation!$A:$E,5,0)</f>
        <v>#N/A</v>
      </c>
    </row>
    <row r="864" spans="1:23" ht="15.75" customHeight="1">
      <c r="A864" s="716"/>
      <c r="B864" s="654"/>
      <c r="C864" s="717"/>
      <c r="D864" s="716"/>
      <c r="E864" s="716"/>
      <c r="F864" s="716"/>
      <c r="G864" s="716"/>
      <c r="H864" s="716"/>
      <c r="I864" s="716"/>
      <c r="J864" s="716"/>
      <c r="K864" s="716"/>
      <c r="L864" s="653" t="str">
        <f t="shared" si="850"/>
        <v>0</v>
      </c>
      <c r="M864" s="654">
        <f t="shared" si="780"/>
        <v>0</v>
      </c>
      <c r="N864" s="655">
        <f>+IF(OR($Q864=Parametres!$G$2,$Q864=Parametres!$G$3),I864,C864)</f>
        <v>0</v>
      </c>
      <c r="O864" s="655">
        <f>+IF(OR($Q864=Parametres!$G$2,$Q864=Parametres!$G$3),J864,D864)</f>
        <v>0</v>
      </c>
      <c r="P864" s="655">
        <f>+IF(OR($Q864=Parametres!$G$2,$Q864=Parametres!$G$3),K864,E864)</f>
        <v>0</v>
      </c>
      <c r="Q864" s="654">
        <f t="shared" ref="Q864:S864" si="880">+F864</f>
        <v>0</v>
      </c>
      <c r="R864" s="653">
        <f t="shared" si="880"/>
        <v>0</v>
      </c>
      <c r="S864" s="654">
        <f t="shared" si="880"/>
        <v>0</v>
      </c>
      <c r="T864" s="656" t="e">
        <f>+VLOOKUP($L864,Data_Validation!$A:$D,1,0)</f>
        <v>#N/A</v>
      </c>
      <c r="U864" s="656" t="e">
        <f>+VLOOKUP($L864,Data_Validation!$A:$D,3,0)</f>
        <v>#N/A</v>
      </c>
      <c r="V864" s="656" t="e">
        <f>+VLOOKUP($L864,Data_Validation!$A:$D,4,0)</f>
        <v>#N/A</v>
      </c>
      <c r="W864" s="656" t="e">
        <f>+VLOOKUP($L864,Data_Validation!$A:$E,5,0)</f>
        <v>#N/A</v>
      </c>
    </row>
    <row r="865" spans="1:23" ht="15.75" customHeight="1">
      <c r="A865" s="716"/>
      <c r="B865" s="654"/>
      <c r="C865" s="717"/>
      <c r="D865" s="716"/>
      <c r="E865" s="716"/>
      <c r="F865" s="716"/>
      <c r="G865" s="716"/>
      <c r="H865" s="716"/>
      <c r="I865" s="716"/>
      <c r="J865" s="716"/>
      <c r="K865" s="716"/>
      <c r="L865" s="653" t="str">
        <f t="shared" si="850"/>
        <v>0</v>
      </c>
      <c r="M865" s="654">
        <f t="shared" si="780"/>
        <v>0</v>
      </c>
      <c r="N865" s="655">
        <f>+IF(OR($Q865=Parametres!$G$2,$Q865=Parametres!$G$3),I865,C865)</f>
        <v>0</v>
      </c>
      <c r="O865" s="655">
        <f>+IF(OR($Q865=Parametres!$G$2,$Q865=Parametres!$G$3),J865,D865)</f>
        <v>0</v>
      </c>
      <c r="P865" s="655">
        <f>+IF(OR($Q865=Parametres!$G$2,$Q865=Parametres!$G$3),K865,E865)</f>
        <v>0</v>
      </c>
      <c r="Q865" s="654">
        <f t="shared" ref="Q865:S865" si="881">+F865</f>
        <v>0</v>
      </c>
      <c r="R865" s="653">
        <f t="shared" si="881"/>
        <v>0</v>
      </c>
      <c r="S865" s="654">
        <f t="shared" si="881"/>
        <v>0</v>
      </c>
      <c r="T865" s="656" t="e">
        <f>+VLOOKUP($L865,Data_Validation!$A:$D,1,0)</f>
        <v>#N/A</v>
      </c>
      <c r="U865" s="656" t="e">
        <f>+VLOOKUP($L865,Data_Validation!$A:$D,3,0)</f>
        <v>#N/A</v>
      </c>
      <c r="V865" s="656" t="e">
        <f>+VLOOKUP($L865,Data_Validation!$A:$D,4,0)</f>
        <v>#N/A</v>
      </c>
      <c r="W865" s="656" t="e">
        <f>+VLOOKUP($L865,Data_Validation!$A:$E,5,0)</f>
        <v>#N/A</v>
      </c>
    </row>
    <row r="866" spans="1:23" ht="15.75" customHeight="1">
      <c r="A866" s="716"/>
      <c r="B866" s="654"/>
      <c r="C866" s="717"/>
      <c r="D866" s="716"/>
      <c r="E866" s="716"/>
      <c r="F866" s="716"/>
      <c r="G866" s="716"/>
      <c r="H866" s="716"/>
      <c r="I866" s="716"/>
      <c r="J866" s="716"/>
      <c r="K866" s="716"/>
      <c r="L866" s="653" t="str">
        <f t="shared" si="850"/>
        <v>0</v>
      </c>
      <c r="M866" s="654">
        <f t="shared" si="780"/>
        <v>0</v>
      </c>
      <c r="N866" s="655">
        <f>+IF(OR($Q866=Parametres!$G$2,$Q866=Parametres!$G$3),I866,C866)</f>
        <v>0</v>
      </c>
      <c r="O866" s="655">
        <f>+IF(OR($Q866=Parametres!$G$2,$Q866=Parametres!$G$3),J866,D866)</f>
        <v>0</v>
      </c>
      <c r="P866" s="655">
        <f>+IF(OR($Q866=Parametres!$G$2,$Q866=Parametres!$G$3),K866,E866)</f>
        <v>0</v>
      </c>
      <c r="Q866" s="654">
        <f t="shared" ref="Q866:S866" si="882">+F866</f>
        <v>0</v>
      </c>
      <c r="R866" s="653">
        <f t="shared" si="882"/>
        <v>0</v>
      </c>
      <c r="S866" s="654">
        <f t="shared" si="882"/>
        <v>0</v>
      </c>
      <c r="T866" s="656" t="e">
        <f>+VLOOKUP($L866,Data_Validation!$A:$D,1,0)</f>
        <v>#N/A</v>
      </c>
      <c r="U866" s="656" t="e">
        <f>+VLOOKUP($L866,Data_Validation!$A:$D,3,0)</f>
        <v>#N/A</v>
      </c>
      <c r="V866" s="656" t="e">
        <f>+VLOOKUP($L866,Data_Validation!$A:$D,4,0)</f>
        <v>#N/A</v>
      </c>
      <c r="W866" s="656" t="e">
        <f>+VLOOKUP($L866,Data_Validation!$A:$E,5,0)</f>
        <v>#N/A</v>
      </c>
    </row>
    <row r="867" spans="1:23" ht="15.75" customHeight="1">
      <c r="A867" s="716"/>
      <c r="B867" s="654"/>
      <c r="C867" s="717"/>
      <c r="D867" s="716"/>
      <c r="E867" s="716"/>
      <c r="F867" s="716"/>
      <c r="G867" s="716"/>
      <c r="H867" s="716"/>
      <c r="I867" s="716"/>
      <c r="J867" s="716"/>
      <c r="K867" s="716"/>
      <c r="L867" s="653" t="str">
        <f t="shared" si="850"/>
        <v>0</v>
      </c>
      <c r="M867" s="654">
        <f t="shared" si="780"/>
        <v>0</v>
      </c>
      <c r="N867" s="655">
        <f>+IF(OR($Q867=Parametres!$G$2,$Q867=Parametres!$G$3),I867,C867)</f>
        <v>0</v>
      </c>
      <c r="O867" s="655">
        <f>+IF(OR($Q867=Parametres!$G$2,$Q867=Parametres!$G$3),J867,D867)</f>
        <v>0</v>
      </c>
      <c r="P867" s="655">
        <f>+IF(OR($Q867=Parametres!$G$2,$Q867=Parametres!$G$3),K867,E867)</f>
        <v>0</v>
      </c>
      <c r="Q867" s="654">
        <f t="shared" ref="Q867:S867" si="883">+F867</f>
        <v>0</v>
      </c>
      <c r="R867" s="653">
        <f t="shared" si="883"/>
        <v>0</v>
      </c>
      <c r="S867" s="654">
        <f t="shared" si="883"/>
        <v>0</v>
      </c>
      <c r="T867" s="656" t="e">
        <f>+VLOOKUP($L867,Data_Validation!$A:$D,1,0)</f>
        <v>#N/A</v>
      </c>
      <c r="U867" s="656" t="e">
        <f>+VLOOKUP($L867,Data_Validation!$A:$D,3,0)</f>
        <v>#N/A</v>
      </c>
      <c r="V867" s="656" t="e">
        <f>+VLOOKUP($L867,Data_Validation!$A:$D,4,0)</f>
        <v>#N/A</v>
      </c>
      <c r="W867" s="656" t="e">
        <f>+VLOOKUP($L867,Data_Validation!$A:$E,5,0)</f>
        <v>#N/A</v>
      </c>
    </row>
    <row r="868" spans="1:23" ht="15.75" customHeight="1">
      <c r="A868" s="716"/>
      <c r="B868" s="654"/>
      <c r="C868" s="717"/>
      <c r="D868" s="716"/>
      <c r="E868" s="716"/>
      <c r="F868" s="716"/>
      <c r="G868" s="716"/>
      <c r="H868" s="716"/>
      <c r="I868" s="716"/>
      <c r="J868" s="716"/>
      <c r="K868" s="716"/>
      <c r="L868" s="653" t="str">
        <f t="shared" si="850"/>
        <v>0</v>
      </c>
      <c r="M868" s="654">
        <f t="shared" si="780"/>
        <v>0</v>
      </c>
      <c r="N868" s="655">
        <f>+IF(OR($Q868=Parametres!$G$2,$Q868=Parametres!$G$3),I868,C868)</f>
        <v>0</v>
      </c>
      <c r="O868" s="655">
        <f>+IF(OR($Q868=Parametres!$G$2,$Q868=Parametres!$G$3),J868,D868)</f>
        <v>0</v>
      </c>
      <c r="P868" s="655">
        <f>+IF(OR($Q868=Parametres!$G$2,$Q868=Parametres!$G$3),K868,E868)</f>
        <v>0</v>
      </c>
      <c r="Q868" s="654">
        <f t="shared" ref="Q868:S868" si="884">+F868</f>
        <v>0</v>
      </c>
      <c r="R868" s="653">
        <f t="shared" si="884"/>
        <v>0</v>
      </c>
      <c r="S868" s="654">
        <f t="shared" si="884"/>
        <v>0</v>
      </c>
      <c r="T868" s="656" t="e">
        <f>+VLOOKUP($L868,Data_Validation!$A:$D,1,0)</f>
        <v>#N/A</v>
      </c>
      <c r="U868" s="656" t="e">
        <f>+VLOOKUP($L868,Data_Validation!$A:$D,3,0)</f>
        <v>#N/A</v>
      </c>
      <c r="V868" s="656" t="e">
        <f>+VLOOKUP($L868,Data_Validation!$A:$D,4,0)</f>
        <v>#N/A</v>
      </c>
      <c r="W868" s="656" t="e">
        <f>+VLOOKUP($L868,Data_Validation!$A:$E,5,0)</f>
        <v>#N/A</v>
      </c>
    </row>
    <row r="869" spans="1:23" ht="15.75" customHeight="1">
      <c r="A869" s="716"/>
      <c r="B869" s="654"/>
      <c r="C869" s="717"/>
      <c r="D869" s="716"/>
      <c r="E869" s="716"/>
      <c r="F869" s="716"/>
      <c r="G869" s="716"/>
      <c r="H869" s="716"/>
      <c r="I869" s="716"/>
      <c r="J869" s="716"/>
      <c r="K869" s="716"/>
      <c r="L869" s="653" t="str">
        <f t="shared" si="850"/>
        <v>0</v>
      </c>
      <c r="M869" s="654">
        <f t="shared" si="780"/>
        <v>0</v>
      </c>
      <c r="N869" s="655">
        <f>+IF(OR($Q869=Parametres!$G$2,$Q869=Parametres!$G$3),I869,C869)</f>
        <v>0</v>
      </c>
      <c r="O869" s="655">
        <f>+IF(OR($Q869=Parametres!$G$2,$Q869=Parametres!$G$3),J869,D869)</f>
        <v>0</v>
      </c>
      <c r="P869" s="655">
        <f>+IF(OR($Q869=Parametres!$G$2,$Q869=Parametres!$G$3),K869,E869)</f>
        <v>0</v>
      </c>
      <c r="Q869" s="654">
        <f t="shared" ref="Q869:S869" si="885">+F869</f>
        <v>0</v>
      </c>
      <c r="R869" s="653">
        <f t="shared" si="885"/>
        <v>0</v>
      </c>
      <c r="S869" s="654">
        <f t="shared" si="885"/>
        <v>0</v>
      </c>
      <c r="T869" s="656" t="e">
        <f>+VLOOKUP($L869,Data_Validation!$A:$D,1,0)</f>
        <v>#N/A</v>
      </c>
      <c r="U869" s="656" t="e">
        <f>+VLOOKUP($L869,Data_Validation!$A:$D,3,0)</f>
        <v>#N/A</v>
      </c>
      <c r="V869" s="656" t="e">
        <f>+VLOOKUP($L869,Data_Validation!$A:$D,4,0)</f>
        <v>#N/A</v>
      </c>
      <c r="W869" s="656" t="e">
        <f>+VLOOKUP($L869,Data_Validation!$A:$E,5,0)</f>
        <v>#N/A</v>
      </c>
    </row>
    <row r="870" spans="1:23" ht="15.75" customHeight="1">
      <c r="A870" s="716"/>
      <c r="B870" s="654"/>
      <c r="C870" s="717"/>
      <c r="D870" s="716"/>
      <c r="E870" s="716"/>
      <c r="F870" s="716"/>
      <c r="G870" s="716"/>
      <c r="H870" s="716"/>
      <c r="I870" s="716"/>
      <c r="J870" s="716"/>
      <c r="K870" s="716"/>
      <c r="L870" s="653" t="str">
        <f t="shared" si="850"/>
        <v>0</v>
      </c>
      <c r="M870" s="654">
        <f t="shared" si="780"/>
        <v>0</v>
      </c>
      <c r="N870" s="655">
        <f>+IF(OR($Q870=Parametres!$G$2,$Q870=Parametres!$G$3),I870,C870)</f>
        <v>0</v>
      </c>
      <c r="O870" s="655">
        <f>+IF(OR($Q870=Parametres!$G$2,$Q870=Parametres!$G$3),J870,D870)</f>
        <v>0</v>
      </c>
      <c r="P870" s="655">
        <f>+IF(OR($Q870=Parametres!$G$2,$Q870=Parametres!$G$3),K870,E870)</f>
        <v>0</v>
      </c>
      <c r="Q870" s="654">
        <f t="shared" ref="Q870:S870" si="886">+F870</f>
        <v>0</v>
      </c>
      <c r="R870" s="653">
        <f t="shared" si="886"/>
        <v>0</v>
      </c>
      <c r="S870" s="654">
        <f t="shared" si="886"/>
        <v>0</v>
      </c>
      <c r="T870" s="656" t="e">
        <f>+VLOOKUP($L870,Data_Validation!$A:$D,1,0)</f>
        <v>#N/A</v>
      </c>
      <c r="U870" s="656" t="e">
        <f>+VLOOKUP($L870,Data_Validation!$A:$D,3,0)</f>
        <v>#N/A</v>
      </c>
      <c r="V870" s="656" t="e">
        <f>+VLOOKUP($L870,Data_Validation!$A:$D,4,0)</f>
        <v>#N/A</v>
      </c>
      <c r="W870" s="656" t="e">
        <f>+VLOOKUP($L870,Data_Validation!$A:$E,5,0)</f>
        <v>#N/A</v>
      </c>
    </row>
    <row r="871" spans="1:23" ht="15.75" customHeight="1">
      <c r="A871" s="716"/>
      <c r="B871" s="654"/>
      <c r="C871" s="717"/>
      <c r="D871" s="716"/>
      <c r="E871" s="716"/>
      <c r="F871" s="716"/>
      <c r="G871" s="716"/>
      <c r="H871" s="716"/>
      <c r="I871" s="716"/>
      <c r="J871" s="716"/>
      <c r="K871" s="716"/>
      <c r="L871" s="653" t="str">
        <f t="shared" si="850"/>
        <v>0</v>
      </c>
      <c r="M871" s="654">
        <f t="shared" si="780"/>
        <v>0</v>
      </c>
      <c r="N871" s="655">
        <f>+IF(OR($Q871=Parametres!$G$2,$Q871=Parametres!$G$3),I871,C871)</f>
        <v>0</v>
      </c>
      <c r="O871" s="655">
        <f>+IF(OR($Q871=Parametres!$G$2,$Q871=Parametres!$G$3),J871,D871)</f>
        <v>0</v>
      </c>
      <c r="P871" s="655">
        <f>+IF(OR($Q871=Parametres!$G$2,$Q871=Parametres!$G$3),K871,E871)</f>
        <v>0</v>
      </c>
      <c r="Q871" s="654">
        <f t="shared" ref="Q871:S871" si="887">+F871</f>
        <v>0</v>
      </c>
      <c r="R871" s="653">
        <f t="shared" si="887"/>
        <v>0</v>
      </c>
      <c r="S871" s="654">
        <f t="shared" si="887"/>
        <v>0</v>
      </c>
      <c r="T871" s="656" t="e">
        <f>+VLOOKUP($L871,Data_Validation!$A:$D,1,0)</f>
        <v>#N/A</v>
      </c>
      <c r="U871" s="656" t="e">
        <f>+VLOOKUP($L871,Data_Validation!$A:$D,3,0)</f>
        <v>#N/A</v>
      </c>
      <c r="V871" s="656" t="e">
        <f>+VLOOKUP($L871,Data_Validation!$A:$D,4,0)</f>
        <v>#N/A</v>
      </c>
      <c r="W871" s="656" t="e">
        <f>+VLOOKUP($L871,Data_Validation!$A:$E,5,0)</f>
        <v>#N/A</v>
      </c>
    </row>
    <row r="872" spans="1:23" ht="15.75" customHeight="1">
      <c r="A872" s="716"/>
      <c r="B872" s="654"/>
      <c r="C872" s="717"/>
      <c r="D872" s="716"/>
      <c r="E872" s="716"/>
      <c r="F872" s="716"/>
      <c r="G872" s="716"/>
      <c r="H872" s="716"/>
      <c r="I872" s="716"/>
      <c r="J872" s="716"/>
      <c r="K872" s="716"/>
      <c r="L872" s="653" t="str">
        <f t="shared" si="850"/>
        <v>0</v>
      </c>
      <c r="M872" s="654">
        <f t="shared" si="780"/>
        <v>0</v>
      </c>
      <c r="N872" s="655">
        <f>+IF(OR($Q872=Parametres!$G$2,$Q872=Parametres!$G$3),I872,C872)</f>
        <v>0</v>
      </c>
      <c r="O872" s="655">
        <f>+IF(OR($Q872=Parametres!$G$2,$Q872=Parametres!$G$3),J872,D872)</f>
        <v>0</v>
      </c>
      <c r="P872" s="655">
        <f>+IF(OR($Q872=Parametres!$G$2,$Q872=Parametres!$G$3),K872,E872)</f>
        <v>0</v>
      </c>
      <c r="Q872" s="654">
        <f t="shared" ref="Q872:S872" si="888">+F872</f>
        <v>0</v>
      </c>
      <c r="R872" s="653">
        <f t="shared" si="888"/>
        <v>0</v>
      </c>
      <c r="S872" s="654">
        <f t="shared" si="888"/>
        <v>0</v>
      </c>
      <c r="T872" s="656" t="e">
        <f>+VLOOKUP($L872,Data_Validation!$A:$D,1,0)</f>
        <v>#N/A</v>
      </c>
      <c r="U872" s="656" t="e">
        <f>+VLOOKUP($L872,Data_Validation!$A:$D,3,0)</f>
        <v>#N/A</v>
      </c>
      <c r="V872" s="656" t="e">
        <f>+VLOOKUP($L872,Data_Validation!$A:$D,4,0)</f>
        <v>#N/A</v>
      </c>
      <c r="W872" s="656" t="e">
        <f>+VLOOKUP($L872,Data_Validation!$A:$E,5,0)</f>
        <v>#N/A</v>
      </c>
    </row>
    <row r="873" spans="1:23" ht="15.75" customHeight="1">
      <c r="A873" s="716"/>
      <c r="B873" s="654"/>
      <c r="C873" s="717"/>
      <c r="D873" s="716"/>
      <c r="E873" s="716"/>
      <c r="F873" s="716"/>
      <c r="G873" s="716"/>
      <c r="H873" s="716"/>
      <c r="I873" s="716"/>
      <c r="J873" s="716"/>
      <c r="K873" s="716"/>
      <c r="L873" s="653" t="str">
        <f t="shared" si="850"/>
        <v>0</v>
      </c>
      <c r="M873" s="654">
        <f t="shared" si="780"/>
        <v>0</v>
      </c>
      <c r="N873" s="655">
        <f>+IF(OR($Q873=Parametres!$G$2,$Q873=Parametres!$G$3),I873,C873)</f>
        <v>0</v>
      </c>
      <c r="O873" s="655">
        <f>+IF(OR($Q873=Parametres!$G$2,$Q873=Parametres!$G$3),J873,D873)</f>
        <v>0</v>
      </c>
      <c r="P873" s="655">
        <f>+IF(OR($Q873=Parametres!$G$2,$Q873=Parametres!$G$3),K873,E873)</f>
        <v>0</v>
      </c>
      <c r="Q873" s="654">
        <f t="shared" ref="Q873:S873" si="889">+F873</f>
        <v>0</v>
      </c>
      <c r="R873" s="653">
        <f t="shared" si="889"/>
        <v>0</v>
      </c>
      <c r="S873" s="654">
        <f t="shared" si="889"/>
        <v>0</v>
      </c>
      <c r="T873" s="656" t="e">
        <f>+VLOOKUP($L873,Data_Validation!$A:$D,1,0)</f>
        <v>#N/A</v>
      </c>
      <c r="U873" s="656" t="e">
        <f>+VLOOKUP($L873,Data_Validation!$A:$D,3,0)</f>
        <v>#N/A</v>
      </c>
      <c r="V873" s="656" t="e">
        <f>+VLOOKUP($L873,Data_Validation!$A:$D,4,0)</f>
        <v>#N/A</v>
      </c>
      <c r="W873" s="656" t="e">
        <f>+VLOOKUP($L873,Data_Validation!$A:$E,5,0)</f>
        <v>#N/A</v>
      </c>
    </row>
    <row r="874" spans="1:23" ht="15.75" customHeight="1">
      <c r="A874" s="716"/>
      <c r="B874" s="654"/>
      <c r="C874" s="717"/>
      <c r="D874" s="716"/>
      <c r="E874" s="716"/>
      <c r="F874" s="716"/>
      <c r="G874" s="716"/>
      <c r="H874" s="716"/>
      <c r="I874" s="716"/>
      <c r="J874" s="716"/>
      <c r="K874" s="716"/>
      <c r="L874" s="653" t="str">
        <f t="shared" si="850"/>
        <v>0</v>
      </c>
      <c r="M874" s="654">
        <f t="shared" si="780"/>
        <v>0</v>
      </c>
      <c r="N874" s="655">
        <f>+IF(OR($Q874=Parametres!$G$2,$Q874=Parametres!$G$3),I874,C874)</f>
        <v>0</v>
      </c>
      <c r="O874" s="655">
        <f>+IF(OR($Q874=Parametres!$G$2,$Q874=Parametres!$G$3),J874,D874)</f>
        <v>0</v>
      </c>
      <c r="P874" s="655">
        <f>+IF(OR($Q874=Parametres!$G$2,$Q874=Parametres!$G$3),K874,E874)</f>
        <v>0</v>
      </c>
      <c r="Q874" s="654">
        <f t="shared" ref="Q874:S874" si="890">+F874</f>
        <v>0</v>
      </c>
      <c r="R874" s="653">
        <f t="shared" si="890"/>
        <v>0</v>
      </c>
      <c r="S874" s="654">
        <f t="shared" si="890"/>
        <v>0</v>
      </c>
      <c r="T874" s="656" t="e">
        <f>+VLOOKUP($L874,Data_Validation!$A:$D,1,0)</f>
        <v>#N/A</v>
      </c>
      <c r="U874" s="656" t="e">
        <f>+VLOOKUP($L874,Data_Validation!$A:$D,3,0)</f>
        <v>#N/A</v>
      </c>
      <c r="V874" s="656" t="e">
        <f>+VLOOKUP($L874,Data_Validation!$A:$D,4,0)</f>
        <v>#N/A</v>
      </c>
      <c r="W874" s="656" t="e">
        <f>+VLOOKUP($L874,Data_Validation!$A:$E,5,0)</f>
        <v>#N/A</v>
      </c>
    </row>
    <row r="875" spans="1:23" ht="15.75" customHeight="1">
      <c r="A875" s="716"/>
      <c r="B875" s="654"/>
      <c r="C875" s="717"/>
      <c r="D875" s="716"/>
      <c r="E875" s="716"/>
      <c r="F875" s="716"/>
      <c r="G875" s="716"/>
      <c r="H875" s="716"/>
      <c r="I875" s="716"/>
      <c r="J875" s="716"/>
      <c r="K875" s="716"/>
      <c r="L875" s="653" t="str">
        <f t="shared" si="850"/>
        <v>0</v>
      </c>
      <c r="M875" s="654">
        <f t="shared" si="780"/>
        <v>0</v>
      </c>
      <c r="N875" s="655">
        <f>+IF(OR($Q875=Parametres!$G$2,$Q875=Parametres!$G$3),I875,C875)</f>
        <v>0</v>
      </c>
      <c r="O875" s="655">
        <f>+IF(OR($Q875=Parametres!$G$2,$Q875=Parametres!$G$3),J875,D875)</f>
        <v>0</v>
      </c>
      <c r="P875" s="655">
        <f>+IF(OR($Q875=Parametres!$G$2,$Q875=Parametres!$G$3),K875,E875)</f>
        <v>0</v>
      </c>
      <c r="Q875" s="654">
        <f t="shared" ref="Q875:S875" si="891">+F875</f>
        <v>0</v>
      </c>
      <c r="R875" s="653">
        <f t="shared" si="891"/>
        <v>0</v>
      </c>
      <c r="S875" s="654">
        <f t="shared" si="891"/>
        <v>0</v>
      </c>
      <c r="T875" s="656" t="e">
        <f>+VLOOKUP($L875,Data_Validation!$A:$D,1,0)</f>
        <v>#N/A</v>
      </c>
      <c r="U875" s="656" t="e">
        <f>+VLOOKUP($L875,Data_Validation!$A:$D,3,0)</f>
        <v>#N/A</v>
      </c>
      <c r="V875" s="656" t="e">
        <f>+VLOOKUP($L875,Data_Validation!$A:$D,4,0)</f>
        <v>#N/A</v>
      </c>
      <c r="W875" s="656" t="e">
        <f>+VLOOKUP($L875,Data_Validation!$A:$E,5,0)</f>
        <v>#N/A</v>
      </c>
    </row>
    <row r="876" spans="1:23" ht="15.75" customHeight="1">
      <c r="A876" s="716"/>
      <c r="B876" s="654"/>
      <c r="C876" s="717"/>
      <c r="D876" s="716"/>
      <c r="E876" s="716"/>
      <c r="F876" s="716"/>
      <c r="G876" s="716"/>
      <c r="H876" s="716"/>
      <c r="I876" s="716"/>
      <c r="J876" s="716"/>
      <c r="K876" s="716"/>
      <c r="L876" s="653" t="str">
        <f t="shared" si="850"/>
        <v>0</v>
      </c>
      <c r="M876" s="654">
        <f t="shared" si="780"/>
        <v>0</v>
      </c>
      <c r="N876" s="655">
        <f>+IF(OR($Q876=Parametres!$G$2,$Q876=Parametres!$G$3),I876,C876)</f>
        <v>0</v>
      </c>
      <c r="O876" s="655">
        <f>+IF(OR($Q876=Parametres!$G$2,$Q876=Parametres!$G$3),J876,D876)</f>
        <v>0</v>
      </c>
      <c r="P876" s="655">
        <f>+IF(OR($Q876=Parametres!$G$2,$Q876=Parametres!$G$3),K876,E876)</f>
        <v>0</v>
      </c>
      <c r="Q876" s="654">
        <f t="shared" ref="Q876:S876" si="892">+F876</f>
        <v>0</v>
      </c>
      <c r="R876" s="653">
        <f t="shared" si="892"/>
        <v>0</v>
      </c>
      <c r="S876" s="654">
        <f t="shared" si="892"/>
        <v>0</v>
      </c>
      <c r="T876" s="656" t="e">
        <f>+VLOOKUP($L876,Data_Validation!$A:$D,1,0)</f>
        <v>#N/A</v>
      </c>
      <c r="U876" s="656" t="e">
        <f>+VLOOKUP($L876,Data_Validation!$A:$D,3,0)</f>
        <v>#N/A</v>
      </c>
      <c r="V876" s="656" t="e">
        <f>+VLOOKUP($L876,Data_Validation!$A:$D,4,0)</f>
        <v>#N/A</v>
      </c>
      <c r="W876" s="656" t="e">
        <f>+VLOOKUP($L876,Data_Validation!$A:$E,5,0)</f>
        <v>#N/A</v>
      </c>
    </row>
    <row r="877" spans="1:23" ht="15.75" customHeight="1">
      <c r="A877" s="716"/>
      <c r="B877" s="654"/>
      <c r="C877" s="717"/>
      <c r="D877" s="716"/>
      <c r="E877" s="716"/>
      <c r="F877" s="716"/>
      <c r="G877" s="716"/>
      <c r="H877" s="716"/>
      <c r="I877" s="716"/>
      <c r="J877" s="716"/>
      <c r="K877" s="716"/>
      <c r="L877" s="653" t="str">
        <f t="shared" si="850"/>
        <v>0</v>
      </c>
      <c r="M877" s="654">
        <f t="shared" si="780"/>
        <v>0</v>
      </c>
      <c r="N877" s="655">
        <f>+IF(OR($Q877=Parametres!$G$2,$Q877=Parametres!$G$3),I877,C877)</f>
        <v>0</v>
      </c>
      <c r="O877" s="655">
        <f>+IF(OR($Q877=Parametres!$G$2,$Q877=Parametres!$G$3),J877,D877)</f>
        <v>0</v>
      </c>
      <c r="P877" s="655">
        <f>+IF(OR($Q877=Parametres!$G$2,$Q877=Parametres!$G$3),K877,E877)</f>
        <v>0</v>
      </c>
      <c r="Q877" s="654">
        <f t="shared" ref="Q877:S877" si="893">+F877</f>
        <v>0</v>
      </c>
      <c r="R877" s="653">
        <f t="shared" si="893"/>
        <v>0</v>
      </c>
      <c r="S877" s="654">
        <f t="shared" si="893"/>
        <v>0</v>
      </c>
      <c r="T877" s="656" t="e">
        <f>+VLOOKUP($L877,Data_Validation!$A:$D,1,0)</f>
        <v>#N/A</v>
      </c>
      <c r="U877" s="656" t="e">
        <f>+VLOOKUP($L877,Data_Validation!$A:$D,3,0)</f>
        <v>#N/A</v>
      </c>
      <c r="V877" s="656" t="e">
        <f>+VLOOKUP($L877,Data_Validation!$A:$D,4,0)</f>
        <v>#N/A</v>
      </c>
      <c r="W877" s="656" t="e">
        <f>+VLOOKUP($L877,Data_Validation!$A:$E,5,0)</f>
        <v>#N/A</v>
      </c>
    </row>
    <row r="878" spans="1:23" ht="15.75" customHeight="1">
      <c r="A878" s="716"/>
      <c r="B878" s="654"/>
      <c r="C878" s="717"/>
      <c r="D878" s="716"/>
      <c r="E878" s="716"/>
      <c r="F878" s="716"/>
      <c r="G878" s="716"/>
      <c r="H878" s="716"/>
      <c r="I878" s="716"/>
      <c r="J878" s="716"/>
      <c r="K878" s="716"/>
      <c r="L878" s="653" t="str">
        <f t="shared" si="850"/>
        <v>0</v>
      </c>
      <c r="M878" s="654">
        <f t="shared" si="780"/>
        <v>0</v>
      </c>
      <c r="N878" s="655">
        <f>+IF(OR($Q878=Parametres!$G$2,$Q878=Parametres!$G$3),I878,C878)</f>
        <v>0</v>
      </c>
      <c r="O878" s="655">
        <f>+IF(OR($Q878=Parametres!$G$2,$Q878=Parametres!$G$3),J878,D878)</f>
        <v>0</v>
      </c>
      <c r="P878" s="655">
        <f>+IF(OR($Q878=Parametres!$G$2,$Q878=Parametres!$G$3),K878,E878)</f>
        <v>0</v>
      </c>
      <c r="Q878" s="654">
        <f t="shared" ref="Q878:S878" si="894">+F878</f>
        <v>0</v>
      </c>
      <c r="R878" s="653">
        <f t="shared" si="894"/>
        <v>0</v>
      </c>
      <c r="S878" s="654">
        <f t="shared" si="894"/>
        <v>0</v>
      </c>
      <c r="T878" s="656" t="e">
        <f>+VLOOKUP($L878,Data_Validation!$A:$D,1,0)</f>
        <v>#N/A</v>
      </c>
      <c r="U878" s="656" t="e">
        <f>+VLOOKUP($L878,Data_Validation!$A:$D,3,0)</f>
        <v>#N/A</v>
      </c>
      <c r="V878" s="656" t="e">
        <f>+VLOOKUP($L878,Data_Validation!$A:$D,4,0)</f>
        <v>#N/A</v>
      </c>
      <c r="W878" s="656" t="e">
        <f>+VLOOKUP($L878,Data_Validation!$A:$E,5,0)</f>
        <v>#N/A</v>
      </c>
    </row>
    <row r="879" spans="1:23" ht="15.75" customHeight="1">
      <c r="A879" s="716"/>
      <c r="B879" s="654"/>
      <c r="C879" s="717"/>
      <c r="D879" s="716"/>
      <c r="E879" s="716"/>
      <c r="F879" s="716"/>
      <c r="G879" s="716"/>
      <c r="H879" s="716"/>
      <c r="I879" s="716"/>
      <c r="J879" s="716"/>
      <c r="K879" s="716"/>
      <c r="L879" s="653" t="str">
        <f t="shared" si="850"/>
        <v>0</v>
      </c>
      <c r="M879" s="654">
        <f t="shared" si="780"/>
        <v>0</v>
      </c>
      <c r="N879" s="655">
        <f>+IF(OR($Q879=Parametres!$G$2,$Q879=Parametres!$G$3),I879,C879)</f>
        <v>0</v>
      </c>
      <c r="O879" s="655">
        <f>+IF(OR($Q879=Parametres!$G$2,$Q879=Parametres!$G$3),J879,D879)</f>
        <v>0</v>
      </c>
      <c r="P879" s="655">
        <f>+IF(OR($Q879=Parametres!$G$2,$Q879=Parametres!$G$3),K879,E879)</f>
        <v>0</v>
      </c>
      <c r="Q879" s="654">
        <f t="shared" ref="Q879:S879" si="895">+F879</f>
        <v>0</v>
      </c>
      <c r="R879" s="653">
        <f t="shared" si="895"/>
        <v>0</v>
      </c>
      <c r="S879" s="654">
        <f t="shared" si="895"/>
        <v>0</v>
      </c>
      <c r="T879" s="656" t="e">
        <f>+VLOOKUP($L879,Data_Validation!$A:$D,1,0)</f>
        <v>#N/A</v>
      </c>
      <c r="U879" s="656" t="e">
        <f>+VLOOKUP($L879,Data_Validation!$A:$D,3,0)</f>
        <v>#N/A</v>
      </c>
      <c r="V879" s="656" t="e">
        <f>+VLOOKUP($L879,Data_Validation!$A:$D,4,0)</f>
        <v>#N/A</v>
      </c>
      <c r="W879" s="656" t="e">
        <f>+VLOOKUP($L879,Data_Validation!$A:$E,5,0)</f>
        <v>#N/A</v>
      </c>
    </row>
    <row r="880" spans="1:23" ht="15.75" customHeight="1">
      <c r="A880" s="716"/>
      <c r="B880" s="654"/>
      <c r="C880" s="717"/>
      <c r="D880" s="716"/>
      <c r="E880" s="716"/>
      <c r="F880" s="716"/>
      <c r="G880" s="716"/>
      <c r="H880" s="716"/>
      <c r="I880" s="716"/>
      <c r="J880" s="716"/>
      <c r="K880" s="716"/>
      <c r="L880" s="653" t="str">
        <f t="shared" si="850"/>
        <v>0</v>
      </c>
      <c r="M880" s="654">
        <f t="shared" si="780"/>
        <v>0</v>
      </c>
      <c r="N880" s="655">
        <f>+IF(OR($Q880=Parametres!$G$2,$Q880=Parametres!$G$3),I880,C880)</f>
        <v>0</v>
      </c>
      <c r="O880" s="655">
        <f>+IF(OR($Q880=Parametres!$G$2,$Q880=Parametres!$G$3),J880,D880)</f>
        <v>0</v>
      </c>
      <c r="P880" s="655">
        <f>+IF(OR($Q880=Parametres!$G$2,$Q880=Parametres!$G$3),K880,E880)</f>
        <v>0</v>
      </c>
      <c r="Q880" s="654">
        <f t="shared" ref="Q880:S880" si="896">+F880</f>
        <v>0</v>
      </c>
      <c r="R880" s="653">
        <f t="shared" si="896"/>
        <v>0</v>
      </c>
      <c r="S880" s="654">
        <f t="shared" si="896"/>
        <v>0</v>
      </c>
      <c r="T880" s="656" t="e">
        <f>+VLOOKUP($L880,Data_Validation!$A:$D,1,0)</f>
        <v>#N/A</v>
      </c>
      <c r="U880" s="656" t="e">
        <f>+VLOOKUP($L880,Data_Validation!$A:$D,3,0)</f>
        <v>#N/A</v>
      </c>
      <c r="V880" s="656" t="e">
        <f>+VLOOKUP($L880,Data_Validation!$A:$D,4,0)</f>
        <v>#N/A</v>
      </c>
      <c r="W880" s="656" t="e">
        <f>+VLOOKUP($L880,Data_Validation!$A:$E,5,0)</f>
        <v>#N/A</v>
      </c>
    </row>
    <row r="881" spans="1:23" ht="15.75" customHeight="1">
      <c r="A881" s="716"/>
      <c r="B881" s="654"/>
      <c r="C881" s="717"/>
      <c r="D881" s="716"/>
      <c r="E881" s="716"/>
      <c r="F881" s="716"/>
      <c r="G881" s="716"/>
      <c r="H881" s="716"/>
      <c r="I881" s="716"/>
      <c r="J881" s="716"/>
      <c r="K881" s="716"/>
      <c r="L881" s="653" t="str">
        <f t="shared" si="850"/>
        <v>0</v>
      </c>
      <c r="M881" s="654">
        <f t="shared" si="780"/>
        <v>0</v>
      </c>
      <c r="N881" s="655">
        <f>+IF(OR($Q881=Parametres!$G$2,$Q881=Parametres!$G$3),I881,C881)</f>
        <v>0</v>
      </c>
      <c r="O881" s="655">
        <f>+IF(OR($Q881=Parametres!$G$2,$Q881=Parametres!$G$3),J881,D881)</f>
        <v>0</v>
      </c>
      <c r="P881" s="655">
        <f>+IF(OR($Q881=Parametres!$G$2,$Q881=Parametres!$G$3),K881,E881)</f>
        <v>0</v>
      </c>
      <c r="Q881" s="654">
        <f t="shared" ref="Q881:S881" si="897">+F881</f>
        <v>0</v>
      </c>
      <c r="R881" s="653">
        <f t="shared" si="897"/>
        <v>0</v>
      </c>
      <c r="S881" s="654">
        <f t="shared" si="897"/>
        <v>0</v>
      </c>
      <c r="T881" s="656" t="e">
        <f>+VLOOKUP($L881,Data_Validation!$A:$D,1,0)</f>
        <v>#N/A</v>
      </c>
      <c r="U881" s="656" t="e">
        <f>+VLOOKUP($L881,Data_Validation!$A:$D,3,0)</f>
        <v>#N/A</v>
      </c>
      <c r="V881" s="656" t="e">
        <f>+VLOOKUP($L881,Data_Validation!$A:$D,4,0)</f>
        <v>#N/A</v>
      </c>
      <c r="W881" s="656" t="e">
        <f>+VLOOKUP($L881,Data_Validation!$A:$E,5,0)</f>
        <v>#N/A</v>
      </c>
    </row>
    <row r="882" spans="1:23" ht="15.75" customHeight="1">
      <c r="A882" s="716"/>
      <c r="B882" s="654"/>
      <c r="C882" s="717"/>
      <c r="D882" s="716"/>
      <c r="E882" s="716"/>
      <c r="F882" s="716"/>
      <c r="G882" s="716"/>
      <c r="H882" s="716"/>
      <c r="I882" s="716"/>
      <c r="J882" s="716"/>
      <c r="K882" s="716"/>
      <c r="L882" s="653" t="str">
        <f t="shared" si="850"/>
        <v>0</v>
      </c>
      <c r="M882" s="654">
        <f t="shared" si="780"/>
        <v>0</v>
      </c>
      <c r="N882" s="655">
        <f>+IF(OR($Q882=Parametres!$G$2,$Q882=Parametres!$G$3),I882,C882)</f>
        <v>0</v>
      </c>
      <c r="O882" s="655">
        <f>+IF(OR($Q882=Parametres!$G$2,$Q882=Parametres!$G$3),J882,D882)</f>
        <v>0</v>
      </c>
      <c r="P882" s="655">
        <f>+IF(OR($Q882=Parametres!$G$2,$Q882=Parametres!$G$3),K882,E882)</f>
        <v>0</v>
      </c>
      <c r="Q882" s="654">
        <f t="shared" ref="Q882:S882" si="898">+F882</f>
        <v>0</v>
      </c>
      <c r="R882" s="653">
        <f t="shared" si="898"/>
        <v>0</v>
      </c>
      <c r="S882" s="654">
        <f t="shared" si="898"/>
        <v>0</v>
      </c>
      <c r="T882" s="656" t="e">
        <f>+VLOOKUP($L882,Data_Validation!$A:$D,1,0)</f>
        <v>#N/A</v>
      </c>
      <c r="U882" s="656" t="e">
        <f>+VLOOKUP($L882,Data_Validation!$A:$D,3,0)</f>
        <v>#N/A</v>
      </c>
      <c r="V882" s="656" t="e">
        <f>+VLOOKUP($L882,Data_Validation!$A:$D,4,0)</f>
        <v>#N/A</v>
      </c>
      <c r="W882" s="656" t="e">
        <f>+VLOOKUP($L882,Data_Validation!$A:$E,5,0)</f>
        <v>#N/A</v>
      </c>
    </row>
    <row r="883" spans="1:23" ht="15.75" customHeight="1">
      <c r="A883" s="716"/>
      <c r="B883" s="654"/>
      <c r="C883" s="717"/>
      <c r="D883" s="716"/>
      <c r="E883" s="716"/>
      <c r="F883" s="716"/>
      <c r="G883" s="716"/>
      <c r="H883" s="716"/>
      <c r="I883" s="716"/>
      <c r="J883" s="716"/>
      <c r="K883" s="716"/>
      <c r="L883" s="653" t="str">
        <f t="shared" si="850"/>
        <v>0</v>
      </c>
      <c r="M883" s="654">
        <f t="shared" si="780"/>
        <v>0</v>
      </c>
      <c r="N883" s="655">
        <f>+IF(OR($Q883=Parametres!$G$2,$Q883=Parametres!$G$3),I883,C883)</f>
        <v>0</v>
      </c>
      <c r="O883" s="655">
        <f>+IF(OR($Q883=Parametres!$G$2,$Q883=Parametres!$G$3),J883,D883)</f>
        <v>0</v>
      </c>
      <c r="P883" s="655">
        <f>+IF(OR($Q883=Parametres!$G$2,$Q883=Parametres!$G$3),K883,E883)</f>
        <v>0</v>
      </c>
      <c r="Q883" s="654">
        <f t="shared" ref="Q883:S883" si="899">+F883</f>
        <v>0</v>
      </c>
      <c r="R883" s="653">
        <f t="shared" si="899"/>
        <v>0</v>
      </c>
      <c r="S883" s="654">
        <f t="shared" si="899"/>
        <v>0</v>
      </c>
      <c r="T883" s="656" t="e">
        <f>+VLOOKUP($L883,Data_Validation!$A:$D,1,0)</f>
        <v>#N/A</v>
      </c>
      <c r="U883" s="656" t="e">
        <f>+VLOOKUP($L883,Data_Validation!$A:$D,3,0)</f>
        <v>#N/A</v>
      </c>
      <c r="V883" s="656" t="e">
        <f>+VLOOKUP($L883,Data_Validation!$A:$D,4,0)</f>
        <v>#N/A</v>
      </c>
      <c r="W883" s="656" t="e">
        <f>+VLOOKUP($L883,Data_Validation!$A:$E,5,0)</f>
        <v>#N/A</v>
      </c>
    </row>
    <row r="884" spans="1:23" ht="15.75" customHeight="1">
      <c r="A884" s="716"/>
      <c r="B884" s="654"/>
      <c r="C884" s="717"/>
      <c r="D884" s="716"/>
      <c r="E884" s="716"/>
      <c r="F884" s="716"/>
      <c r="G884" s="716"/>
      <c r="H884" s="716"/>
      <c r="I884" s="716"/>
      <c r="J884" s="716"/>
      <c r="K884" s="716"/>
      <c r="L884" s="653" t="str">
        <f t="shared" si="850"/>
        <v>0</v>
      </c>
      <c r="M884" s="654">
        <f t="shared" si="780"/>
        <v>0</v>
      </c>
      <c r="N884" s="655">
        <f>+IF(OR($Q884=Parametres!$G$2,$Q884=Parametres!$G$3),I884,C884)</f>
        <v>0</v>
      </c>
      <c r="O884" s="655">
        <f>+IF(OR($Q884=Parametres!$G$2,$Q884=Parametres!$G$3),J884,D884)</f>
        <v>0</v>
      </c>
      <c r="P884" s="655">
        <f>+IF(OR($Q884=Parametres!$G$2,$Q884=Parametres!$G$3),K884,E884)</f>
        <v>0</v>
      </c>
      <c r="Q884" s="654">
        <f t="shared" ref="Q884:S884" si="900">+F884</f>
        <v>0</v>
      </c>
      <c r="R884" s="653">
        <f t="shared" si="900"/>
        <v>0</v>
      </c>
      <c r="S884" s="654">
        <f t="shared" si="900"/>
        <v>0</v>
      </c>
      <c r="T884" s="656" t="e">
        <f>+VLOOKUP($L884,Data_Validation!$A:$D,1,0)</f>
        <v>#N/A</v>
      </c>
      <c r="U884" s="656" t="e">
        <f>+VLOOKUP($L884,Data_Validation!$A:$D,3,0)</f>
        <v>#N/A</v>
      </c>
      <c r="V884" s="656" t="e">
        <f>+VLOOKUP($L884,Data_Validation!$A:$D,4,0)</f>
        <v>#N/A</v>
      </c>
      <c r="W884" s="656" t="e">
        <f>+VLOOKUP($L884,Data_Validation!$A:$E,5,0)</f>
        <v>#N/A</v>
      </c>
    </row>
    <row r="885" spans="1:23" ht="15.75" customHeight="1">
      <c r="A885" s="716"/>
      <c r="B885" s="654"/>
      <c r="C885" s="717"/>
      <c r="D885" s="716"/>
      <c r="E885" s="716"/>
      <c r="F885" s="716"/>
      <c r="G885" s="716"/>
      <c r="H885" s="716"/>
      <c r="I885" s="716"/>
      <c r="J885" s="716"/>
      <c r="K885" s="716"/>
      <c r="L885" s="653" t="str">
        <f t="shared" si="850"/>
        <v>0</v>
      </c>
      <c r="M885" s="654">
        <f t="shared" si="780"/>
        <v>0</v>
      </c>
      <c r="N885" s="655">
        <f>+IF(OR($Q885=Parametres!$G$2,$Q885=Parametres!$G$3),I885,C885)</f>
        <v>0</v>
      </c>
      <c r="O885" s="655">
        <f>+IF(OR($Q885=Parametres!$G$2,$Q885=Parametres!$G$3),J885,D885)</f>
        <v>0</v>
      </c>
      <c r="P885" s="655">
        <f>+IF(OR($Q885=Parametres!$G$2,$Q885=Parametres!$G$3),K885,E885)</f>
        <v>0</v>
      </c>
      <c r="Q885" s="654">
        <f t="shared" ref="Q885:S885" si="901">+F885</f>
        <v>0</v>
      </c>
      <c r="R885" s="653">
        <f t="shared" si="901"/>
        <v>0</v>
      </c>
      <c r="S885" s="654">
        <f t="shared" si="901"/>
        <v>0</v>
      </c>
      <c r="T885" s="656" t="e">
        <f>+VLOOKUP($L885,Data_Validation!$A:$D,1,0)</f>
        <v>#N/A</v>
      </c>
      <c r="U885" s="656" t="e">
        <f>+VLOOKUP($L885,Data_Validation!$A:$D,3,0)</f>
        <v>#N/A</v>
      </c>
      <c r="V885" s="656" t="e">
        <f>+VLOOKUP($L885,Data_Validation!$A:$D,4,0)</f>
        <v>#N/A</v>
      </c>
      <c r="W885" s="656" t="e">
        <f>+VLOOKUP($L885,Data_Validation!$A:$E,5,0)</f>
        <v>#N/A</v>
      </c>
    </row>
    <row r="886" spans="1:23" ht="15.75" customHeight="1">
      <c r="A886" s="716"/>
      <c r="B886" s="654"/>
      <c r="C886" s="717"/>
      <c r="D886" s="716"/>
      <c r="E886" s="716"/>
      <c r="F886" s="716"/>
      <c r="G886" s="716"/>
      <c r="H886" s="716"/>
      <c r="I886" s="716"/>
      <c r="J886" s="716"/>
      <c r="K886" s="716"/>
      <c r="L886" s="653" t="str">
        <f t="shared" si="850"/>
        <v>0</v>
      </c>
      <c r="M886" s="654">
        <f t="shared" si="780"/>
        <v>0</v>
      </c>
      <c r="N886" s="655">
        <f>+IF(OR($Q886=Parametres!$G$2,$Q886=Parametres!$G$3),I886,C886)</f>
        <v>0</v>
      </c>
      <c r="O886" s="655">
        <f>+IF(OR($Q886=Parametres!$G$2,$Q886=Parametres!$G$3),J886,D886)</f>
        <v>0</v>
      </c>
      <c r="P886" s="655">
        <f>+IF(OR($Q886=Parametres!$G$2,$Q886=Parametres!$G$3),K886,E886)</f>
        <v>0</v>
      </c>
      <c r="Q886" s="654">
        <f t="shared" ref="Q886:S886" si="902">+F886</f>
        <v>0</v>
      </c>
      <c r="R886" s="653">
        <f t="shared" si="902"/>
        <v>0</v>
      </c>
      <c r="S886" s="654">
        <f t="shared" si="902"/>
        <v>0</v>
      </c>
      <c r="T886" s="656" t="e">
        <f>+VLOOKUP($L886,Data_Validation!$A:$D,1,0)</f>
        <v>#N/A</v>
      </c>
      <c r="U886" s="656" t="e">
        <f>+VLOOKUP($L886,Data_Validation!$A:$D,3,0)</f>
        <v>#N/A</v>
      </c>
      <c r="V886" s="656" t="e">
        <f>+VLOOKUP($L886,Data_Validation!$A:$D,4,0)</f>
        <v>#N/A</v>
      </c>
      <c r="W886" s="656" t="e">
        <f>+VLOOKUP($L886,Data_Validation!$A:$E,5,0)</f>
        <v>#N/A</v>
      </c>
    </row>
    <row r="887" spans="1:23" ht="15.75" customHeight="1">
      <c r="A887" s="716"/>
      <c r="B887" s="654"/>
      <c r="C887" s="717"/>
      <c r="D887" s="716"/>
      <c r="E887" s="716"/>
      <c r="F887" s="716"/>
      <c r="G887" s="716"/>
      <c r="H887" s="716"/>
      <c r="I887" s="716"/>
      <c r="J887" s="716"/>
      <c r="K887" s="716"/>
      <c r="L887" s="653" t="str">
        <f t="shared" si="850"/>
        <v>0</v>
      </c>
      <c r="M887" s="654">
        <f t="shared" si="780"/>
        <v>0</v>
      </c>
      <c r="N887" s="655">
        <f>+IF(OR($Q887=Parametres!$G$2,$Q887=Parametres!$G$3),I887,C887)</f>
        <v>0</v>
      </c>
      <c r="O887" s="655">
        <f>+IF(OR($Q887=Parametres!$G$2,$Q887=Parametres!$G$3),J887,D887)</f>
        <v>0</v>
      </c>
      <c r="P887" s="655">
        <f>+IF(OR($Q887=Parametres!$G$2,$Q887=Parametres!$G$3),K887,E887)</f>
        <v>0</v>
      </c>
      <c r="Q887" s="654">
        <f t="shared" ref="Q887:S887" si="903">+F887</f>
        <v>0</v>
      </c>
      <c r="R887" s="653">
        <f t="shared" si="903"/>
        <v>0</v>
      </c>
      <c r="S887" s="654">
        <f t="shared" si="903"/>
        <v>0</v>
      </c>
      <c r="T887" s="656" t="e">
        <f>+VLOOKUP($L887,Data_Validation!$A:$D,1,0)</f>
        <v>#N/A</v>
      </c>
      <c r="U887" s="656" t="e">
        <f>+VLOOKUP($L887,Data_Validation!$A:$D,3,0)</f>
        <v>#N/A</v>
      </c>
      <c r="V887" s="656" t="e">
        <f>+VLOOKUP($L887,Data_Validation!$A:$D,4,0)</f>
        <v>#N/A</v>
      </c>
      <c r="W887" s="656" t="e">
        <f>+VLOOKUP($L887,Data_Validation!$A:$E,5,0)</f>
        <v>#N/A</v>
      </c>
    </row>
    <row r="888" spans="1:23" ht="15.75" customHeight="1">
      <c r="A888" s="716"/>
      <c r="B888" s="654"/>
      <c r="C888" s="717"/>
      <c r="D888" s="716"/>
      <c r="E888" s="716"/>
      <c r="F888" s="716"/>
      <c r="G888" s="716"/>
      <c r="H888" s="716"/>
      <c r="I888" s="716"/>
      <c r="J888" s="716"/>
      <c r="K888" s="716"/>
      <c r="L888" s="653" t="str">
        <f t="shared" si="850"/>
        <v>0</v>
      </c>
      <c r="M888" s="654">
        <f t="shared" si="780"/>
        <v>0</v>
      </c>
      <c r="N888" s="655">
        <f>+IF(OR($Q888=Parametres!$G$2,$Q888=Parametres!$G$3),I888,C888)</f>
        <v>0</v>
      </c>
      <c r="O888" s="655">
        <f>+IF(OR($Q888=Parametres!$G$2,$Q888=Parametres!$G$3),J888,D888)</f>
        <v>0</v>
      </c>
      <c r="P888" s="655">
        <f>+IF(OR($Q888=Parametres!$G$2,$Q888=Parametres!$G$3),K888,E888)</f>
        <v>0</v>
      </c>
      <c r="Q888" s="654">
        <f t="shared" ref="Q888:S888" si="904">+F888</f>
        <v>0</v>
      </c>
      <c r="R888" s="653">
        <f t="shared" si="904"/>
        <v>0</v>
      </c>
      <c r="S888" s="654">
        <f t="shared" si="904"/>
        <v>0</v>
      </c>
      <c r="T888" s="656" t="e">
        <f>+VLOOKUP($L888,Data_Validation!$A:$D,1,0)</f>
        <v>#N/A</v>
      </c>
      <c r="U888" s="656" t="e">
        <f>+VLOOKUP($L888,Data_Validation!$A:$D,3,0)</f>
        <v>#N/A</v>
      </c>
      <c r="V888" s="656" t="e">
        <f>+VLOOKUP($L888,Data_Validation!$A:$D,4,0)</f>
        <v>#N/A</v>
      </c>
      <c r="W888" s="656" t="e">
        <f>+VLOOKUP($L888,Data_Validation!$A:$E,5,0)</f>
        <v>#N/A</v>
      </c>
    </row>
    <row r="889" spans="1:23" ht="15.75" customHeight="1">
      <c r="A889" s="716"/>
      <c r="B889" s="654"/>
      <c r="C889" s="717"/>
      <c r="D889" s="716"/>
      <c r="E889" s="716"/>
      <c r="F889" s="716"/>
      <c r="G889" s="716"/>
      <c r="H889" s="716"/>
      <c r="I889" s="716"/>
      <c r="J889" s="716"/>
      <c r="K889" s="716"/>
      <c r="L889" s="653" t="str">
        <f t="shared" si="850"/>
        <v>0</v>
      </c>
      <c r="M889" s="654">
        <f t="shared" si="780"/>
        <v>0</v>
      </c>
      <c r="N889" s="655">
        <f>+IF(OR($Q889=Parametres!$G$2,$Q889=Parametres!$G$3),I889,C889)</f>
        <v>0</v>
      </c>
      <c r="O889" s="655">
        <f>+IF(OR($Q889=Parametres!$G$2,$Q889=Parametres!$G$3),J889,D889)</f>
        <v>0</v>
      </c>
      <c r="P889" s="655">
        <f>+IF(OR($Q889=Parametres!$G$2,$Q889=Parametres!$G$3),K889,E889)</f>
        <v>0</v>
      </c>
      <c r="Q889" s="654">
        <f t="shared" ref="Q889:S889" si="905">+F889</f>
        <v>0</v>
      </c>
      <c r="R889" s="653">
        <f t="shared" si="905"/>
        <v>0</v>
      </c>
      <c r="S889" s="654">
        <f t="shared" si="905"/>
        <v>0</v>
      </c>
      <c r="T889" s="656" t="e">
        <f>+VLOOKUP($L889,Data_Validation!$A:$D,1,0)</f>
        <v>#N/A</v>
      </c>
      <c r="U889" s="656" t="e">
        <f>+VLOOKUP($L889,Data_Validation!$A:$D,3,0)</f>
        <v>#N/A</v>
      </c>
      <c r="V889" s="656" t="e">
        <f>+VLOOKUP($L889,Data_Validation!$A:$D,4,0)</f>
        <v>#N/A</v>
      </c>
      <c r="W889" s="656" t="e">
        <f>+VLOOKUP($L889,Data_Validation!$A:$E,5,0)</f>
        <v>#N/A</v>
      </c>
    </row>
    <row r="890" spans="1:23" ht="15.75" customHeight="1">
      <c r="A890" s="716"/>
      <c r="B890" s="654"/>
      <c r="C890" s="717"/>
      <c r="D890" s="716"/>
      <c r="E890" s="716"/>
      <c r="F890" s="716"/>
      <c r="G890" s="716"/>
      <c r="H890" s="716"/>
      <c r="I890" s="716"/>
      <c r="J890" s="716"/>
      <c r="K890" s="716"/>
      <c r="L890" s="653" t="str">
        <f t="shared" si="850"/>
        <v>0</v>
      </c>
      <c r="M890" s="654">
        <f t="shared" si="780"/>
        <v>0</v>
      </c>
      <c r="N890" s="655">
        <f>+IF(OR($Q890=Parametres!$G$2,$Q890=Parametres!$G$3),I890,C890)</f>
        <v>0</v>
      </c>
      <c r="O890" s="655">
        <f>+IF(OR($Q890=Parametres!$G$2,$Q890=Parametres!$G$3),J890,D890)</f>
        <v>0</v>
      </c>
      <c r="P890" s="655">
        <f>+IF(OR($Q890=Parametres!$G$2,$Q890=Parametres!$G$3),K890,E890)</f>
        <v>0</v>
      </c>
      <c r="Q890" s="654">
        <f t="shared" ref="Q890:S890" si="906">+F890</f>
        <v>0</v>
      </c>
      <c r="R890" s="653">
        <f t="shared" si="906"/>
        <v>0</v>
      </c>
      <c r="S890" s="654">
        <f t="shared" si="906"/>
        <v>0</v>
      </c>
      <c r="T890" s="656" t="e">
        <f>+VLOOKUP($L890,Data_Validation!$A:$D,1,0)</f>
        <v>#N/A</v>
      </c>
      <c r="U890" s="656" t="e">
        <f>+VLOOKUP($L890,Data_Validation!$A:$D,3,0)</f>
        <v>#N/A</v>
      </c>
      <c r="V890" s="656" t="e">
        <f>+VLOOKUP($L890,Data_Validation!$A:$D,4,0)</f>
        <v>#N/A</v>
      </c>
      <c r="W890" s="656" t="e">
        <f>+VLOOKUP($L890,Data_Validation!$A:$E,5,0)</f>
        <v>#N/A</v>
      </c>
    </row>
    <row r="891" spans="1:23" ht="15.75" customHeight="1">
      <c r="A891" s="716"/>
      <c r="B891" s="654"/>
      <c r="C891" s="717"/>
      <c r="D891" s="716"/>
      <c r="E891" s="716"/>
      <c r="F891" s="716"/>
      <c r="G891" s="716"/>
      <c r="H891" s="716"/>
      <c r="I891" s="716"/>
      <c r="J891" s="716"/>
      <c r="K891" s="716"/>
      <c r="L891" s="653" t="str">
        <f t="shared" si="850"/>
        <v>0</v>
      </c>
      <c r="M891" s="654">
        <f t="shared" si="780"/>
        <v>0</v>
      </c>
      <c r="N891" s="655">
        <f>+IF(OR($Q891=Parametres!$G$2,$Q891=Parametres!$G$3),I891,C891)</f>
        <v>0</v>
      </c>
      <c r="O891" s="655">
        <f>+IF(OR($Q891=Parametres!$G$2,$Q891=Parametres!$G$3),J891,D891)</f>
        <v>0</v>
      </c>
      <c r="P891" s="655">
        <f>+IF(OR($Q891=Parametres!$G$2,$Q891=Parametres!$G$3),K891,E891)</f>
        <v>0</v>
      </c>
      <c r="Q891" s="654">
        <f t="shared" ref="Q891:S891" si="907">+F891</f>
        <v>0</v>
      </c>
      <c r="R891" s="653">
        <f t="shared" si="907"/>
        <v>0</v>
      </c>
      <c r="S891" s="654">
        <f t="shared" si="907"/>
        <v>0</v>
      </c>
      <c r="T891" s="656" t="e">
        <f>+VLOOKUP($L891,Data_Validation!$A:$D,1,0)</f>
        <v>#N/A</v>
      </c>
      <c r="U891" s="656" t="e">
        <f>+VLOOKUP($L891,Data_Validation!$A:$D,3,0)</f>
        <v>#N/A</v>
      </c>
      <c r="V891" s="656" t="e">
        <f>+VLOOKUP($L891,Data_Validation!$A:$D,4,0)</f>
        <v>#N/A</v>
      </c>
      <c r="W891" s="656" t="e">
        <f>+VLOOKUP($L891,Data_Validation!$A:$E,5,0)</f>
        <v>#N/A</v>
      </c>
    </row>
    <row r="892" spans="1:23" ht="15.75" customHeight="1">
      <c r="A892" s="716"/>
      <c r="B892" s="654"/>
      <c r="C892" s="717"/>
      <c r="D892" s="716"/>
      <c r="E892" s="716"/>
      <c r="F892" s="716"/>
      <c r="G892" s="716"/>
      <c r="H892" s="716"/>
      <c r="I892" s="716"/>
      <c r="J892" s="716"/>
      <c r="K892" s="716"/>
      <c r="L892" s="653" t="str">
        <f t="shared" si="850"/>
        <v>0</v>
      </c>
      <c r="M892" s="654">
        <f t="shared" si="780"/>
        <v>0</v>
      </c>
      <c r="N892" s="655">
        <f>+IF(OR($Q892=Parametres!$G$2,$Q892=Parametres!$G$3),I892,C892)</f>
        <v>0</v>
      </c>
      <c r="O892" s="655">
        <f>+IF(OR($Q892=Parametres!$G$2,$Q892=Parametres!$G$3),J892,D892)</f>
        <v>0</v>
      </c>
      <c r="P892" s="655">
        <f>+IF(OR($Q892=Parametres!$G$2,$Q892=Parametres!$G$3),K892,E892)</f>
        <v>0</v>
      </c>
      <c r="Q892" s="654">
        <f t="shared" ref="Q892:S892" si="908">+F892</f>
        <v>0</v>
      </c>
      <c r="R892" s="653">
        <f t="shared" si="908"/>
        <v>0</v>
      </c>
      <c r="S892" s="654">
        <f t="shared" si="908"/>
        <v>0</v>
      </c>
      <c r="T892" s="656" t="e">
        <f>+VLOOKUP($L892,Data_Validation!$A:$D,1,0)</f>
        <v>#N/A</v>
      </c>
      <c r="U892" s="656" t="e">
        <f>+VLOOKUP($L892,Data_Validation!$A:$D,3,0)</f>
        <v>#N/A</v>
      </c>
      <c r="V892" s="656" t="e">
        <f>+VLOOKUP($L892,Data_Validation!$A:$D,4,0)</f>
        <v>#N/A</v>
      </c>
      <c r="W892" s="656" t="e">
        <f>+VLOOKUP($L892,Data_Validation!$A:$E,5,0)</f>
        <v>#N/A</v>
      </c>
    </row>
    <row r="893" spans="1:23" ht="15.75" customHeight="1">
      <c r="A893" s="716"/>
      <c r="B893" s="654"/>
      <c r="C893" s="717"/>
      <c r="D893" s="716"/>
      <c r="E893" s="716"/>
      <c r="F893" s="716"/>
      <c r="G893" s="716"/>
      <c r="H893" s="716"/>
      <c r="I893" s="716"/>
      <c r="J893" s="716"/>
      <c r="K893" s="716"/>
      <c r="L893" s="653" t="str">
        <f t="shared" si="850"/>
        <v>0</v>
      </c>
      <c r="M893" s="654">
        <f t="shared" si="780"/>
        <v>0</v>
      </c>
      <c r="N893" s="655">
        <f>+IF(OR($Q893=Parametres!$G$2,$Q893=Parametres!$G$3),I893,C893)</f>
        <v>0</v>
      </c>
      <c r="O893" s="655">
        <f>+IF(OR($Q893=Parametres!$G$2,$Q893=Parametres!$G$3),J893,D893)</f>
        <v>0</v>
      </c>
      <c r="P893" s="655">
        <f>+IF(OR($Q893=Parametres!$G$2,$Q893=Parametres!$G$3),K893,E893)</f>
        <v>0</v>
      </c>
      <c r="Q893" s="654">
        <f t="shared" ref="Q893:S893" si="909">+F893</f>
        <v>0</v>
      </c>
      <c r="R893" s="653">
        <f t="shared" si="909"/>
        <v>0</v>
      </c>
      <c r="S893" s="654">
        <f t="shared" si="909"/>
        <v>0</v>
      </c>
      <c r="T893" s="656" t="e">
        <f>+VLOOKUP($L893,Data_Validation!$A:$D,1,0)</f>
        <v>#N/A</v>
      </c>
      <c r="U893" s="656" t="e">
        <f>+VLOOKUP($L893,Data_Validation!$A:$D,3,0)</f>
        <v>#N/A</v>
      </c>
      <c r="V893" s="656" t="e">
        <f>+VLOOKUP($L893,Data_Validation!$A:$D,4,0)</f>
        <v>#N/A</v>
      </c>
      <c r="W893" s="656" t="e">
        <f>+VLOOKUP($L893,Data_Validation!$A:$E,5,0)</f>
        <v>#N/A</v>
      </c>
    </row>
    <row r="894" spans="1:23" ht="15.75" customHeight="1">
      <c r="A894" s="716"/>
      <c r="B894" s="654"/>
      <c r="C894" s="717"/>
      <c r="D894" s="716"/>
      <c r="E894" s="716"/>
      <c r="F894" s="716"/>
      <c r="G894" s="716"/>
      <c r="H894" s="716"/>
      <c r="I894" s="716"/>
      <c r="J894" s="716"/>
      <c r="K894" s="716"/>
      <c r="L894" s="653" t="str">
        <f t="shared" si="850"/>
        <v>0</v>
      </c>
      <c r="M894" s="654">
        <f t="shared" si="780"/>
        <v>0</v>
      </c>
      <c r="N894" s="655">
        <f>+IF(OR($Q894=Parametres!$G$2,$Q894=Parametres!$G$3),I894,C894)</f>
        <v>0</v>
      </c>
      <c r="O894" s="655">
        <f>+IF(OR($Q894=Parametres!$G$2,$Q894=Parametres!$G$3),J894,D894)</f>
        <v>0</v>
      </c>
      <c r="P894" s="655">
        <f>+IF(OR($Q894=Parametres!$G$2,$Q894=Parametres!$G$3),K894,E894)</f>
        <v>0</v>
      </c>
      <c r="Q894" s="654">
        <f t="shared" ref="Q894:S894" si="910">+F894</f>
        <v>0</v>
      </c>
      <c r="R894" s="653">
        <f t="shared" si="910"/>
        <v>0</v>
      </c>
      <c r="S894" s="654">
        <f t="shared" si="910"/>
        <v>0</v>
      </c>
      <c r="T894" s="656" t="e">
        <f>+VLOOKUP($L894,Data_Validation!$A:$D,1,0)</f>
        <v>#N/A</v>
      </c>
      <c r="U894" s="656" t="e">
        <f>+VLOOKUP($L894,Data_Validation!$A:$D,3,0)</f>
        <v>#N/A</v>
      </c>
      <c r="V894" s="656" t="e">
        <f>+VLOOKUP($L894,Data_Validation!$A:$D,4,0)</f>
        <v>#N/A</v>
      </c>
      <c r="W894" s="656" t="e">
        <f>+VLOOKUP($L894,Data_Validation!$A:$E,5,0)</f>
        <v>#N/A</v>
      </c>
    </row>
    <row r="895" spans="1:23" ht="15.75" customHeight="1">
      <c r="A895" s="716"/>
      <c r="B895" s="654"/>
      <c r="C895" s="717"/>
      <c r="D895" s="716"/>
      <c r="E895" s="716"/>
      <c r="F895" s="716"/>
      <c r="G895" s="716"/>
      <c r="H895" s="716"/>
      <c r="I895" s="716"/>
      <c r="J895" s="716"/>
      <c r="K895" s="716"/>
      <c r="L895" s="653" t="str">
        <f t="shared" si="850"/>
        <v>0</v>
      </c>
      <c r="M895" s="654">
        <f t="shared" si="780"/>
        <v>0</v>
      </c>
      <c r="N895" s="655">
        <f>+IF(OR($Q895=Parametres!$G$2,$Q895=Parametres!$G$3),I895,C895)</f>
        <v>0</v>
      </c>
      <c r="O895" s="655">
        <f>+IF(OR($Q895=Parametres!$G$2,$Q895=Parametres!$G$3),J895,D895)</f>
        <v>0</v>
      </c>
      <c r="P895" s="655">
        <f>+IF(OR($Q895=Parametres!$G$2,$Q895=Parametres!$G$3),K895,E895)</f>
        <v>0</v>
      </c>
      <c r="Q895" s="654">
        <f t="shared" ref="Q895:S895" si="911">+F895</f>
        <v>0</v>
      </c>
      <c r="R895" s="653">
        <f t="shared" si="911"/>
        <v>0</v>
      </c>
      <c r="S895" s="654">
        <f t="shared" si="911"/>
        <v>0</v>
      </c>
      <c r="T895" s="656" t="e">
        <f>+VLOOKUP($L895,Data_Validation!$A:$D,1,0)</f>
        <v>#N/A</v>
      </c>
      <c r="U895" s="656" t="e">
        <f>+VLOOKUP($L895,Data_Validation!$A:$D,3,0)</f>
        <v>#N/A</v>
      </c>
      <c r="V895" s="656" t="e">
        <f>+VLOOKUP($L895,Data_Validation!$A:$D,4,0)</f>
        <v>#N/A</v>
      </c>
      <c r="W895" s="656" t="e">
        <f>+VLOOKUP($L895,Data_Validation!$A:$E,5,0)</f>
        <v>#N/A</v>
      </c>
    </row>
    <row r="896" spans="1:23" ht="15.75" customHeight="1">
      <c r="A896" s="716"/>
      <c r="B896" s="654"/>
      <c r="C896" s="717"/>
      <c r="D896" s="716"/>
      <c r="E896" s="716"/>
      <c r="F896" s="716"/>
      <c r="G896" s="716"/>
      <c r="H896" s="716"/>
      <c r="I896" s="716"/>
      <c r="J896" s="716"/>
      <c r="K896" s="716"/>
      <c r="L896" s="653" t="str">
        <f t="shared" si="850"/>
        <v>0</v>
      </c>
      <c r="M896" s="654">
        <f t="shared" si="780"/>
        <v>0</v>
      </c>
      <c r="N896" s="655">
        <f>+IF(OR($Q896=Parametres!$G$2,$Q896=Parametres!$G$3),I896,C896)</f>
        <v>0</v>
      </c>
      <c r="O896" s="655">
        <f>+IF(OR($Q896=Parametres!$G$2,$Q896=Parametres!$G$3),J896,D896)</f>
        <v>0</v>
      </c>
      <c r="P896" s="655">
        <f>+IF(OR($Q896=Parametres!$G$2,$Q896=Parametres!$G$3),K896,E896)</f>
        <v>0</v>
      </c>
      <c r="Q896" s="654">
        <f t="shared" ref="Q896:S896" si="912">+F896</f>
        <v>0</v>
      </c>
      <c r="R896" s="653">
        <f t="shared" si="912"/>
        <v>0</v>
      </c>
      <c r="S896" s="654">
        <f t="shared" si="912"/>
        <v>0</v>
      </c>
      <c r="T896" s="656" t="e">
        <f>+VLOOKUP($L896,Data_Validation!$A:$D,1,0)</f>
        <v>#N/A</v>
      </c>
      <c r="U896" s="656" t="e">
        <f>+VLOOKUP($L896,Data_Validation!$A:$D,3,0)</f>
        <v>#N/A</v>
      </c>
      <c r="V896" s="656" t="e">
        <f>+VLOOKUP($L896,Data_Validation!$A:$D,4,0)</f>
        <v>#N/A</v>
      </c>
      <c r="W896" s="656" t="e">
        <f>+VLOOKUP($L896,Data_Validation!$A:$E,5,0)</f>
        <v>#N/A</v>
      </c>
    </row>
    <row r="897" spans="1:23" ht="15.75" customHeight="1">
      <c r="A897" s="716"/>
      <c r="B897" s="654"/>
      <c r="C897" s="717"/>
      <c r="D897" s="716"/>
      <c r="E897" s="716"/>
      <c r="F897" s="716"/>
      <c r="G897" s="716"/>
      <c r="H897" s="716"/>
      <c r="I897" s="716"/>
      <c r="J897" s="716"/>
      <c r="K897" s="716"/>
      <c r="L897" s="653" t="str">
        <f t="shared" si="850"/>
        <v>0</v>
      </c>
      <c r="M897" s="654">
        <f t="shared" si="780"/>
        <v>0</v>
      </c>
      <c r="N897" s="655">
        <f>+IF(OR($Q897=Parametres!$G$2,$Q897=Parametres!$G$3),I897,C897)</f>
        <v>0</v>
      </c>
      <c r="O897" s="655">
        <f>+IF(OR($Q897=Parametres!$G$2,$Q897=Parametres!$G$3),J897,D897)</f>
        <v>0</v>
      </c>
      <c r="P897" s="655">
        <f>+IF(OR($Q897=Parametres!$G$2,$Q897=Parametres!$G$3),K897,E897)</f>
        <v>0</v>
      </c>
      <c r="Q897" s="654">
        <f t="shared" ref="Q897:S897" si="913">+F897</f>
        <v>0</v>
      </c>
      <c r="R897" s="653">
        <f t="shared" si="913"/>
        <v>0</v>
      </c>
      <c r="S897" s="654">
        <f t="shared" si="913"/>
        <v>0</v>
      </c>
      <c r="T897" s="656" t="e">
        <f>+VLOOKUP($L897,Data_Validation!$A:$D,1,0)</f>
        <v>#N/A</v>
      </c>
      <c r="U897" s="656" t="e">
        <f>+VLOOKUP($L897,Data_Validation!$A:$D,3,0)</f>
        <v>#N/A</v>
      </c>
      <c r="V897" s="656" t="e">
        <f>+VLOOKUP($L897,Data_Validation!$A:$D,4,0)</f>
        <v>#N/A</v>
      </c>
      <c r="W897" s="656" t="e">
        <f>+VLOOKUP($L897,Data_Validation!$A:$E,5,0)</f>
        <v>#N/A</v>
      </c>
    </row>
    <row r="898" spans="1:23" ht="15.75" customHeight="1">
      <c r="A898" s="716"/>
      <c r="B898" s="654"/>
      <c r="C898" s="717"/>
      <c r="D898" s="716"/>
      <c r="E898" s="716"/>
      <c r="F898" s="716"/>
      <c r="G898" s="716"/>
      <c r="H898" s="716"/>
      <c r="I898" s="716"/>
      <c r="J898" s="716"/>
      <c r="K898" s="716"/>
      <c r="L898" s="653" t="str">
        <f t="shared" si="850"/>
        <v>0</v>
      </c>
      <c r="M898" s="654">
        <f t="shared" si="780"/>
        <v>0</v>
      </c>
      <c r="N898" s="655">
        <f>+IF(OR($Q898=Parametres!$G$2,$Q898=Parametres!$G$3),I898,C898)</f>
        <v>0</v>
      </c>
      <c r="O898" s="655">
        <f>+IF(OR($Q898=Parametres!$G$2,$Q898=Parametres!$G$3),J898,D898)</f>
        <v>0</v>
      </c>
      <c r="P898" s="655">
        <f>+IF(OR($Q898=Parametres!$G$2,$Q898=Parametres!$G$3),K898,E898)</f>
        <v>0</v>
      </c>
      <c r="Q898" s="654">
        <f t="shared" ref="Q898:S898" si="914">+F898</f>
        <v>0</v>
      </c>
      <c r="R898" s="653">
        <f t="shared" si="914"/>
        <v>0</v>
      </c>
      <c r="S898" s="654">
        <f t="shared" si="914"/>
        <v>0</v>
      </c>
      <c r="T898" s="656" t="e">
        <f>+VLOOKUP($L898,Data_Validation!$A:$D,1,0)</f>
        <v>#N/A</v>
      </c>
      <c r="U898" s="656" t="e">
        <f>+VLOOKUP($L898,Data_Validation!$A:$D,3,0)</f>
        <v>#N/A</v>
      </c>
      <c r="V898" s="656" t="e">
        <f>+VLOOKUP($L898,Data_Validation!$A:$D,4,0)</f>
        <v>#N/A</v>
      </c>
      <c r="W898" s="656" t="e">
        <f>+VLOOKUP($L898,Data_Validation!$A:$E,5,0)</f>
        <v>#N/A</v>
      </c>
    </row>
    <row r="899" spans="1:23" ht="15.75" customHeight="1">
      <c r="A899" s="716"/>
      <c r="B899" s="654"/>
      <c r="C899" s="717"/>
      <c r="D899" s="716"/>
      <c r="E899" s="716"/>
      <c r="F899" s="716"/>
      <c r="G899" s="716"/>
      <c r="H899" s="716"/>
      <c r="I899" s="716"/>
      <c r="J899" s="716"/>
      <c r="K899" s="716"/>
      <c r="L899" s="653" t="str">
        <f t="shared" ref="L899:L962" si="915">TEXT(B899,0)</f>
        <v>0</v>
      </c>
      <c r="M899" s="654">
        <f t="shared" si="780"/>
        <v>0</v>
      </c>
      <c r="N899" s="655">
        <f>+IF(OR($Q899=Parametres!$G$2,$Q899=Parametres!$G$3),I899,C899)</f>
        <v>0</v>
      </c>
      <c r="O899" s="655">
        <f>+IF(OR($Q899=Parametres!$G$2,$Q899=Parametres!$G$3),J899,D899)</f>
        <v>0</v>
      </c>
      <c r="P899" s="655">
        <f>+IF(OR($Q899=Parametres!$G$2,$Q899=Parametres!$G$3),K899,E899)</f>
        <v>0</v>
      </c>
      <c r="Q899" s="654">
        <f t="shared" ref="Q899:S899" si="916">+F899</f>
        <v>0</v>
      </c>
      <c r="R899" s="653">
        <f t="shared" si="916"/>
        <v>0</v>
      </c>
      <c r="S899" s="654">
        <f t="shared" si="916"/>
        <v>0</v>
      </c>
      <c r="T899" s="656" t="e">
        <f>+VLOOKUP($L899,Data_Validation!$A:$D,1,0)</f>
        <v>#N/A</v>
      </c>
      <c r="U899" s="656" t="e">
        <f>+VLOOKUP($L899,Data_Validation!$A:$D,3,0)</f>
        <v>#N/A</v>
      </c>
      <c r="V899" s="656" t="e">
        <f>+VLOOKUP($L899,Data_Validation!$A:$D,4,0)</f>
        <v>#N/A</v>
      </c>
      <c r="W899" s="656" t="e">
        <f>+VLOOKUP($L899,Data_Validation!$A:$E,5,0)</f>
        <v>#N/A</v>
      </c>
    </row>
    <row r="900" spans="1:23" ht="15.75" customHeight="1">
      <c r="A900" s="716"/>
      <c r="B900" s="654"/>
      <c r="C900" s="717"/>
      <c r="D900" s="716"/>
      <c r="E900" s="716"/>
      <c r="F900" s="716"/>
      <c r="G900" s="716"/>
      <c r="H900" s="716"/>
      <c r="I900" s="716"/>
      <c r="J900" s="716"/>
      <c r="K900" s="716"/>
      <c r="L900" s="653" t="str">
        <f t="shared" si="915"/>
        <v>0</v>
      </c>
      <c r="M900" s="654">
        <f t="shared" si="780"/>
        <v>0</v>
      </c>
      <c r="N900" s="655">
        <f>+IF(OR($Q900=Parametres!$G$2,$Q900=Parametres!$G$3),I900,C900)</f>
        <v>0</v>
      </c>
      <c r="O900" s="655">
        <f>+IF(OR($Q900=Parametres!$G$2,$Q900=Parametres!$G$3),J900,D900)</f>
        <v>0</v>
      </c>
      <c r="P900" s="655">
        <f>+IF(OR($Q900=Parametres!$G$2,$Q900=Parametres!$G$3),K900,E900)</f>
        <v>0</v>
      </c>
      <c r="Q900" s="654">
        <f t="shared" ref="Q900:S900" si="917">+F900</f>
        <v>0</v>
      </c>
      <c r="R900" s="653">
        <f t="shared" si="917"/>
        <v>0</v>
      </c>
      <c r="S900" s="654">
        <f t="shared" si="917"/>
        <v>0</v>
      </c>
      <c r="T900" s="656" t="e">
        <f>+VLOOKUP($L900,Data_Validation!$A:$D,1,0)</f>
        <v>#N/A</v>
      </c>
      <c r="U900" s="656" t="e">
        <f>+VLOOKUP($L900,Data_Validation!$A:$D,3,0)</f>
        <v>#N/A</v>
      </c>
      <c r="V900" s="656" t="e">
        <f>+VLOOKUP($L900,Data_Validation!$A:$D,4,0)</f>
        <v>#N/A</v>
      </c>
      <c r="W900" s="656" t="e">
        <f>+VLOOKUP($L900,Data_Validation!$A:$E,5,0)</f>
        <v>#N/A</v>
      </c>
    </row>
    <row r="901" spans="1:23" ht="15.75" customHeight="1">
      <c r="A901" s="716"/>
      <c r="B901" s="654"/>
      <c r="C901" s="717"/>
      <c r="D901" s="716"/>
      <c r="E901" s="716"/>
      <c r="F901" s="716"/>
      <c r="G901" s="716"/>
      <c r="H901" s="716"/>
      <c r="I901" s="716"/>
      <c r="J901" s="716"/>
      <c r="K901" s="716"/>
      <c r="L901" s="653" t="str">
        <f t="shared" si="915"/>
        <v>0</v>
      </c>
      <c r="M901" s="654">
        <f t="shared" si="780"/>
        <v>0</v>
      </c>
      <c r="N901" s="655">
        <f>+IF(OR($Q901=Parametres!$G$2,$Q901=Parametres!$G$3),I901,C901)</f>
        <v>0</v>
      </c>
      <c r="O901" s="655">
        <f>+IF(OR($Q901=Parametres!$G$2,$Q901=Parametres!$G$3),J901,D901)</f>
        <v>0</v>
      </c>
      <c r="P901" s="655">
        <f>+IF(OR($Q901=Parametres!$G$2,$Q901=Parametres!$G$3),K901,E901)</f>
        <v>0</v>
      </c>
      <c r="Q901" s="654">
        <f t="shared" ref="Q901:S901" si="918">+F901</f>
        <v>0</v>
      </c>
      <c r="R901" s="653">
        <f t="shared" si="918"/>
        <v>0</v>
      </c>
      <c r="S901" s="654">
        <f t="shared" si="918"/>
        <v>0</v>
      </c>
      <c r="T901" s="656" t="e">
        <f>+VLOOKUP($L901,Data_Validation!$A:$D,1,0)</f>
        <v>#N/A</v>
      </c>
      <c r="U901" s="656" t="e">
        <f>+VLOOKUP($L901,Data_Validation!$A:$D,3,0)</f>
        <v>#N/A</v>
      </c>
      <c r="V901" s="656" t="e">
        <f>+VLOOKUP($L901,Data_Validation!$A:$D,4,0)</f>
        <v>#N/A</v>
      </c>
      <c r="W901" s="656" t="e">
        <f>+VLOOKUP($L901,Data_Validation!$A:$E,5,0)</f>
        <v>#N/A</v>
      </c>
    </row>
    <row r="902" spans="1:23" ht="15.75" customHeight="1">
      <c r="A902" s="716"/>
      <c r="B902" s="654"/>
      <c r="C902" s="717"/>
      <c r="D902" s="716"/>
      <c r="E902" s="716"/>
      <c r="F902" s="716"/>
      <c r="G902" s="716"/>
      <c r="H902" s="716"/>
      <c r="I902" s="716"/>
      <c r="J902" s="716"/>
      <c r="K902" s="716"/>
      <c r="L902" s="653" t="str">
        <f t="shared" si="915"/>
        <v>0</v>
      </c>
      <c r="M902" s="654">
        <f t="shared" si="780"/>
        <v>0</v>
      </c>
      <c r="N902" s="655">
        <f>+IF(OR($Q902=Parametres!$G$2,$Q902=Parametres!$G$3),I902,C902)</f>
        <v>0</v>
      </c>
      <c r="O902" s="655">
        <f>+IF(OR($Q902=Parametres!$G$2,$Q902=Parametres!$G$3),J902,D902)</f>
        <v>0</v>
      </c>
      <c r="P902" s="655">
        <f>+IF(OR($Q902=Parametres!$G$2,$Q902=Parametres!$G$3),K902,E902)</f>
        <v>0</v>
      </c>
      <c r="Q902" s="654">
        <f t="shared" ref="Q902:S902" si="919">+F902</f>
        <v>0</v>
      </c>
      <c r="R902" s="653">
        <f t="shared" si="919"/>
        <v>0</v>
      </c>
      <c r="S902" s="654">
        <f t="shared" si="919"/>
        <v>0</v>
      </c>
      <c r="T902" s="656" t="e">
        <f>+VLOOKUP($L902,Data_Validation!$A:$D,1,0)</f>
        <v>#N/A</v>
      </c>
      <c r="U902" s="656" t="e">
        <f>+VLOOKUP($L902,Data_Validation!$A:$D,3,0)</f>
        <v>#N/A</v>
      </c>
      <c r="V902" s="656" t="e">
        <f>+VLOOKUP($L902,Data_Validation!$A:$D,4,0)</f>
        <v>#N/A</v>
      </c>
      <c r="W902" s="656" t="e">
        <f>+VLOOKUP($L902,Data_Validation!$A:$E,5,0)</f>
        <v>#N/A</v>
      </c>
    </row>
    <row r="903" spans="1:23" ht="15.75" customHeight="1">
      <c r="A903" s="716"/>
      <c r="B903" s="654"/>
      <c r="C903" s="717"/>
      <c r="D903" s="716"/>
      <c r="E903" s="716"/>
      <c r="F903" s="716"/>
      <c r="G903" s="716"/>
      <c r="H903" s="716"/>
      <c r="I903" s="716"/>
      <c r="J903" s="716"/>
      <c r="K903" s="716"/>
      <c r="L903" s="653" t="str">
        <f t="shared" si="915"/>
        <v>0</v>
      </c>
      <c r="M903" s="654">
        <f t="shared" si="780"/>
        <v>0</v>
      </c>
      <c r="N903" s="655">
        <f>+IF(OR($Q903=Parametres!$G$2,$Q903=Parametres!$G$3),I903,C903)</f>
        <v>0</v>
      </c>
      <c r="O903" s="655">
        <f>+IF(OR($Q903=Parametres!$G$2,$Q903=Parametres!$G$3),J903,D903)</f>
        <v>0</v>
      </c>
      <c r="P903" s="655">
        <f>+IF(OR($Q903=Parametres!$G$2,$Q903=Parametres!$G$3),K903,E903)</f>
        <v>0</v>
      </c>
      <c r="Q903" s="654">
        <f t="shared" ref="Q903:S903" si="920">+F903</f>
        <v>0</v>
      </c>
      <c r="R903" s="653">
        <f t="shared" si="920"/>
        <v>0</v>
      </c>
      <c r="S903" s="654">
        <f t="shared" si="920"/>
        <v>0</v>
      </c>
      <c r="T903" s="656" t="e">
        <f>+VLOOKUP($L903,Data_Validation!$A:$D,1,0)</f>
        <v>#N/A</v>
      </c>
      <c r="U903" s="656" t="e">
        <f>+VLOOKUP($L903,Data_Validation!$A:$D,3,0)</f>
        <v>#N/A</v>
      </c>
      <c r="V903" s="656" t="e">
        <f>+VLOOKUP($L903,Data_Validation!$A:$D,4,0)</f>
        <v>#N/A</v>
      </c>
      <c r="W903" s="656" t="e">
        <f>+VLOOKUP($L903,Data_Validation!$A:$E,5,0)</f>
        <v>#N/A</v>
      </c>
    </row>
    <row r="904" spans="1:23" ht="15.75" customHeight="1">
      <c r="A904" s="716"/>
      <c r="B904" s="654"/>
      <c r="C904" s="717"/>
      <c r="D904" s="716"/>
      <c r="E904" s="716"/>
      <c r="F904" s="716"/>
      <c r="G904" s="716"/>
      <c r="H904" s="716"/>
      <c r="I904" s="716"/>
      <c r="J904" s="716"/>
      <c r="K904" s="716"/>
      <c r="L904" s="653" t="str">
        <f t="shared" si="915"/>
        <v>0</v>
      </c>
      <c r="M904" s="654">
        <f t="shared" si="780"/>
        <v>0</v>
      </c>
      <c r="N904" s="655">
        <f>+IF(OR($Q904=Parametres!$G$2,$Q904=Parametres!$G$3),I904,C904)</f>
        <v>0</v>
      </c>
      <c r="O904" s="655">
        <f>+IF(OR($Q904=Parametres!$G$2,$Q904=Parametres!$G$3),J904,D904)</f>
        <v>0</v>
      </c>
      <c r="P904" s="655">
        <f>+IF(OR($Q904=Parametres!$G$2,$Q904=Parametres!$G$3),K904,E904)</f>
        <v>0</v>
      </c>
      <c r="Q904" s="654">
        <f t="shared" ref="Q904:S904" si="921">+F904</f>
        <v>0</v>
      </c>
      <c r="R904" s="653">
        <f t="shared" si="921"/>
        <v>0</v>
      </c>
      <c r="S904" s="654">
        <f t="shared" si="921"/>
        <v>0</v>
      </c>
      <c r="T904" s="656" t="e">
        <f>+VLOOKUP($L904,Data_Validation!$A:$D,1,0)</f>
        <v>#N/A</v>
      </c>
      <c r="U904" s="656" t="e">
        <f>+VLOOKUP($L904,Data_Validation!$A:$D,3,0)</f>
        <v>#N/A</v>
      </c>
      <c r="V904" s="656" t="e">
        <f>+VLOOKUP($L904,Data_Validation!$A:$D,4,0)</f>
        <v>#N/A</v>
      </c>
      <c r="W904" s="656" t="e">
        <f>+VLOOKUP($L904,Data_Validation!$A:$E,5,0)</f>
        <v>#N/A</v>
      </c>
    </row>
    <row r="905" spans="1:23" ht="15.75" customHeight="1">
      <c r="A905" s="716"/>
      <c r="B905" s="654"/>
      <c r="C905" s="717"/>
      <c r="D905" s="716"/>
      <c r="E905" s="716"/>
      <c r="F905" s="716"/>
      <c r="G905" s="716"/>
      <c r="H905" s="716"/>
      <c r="I905" s="716"/>
      <c r="J905" s="716"/>
      <c r="K905" s="716"/>
      <c r="L905" s="653" t="str">
        <f t="shared" si="915"/>
        <v>0</v>
      </c>
      <c r="M905" s="654">
        <f t="shared" si="780"/>
        <v>0</v>
      </c>
      <c r="N905" s="655">
        <f>+IF(OR($Q905=Parametres!$G$2,$Q905=Parametres!$G$3),I905,C905)</f>
        <v>0</v>
      </c>
      <c r="O905" s="655">
        <f>+IF(OR($Q905=Parametres!$G$2,$Q905=Parametres!$G$3),J905,D905)</f>
        <v>0</v>
      </c>
      <c r="P905" s="655">
        <f>+IF(OR($Q905=Parametres!$G$2,$Q905=Parametres!$G$3),K905,E905)</f>
        <v>0</v>
      </c>
      <c r="Q905" s="654">
        <f t="shared" ref="Q905:S905" si="922">+F905</f>
        <v>0</v>
      </c>
      <c r="R905" s="653">
        <f t="shared" si="922"/>
        <v>0</v>
      </c>
      <c r="S905" s="654">
        <f t="shared" si="922"/>
        <v>0</v>
      </c>
      <c r="T905" s="656" t="e">
        <f>+VLOOKUP($L905,Data_Validation!$A:$D,1,0)</f>
        <v>#N/A</v>
      </c>
      <c r="U905" s="656" t="e">
        <f>+VLOOKUP($L905,Data_Validation!$A:$D,3,0)</f>
        <v>#N/A</v>
      </c>
      <c r="V905" s="656" t="e">
        <f>+VLOOKUP($L905,Data_Validation!$A:$D,4,0)</f>
        <v>#N/A</v>
      </c>
      <c r="W905" s="656" t="e">
        <f>+VLOOKUP($L905,Data_Validation!$A:$E,5,0)</f>
        <v>#N/A</v>
      </c>
    </row>
    <row r="906" spans="1:23" ht="15.75" customHeight="1">
      <c r="A906" s="716"/>
      <c r="B906" s="654"/>
      <c r="C906" s="717"/>
      <c r="D906" s="716"/>
      <c r="E906" s="716"/>
      <c r="F906" s="716"/>
      <c r="G906" s="716"/>
      <c r="H906" s="716"/>
      <c r="I906" s="716"/>
      <c r="J906" s="716"/>
      <c r="K906" s="716"/>
      <c r="L906" s="653" t="str">
        <f t="shared" si="915"/>
        <v>0</v>
      </c>
      <c r="M906" s="654">
        <f t="shared" si="780"/>
        <v>0</v>
      </c>
      <c r="N906" s="655">
        <f>+IF(OR($Q906=Parametres!$G$2,$Q906=Parametres!$G$3),I906,C906)</f>
        <v>0</v>
      </c>
      <c r="O906" s="655">
        <f>+IF(OR($Q906=Parametres!$G$2,$Q906=Parametres!$G$3),J906,D906)</f>
        <v>0</v>
      </c>
      <c r="P906" s="655">
        <f>+IF(OR($Q906=Parametres!$G$2,$Q906=Parametres!$G$3),K906,E906)</f>
        <v>0</v>
      </c>
      <c r="Q906" s="654">
        <f t="shared" ref="Q906:S906" si="923">+F906</f>
        <v>0</v>
      </c>
      <c r="R906" s="653">
        <f t="shared" si="923"/>
        <v>0</v>
      </c>
      <c r="S906" s="654">
        <f t="shared" si="923"/>
        <v>0</v>
      </c>
      <c r="T906" s="656" t="e">
        <f>+VLOOKUP($L906,Data_Validation!$A:$D,1,0)</f>
        <v>#N/A</v>
      </c>
      <c r="U906" s="656" t="e">
        <f>+VLOOKUP($L906,Data_Validation!$A:$D,3,0)</f>
        <v>#N/A</v>
      </c>
      <c r="V906" s="656" t="e">
        <f>+VLOOKUP($L906,Data_Validation!$A:$D,4,0)</f>
        <v>#N/A</v>
      </c>
      <c r="W906" s="656" t="e">
        <f>+VLOOKUP($L906,Data_Validation!$A:$E,5,0)</f>
        <v>#N/A</v>
      </c>
    </row>
    <row r="907" spans="1:23" ht="15.75" customHeight="1">
      <c r="A907" s="716"/>
      <c r="B907" s="654"/>
      <c r="C907" s="717"/>
      <c r="D907" s="716"/>
      <c r="E907" s="716"/>
      <c r="F907" s="716"/>
      <c r="G907" s="716"/>
      <c r="H907" s="716"/>
      <c r="I907" s="716"/>
      <c r="J907" s="716"/>
      <c r="K907" s="716"/>
      <c r="L907" s="653" t="str">
        <f t="shared" si="915"/>
        <v>0</v>
      </c>
      <c r="M907" s="654">
        <f t="shared" si="780"/>
        <v>0</v>
      </c>
      <c r="N907" s="655">
        <f>+IF(OR($Q907=Parametres!$G$2,$Q907=Parametres!$G$3),I907,C907)</f>
        <v>0</v>
      </c>
      <c r="O907" s="655">
        <f>+IF(OR($Q907=Parametres!$G$2,$Q907=Parametres!$G$3),J907,D907)</f>
        <v>0</v>
      </c>
      <c r="P907" s="655">
        <f>+IF(OR($Q907=Parametres!$G$2,$Q907=Parametres!$G$3),K907,E907)</f>
        <v>0</v>
      </c>
      <c r="Q907" s="654">
        <f t="shared" ref="Q907:S907" si="924">+F907</f>
        <v>0</v>
      </c>
      <c r="R907" s="653">
        <f t="shared" si="924"/>
        <v>0</v>
      </c>
      <c r="S907" s="654">
        <f t="shared" si="924"/>
        <v>0</v>
      </c>
      <c r="T907" s="656" t="e">
        <f>+VLOOKUP($L907,Data_Validation!$A:$D,1,0)</f>
        <v>#N/A</v>
      </c>
      <c r="U907" s="656" t="e">
        <f>+VLOOKUP($L907,Data_Validation!$A:$D,3,0)</f>
        <v>#N/A</v>
      </c>
      <c r="V907" s="656" t="e">
        <f>+VLOOKUP($L907,Data_Validation!$A:$D,4,0)</f>
        <v>#N/A</v>
      </c>
      <c r="W907" s="656" t="e">
        <f>+VLOOKUP($L907,Data_Validation!$A:$E,5,0)</f>
        <v>#N/A</v>
      </c>
    </row>
    <row r="908" spans="1:23" ht="15.75" customHeight="1">
      <c r="A908" s="716"/>
      <c r="B908" s="654"/>
      <c r="C908" s="717"/>
      <c r="D908" s="716"/>
      <c r="E908" s="716"/>
      <c r="F908" s="716"/>
      <c r="G908" s="716"/>
      <c r="H908" s="716"/>
      <c r="I908" s="716"/>
      <c r="J908" s="716"/>
      <c r="K908" s="716"/>
      <c r="L908" s="653" t="str">
        <f t="shared" si="915"/>
        <v>0</v>
      </c>
      <c r="M908" s="654">
        <f t="shared" si="780"/>
        <v>0</v>
      </c>
      <c r="N908" s="655">
        <f>+IF(OR($Q908=Parametres!$G$2,$Q908=Parametres!$G$3),I908,C908)</f>
        <v>0</v>
      </c>
      <c r="O908" s="655">
        <f>+IF(OR($Q908=Parametres!$G$2,$Q908=Parametres!$G$3),J908,D908)</f>
        <v>0</v>
      </c>
      <c r="P908" s="655">
        <f>+IF(OR($Q908=Parametres!$G$2,$Q908=Parametres!$G$3),K908,E908)</f>
        <v>0</v>
      </c>
      <c r="Q908" s="654">
        <f t="shared" ref="Q908:S908" si="925">+F908</f>
        <v>0</v>
      </c>
      <c r="R908" s="653">
        <f t="shared" si="925"/>
        <v>0</v>
      </c>
      <c r="S908" s="654">
        <f t="shared" si="925"/>
        <v>0</v>
      </c>
      <c r="T908" s="656" t="e">
        <f>+VLOOKUP($L908,Data_Validation!$A:$D,1,0)</f>
        <v>#N/A</v>
      </c>
      <c r="U908" s="656" t="e">
        <f>+VLOOKUP($L908,Data_Validation!$A:$D,3,0)</f>
        <v>#N/A</v>
      </c>
      <c r="V908" s="656" t="e">
        <f>+VLOOKUP($L908,Data_Validation!$A:$D,4,0)</f>
        <v>#N/A</v>
      </c>
      <c r="W908" s="656" t="e">
        <f>+VLOOKUP($L908,Data_Validation!$A:$E,5,0)</f>
        <v>#N/A</v>
      </c>
    </row>
    <row r="909" spans="1:23" ht="15.75" customHeight="1">
      <c r="A909" s="716"/>
      <c r="B909" s="654"/>
      <c r="C909" s="717"/>
      <c r="D909" s="716"/>
      <c r="E909" s="716"/>
      <c r="F909" s="716"/>
      <c r="G909" s="716"/>
      <c r="H909" s="716"/>
      <c r="I909" s="716"/>
      <c r="J909" s="716"/>
      <c r="K909" s="716"/>
      <c r="L909" s="653" t="str">
        <f t="shared" si="915"/>
        <v>0</v>
      </c>
      <c r="M909" s="654">
        <f t="shared" si="780"/>
        <v>0</v>
      </c>
      <c r="N909" s="655">
        <f>+IF(OR($Q909=Parametres!$G$2,$Q909=Parametres!$G$3),I909,C909)</f>
        <v>0</v>
      </c>
      <c r="O909" s="655">
        <f>+IF(OR($Q909=Parametres!$G$2,$Q909=Parametres!$G$3),J909,D909)</f>
        <v>0</v>
      </c>
      <c r="P909" s="655">
        <f>+IF(OR($Q909=Parametres!$G$2,$Q909=Parametres!$G$3),K909,E909)</f>
        <v>0</v>
      </c>
      <c r="Q909" s="654">
        <f t="shared" ref="Q909:S909" si="926">+F909</f>
        <v>0</v>
      </c>
      <c r="R909" s="653">
        <f t="shared" si="926"/>
        <v>0</v>
      </c>
      <c r="S909" s="654">
        <f t="shared" si="926"/>
        <v>0</v>
      </c>
      <c r="T909" s="656" t="e">
        <f>+VLOOKUP($L909,Data_Validation!$A:$D,1,0)</f>
        <v>#N/A</v>
      </c>
      <c r="U909" s="656" t="e">
        <f>+VLOOKUP($L909,Data_Validation!$A:$D,3,0)</f>
        <v>#N/A</v>
      </c>
      <c r="V909" s="656" t="e">
        <f>+VLOOKUP($L909,Data_Validation!$A:$D,4,0)</f>
        <v>#N/A</v>
      </c>
      <c r="W909" s="656" t="e">
        <f>+VLOOKUP($L909,Data_Validation!$A:$E,5,0)</f>
        <v>#N/A</v>
      </c>
    </row>
    <row r="910" spans="1:23" ht="15.75" customHeight="1">
      <c r="A910" s="716"/>
      <c r="B910" s="654"/>
      <c r="C910" s="717"/>
      <c r="D910" s="716"/>
      <c r="E910" s="716"/>
      <c r="F910" s="716"/>
      <c r="G910" s="716"/>
      <c r="H910" s="716"/>
      <c r="I910" s="716"/>
      <c r="J910" s="716"/>
      <c r="K910" s="716"/>
      <c r="L910" s="653" t="str">
        <f t="shared" si="915"/>
        <v>0</v>
      </c>
      <c r="M910" s="654">
        <f t="shared" si="780"/>
        <v>0</v>
      </c>
      <c r="N910" s="655">
        <f>+IF(OR($Q910=Parametres!$G$2,$Q910=Parametres!$G$3),I910,C910)</f>
        <v>0</v>
      </c>
      <c r="O910" s="655">
        <f>+IF(OR($Q910=Parametres!$G$2,$Q910=Parametres!$G$3),J910,D910)</f>
        <v>0</v>
      </c>
      <c r="P910" s="655">
        <f>+IF(OR($Q910=Parametres!$G$2,$Q910=Parametres!$G$3),K910,E910)</f>
        <v>0</v>
      </c>
      <c r="Q910" s="654">
        <f t="shared" ref="Q910:S910" si="927">+F910</f>
        <v>0</v>
      </c>
      <c r="R910" s="653">
        <f t="shared" si="927"/>
        <v>0</v>
      </c>
      <c r="S910" s="654">
        <f t="shared" si="927"/>
        <v>0</v>
      </c>
      <c r="T910" s="656" t="e">
        <f>+VLOOKUP($L910,Data_Validation!$A:$D,1,0)</f>
        <v>#N/A</v>
      </c>
      <c r="U910" s="656" t="e">
        <f>+VLOOKUP($L910,Data_Validation!$A:$D,3,0)</f>
        <v>#N/A</v>
      </c>
      <c r="V910" s="656" t="e">
        <f>+VLOOKUP($L910,Data_Validation!$A:$D,4,0)</f>
        <v>#N/A</v>
      </c>
      <c r="W910" s="656" t="e">
        <f>+VLOOKUP($L910,Data_Validation!$A:$E,5,0)</f>
        <v>#N/A</v>
      </c>
    </row>
    <row r="911" spans="1:23" ht="15.75" customHeight="1">
      <c r="A911" s="716"/>
      <c r="B911" s="654"/>
      <c r="C911" s="717"/>
      <c r="D911" s="716"/>
      <c r="E911" s="716"/>
      <c r="F911" s="716"/>
      <c r="G911" s="716"/>
      <c r="H911" s="716"/>
      <c r="I911" s="716"/>
      <c r="J911" s="716"/>
      <c r="K911" s="716"/>
      <c r="L911" s="653" t="str">
        <f t="shared" si="915"/>
        <v>0</v>
      </c>
      <c r="M911" s="654">
        <f t="shared" si="780"/>
        <v>0</v>
      </c>
      <c r="N911" s="655">
        <f>+IF(OR($Q911=Parametres!$G$2,$Q911=Parametres!$G$3),I911,C911)</f>
        <v>0</v>
      </c>
      <c r="O911" s="655">
        <f>+IF(OR($Q911=Parametres!$G$2,$Q911=Parametres!$G$3),J911,D911)</f>
        <v>0</v>
      </c>
      <c r="P911" s="655">
        <f>+IF(OR($Q911=Parametres!$G$2,$Q911=Parametres!$G$3),K911,E911)</f>
        <v>0</v>
      </c>
      <c r="Q911" s="654">
        <f t="shared" ref="Q911:S911" si="928">+F911</f>
        <v>0</v>
      </c>
      <c r="R911" s="653">
        <f t="shared" si="928"/>
        <v>0</v>
      </c>
      <c r="S911" s="654">
        <f t="shared" si="928"/>
        <v>0</v>
      </c>
      <c r="T911" s="656" t="e">
        <f>+VLOOKUP($L911,Data_Validation!$A:$D,1,0)</f>
        <v>#N/A</v>
      </c>
      <c r="U911" s="656" t="e">
        <f>+VLOOKUP($L911,Data_Validation!$A:$D,3,0)</f>
        <v>#N/A</v>
      </c>
      <c r="V911" s="656" t="e">
        <f>+VLOOKUP($L911,Data_Validation!$A:$D,4,0)</f>
        <v>#N/A</v>
      </c>
      <c r="W911" s="656" t="e">
        <f>+VLOOKUP($L911,Data_Validation!$A:$E,5,0)</f>
        <v>#N/A</v>
      </c>
    </row>
    <row r="912" spans="1:23" ht="15.75" customHeight="1">
      <c r="A912" s="716"/>
      <c r="B912" s="654"/>
      <c r="C912" s="717"/>
      <c r="D912" s="716"/>
      <c r="E912" s="716"/>
      <c r="F912" s="716"/>
      <c r="G912" s="716"/>
      <c r="H912" s="716"/>
      <c r="I912" s="716"/>
      <c r="J912" s="716"/>
      <c r="K912" s="716"/>
      <c r="L912" s="653" t="str">
        <f t="shared" si="915"/>
        <v>0</v>
      </c>
      <c r="M912" s="654">
        <f t="shared" si="780"/>
        <v>0</v>
      </c>
      <c r="N912" s="655">
        <f>+IF(OR($Q912=Parametres!$G$2,$Q912=Parametres!$G$3),I912,C912)</f>
        <v>0</v>
      </c>
      <c r="O912" s="655">
        <f>+IF(OR($Q912=Parametres!$G$2,$Q912=Parametres!$G$3),J912,D912)</f>
        <v>0</v>
      </c>
      <c r="P912" s="655">
        <f>+IF(OR($Q912=Parametres!$G$2,$Q912=Parametres!$G$3),K912,E912)</f>
        <v>0</v>
      </c>
      <c r="Q912" s="654">
        <f t="shared" ref="Q912:S912" si="929">+F912</f>
        <v>0</v>
      </c>
      <c r="R912" s="653">
        <f t="shared" si="929"/>
        <v>0</v>
      </c>
      <c r="S912" s="654">
        <f t="shared" si="929"/>
        <v>0</v>
      </c>
      <c r="T912" s="656" t="e">
        <f>+VLOOKUP($L912,Data_Validation!$A:$D,1,0)</f>
        <v>#N/A</v>
      </c>
      <c r="U912" s="656" t="e">
        <f>+VLOOKUP($L912,Data_Validation!$A:$D,3,0)</f>
        <v>#N/A</v>
      </c>
      <c r="V912" s="656" t="e">
        <f>+VLOOKUP($L912,Data_Validation!$A:$D,4,0)</f>
        <v>#N/A</v>
      </c>
      <c r="W912" s="656" t="e">
        <f>+VLOOKUP($L912,Data_Validation!$A:$E,5,0)</f>
        <v>#N/A</v>
      </c>
    </row>
    <row r="913" spans="1:23" ht="15.75" customHeight="1">
      <c r="A913" s="716"/>
      <c r="B913" s="654"/>
      <c r="C913" s="717"/>
      <c r="D913" s="716"/>
      <c r="E913" s="716"/>
      <c r="F913" s="716"/>
      <c r="G913" s="716"/>
      <c r="H913" s="716"/>
      <c r="I913" s="716"/>
      <c r="J913" s="716"/>
      <c r="K913" s="716"/>
      <c r="L913" s="653" t="str">
        <f t="shared" si="915"/>
        <v>0</v>
      </c>
      <c r="M913" s="654">
        <f t="shared" si="780"/>
        <v>0</v>
      </c>
      <c r="N913" s="655">
        <f>+IF(OR($Q913=Parametres!$G$2,$Q913=Parametres!$G$3),I913,C913)</f>
        <v>0</v>
      </c>
      <c r="O913" s="655">
        <f>+IF(OR($Q913=Parametres!$G$2,$Q913=Parametres!$G$3),J913,D913)</f>
        <v>0</v>
      </c>
      <c r="P913" s="655">
        <f>+IF(OR($Q913=Parametres!$G$2,$Q913=Parametres!$G$3),K913,E913)</f>
        <v>0</v>
      </c>
      <c r="Q913" s="654">
        <f t="shared" ref="Q913:S913" si="930">+F913</f>
        <v>0</v>
      </c>
      <c r="R913" s="653">
        <f t="shared" si="930"/>
        <v>0</v>
      </c>
      <c r="S913" s="654">
        <f t="shared" si="930"/>
        <v>0</v>
      </c>
      <c r="T913" s="656" t="e">
        <f>+VLOOKUP($L913,Data_Validation!$A:$D,1,0)</f>
        <v>#N/A</v>
      </c>
      <c r="U913" s="656" t="e">
        <f>+VLOOKUP($L913,Data_Validation!$A:$D,3,0)</f>
        <v>#N/A</v>
      </c>
      <c r="V913" s="656" t="e">
        <f>+VLOOKUP($L913,Data_Validation!$A:$D,4,0)</f>
        <v>#N/A</v>
      </c>
      <c r="W913" s="656" t="e">
        <f>+VLOOKUP($L913,Data_Validation!$A:$E,5,0)</f>
        <v>#N/A</v>
      </c>
    </row>
    <row r="914" spans="1:23" ht="15.75" customHeight="1">
      <c r="A914" s="716"/>
      <c r="B914" s="654"/>
      <c r="C914" s="717"/>
      <c r="D914" s="716"/>
      <c r="E914" s="716"/>
      <c r="F914" s="716"/>
      <c r="G914" s="716"/>
      <c r="H914" s="716"/>
      <c r="I914" s="716"/>
      <c r="J914" s="716"/>
      <c r="K914" s="716"/>
      <c r="L914" s="653" t="str">
        <f t="shared" si="915"/>
        <v>0</v>
      </c>
      <c r="M914" s="654">
        <f t="shared" si="780"/>
        <v>0</v>
      </c>
      <c r="N914" s="655">
        <f>+IF(OR($Q914=Parametres!$G$2,$Q914=Parametres!$G$3),I914,C914)</f>
        <v>0</v>
      </c>
      <c r="O914" s="655">
        <f>+IF(OR($Q914=Parametres!$G$2,$Q914=Parametres!$G$3),J914,D914)</f>
        <v>0</v>
      </c>
      <c r="P914" s="655">
        <f>+IF(OR($Q914=Parametres!$G$2,$Q914=Parametres!$G$3),K914,E914)</f>
        <v>0</v>
      </c>
      <c r="Q914" s="654">
        <f t="shared" ref="Q914:S914" si="931">+F914</f>
        <v>0</v>
      </c>
      <c r="R914" s="653">
        <f t="shared" si="931"/>
        <v>0</v>
      </c>
      <c r="S914" s="654">
        <f t="shared" si="931"/>
        <v>0</v>
      </c>
      <c r="T914" s="656" t="e">
        <f>+VLOOKUP($L914,Data_Validation!$A:$D,1,0)</f>
        <v>#N/A</v>
      </c>
      <c r="U914" s="656" t="e">
        <f>+VLOOKUP($L914,Data_Validation!$A:$D,3,0)</f>
        <v>#N/A</v>
      </c>
      <c r="V914" s="656" t="e">
        <f>+VLOOKUP($L914,Data_Validation!$A:$D,4,0)</f>
        <v>#N/A</v>
      </c>
      <c r="W914" s="656" t="e">
        <f>+VLOOKUP($L914,Data_Validation!$A:$E,5,0)</f>
        <v>#N/A</v>
      </c>
    </row>
    <row r="915" spans="1:23" ht="15.75" customHeight="1">
      <c r="A915" s="716"/>
      <c r="B915" s="654"/>
      <c r="C915" s="717"/>
      <c r="D915" s="716"/>
      <c r="E915" s="716"/>
      <c r="F915" s="716"/>
      <c r="G915" s="716"/>
      <c r="H915" s="716"/>
      <c r="I915" s="716"/>
      <c r="J915" s="716"/>
      <c r="K915" s="716"/>
      <c r="L915" s="653" t="str">
        <f t="shared" si="915"/>
        <v>0</v>
      </c>
      <c r="M915" s="654">
        <f t="shared" si="780"/>
        <v>0</v>
      </c>
      <c r="N915" s="655">
        <f>+IF(OR($Q915=Parametres!$G$2,$Q915=Parametres!$G$3),I915,C915)</f>
        <v>0</v>
      </c>
      <c r="O915" s="655">
        <f>+IF(OR($Q915=Parametres!$G$2,$Q915=Parametres!$G$3),J915,D915)</f>
        <v>0</v>
      </c>
      <c r="P915" s="655">
        <f>+IF(OR($Q915=Parametres!$G$2,$Q915=Parametres!$G$3),K915,E915)</f>
        <v>0</v>
      </c>
      <c r="Q915" s="654">
        <f t="shared" ref="Q915:S915" si="932">+F915</f>
        <v>0</v>
      </c>
      <c r="R915" s="653">
        <f t="shared" si="932"/>
        <v>0</v>
      </c>
      <c r="S915" s="654">
        <f t="shared" si="932"/>
        <v>0</v>
      </c>
      <c r="T915" s="656" t="e">
        <f>+VLOOKUP($L915,Data_Validation!$A:$D,1,0)</f>
        <v>#N/A</v>
      </c>
      <c r="U915" s="656" t="e">
        <f>+VLOOKUP($L915,Data_Validation!$A:$D,3,0)</f>
        <v>#N/A</v>
      </c>
      <c r="V915" s="656" t="e">
        <f>+VLOOKUP($L915,Data_Validation!$A:$D,4,0)</f>
        <v>#N/A</v>
      </c>
      <c r="W915" s="656" t="e">
        <f>+VLOOKUP($L915,Data_Validation!$A:$E,5,0)</f>
        <v>#N/A</v>
      </c>
    </row>
    <row r="916" spans="1:23" ht="15.75" customHeight="1">
      <c r="A916" s="716"/>
      <c r="B916" s="654"/>
      <c r="C916" s="717"/>
      <c r="D916" s="716"/>
      <c r="E916" s="716"/>
      <c r="F916" s="716"/>
      <c r="G916" s="716"/>
      <c r="H916" s="716"/>
      <c r="I916" s="716"/>
      <c r="J916" s="716"/>
      <c r="K916" s="716"/>
      <c r="L916" s="653" t="str">
        <f t="shared" si="915"/>
        <v>0</v>
      </c>
      <c r="M916" s="654">
        <f t="shared" si="780"/>
        <v>0</v>
      </c>
      <c r="N916" s="655">
        <f>+IF(OR($Q916=Parametres!$G$2,$Q916=Parametres!$G$3),I916,C916)</f>
        <v>0</v>
      </c>
      <c r="O916" s="655">
        <f>+IF(OR($Q916=Parametres!$G$2,$Q916=Parametres!$G$3),J916,D916)</f>
        <v>0</v>
      </c>
      <c r="P916" s="655">
        <f>+IF(OR($Q916=Parametres!$G$2,$Q916=Parametres!$G$3),K916,E916)</f>
        <v>0</v>
      </c>
      <c r="Q916" s="654">
        <f t="shared" ref="Q916:S916" si="933">+F916</f>
        <v>0</v>
      </c>
      <c r="R916" s="653">
        <f t="shared" si="933"/>
        <v>0</v>
      </c>
      <c r="S916" s="654">
        <f t="shared" si="933"/>
        <v>0</v>
      </c>
      <c r="T916" s="656" t="e">
        <f>+VLOOKUP($L916,Data_Validation!$A:$D,1,0)</f>
        <v>#N/A</v>
      </c>
      <c r="U916" s="656" t="e">
        <f>+VLOOKUP($L916,Data_Validation!$A:$D,3,0)</f>
        <v>#N/A</v>
      </c>
      <c r="V916" s="656" t="e">
        <f>+VLOOKUP($L916,Data_Validation!$A:$D,4,0)</f>
        <v>#N/A</v>
      </c>
      <c r="W916" s="656" t="e">
        <f>+VLOOKUP($L916,Data_Validation!$A:$E,5,0)</f>
        <v>#N/A</v>
      </c>
    </row>
    <row r="917" spans="1:23" ht="15.75" customHeight="1">
      <c r="A917" s="716"/>
      <c r="B917" s="654"/>
      <c r="C917" s="717"/>
      <c r="D917" s="716"/>
      <c r="E917" s="716"/>
      <c r="F917" s="716"/>
      <c r="G917" s="716"/>
      <c r="H917" s="716"/>
      <c r="I917" s="716"/>
      <c r="J917" s="716"/>
      <c r="K917" s="716"/>
      <c r="L917" s="653" t="str">
        <f t="shared" si="915"/>
        <v>0</v>
      </c>
      <c r="M917" s="654">
        <f t="shared" si="780"/>
        <v>0</v>
      </c>
      <c r="N917" s="655">
        <f>+IF(OR($Q917=Parametres!$G$2,$Q917=Parametres!$G$3),I917,C917)</f>
        <v>0</v>
      </c>
      <c r="O917" s="655">
        <f>+IF(OR($Q917=Parametres!$G$2,$Q917=Parametres!$G$3),J917,D917)</f>
        <v>0</v>
      </c>
      <c r="P917" s="655">
        <f>+IF(OR($Q917=Parametres!$G$2,$Q917=Parametres!$G$3),K917,E917)</f>
        <v>0</v>
      </c>
      <c r="Q917" s="654">
        <f t="shared" ref="Q917:S917" si="934">+F917</f>
        <v>0</v>
      </c>
      <c r="R917" s="653">
        <f t="shared" si="934"/>
        <v>0</v>
      </c>
      <c r="S917" s="654">
        <f t="shared" si="934"/>
        <v>0</v>
      </c>
      <c r="T917" s="656" t="e">
        <f>+VLOOKUP($L917,Data_Validation!$A:$D,1,0)</f>
        <v>#N/A</v>
      </c>
      <c r="U917" s="656" t="e">
        <f>+VLOOKUP($L917,Data_Validation!$A:$D,3,0)</f>
        <v>#N/A</v>
      </c>
      <c r="V917" s="656" t="e">
        <f>+VLOOKUP($L917,Data_Validation!$A:$D,4,0)</f>
        <v>#N/A</v>
      </c>
      <c r="W917" s="656" t="e">
        <f>+VLOOKUP($L917,Data_Validation!$A:$E,5,0)</f>
        <v>#N/A</v>
      </c>
    </row>
    <row r="918" spans="1:23" ht="15.75" customHeight="1">
      <c r="A918" s="716"/>
      <c r="B918" s="654"/>
      <c r="C918" s="717"/>
      <c r="D918" s="716"/>
      <c r="E918" s="716"/>
      <c r="F918" s="716"/>
      <c r="G918" s="716"/>
      <c r="H918" s="716"/>
      <c r="I918" s="716"/>
      <c r="J918" s="716"/>
      <c r="K918" s="716"/>
      <c r="L918" s="653" t="str">
        <f t="shared" si="915"/>
        <v>0</v>
      </c>
      <c r="M918" s="654">
        <f t="shared" si="780"/>
        <v>0</v>
      </c>
      <c r="N918" s="655">
        <f>+IF(OR($Q918=Parametres!$G$2,$Q918=Parametres!$G$3),I918,C918)</f>
        <v>0</v>
      </c>
      <c r="O918" s="655">
        <f>+IF(OR($Q918=Parametres!$G$2,$Q918=Parametres!$G$3),J918,D918)</f>
        <v>0</v>
      </c>
      <c r="P918" s="655">
        <f>+IF(OR($Q918=Parametres!$G$2,$Q918=Parametres!$G$3),K918,E918)</f>
        <v>0</v>
      </c>
      <c r="Q918" s="654">
        <f t="shared" ref="Q918:S918" si="935">+F918</f>
        <v>0</v>
      </c>
      <c r="R918" s="653">
        <f t="shared" si="935"/>
        <v>0</v>
      </c>
      <c r="S918" s="654">
        <f t="shared" si="935"/>
        <v>0</v>
      </c>
      <c r="T918" s="656" t="e">
        <f>+VLOOKUP($L918,Data_Validation!$A:$D,1,0)</f>
        <v>#N/A</v>
      </c>
      <c r="U918" s="656" t="e">
        <f>+VLOOKUP($L918,Data_Validation!$A:$D,3,0)</f>
        <v>#N/A</v>
      </c>
      <c r="V918" s="656" t="e">
        <f>+VLOOKUP($L918,Data_Validation!$A:$D,4,0)</f>
        <v>#N/A</v>
      </c>
      <c r="W918" s="656" t="e">
        <f>+VLOOKUP($L918,Data_Validation!$A:$E,5,0)</f>
        <v>#N/A</v>
      </c>
    </row>
    <row r="919" spans="1:23" ht="15.75" customHeight="1">
      <c r="A919" s="716"/>
      <c r="B919" s="654"/>
      <c r="C919" s="717"/>
      <c r="D919" s="716"/>
      <c r="E919" s="716"/>
      <c r="F919" s="716"/>
      <c r="G919" s="716"/>
      <c r="H919" s="716"/>
      <c r="I919" s="716"/>
      <c r="J919" s="716"/>
      <c r="K919" s="716"/>
      <c r="L919" s="653" t="str">
        <f t="shared" si="915"/>
        <v>0</v>
      </c>
      <c r="M919" s="654">
        <f t="shared" si="780"/>
        <v>0</v>
      </c>
      <c r="N919" s="655">
        <f>+IF(OR($Q919=Parametres!$G$2,$Q919=Parametres!$G$3),I919,C919)</f>
        <v>0</v>
      </c>
      <c r="O919" s="655">
        <f>+IF(OR($Q919=Parametres!$G$2,$Q919=Parametres!$G$3),J919,D919)</f>
        <v>0</v>
      </c>
      <c r="P919" s="655">
        <f>+IF(OR($Q919=Parametres!$G$2,$Q919=Parametres!$G$3),K919,E919)</f>
        <v>0</v>
      </c>
      <c r="Q919" s="654">
        <f t="shared" ref="Q919:S919" si="936">+F919</f>
        <v>0</v>
      </c>
      <c r="R919" s="653">
        <f t="shared" si="936"/>
        <v>0</v>
      </c>
      <c r="S919" s="654">
        <f t="shared" si="936"/>
        <v>0</v>
      </c>
      <c r="T919" s="656" t="e">
        <f>+VLOOKUP($L919,Data_Validation!$A:$D,1,0)</f>
        <v>#N/A</v>
      </c>
      <c r="U919" s="656" t="e">
        <f>+VLOOKUP($L919,Data_Validation!$A:$D,3,0)</f>
        <v>#N/A</v>
      </c>
      <c r="V919" s="656" t="e">
        <f>+VLOOKUP($L919,Data_Validation!$A:$D,4,0)</f>
        <v>#N/A</v>
      </c>
      <c r="W919" s="656" t="e">
        <f>+VLOOKUP($L919,Data_Validation!$A:$E,5,0)</f>
        <v>#N/A</v>
      </c>
    </row>
    <row r="920" spans="1:23" ht="15.75" customHeight="1">
      <c r="A920" s="716"/>
      <c r="B920" s="654"/>
      <c r="C920" s="717"/>
      <c r="D920" s="716"/>
      <c r="E920" s="716"/>
      <c r="F920" s="716"/>
      <c r="G920" s="716"/>
      <c r="H920" s="716"/>
      <c r="I920" s="716"/>
      <c r="J920" s="716"/>
      <c r="K920" s="716"/>
      <c r="L920" s="653" t="str">
        <f t="shared" si="915"/>
        <v>0</v>
      </c>
      <c r="M920" s="654">
        <f t="shared" si="780"/>
        <v>0</v>
      </c>
      <c r="N920" s="655">
        <f>+IF(OR($Q920=Parametres!$G$2,$Q920=Parametres!$G$3),I920,C920)</f>
        <v>0</v>
      </c>
      <c r="O920" s="655">
        <f>+IF(OR($Q920=Parametres!$G$2,$Q920=Parametres!$G$3),J920,D920)</f>
        <v>0</v>
      </c>
      <c r="P920" s="655">
        <f>+IF(OR($Q920=Parametres!$G$2,$Q920=Parametres!$G$3),K920,E920)</f>
        <v>0</v>
      </c>
      <c r="Q920" s="654">
        <f t="shared" ref="Q920:S920" si="937">+F920</f>
        <v>0</v>
      </c>
      <c r="R920" s="653">
        <f t="shared" si="937"/>
        <v>0</v>
      </c>
      <c r="S920" s="654">
        <f t="shared" si="937"/>
        <v>0</v>
      </c>
      <c r="T920" s="656" t="e">
        <f>+VLOOKUP($L920,Data_Validation!$A:$D,1,0)</f>
        <v>#N/A</v>
      </c>
      <c r="U920" s="656" t="e">
        <f>+VLOOKUP($L920,Data_Validation!$A:$D,3,0)</f>
        <v>#N/A</v>
      </c>
      <c r="V920" s="656" t="e">
        <f>+VLOOKUP($L920,Data_Validation!$A:$D,4,0)</f>
        <v>#N/A</v>
      </c>
      <c r="W920" s="656" t="e">
        <f>+VLOOKUP($L920,Data_Validation!$A:$E,5,0)</f>
        <v>#N/A</v>
      </c>
    </row>
    <row r="921" spans="1:23" ht="15.75" customHeight="1">
      <c r="A921" s="716"/>
      <c r="B921" s="654"/>
      <c r="C921" s="717"/>
      <c r="D921" s="716"/>
      <c r="E921" s="716"/>
      <c r="F921" s="716"/>
      <c r="G921" s="716"/>
      <c r="H921" s="716"/>
      <c r="I921" s="716"/>
      <c r="J921" s="716"/>
      <c r="K921" s="716"/>
      <c r="L921" s="653" t="str">
        <f t="shared" si="915"/>
        <v>0</v>
      </c>
      <c r="M921" s="654">
        <f t="shared" si="780"/>
        <v>0</v>
      </c>
      <c r="N921" s="655">
        <f>+IF(OR($Q921=Parametres!$G$2,$Q921=Parametres!$G$3),I921,C921)</f>
        <v>0</v>
      </c>
      <c r="O921" s="655">
        <f>+IF(OR($Q921=Parametres!$G$2,$Q921=Parametres!$G$3),J921,D921)</f>
        <v>0</v>
      </c>
      <c r="P921" s="655">
        <f>+IF(OR($Q921=Parametres!$G$2,$Q921=Parametres!$G$3),K921,E921)</f>
        <v>0</v>
      </c>
      <c r="Q921" s="654">
        <f t="shared" ref="Q921:S921" si="938">+F921</f>
        <v>0</v>
      </c>
      <c r="R921" s="653">
        <f t="shared" si="938"/>
        <v>0</v>
      </c>
      <c r="S921" s="654">
        <f t="shared" si="938"/>
        <v>0</v>
      </c>
      <c r="T921" s="656" t="e">
        <f>+VLOOKUP($L921,Data_Validation!$A:$D,1,0)</f>
        <v>#N/A</v>
      </c>
      <c r="U921" s="656" t="e">
        <f>+VLOOKUP($L921,Data_Validation!$A:$D,3,0)</f>
        <v>#N/A</v>
      </c>
      <c r="V921" s="656" t="e">
        <f>+VLOOKUP($L921,Data_Validation!$A:$D,4,0)</f>
        <v>#N/A</v>
      </c>
      <c r="W921" s="656" t="e">
        <f>+VLOOKUP($L921,Data_Validation!$A:$E,5,0)</f>
        <v>#N/A</v>
      </c>
    </row>
    <row r="922" spans="1:23" ht="15.75" customHeight="1">
      <c r="A922" s="716"/>
      <c r="B922" s="654"/>
      <c r="C922" s="717"/>
      <c r="D922" s="716"/>
      <c r="E922" s="716"/>
      <c r="F922" s="716"/>
      <c r="G922" s="716"/>
      <c r="H922" s="716"/>
      <c r="I922" s="716"/>
      <c r="J922" s="716"/>
      <c r="K922" s="716"/>
      <c r="L922" s="653" t="str">
        <f t="shared" si="915"/>
        <v>0</v>
      </c>
      <c r="M922" s="654">
        <f t="shared" si="780"/>
        <v>0</v>
      </c>
      <c r="N922" s="655">
        <f>+IF(OR($Q922=Parametres!$G$2,$Q922=Parametres!$G$3),I922,C922)</f>
        <v>0</v>
      </c>
      <c r="O922" s="655">
        <f>+IF(OR($Q922=Parametres!$G$2,$Q922=Parametres!$G$3),J922,D922)</f>
        <v>0</v>
      </c>
      <c r="P922" s="655">
        <f>+IF(OR($Q922=Parametres!$G$2,$Q922=Parametres!$G$3),K922,E922)</f>
        <v>0</v>
      </c>
      <c r="Q922" s="654">
        <f t="shared" ref="Q922:S922" si="939">+F922</f>
        <v>0</v>
      </c>
      <c r="R922" s="653">
        <f t="shared" si="939"/>
        <v>0</v>
      </c>
      <c r="S922" s="654">
        <f t="shared" si="939"/>
        <v>0</v>
      </c>
      <c r="T922" s="656" t="e">
        <f>+VLOOKUP($L922,Data_Validation!$A:$D,1,0)</f>
        <v>#N/A</v>
      </c>
      <c r="U922" s="656" t="e">
        <f>+VLOOKUP($L922,Data_Validation!$A:$D,3,0)</f>
        <v>#N/A</v>
      </c>
      <c r="V922" s="656" t="e">
        <f>+VLOOKUP($L922,Data_Validation!$A:$D,4,0)</f>
        <v>#N/A</v>
      </c>
      <c r="W922" s="656" t="e">
        <f>+VLOOKUP($L922,Data_Validation!$A:$E,5,0)</f>
        <v>#N/A</v>
      </c>
    </row>
    <row r="923" spans="1:23" ht="15.75" customHeight="1">
      <c r="A923" s="716"/>
      <c r="B923" s="654"/>
      <c r="C923" s="717"/>
      <c r="D923" s="716"/>
      <c r="E923" s="716"/>
      <c r="F923" s="716"/>
      <c r="G923" s="716"/>
      <c r="H923" s="716"/>
      <c r="I923" s="716"/>
      <c r="J923" s="716"/>
      <c r="K923" s="716"/>
      <c r="L923" s="653" t="str">
        <f t="shared" si="915"/>
        <v>0</v>
      </c>
      <c r="M923" s="654">
        <f t="shared" si="780"/>
        <v>0</v>
      </c>
      <c r="N923" s="655">
        <f>+IF(OR($Q923=Parametres!$G$2,$Q923=Parametres!$G$3),I923,C923)</f>
        <v>0</v>
      </c>
      <c r="O923" s="655">
        <f>+IF(OR($Q923=Parametres!$G$2,$Q923=Parametres!$G$3),J923,D923)</f>
        <v>0</v>
      </c>
      <c r="P923" s="655">
        <f>+IF(OR($Q923=Parametres!$G$2,$Q923=Parametres!$G$3),K923,E923)</f>
        <v>0</v>
      </c>
      <c r="Q923" s="654">
        <f t="shared" ref="Q923:S923" si="940">+F923</f>
        <v>0</v>
      </c>
      <c r="R923" s="653">
        <f t="shared" si="940"/>
        <v>0</v>
      </c>
      <c r="S923" s="654">
        <f t="shared" si="940"/>
        <v>0</v>
      </c>
      <c r="T923" s="656" t="e">
        <f>+VLOOKUP($L923,Data_Validation!$A:$D,1,0)</f>
        <v>#N/A</v>
      </c>
      <c r="U923" s="656" t="e">
        <f>+VLOOKUP($L923,Data_Validation!$A:$D,3,0)</f>
        <v>#N/A</v>
      </c>
      <c r="V923" s="656" t="e">
        <f>+VLOOKUP($L923,Data_Validation!$A:$D,4,0)</f>
        <v>#N/A</v>
      </c>
      <c r="W923" s="656" t="e">
        <f>+VLOOKUP($L923,Data_Validation!$A:$E,5,0)</f>
        <v>#N/A</v>
      </c>
    </row>
    <row r="924" spans="1:23" ht="15.75" customHeight="1">
      <c r="A924" s="716"/>
      <c r="B924" s="654"/>
      <c r="C924" s="717"/>
      <c r="D924" s="716"/>
      <c r="E924" s="716"/>
      <c r="F924" s="716"/>
      <c r="G924" s="716"/>
      <c r="H924" s="716"/>
      <c r="I924" s="716"/>
      <c r="J924" s="716"/>
      <c r="K924" s="716"/>
      <c r="L924" s="653" t="str">
        <f t="shared" si="915"/>
        <v>0</v>
      </c>
      <c r="M924" s="654">
        <f t="shared" si="780"/>
        <v>0</v>
      </c>
      <c r="N924" s="655">
        <f>+IF(OR($Q924=Parametres!$G$2,$Q924=Parametres!$G$3),I924,C924)</f>
        <v>0</v>
      </c>
      <c r="O924" s="655">
        <f>+IF(OR($Q924=Parametres!$G$2,$Q924=Parametres!$G$3),J924,D924)</f>
        <v>0</v>
      </c>
      <c r="P924" s="655">
        <f>+IF(OR($Q924=Parametres!$G$2,$Q924=Parametres!$G$3),K924,E924)</f>
        <v>0</v>
      </c>
      <c r="Q924" s="654">
        <f t="shared" ref="Q924:S924" si="941">+F924</f>
        <v>0</v>
      </c>
      <c r="R924" s="653">
        <f t="shared" si="941"/>
        <v>0</v>
      </c>
      <c r="S924" s="654">
        <f t="shared" si="941"/>
        <v>0</v>
      </c>
      <c r="T924" s="656" t="e">
        <f>+VLOOKUP($L924,Data_Validation!$A:$D,1,0)</f>
        <v>#N/A</v>
      </c>
      <c r="U924" s="656" t="e">
        <f>+VLOOKUP($L924,Data_Validation!$A:$D,3,0)</f>
        <v>#N/A</v>
      </c>
      <c r="V924" s="656" t="e">
        <f>+VLOOKUP($L924,Data_Validation!$A:$D,4,0)</f>
        <v>#N/A</v>
      </c>
      <c r="W924" s="656" t="e">
        <f>+VLOOKUP($L924,Data_Validation!$A:$E,5,0)</f>
        <v>#N/A</v>
      </c>
    </row>
    <row r="925" spans="1:23" ht="15.75" customHeight="1">
      <c r="A925" s="716"/>
      <c r="B925" s="654"/>
      <c r="C925" s="717"/>
      <c r="D925" s="716"/>
      <c r="E925" s="716"/>
      <c r="F925" s="716"/>
      <c r="G925" s="716"/>
      <c r="H925" s="716"/>
      <c r="I925" s="716"/>
      <c r="J925" s="716"/>
      <c r="K925" s="716"/>
      <c r="L925" s="653" t="str">
        <f t="shared" si="915"/>
        <v>0</v>
      </c>
      <c r="M925" s="654">
        <f t="shared" si="780"/>
        <v>0</v>
      </c>
      <c r="N925" s="655">
        <f>+IF(OR($Q925=Parametres!$G$2,$Q925=Parametres!$G$3),I925,C925)</f>
        <v>0</v>
      </c>
      <c r="O925" s="655">
        <f>+IF(OR($Q925=Parametres!$G$2,$Q925=Parametres!$G$3),J925,D925)</f>
        <v>0</v>
      </c>
      <c r="P925" s="655">
        <f>+IF(OR($Q925=Parametres!$G$2,$Q925=Parametres!$G$3),K925,E925)</f>
        <v>0</v>
      </c>
      <c r="Q925" s="654">
        <f t="shared" ref="Q925:S925" si="942">+F925</f>
        <v>0</v>
      </c>
      <c r="R925" s="653">
        <f t="shared" si="942"/>
        <v>0</v>
      </c>
      <c r="S925" s="654">
        <f t="shared" si="942"/>
        <v>0</v>
      </c>
      <c r="T925" s="656" t="e">
        <f>+VLOOKUP($L925,Data_Validation!$A:$D,1,0)</f>
        <v>#N/A</v>
      </c>
      <c r="U925" s="656" t="e">
        <f>+VLOOKUP($L925,Data_Validation!$A:$D,3,0)</f>
        <v>#N/A</v>
      </c>
      <c r="V925" s="656" t="e">
        <f>+VLOOKUP($L925,Data_Validation!$A:$D,4,0)</f>
        <v>#N/A</v>
      </c>
      <c r="W925" s="656" t="e">
        <f>+VLOOKUP($L925,Data_Validation!$A:$E,5,0)</f>
        <v>#N/A</v>
      </c>
    </row>
    <row r="926" spans="1:23" ht="15.75" customHeight="1">
      <c r="A926" s="716"/>
      <c r="B926" s="654"/>
      <c r="C926" s="717"/>
      <c r="D926" s="716"/>
      <c r="E926" s="716"/>
      <c r="F926" s="716"/>
      <c r="G926" s="716"/>
      <c r="H926" s="716"/>
      <c r="I926" s="716"/>
      <c r="J926" s="716"/>
      <c r="K926" s="716"/>
      <c r="L926" s="653" t="str">
        <f t="shared" si="915"/>
        <v>0</v>
      </c>
      <c r="M926" s="654">
        <f t="shared" si="780"/>
        <v>0</v>
      </c>
      <c r="N926" s="655">
        <f>+IF(OR($Q926=Parametres!$G$2,$Q926=Parametres!$G$3),I926,C926)</f>
        <v>0</v>
      </c>
      <c r="O926" s="655">
        <f>+IF(OR($Q926=Parametres!$G$2,$Q926=Parametres!$G$3),J926,D926)</f>
        <v>0</v>
      </c>
      <c r="P926" s="655">
        <f>+IF(OR($Q926=Parametres!$G$2,$Q926=Parametres!$G$3),K926,E926)</f>
        <v>0</v>
      </c>
      <c r="Q926" s="654">
        <f t="shared" ref="Q926:S926" si="943">+F926</f>
        <v>0</v>
      </c>
      <c r="R926" s="653">
        <f t="shared" si="943"/>
        <v>0</v>
      </c>
      <c r="S926" s="654">
        <f t="shared" si="943"/>
        <v>0</v>
      </c>
      <c r="T926" s="656" t="e">
        <f>+VLOOKUP($L926,Data_Validation!$A:$D,1,0)</f>
        <v>#N/A</v>
      </c>
      <c r="U926" s="656" t="e">
        <f>+VLOOKUP($L926,Data_Validation!$A:$D,3,0)</f>
        <v>#N/A</v>
      </c>
      <c r="V926" s="656" t="e">
        <f>+VLOOKUP($L926,Data_Validation!$A:$D,4,0)</f>
        <v>#N/A</v>
      </c>
      <c r="W926" s="656" t="e">
        <f>+VLOOKUP($L926,Data_Validation!$A:$E,5,0)</f>
        <v>#N/A</v>
      </c>
    </row>
    <row r="927" spans="1:23" ht="15.75" customHeight="1">
      <c r="A927" s="716"/>
      <c r="B927" s="654"/>
      <c r="C927" s="717"/>
      <c r="D927" s="716"/>
      <c r="E927" s="716"/>
      <c r="F927" s="716"/>
      <c r="G927" s="716"/>
      <c r="H927" s="716"/>
      <c r="I927" s="716"/>
      <c r="J927" s="716"/>
      <c r="K927" s="716"/>
      <c r="L927" s="653" t="str">
        <f t="shared" si="915"/>
        <v>0</v>
      </c>
      <c r="M927" s="654">
        <f t="shared" si="780"/>
        <v>0</v>
      </c>
      <c r="N927" s="655">
        <f>+IF(OR($Q927=Parametres!$G$2,$Q927=Parametres!$G$3),I927,C927)</f>
        <v>0</v>
      </c>
      <c r="O927" s="655">
        <f>+IF(OR($Q927=Parametres!$G$2,$Q927=Parametres!$G$3),J927,D927)</f>
        <v>0</v>
      </c>
      <c r="P927" s="655">
        <f>+IF(OR($Q927=Parametres!$G$2,$Q927=Parametres!$G$3),K927,E927)</f>
        <v>0</v>
      </c>
      <c r="Q927" s="654">
        <f t="shared" ref="Q927:S927" si="944">+F927</f>
        <v>0</v>
      </c>
      <c r="R927" s="653">
        <f t="shared" si="944"/>
        <v>0</v>
      </c>
      <c r="S927" s="654">
        <f t="shared" si="944"/>
        <v>0</v>
      </c>
      <c r="T927" s="656" t="e">
        <f>+VLOOKUP($L927,Data_Validation!$A:$D,1,0)</f>
        <v>#N/A</v>
      </c>
      <c r="U927" s="656" t="e">
        <f>+VLOOKUP($L927,Data_Validation!$A:$D,3,0)</f>
        <v>#N/A</v>
      </c>
      <c r="V927" s="656" t="e">
        <f>+VLOOKUP($L927,Data_Validation!$A:$D,4,0)</f>
        <v>#N/A</v>
      </c>
      <c r="W927" s="656" t="e">
        <f>+VLOOKUP($L927,Data_Validation!$A:$E,5,0)</f>
        <v>#N/A</v>
      </c>
    </row>
    <row r="928" spans="1:23" ht="15.75" customHeight="1">
      <c r="A928" s="716"/>
      <c r="B928" s="654"/>
      <c r="C928" s="717"/>
      <c r="D928" s="716"/>
      <c r="E928" s="716"/>
      <c r="F928" s="716"/>
      <c r="G928" s="716"/>
      <c r="H928" s="716"/>
      <c r="I928" s="716"/>
      <c r="J928" s="716"/>
      <c r="K928" s="716"/>
      <c r="L928" s="653" t="str">
        <f t="shared" si="915"/>
        <v>0</v>
      </c>
      <c r="M928" s="654">
        <f t="shared" si="780"/>
        <v>0</v>
      </c>
      <c r="N928" s="655">
        <f>+IF(OR($Q928=Parametres!$G$2,$Q928=Parametres!$G$3),I928,C928)</f>
        <v>0</v>
      </c>
      <c r="O928" s="655">
        <f>+IF(OR($Q928=Parametres!$G$2,$Q928=Parametres!$G$3),J928,D928)</f>
        <v>0</v>
      </c>
      <c r="P928" s="655">
        <f>+IF(OR($Q928=Parametres!$G$2,$Q928=Parametres!$G$3),K928,E928)</f>
        <v>0</v>
      </c>
      <c r="Q928" s="654">
        <f t="shared" ref="Q928:S928" si="945">+F928</f>
        <v>0</v>
      </c>
      <c r="R928" s="653">
        <f t="shared" si="945"/>
        <v>0</v>
      </c>
      <c r="S928" s="654">
        <f t="shared" si="945"/>
        <v>0</v>
      </c>
      <c r="T928" s="656" t="e">
        <f>+VLOOKUP($L928,Data_Validation!$A:$D,1,0)</f>
        <v>#N/A</v>
      </c>
      <c r="U928" s="656" t="e">
        <f>+VLOOKUP($L928,Data_Validation!$A:$D,3,0)</f>
        <v>#N/A</v>
      </c>
      <c r="V928" s="656" t="e">
        <f>+VLOOKUP($L928,Data_Validation!$A:$D,4,0)</f>
        <v>#N/A</v>
      </c>
      <c r="W928" s="656" t="e">
        <f>+VLOOKUP($L928,Data_Validation!$A:$E,5,0)</f>
        <v>#N/A</v>
      </c>
    </row>
    <row r="929" spans="1:23" ht="15.75" customHeight="1">
      <c r="A929" s="716"/>
      <c r="B929" s="654"/>
      <c r="C929" s="717"/>
      <c r="D929" s="716"/>
      <c r="E929" s="716"/>
      <c r="F929" s="716"/>
      <c r="G929" s="716"/>
      <c r="H929" s="716"/>
      <c r="I929" s="716"/>
      <c r="J929" s="716"/>
      <c r="K929" s="716"/>
      <c r="L929" s="653" t="str">
        <f t="shared" si="915"/>
        <v>0</v>
      </c>
      <c r="M929" s="654">
        <f t="shared" si="780"/>
        <v>0</v>
      </c>
      <c r="N929" s="655">
        <f>+IF(OR($Q929=Parametres!$G$2,$Q929=Parametres!$G$3),I929,C929)</f>
        <v>0</v>
      </c>
      <c r="O929" s="655">
        <f>+IF(OR($Q929=Parametres!$G$2,$Q929=Parametres!$G$3),J929,D929)</f>
        <v>0</v>
      </c>
      <c r="P929" s="655">
        <f>+IF(OR($Q929=Parametres!$G$2,$Q929=Parametres!$G$3),K929,E929)</f>
        <v>0</v>
      </c>
      <c r="Q929" s="654">
        <f t="shared" ref="Q929:S929" si="946">+F929</f>
        <v>0</v>
      </c>
      <c r="R929" s="653">
        <f t="shared" si="946"/>
        <v>0</v>
      </c>
      <c r="S929" s="654">
        <f t="shared" si="946"/>
        <v>0</v>
      </c>
      <c r="T929" s="656" t="e">
        <f>+VLOOKUP($L929,Data_Validation!$A:$D,1,0)</f>
        <v>#N/A</v>
      </c>
      <c r="U929" s="656" t="e">
        <f>+VLOOKUP($L929,Data_Validation!$A:$D,3,0)</f>
        <v>#N/A</v>
      </c>
      <c r="V929" s="656" t="e">
        <f>+VLOOKUP($L929,Data_Validation!$A:$D,4,0)</f>
        <v>#N/A</v>
      </c>
      <c r="W929" s="656" t="e">
        <f>+VLOOKUP($L929,Data_Validation!$A:$E,5,0)</f>
        <v>#N/A</v>
      </c>
    </row>
    <row r="930" spans="1:23" ht="15.75" customHeight="1">
      <c r="A930" s="716"/>
      <c r="B930" s="654"/>
      <c r="C930" s="717"/>
      <c r="D930" s="716"/>
      <c r="E930" s="716"/>
      <c r="F930" s="716"/>
      <c r="G930" s="716"/>
      <c r="H930" s="716"/>
      <c r="I930" s="716"/>
      <c r="J930" s="716"/>
      <c r="K930" s="716"/>
      <c r="L930" s="653" t="str">
        <f t="shared" si="915"/>
        <v>0</v>
      </c>
      <c r="M930" s="654">
        <f t="shared" si="780"/>
        <v>0</v>
      </c>
      <c r="N930" s="655">
        <f>+IF(OR($Q930=Parametres!$G$2,$Q930=Parametres!$G$3),I930,C930)</f>
        <v>0</v>
      </c>
      <c r="O930" s="655">
        <f>+IF(OR($Q930=Parametres!$G$2,$Q930=Parametres!$G$3),J930,D930)</f>
        <v>0</v>
      </c>
      <c r="P930" s="655">
        <f>+IF(OR($Q930=Parametres!$G$2,$Q930=Parametres!$G$3),K930,E930)</f>
        <v>0</v>
      </c>
      <c r="Q930" s="654">
        <f t="shared" ref="Q930:S930" si="947">+F930</f>
        <v>0</v>
      </c>
      <c r="R930" s="653">
        <f t="shared" si="947"/>
        <v>0</v>
      </c>
      <c r="S930" s="654">
        <f t="shared" si="947"/>
        <v>0</v>
      </c>
      <c r="T930" s="656" t="e">
        <f>+VLOOKUP($L930,Data_Validation!$A:$D,1,0)</f>
        <v>#N/A</v>
      </c>
      <c r="U930" s="656" t="e">
        <f>+VLOOKUP($L930,Data_Validation!$A:$D,3,0)</f>
        <v>#N/A</v>
      </c>
      <c r="V930" s="656" t="e">
        <f>+VLOOKUP($L930,Data_Validation!$A:$D,4,0)</f>
        <v>#N/A</v>
      </c>
      <c r="W930" s="656" t="e">
        <f>+VLOOKUP($L930,Data_Validation!$A:$E,5,0)</f>
        <v>#N/A</v>
      </c>
    </row>
    <row r="931" spans="1:23" ht="15.75" customHeight="1">
      <c r="A931" s="716"/>
      <c r="B931" s="654"/>
      <c r="C931" s="717"/>
      <c r="D931" s="716"/>
      <c r="E931" s="716"/>
      <c r="F931" s="716"/>
      <c r="G931" s="716"/>
      <c r="H931" s="716"/>
      <c r="I931" s="716"/>
      <c r="J931" s="716"/>
      <c r="K931" s="716"/>
      <c r="L931" s="653" t="str">
        <f t="shared" si="915"/>
        <v>0</v>
      </c>
      <c r="M931" s="654">
        <f t="shared" si="780"/>
        <v>0</v>
      </c>
      <c r="N931" s="655">
        <f>+IF(OR($Q931=Parametres!$G$2,$Q931=Parametres!$G$3),I931,C931)</f>
        <v>0</v>
      </c>
      <c r="O931" s="655">
        <f>+IF(OR($Q931=Parametres!$G$2,$Q931=Parametres!$G$3),J931,D931)</f>
        <v>0</v>
      </c>
      <c r="P931" s="655">
        <f>+IF(OR($Q931=Parametres!$G$2,$Q931=Parametres!$G$3),K931,E931)</f>
        <v>0</v>
      </c>
      <c r="Q931" s="654">
        <f t="shared" ref="Q931:S931" si="948">+F931</f>
        <v>0</v>
      </c>
      <c r="R931" s="653">
        <f t="shared" si="948"/>
        <v>0</v>
      </c>
      <c r="S931" s="654">
        <f t="shared" si="948"/>
        <v>0</v>
      </c>
      <c r="T931" s="656" t="e">
        <f>+VLOOKUP($L931,Data_Validation!$A:$D,1,0)</f>
        <v>#N/A</v>
      </c>
      <c r="U931" s="656" t="e">
        <f>+VLOOKUP($L931,Data_Validation!$A:$D,3,0)</f>
        <v>#N/A</v>
      </c>
      <c r="V931" s="656" t="e">
        <f>+VLOOKUP($L931,Data_Validation!$A:$D,4,0)</f>
        <v>#N/A</v>
      </c>
      <c r="W931" s="656" t="e">
        <f>+VLOOKUP($L931,Data_Validation!$A:$E,5,0)</f>
        <v>#N/A</v>
      </c>
    </row>
    <row r="932" spans="1:23" ht="15.75" customHeight="1">
      <c r="A932" s="716"/>
      <c r="B932" s="654"/>
      <c r="C932" s="717"/>
      <c r="D932" s="716"/>
      <c r="E932" s="716"/>
      <c r="F932" s="716"/>
      <c r="G932" s="716"/>
      <c r="H932" s="716"/>
      <c r="I932" s="716"/>
      <c r="J932" s="716"/>
      <c r="K932" s="716"/>
      <c r="L932" s="653" t="str">
        <f t="shared" si="915"/>
        <v>0</v>
      </c>
      <c r="M932" s="654">
        <f t="shared" si="780"/>
        <v>0</v>
      </c>
      <c r="N932" s="655">
        <f>+IF(OR($Q932=Parametres!$G$2,$Q932=Parametres!$G$3),I932,C932)</f>
        <v>0</v>
      </c>
      <c r="O932" s="655">
        <f>+IF(OR($Q932=Parametres!$G$2,$Q932=Parametres!$G$3),J932,D932)</f>
        <v>0</v>
      </c>
      <c r="P932" s="655">
        <f>+IF(OR($Q932=Parametres!$G$2,$Q932=Parametres!$G$3),K932,E932)</f>
        <v>0</v>
      </c>
      <c r="Q932" s="654">
        <f t="shared" ref="Q932:S932" si="949">+F932</f>
        <v>0</v>
      </c>
      <c r="R932" s="653">
        <f t="shared" si="949"/>
        <v>0</v>
      </c>
      <c r="S932" s="654">
        <f t="shared" si="949"/>
        <v>0</v>
      </c>
      <c r="T932" s="656" t="e">
        <f>+VLOOKUP($L932,Data_Validation!$A:$D,1,0)</f>
        <v>#N/A</v>
      </c>
      <c r="U932" s="656" t="e">
        <f>+VLOOKUP($L932,Data_Validation!$A:$D,3,0)</f>
        <v>#N/A</v>
      </c>
      <c r="V932" s="656" t="e">
        <f>+VLOOKUP($L932,Data_Validation!$A:$D,4,0)</f>
        <v>#N/A</v>
      </c>
      <c r="W932" s="656" t="e">
        <f>+VLOOKUP($L932,Data_Validation!$A:$E,5,0)</f>
        <v>#N/A</v>
      </c>
    </row>
    <row r="933" spans="1:23" ht="15.75" customHeight="1">
      <c r="A933" s="716"/>
      <c r="B933" s="654"/>
      <c r="C933" s="717"/>
      <c r="D933" s="716"/>
      <c r="E933" s="716"/>
      <c r="F933" s="716"/>
      <c r="G933" s="716"/>
      <c r="H933" s="716"/>
      <c r="I933" s="716"/>
      <c r="J933" s="716"/>
      <c r="K933" s="716"/>
      <c r="L933" s="653" t="str">
        <f t="shared" si="915"/>
        <v>0</v>
      </c>
      <c r="M933" s="654">
        <f t="shared" si="780"/>
        <v>0</v>
      </c>
      <c r="N933" s="655">
        <f>+IF(OR($Q933=Parametres!$G$2,$Q933=Parametres!$G$3),I933,C933)</f>
        <v>0</v>
      </c>
      <c r="O933" s="655">
        <f>+IF(OR($Q933=Parametres!$G$2,$Q933=Parametres!$G$3),J933,D933)</f>
        <v>0</v>
      </c>
      <c r="P933" s="655">
        <f>+IF(OR($Q933=Parametres!$G$2,$Q933=Parametres!$G$3),K933,E933)</f>
        <v>0</v>
      </c>
      <c r="Q933" s="654">
        <f t="shared" ref="Q933:S933" si="950">+F933</f>
        <v>0</v>
      </c>
      <c r="R933" s="653">
        <f t="shared" si="950"/>
        <v>0</v>
      </c>
      <c r="S933" s="654">
        <f t="shared" si="950"/>
        <v>0</v>
      </c>
      <c r="T933" s="656" t="e">
        <f>+VLOOKUP($L933,Data_Validation!$A:$D,1,0)</f>
        <v>#N/A</v>
      </c>
      <c r="U933" s="656" t="e">
        <f>+VLOOKUP($L933,Data_Validation!$A:$D,3,0)</f>
        <v>#N/A</v>
      </c>
      <c r="V933" s="656" t="e">
        <f>+VLOOKUP($L933,Data_Validation!$A:$D,4,0)</f>
        <v>#N/A</v>
      </c>
      <c r="W933" s="656" t="e">
        <f>+VLOOKUP($L933,Data_Validation!$A:$E,5,0)</f>
        <v>#N/A</v>
      </c>
    </row>
    <row r="934" spans="1:23" ht="15.75" customHeight="1">
      <c r="A934" s="716"/>
      <c r="B934" s="654"/>
      <c r="C934" s="717"/>
      <c r="D934" s="716"/>
      <c r="E934" s="716"/>
      <c r="F934" s="716"/>
      <c r="G934" s="716"/>
      <c r="H934" s="716"/>
      <c r="I934" s="716"/>
      <c r="J934" s="716"/>
      <c r="K934" s="716"/>
      <c r="L934" s="653" t="str">
        <f t="shared" si="915"/>
        <v>0</v>
      </c>
      <c r="M934" s="654">
        <f t="shared" si="780"/>
        <v>0</v>
      </c>
      <c r="N934" s="655">
        <f>+IF(OR($Q934=Parametres!$G$2,$Q934=Parametres!$G$3),I934,C934)</f>
        <v>0</v>
      </c>
      <c r="O934" s="655">
        <f>+IF(OR($Q934=Parametres!$G$2,$Q934=Parametres!$G$3),J934,D934)</f>
        <v>0</v>
      </c>
      <c r="P934" s="655">
        <f>+IF(OR($Q934=Parametres!$G$2,$Q934=Parametres!$G$3),K934,E934)</f>
        <v>0</v>
      </c>
      <c r="Q934" s="654">
        <f t="shared" ref="Q934:S934" si="951">+F934</f>
        <v>0</v>
      </c>
      <c r="R934" s="653">
        <f t="shared" si="951"/>
        <v>0</v>
      </c>
      <c r="S934" s="654">
        <f t="shared" si="951"/>
        <v>0</v>
      </c>
      <c r="T934" s="656" t="e">
        <f>+VLOOKUP($L934,Data_Validation!$A:$D,1,0)</f>
        <v>#N/A</v>
      </c>
      <c r="U934" s="656" t="e">
        <f>+VLOOKUP($L934,Data_Validation!$A:$D,3,0)</f>
        <v>#N/A</v>
      </c>
      <c r="V934" s="656" t="e">
        <f>+VLOOKUP($L934,Data_Validation!$A:$D,4,0)</f>
        <v>#N/A</v>
      </c>
      <c r="W934" s="656" t="e">
        <f>+VLOOKUP($L934,Data_Validation!$A:$E,5,0)</f>
        <v>#N/A</v>
      </c>
    </row>
    <row r="935" spans="1:23" ht="15.75" customHeight="1">
      <c r="A935" s="716"/>
      <c r="B935" s="654"/>
      <c r="C935" s="717"/>
      <c r="D935" s="716"/>
      <c r="E935" s="716"/>
      <c r="F935" s="716"/>
      <c r="G935" s="716"/>
      <c r="H935" s="716"/>
      <c r="I935" s="716"/>
      <c r="J935" s="716"/>
      <c r="K935" s="716"/>
      <c r="L935" s="653" t="str">
        <f t="shared" si="915"/>
        <v>0</v>
      </c>
      <c r="M935" s="654">
        <f t="shared" si="780"/>
        <v>0</v>
      </c>
      <c r="N935" s="655">
        <f>+IF(OR($Q935=Parametres!$G$2,$Q935=Parametres!$G$3),I935,C935)</f>
        <v>0</v>
      </c>
      <c r="O935" s="655">
        <f>+IF(OR($Q935=Parametres!$G$2,$Q935=Parametres!$G$3),J935,D935)</f>
        <v>0</v>
      </c>
      <c r="P935" s="655">
        <f>+IF(OR($Q935=Parametres!$G$2,$Q935=Parametres!$G$3),K935,E935)</f>
        <v>0</v>
      </c>
      <c r="Q935" s="654">
        <f t="shared" ref="Q935:S935" si="952">+F935</f>
        <v>0</v>
      </c>
      <c r="R935" s="653">
        <f t="shared" si="952"/>
        <v>0</v>
      </c>
      <c r="S935" s="654">
        <f t="shared" si="952"/>
        <v>0</v>
      </c>
      <c r="T935" s="656" t="e">
        <f>+VLOOKUP($L935,Data_Validation!$A:$D,1,0)</f>
        <v>#N/A</v>
      </c>
      <c r="U935" s="656" t="e">
        <f>+VLOOKUP($L935,Data_Validation!$A:$D,3,0)</f>
        <v>#N/A</v>
      </c>
      <c r="V935" s="656" t="e">
        <f>+VLOOKUP($L935,Data_Validation!$A:$D,4,0)</f>
        <v>#N/A</v>
      </c>
      <c r="W935" s="656" t="e">
        <f>+VLOOKUP($L935,Data_Validation!$A:$E,5,0)</f>
        <v>#N/A</v>
      </c>
    </row>
    <row r="936" spans="1:23" ht="15.75" customHeight="1">
      <c r="A936" s="716"/>
      <c r="B936" s="654"/>
      <c r="C936" s="717"/>
      <c r="D936" s="716"/>
      <c r="E936" s="716"/>
      <c r="F936" s="716"/>
      <c r="G936" s="716"/>
      <c r="H936" s="716"/>
      <c r="I936" s="716"/>
      <c r="J936" s="716"/>
      <c r="K936" s="716"/>
      <c r="L936" s="653" t="str">
        <f t="shared" si="915"/>
        <v>0</v>
      </c>
      <c r="M936" s="654">
        <f t="shared" si="780"/>
        <v>0</v>
      </c>
      <c r="N936" s="655">
        <f>+IF(OR($Q936=Parametres!$G$2,$Q936=Parametres!$G$3),I936,C936)</f>
        <v>0</v>
      </c>
      <c r="O936" s="655">
        <f>+IF(OR($Q936=Parametres!$G$2,$Q936=Parametres!$G$3),J936,D936)</f>
        <v>0</v>
      </c>
      <c r="P936" s="655">
        <f>+IF(OR($Q936=Parametres!$G$2,$Q936=Parametres!$G$3),K936,E936)</f>
        <v>0</v>
      </c>
      <c r="Q936" s="654">
        <f t="shared" ref="Q936:S936" si="953">+F936</f>
        <v>0</v>
      </c>
      <c r="R936" s="653">
        <f t="shared" si="953"/>
        <v>0</v>
      </c>
      <c r="S936" s="654">
        <f t="shared" si="953"/>
        <v>0</v>
      </c>
      <c r="T936" s="656" t="e">
        <f>+VLOOKUP($L936,Data_Validation!$A:$D,1,0)</f>
        <v>#N/A</v>
      </c>
      <c r="U936" s="656" t="e">
        <f>+VLOOKUP($L936,Data_Validation!$A:$D,3,0)</f>
        <v>#N/A</v>
      </c>
      <c r="V936" s="656" t="e">
        <f>+VLOOKUP($L936,Data_Validation!$A:$D,4,0)</f>
        <v>#N/A</v>
      </c>
      <c r="W936" s="656" t="e">
        <f>+VLOOKUP($L936,Data_Validation!$A:$E,5,0)</f>
        <v>#N/A</v>
      </c>
    </row>
    <row r="937" spans="1:23" ht="15.75" customHeight="1">
      <c r="A937" s="716"/>
      <c r="B937" s="654"/>
      <c r="C937" s="717"/>
      <c r="D937" s="716"/>
      <c r="E937" s="716"/>
      <c r="F937" s="716"/>
      <c r="G937" s="716"/>
      <c r="H937" s="716"/>
      <c r="I937" s="716"/>
      <c r="J937" s="716"/>
      <c r="K937" s="716"/>
      <c r="L937" s="653" t="str">
        <f t="shared" si="915"/>
        <v>0</v>
      </c>
      <c r="M937" s="654">
        <f t="shared" si="780"/>
        <v>0</v>
      </c>
      <c r="N937" s="655">
        <f>+IF(OR($Q937=Parametres!$G$2,$Q937=Parametres!$G$3),I937,C937)</f>
        <v>0</v>
      </c>
      <c r="O937" s="655">
        <f>+IF(OR($Q937=Parametres!$G$2,$Q937=Parametres!$G$3),J937,D937)</f>
        <v>0</v>
      </c>
      <c r="P937" s="655">
        <f>+IF(OR($Q937=Parametres!$G$2,$Q937=Parametres!$G$3),K937,E937)</f>
        <v>0</v>
      </c>
      <c r="Q937" s="654">
        <f t="shared" ref="Q937:S937" si="954">+F937</f>
        <v>0</v>
      </c>
      <c r="R937" s="653">
        <f t="shared" si="954"/>
        <v>0</v>
      </c>
      <c r="S937" s="654">
        <f t="shared" si="954"/>
        <v>0</v>
      </c>
      <c r="T937" s="656" t="e">
        <f>+VLOOKUP($L937,Data_Validation!$A:$D,1,0)</f>
        <v>#N/A</v>
      </c>
      <c r="U937" s="656" t="e">
        <f>+VLOOKUP($L937,Data_Validation!$A:$D,3,0)</f>
        <v>#N/A</v>
      </c>
      <c r="V937" s="656" t="e">
        <f>+VLOOKUP($L937,Data_Validation!$A:$D,4,0)</f>
        <v>#N/A</v>
      </c>
      <c r="W937" s="656" t="e">
        <f>+VLOOKUP($L937,Data_Validation!$A:$E,5,0)</f>
        <v>#N/A</v>
      </c>
    </row>
    <row r="938" spans="1:23" ht="15.75" customHeight="1">
      <c r="A938" s="716"/>
      <c r="B938" s="654"/>
      <c r="C938" s="717"/>
      <c r="D938" s="716"/>
      <c r="E938" s="716"/>
      <c r="F938" s="716"/>
      <c r="G938" s="716"/>
      <c r="H938" s="716"/>
      <c r="I938" s="716"/>
      <c r="J938" s="716"/>
      <c r="K938" s="716"/>
      <c r="L938" s="653" t="str">
        <f t="shared" si="915"/>
        <v>0</v>
      </c>
      <c r="M938" s="654">
        <f t="shared" si="780"/>
        <v>0</v>
      </c>
      <c r="N938" s="655">
        <f>+IF(OR($Q938=Parametres!$G$2,$Q938=Parametres!$G$3),I938,C938)</f>
        <v>0</v>
      </c>
      <c r="O938" s="655">
        <f>+IF(OR($Q938=Parametres!$G$2,$Q938=Parametres!$G$3),J938,D938)</f>
        <v>0</v>
      </c>
      <c r="P938" s="655">
        <f>+IF(OR($Q938=Parametres!$G$2,$Q938=Parametres!$G$3),K938,E938)</f>
        <v>0</v>
      </c>
      <c r="Q938" s="654">
        <f t="shared" ref="Q938:S938" si="955">+F938</f>
        <v>0</v>
      </c>
      <c r="R938" s="653">
        <f t="shared" si="955"/>
        <v>0</v>
      </c>
      <c r="S938" s="654">
        <f t="shared" si="955"/>
        <v>0</v>
      </c>
      <c r="T938" s="656" t="e">
        <f>+VLOOKUP($L938,Data_Validation!$A:$D,1,0)</f>
        <v>#N/A</v>
      </c>
      <c r="U938" s="656" t="e">
        <f>+VLOOKUP($L938,Data_Validation!$A:$D,3,0)</f>
        <v>#N/A</v>
      </c>
      <c r="V938" s="656" t="e">
        <f>+VLOOKUP($L938,Data_Validation!$A:$D,4,0)</f>
        <v>#N/A</v>
      </c>
      <c r="W938" s="656" t="e">
        <f>+VLOOKUP($L938,Data_Validation!$A:$E,5,0)</f>
        <v>#N/A</v>
      </c>
    </row>
    <row r="939" spans="1:23" ht="15.75" customHeight="1">
      <c r="A939" s="716"/>
      <c r="B939" s="654"/>
      <c r="C939" s="717"/>
      <c r="D939" s="716"/>
      <c r="E939" s="716"/>
      <c r="F939" s="716"/>
      <c r="G939" s="716"/>
      <c r="H939" s="716"/>
      <c r="I939" s="716"/>
      <c r="J939" s="716"/>
      <c r="K939" s="716"/>
      <c r="L939" s="653" t="str">
        <f t="shared" si="915"/>
        <v>0</v>
      </c>
      <c r="M939" s="654">
        <f t="shared" si="780"/>
        <v>0</v>
      </c>
      <c r="N939" s="655">
        <f>+IF(OR($Q939=Parametres!$G$2,$Q939=Parametres!$G$3),I939,C939)</f>
        <v>0</v>
      </c>
      <c r="O939" s="655">
        <f>+IF(OR($Q939=Parametres!$G$2,$Q939=Parametres!$G$3),J939,D939)</f>
        <v>0</v>
      </c>
      <c r="P939" s="655">
        <f>+IF(OR($Q939=Parametres!$G$2,$Q939=Parametres!$G$3),K939,E939)</f>
        <v>0</v>
      </c>
      <c r="Q939" s="654">
        <f t="shared" ref="Q939:S939" si="956">+F939</f>
        <v>0</v>
      </c>
      <c r="R939" s="653">
        <f t="shared" si="956"/>
        <v>0</v>
      </c>
      <c r="S939" s="654">
        <f t="shared" si="956"/>
        <v>0</v>
      </c>
      <c r="T939" s="656" t="e">
        <f>+VLOOKUP($L939,Data_Validation!$A:$D,1,0)</f>
        <v>#N/A</v>
      </c>
      <c r="U939" s="656" t="e">
        <f>+VLOOKUP($L939,Data_Validation!$A:$D,3,0)</f>
        <v>#N/A</v>
      </c>
      <c r="V939" s="656" t="e">
        <f>+VLOOKUP($L939,Data_Validation!$A:$D,4,0)</f>
        <v>#N/A</v>
      </c>
      <c r="W939" s="656" t="e">
        <f>+VLOOKUP($L939,Data_Validation!$A:$E,5,0)</f>
        <v>#N/A</v>
      </c>
    </row>
    <row r="940" spans="1:23" ht="15.75" customHeight="1">
      <c r="A940" s="716"/>
      <c r="B940" s="654"/>
      <c r="C940" s="717"/>
      <c r="D940" s="716"/>
      <c r="E940" s="716"/>
      <c r="F940" s="716"/>
      <c r="G940" s="716"/>
      <c r="H940" s="716"/>
      <c r="I940" s="716"/>
      <c r="J940" s="716"/>
      <c r="K940" s="716"/>
      <c r="L940" s="653" t="str">
        <f t="shared" si="915"/>
        <v>0</v>
      </c>
      <c r="M940" s="654">
        <f t="shared" si="780"/>
        <v>0</v>
      </c>
      <c r="N940" s="655">
        <f>+IF(OR($Q940=Parametres!$G$2,$Q940=Parametres!$G$3),I940,C940)</f>
        <v>0</v>
      </c>
      <c r="O940" s="655">
        <f>+IF(OR($Q940=Parametres!$G$2,$Q940=Parametres!$G$3),J940,D940)</f>
        <v>0</v>
      </c>
      <c r="P940" s="655">
        <f>+IF(OR($Q940=Parametres!$G$2,$Q940=Parametres!$G$3),K940,E940)</f>
        <v>0</v>
      </c>
      <c r="Q940" s="654">
        <f t="shared" ref="Q940:S940" si="957">+F940</f>
        <v>0</v>
      </c>
      <c r="R940" s="653">
        <f t="shared" si="957"/>
        <v>0</v>
      </c>
      <c r="S940" s="654">
        <f t="shared" si="957"/>
        <v>0</v>
      </c>
      <c r="T940" s="656" t="e">
        <f>+VLOOKUP($L940,Data_Validation!$A:$D,1,0)</f>
        <v>#N/A</v>
      </c>
      <c r="U940" s="656" t="e">
        <f>+VLOOKUP($L940,Data_Validation!$A:$D,3,0)</f>
        <v>#N/A</v>
      </c>
      <c r="V940" s="656" t="e">
        <f>+VLOOKUP($L940,Data_Validation!$A:$D,4,0)</f>
        <v>#N/A</v>
      </c>
      <c r="W940" s="656" t="e">
        <f>+VLOOKUP($L940,Data_Validation!$A:$E,5,0)</f>
        <v>#N/A</v>
      </c>
    </row>
    <row r="941" spans="1:23" ht="15.75" customHeight="1">
      <c r="A941" s="716"/>
      <c r="B941" s="654"/>
      <c r="C941" s="717"/>
      <c r="D941" s="716"/>
      <c r="E941" s="716"/>
      <c r="F941" s="716"/>
      <c r="G941" s="716"/>
      <c r="H941" s="716"/>
      <c r="I941" s="716"/>
      <c r="J941" s="716"/>
      <c r="K941" s="716"/>
      <c r="L941" s="653" t="str">
        <f t="shared" si="915"/>
        <v>0</v>
      </c>
      <c r="M941" s="654">
        <f t="shared" si="780"/>
        <v>0</v>
      </c>
      <c r="N941" s="655">
        <f>+IF(OR($Q941=Parametres!$G$2,$Q941=Parametres!$G$3),I941,C941)</f>
        <v>0</v>
      </c>
      <c r="O941" s="655">
        <f>+IF(OR($Q941=Parametres!$G$2,$Q941=Parametres!$G$3),J941,D941)</f>
        <v>0</v>
      </c>
      <c r="P941" s="655">
        <f>+IF(OR($Q941=Parametres!$G$2,$Q941=Parametres!$G$3),K941,E941)</f>
        <v>0</v>
      </c>
      <c r="Q941" s="654">
        <f t="shared" ref="Q941:S941" si="958">+F941</f>
        <v>0</v>
      </c>
      <c r="R941" s="653">
        <f t="shared" si="958"/>
        <v>0</v>
      </c>
      <c r="S941" s="654">
        <f t="shared" si="958"/>
        <v>0</v>
      </c>
      <c r="T941" s="656" t="e">
        <f>+VLOOKUP($L941,Data_Validation!$A:$D,1,0)</f>
        <v>#N/A</v>
      </c>
      <c r="U941" s="656" t="e">
        <f>+VLOOKUP($L941,Data_Validation!$A:$D,3,0)</f>
        <v>#N/A</v>
      </c>
      <c r="V941" s="656" t="e">
        <f>+VLOOKUP($L941,Data_Validation!$A:$D,4,0)</f>
        <v>#N/A</v>
      </c>
      <c r="W941" s="656" t="e">
        <f>+VLOOKUP($L941,Data_Validation!$A:$E,5,0)</f>
        <v>#N/A</v>
      </c>
    </row>
    <row r="942" spans="1:23" ht="15.75" customHeight="1">
      <c r="A942" s="716"/>
      <c r="B942" s="654"/>
      <c r="C942" s="717"/>
      <c r="D942" s="716"/>
      <c r="E942" s="716"/>
      <c r="F942" s="716"/>
      <c r="G942" s="716"/>
      <c r="H942" s="716"/>
      <c r="I942" s="716"/>
      <c r="J942" s="716"/>
      <c r="K942" s="716"/>
      <c r="L942" s="653" t="str">
        <f t="shared" si="915"/>
        <v>0</v>
      </c>
      <c r="M942" s="654">
        <f t="shared" si="780"/>
        <v>0</v>
      </c>
      <c r="N942" s="655">
        <f>+IF(OR($Q942=Parametres!$G$2,$Q942=Parametres!$G$3),I942,C942)</f>
        <v>0</v>
      </c>
      <c r="O942" s="655">
        <f>+IF(OR($Q942=Parametres!$G$2,$Q942=Parametres!$G$3),J942,D942)</f>
        <v>0</v>
      </c>
      <c r="P942" s="655">
        <f>+IF(OR($Q942=Parametres!$G$2,$Q942=Parametres!$G$3),K942,E942)</f>
        <v>0</v>
      </c>
      <c r="Q942" s="654">
        <f t="shared" ref="Q942:S942" si="959">+F942</f>
        <v>0</v>
      </c>
      <c r="R942" s="653">
        <f t="shared" si="959"/>
        <v>0</v>
      </c>
      <c r="S942" s="654">
        <f t="shared" si="959"/>
        <v>0</v>
      </c>
      <c r="T942" s="656" t="e">
        <f>+VLOOKUP($L942,Data_Validation!$A:$D,1,0)</f>
        <v>#N/A</v>
      </c>
      <c r="U942" s="656" t="e">
        <f>+VLOOKUP($L942,Data_Validation!$A:$D,3,0)</f>
        <v>#N/A</v>
      </c>
      <c r="V942" s="656" t="e">
        <f>+VLOOKUP($L942,Data_Validation!$A:$D,4,0)</f>
        <v>#N/A</v>
      </c>
      <c r="W942" s="656" t="e">
        <f>+VLOOKUP($L942,Data_Validation!$A:$E,5,0)</f>
        <v>#N/A</v>
      </c>
    </row>
    <row r="943" spans="1:23" ht="15.75" customHeight="1">
      <c r="A943" s="716"/>
      <c r="B943" s="654"/>
      <c r="C943" s="717"/>
      <c r="D943" s="716"/>
      <c r="E943" s="716"/>
      <c r="F943" s="716"/>
      <c r="G943" s="716"/>
      <c r="H943" s="716"/>
      <c r="I943" s="716"/>
      <c r="J943" s="716"/>
      <c r="K943" s="716"/>
      <c r="L943" s="653" t="str">
        <f t="shared" si="915"/>
        <v>0</v>
      </c>
      <c r="M943" s="654">
        <f t="shared" si="780"/>
        <v>0</v>
      </c>
      <c r="N943" s="655">
        <f>+IF(OR($Q943=Parametres!$G$2,$Q943=Parametres!$G$3),I943,C943)</f>
        <v>0</v>
      </c>
      <c r="O943" s="655">
        <f>+IF(OR($Q943=Parametres!$G$2,$Q943=Parametres!$G$3),J943,D943)</f>
        <v>0</v>
      </c>
      <c r="P943" s="655">
        <f>+IF(OR($Q943=Parametres!$G$2,$Q943=Parametres!$G$3),K943,E943)</f>
        <v>0</v>
      </c>
      <c r="Q943" s="654">
        <f t="shared" ref="Q943:S943" si="960">+F943</f>
        <v>0</v>
      </c>
      <c r="R943" s="653">
        <f t="shared" si="960"/>
        <v>0</v>
      </c>
      <c r="S943" s="654">
        <f t="shared" si="960"/>
        <v>0</v>
      </c>
      <c r="T943" s="656" t="e">
        <f>+VLOOKUP($L943,Data_Validation!$A:$D,1,0)</f>
        <v>#N/A</v>
      </c>
      <c r="U943" s="656" t="e">
        <f>+VLOOKUP($L943,Data_Validation!$A:$D,3,0)</f>
        <v>#N/A</v>
      </c>
      <c r="V943" s="656" t="e">
        <f>+VLOOKUP($L943,Data_Validation!$A:$D,4,0)</f>
        <v>#N/A</v>
      </c>
      <c r="W943" s="656" t="e">
        <f>+VLOOKUP($L943,Data_Validation!$A:$E,5,0)</f>
        <v>#N/A</v>
      </c>
    </row>
    <row r="944" spans="1:23" ht="15.75" customHeight="1">
      <c r="A944" s="716"/>
      <c r="B944" s="654"/>
      <c r="C944" s="717"/>
      <c r="D944" s="716"/>
      <c r="E944" s="716"/>
      <c r="F944" s="716"/>
      <c r="G944" s="716"/>
      <c r="H944" s="716"/>
      <c r="I944" s="716"/>
      <c r="J944" s="716"/>
      <c r="K944" s="716"/>
      <c r="L944" s="653" t="str">
        <f t="shared" si="915"/>
        <v>0</v>
      </c>
      <c r="M944" s="654">
        <f t="shared" si="780"/>
        <v>0</v>
      </c>
      <c r="N944" s="655">
        <f>+IF(OR($Q944=Parametres!$G$2,$Q944=Parametres!$G$3),I944,C944)</f>
        <v>0</v>
      </c>
      <c r="O944" s="655">
        <f>+IF(OR($Q944=Parametres!$G$2,$Q944=Parametres!$G$3),J944,D944)</f>
        <v>0</v>
      </c>
      <c r="P944" s="655">
        <f>+IF(OR($Q944=Parametres!$G$2,$Q944=Parametres!$G$3),K944,E944)</f>
        <v>0</v>
      </c>
      <c r="Q944" s="654">
        <f t="shared" ref="Q944:S944" si="961">+F944</f>
        <v>0</v>
      </c>
      <c r="R944" s="653">
        <f t="shared" si="961"/>
        <v>0</v>
      </c>
      <c r="S944" s="654">
        <f t="shared" si="961"/>
        <v>0</v>
      </c>
      <c r="T944" s="656" t="e">
        <f>+VLOOKUP($L944,Data_Validation!$A:$D,1,0)</f>
        <v>#N/A</v>
      </c>
      <c r="U944" s="656" t="e">
        <f>+VLOOKUP($L944,Data_Validation!$A:$D,3,0)</f>
        <v>#N/A</v>
      </c>
      <c r="V944" s="656" t="e">
        <f>+VLOOKUP($L944,Data_Validation!$A:$D,4,0)</f>
        <v>#N/A</v>
      </c>
      <c r="W944" s="656" t="e">
        <f>+VLOOKUP($L944,Data_Validation!$A:$E,5,0)</f>
        <v>#N/A</v>
      </c>
    </row>
    <row r="945" spans="1:23" ht="15.75" customHeight="1">
      <c r="A945" s="716"/>
      <c r="B945" s="654"/>
      <c r="C945" s="717"/>
      <c r="D945" s="716"/>
      <c r="E945" s="716"/>
      <c r="F945" s="716"/>
      <c r="G945" s="716"/>
      <c r="H945" s="716"/>
      <c r="I945" s="716"/>
      <c r="J945" s="716"/>
      <c r="K945" s="716"/>
      <c r="L945" s="653" t="str">
        <f t="shared" si="915"/>
        <v>0</v>
      </c>
      <c r="M945" s="654">
        <f t="shared" si="780"/>
        <v>0</v>
      </c>
      <c r="N945" s="655">
        <f>+IF(OR($Q945=Parametres!$G$2,$Q945=Parametres!$G$3),I945,C945)</f>
        <v>0</v>
      </c>
      <c r="O945" s="655">
        <f>+IF(OR($Q945=Parametres!$G$2,$Q945=Parametres!$G$3),J945,D945)</f>
        <v>0</v>
      </c>
      <c r="P945" s="655">
        <f>+IF(OR($Q945=Parametres!$G$2,$Q945=Parametres!$G$3),K945,E945)</f>
        <v>0</v>
      </c>
      <c r="Q945" s="654">
        <f t="shared" ref="Q945:S945" si="962">+F945</f>
        <v>0</v>
      </c>
      <c r="R945" s="653">
        <f t="shared" si="962"/>
        <v>0</v>
      </c>
      <c r="S945" s="654">
        <f t="shared" si="962"/>
        <v>0</v>
      </c>
      <c r="T945" s="656" t="e">
        <f>+VLOOKUP($L945,Data_Validation!$A:$D,1,0)</f>
        <v>#N/A</v>
      </c>
      <c r="U945" s="656" t="e">
        <f>+VLOOKUP($L945,Data_Validation!$A:$D,3,0)</f>
        <v>#N/A</v>
      </c>
      <c r="V945" s="656" t="e">
        <f>+VLOOKUP($L945,Data_Validation!$A:$D,4,0)</f>
        <v>#N/A</v>
      </c>
      <c r="W945" s="656" t="e">
        <f>+VLOOKUP($L945,Data_Validation!$A:$E,5,0)</f>
        <v>#N/A</v>
      </c>
    </row>
    <row r="946" spans="1:23" ht="15.75" customHeight="1">
      <c r="A946" s="716"/>
      <c r="B946" s="654"/>
      <c r="C946" s="717"/>
      <c r="D946" s="716"/>
      <c r="E946" s="716"/>
      <c r="F946" s="716"/>
      <c r="G946" s="716"/>
      <c r="H946" s="716"/>
      <c r="I946" s="716"/>
      <c r="J946" s="716"/>
      <c r="K946" s="716"/>
      <c r="L946" s="653" t="str">
        <f t="shared" si="915"/>
        <v>0</v>
      </c>
      <c r="M946" s="654">
        <f t="shared" si="780"/>
        <v>0</v>
      </c>
      <c r="N946" s="655">
        <f>+IF(OR($Q946=Parametres!$G$2,$Q946=Parametres!$G$3),I946,C946)</f>
        <v>0</v>
      </c>
      <c r="O946" s="655">
        <f>+IF(OR($Q946=Parametres!$G$2,$Q946=Parametres!$G$3),J946,D946)</f>
        <v>0</v>
      </c>
      <c r="P946" s="655">
        <f>+IF(OR($Q946=Parametres!$G$2,$Q946=Parametres!$G$3),K946,E946)</f>
        <v>0</v>
      </c>
      <c r="Q946" s="654">
        <f t="shared" ref="Q946:S946" si="963">+F946</f>
        <v>0</v>
      </c>
      <c r="R946" s="653">
        <f t="shared" si="963"/>
        <v>0</v>
      </c>
      <c r="S946" s="654">
        <f t="shared" si="963"/>
        <v>0</v>
      </c>
      <c r="T946" s="656" t="e">
        <f>+VLOOKUP($L946,Data_Validation!$A:$D,1,0)</f>
        <v>#N/A</v>
      </c>
      <c r="U946" s="656" t="e">
        <f>+VLOOKUP($L946,Data_Validation!$A:$D,3,0)</f>
        <v>#N/A</v>
      </c>
      <c r="V946" s="656" t="e">
        <f>+VLOOKUP($L946,Data_Validation!$A:$D,4,0)</f>
        <v>#N/A</v>
      </c>
      <c r="W946" s="656" t="e">
        <f>+VLOOKUP($L946,Data_Validation!$A:$E,5,0)</f>
        <v>#N/A</v>
      </c>
    </row>
    <row r="947" spans="1:23" ht="15.75" customHeight="1">
      <c r="A947" s="716"/>
      <c r="B947" s="654"/>
      <c r="C947" s="717"/>
      <c r="D947" s="716"/>
      <c r="E947" s="716"/>
      <c r="F947" s="716"/>
      <c r="G947" s="716"/>
      <c r="H947" s="716"/>
      <c r="I947" s="716"/>
      <c r="J947" s="716"/>
      <c r="K947" s="716"/>
      <c r="L947" s="653" t="str">
        <f t="shared" si="915"/>
        <v>0</v>
      </c>
      <c r="M947" s="654">
        <f t="shared" si="780"/>
        <v>0</v>
      </c>
      <c r="N947" s="655">
        <f>+IF(OR($Q947=Parametres!$G$2,$Q947=Parametres!$G$3),I947,C947)</f>
        <v>0</v>
      </c>
      <c r="O947" s="655">
        <f>+IF(OR($Q947=Parametres!$G$2,$Q947=Parametres!$G$3),J947,D947)</f>
        <v>0</v>
      </c>
      <c r="P947" s="655">
        <f>+IF(OR($Q947=Parametres!$G$2,$Q947=Parametres!$G$3),K947,E947)</f>
        <v>0</v>
      </c>
      <c r="Q947" s="654">
        <f t="shared" ref="Q947:S947" si="964">+F947</f>
        <v>0</v>
      </c>
      <c r="R947" s="653">
        <f t="shared" si="964"/>
        <v>0</v>
      </c>
      <c r="S947" s="654">
        <f t="shared" si="964"/>
        <v>0</v>
      </c>
      <c r="T947" s="656" t="e">
        <f>+VLOOKUP($L947,Data_Validation!$A:$D,1,0)</f>
        <v>#N/A</v>
      </c>
      <c r="U947" s="656" t="e">
        <f>+VLOOKUP($L947,Data_Validation!$A:$D,3,0)</f>
        <v>#N/A</v>
      </c>
      <c r="V947" s="656" t="e">
        <f>+VLOOKUP($L947,Data_Validation!$A:$D,4,0)</f>
        <v>#N/A</v>
      </c>
      <c r="W947" s="656" t="e">
        <f>+VLOOKUP($L947,Data_Validation!$A:$E,5,0)</f>
        <v>#N/A</v>
      </c>
    </row>
    <row r="948" spans="1:23" ht="15.75" customHeight="1">
      <c r="A948" s="716"/>
      <c r="B948" s="654"/>
      <c r="C948" s="717"/>
      <c r="D948" s="716"/>
      <c r="E948" s="716"/>
      <c r="F948" s="716"/>
      <c r="G948" s="716"/>
      <c r="H948" s="716"/>
      <c r="I948" s="716"/>
      <c r="J948" s="716"/>
      <c r="K948" s="716"/>
      <c r="L948" s="653" t="str">
        <f t="shared" si="915"/>
        <v>0</v>
      </c>
      <c r="M948" s="654">
        <f t="shared" si="780"/>
        <v>0</v>
      </c>
      <c r="N948" s="655">
        <f>+IF(OR($Q948=Parametres!$G$2,$Q948=Parametres!$G$3),I948,C948)</f>
        <v>0</v>
      </c>
      <c r="O948" s="655">
        <f>+IF(OR($Q948=Parametres!$G$2,$Q948=Parametres!$G$3),J948,D948)</f>
        <v>0</v>
      </c>
      <c r="P948" s="655">
        <f>+IF(OR($Q948=Parametres!$G$2,$Q948=Parametres!$G$3),K948,E948)</f>
        <v>0</v>
      </c>
      <c r="Q948" s="654">
        <f t="shared" ref="Q948:S948" si="965">+F948</f>
        <v>0</v>
      </c>
      <c r="R948" s="653">
        <f t="shared" si="965"/>
        <v>0</v>
      </c>
      <c r="S948" s="654">
        <f t="shared" si="965"/>
        <v>0</v>
      </c>
      <c r="T948" s="656" t="e">
        <f>+VLOOKUP($L948,Data_Validation!$A:$D,1,0)</f>
        <v>#N/A</v>
      </c>
      <c r="U948" s="656" t="e">
        <f>+VLOOKUP($L948,Data_Validation!$A:$D,3,0)</f>
        <v>#N/A</v>
      </c>
      <c r="V948" s="656" t="e">
        <f>+VLOOKUP($L948,Data_Validation!$A:$D,4,0)</f>
        <v>#N/A</v>
      </c>
      <c r="W948" s="656" t="e">
        <f>+VLOOKUP($L948,Data_Validation!$A:$E,5,0)</f>
        <v>#N/A</v>
      </c>
    </row>
    <row r="949" spans="1:23" ht="15.75" customHeight="1">
      <c r="A949" s="716"/>
      <c r="B949" s="654"/>
      <c r="C949" s="717"/>
      <c r="D949" s="716"/>
      <c r="E949" s="716"/>
      <c r="F949" s="716"/>
      <c r="G949" s="716"/>
      <c r="H949" s="716"/>
      <c r="I949" s="716"/>
      <c r="J949" s="716"/>
      <c r="K949" s="716"/>
      <c r="L949" s="653" t="str">
        <f t="shared" si="915"/>
        <v>0</v>
      </c>
      <c r="M949" s="654">
        <f t="shared" si="780"/>
        <v>0</v>
      </c>
      <c r="N949" s="655">
        <f>+IF(OR($Q949=Parametres!$G$2,$Q949=Parametres!$G$3),I949,C949)</f>
        <v>0</v>
      </c>
      <c r="O949" s="655">
        <f>+IF(OR($Q949=Parametres!$G$2,$Q949=Parametres!$G$3),J949,D949)</f>
        <v>0</v>
      </c>
      <c r="P949" s="655">
        <f>+IF(OR($Q949=Parametres!$G$2,$Q949=Parametres!$G$3),K949,E949)</f>
        <v>0</v>
      </c>
      <c r="Q949" s="654">
        <f t="shared" ref="Q949:S949" si="966">+F949</f>
        <v>0</v>
      </c>
      <c r="R949" s="653">
        <f t="shared" si="966"/>
        <v>0</v>
      </c>
      <c r="S949" s="654">
        <f t="shared" si="966"/>
        <v>0</v>
      </c>
      <c r="T949" s="656" t="e">
        <f>+VLOOKUP($L949,Data_Validation!$A:$D,1,0)</f>
        <v>#N/A</v>
      </c>
      <c r="U949" s="656" t="e">
        <f>+VLOOKUP($L949,Data_Validation!$A:$D,3,0)</f>
        <v>#N/A</v>
      </c>
      <c r="V949" s="656" t="e">
        <f>+VLOOKUP($L949,Data_Validation!$A:$D,4,0)</f>
        <v>#N/A</v>
      </c>
      <c r="W949" s="656" t="e">
        <f>+VLOOKUP($L949,Data_Validation!$A:$E,5,0)</f>
        <v>#N/A</v>
      </c>
    </row>
    <row r="950" spans="1:23" ht="15.75" customHeight="1">
      <c r="A950" s="716"/>
      <c r="B950" s="654"/>
      <c r="C950" s="717"/>
      <c r="D950" s="716"/>
      <c r="E950" s="716"/>
      <c r="F950" s="716"/>
      <c r="G950" s="716"/>
      <c r="H950" s="716"/>
      <c r="I950" s="716"/>
      <c r="J950" s="716"/>
      <c r="K950" s="716"/>
      <c r="L950" s="653" t="str">
        <f t="shared" si="915"/>
        <v>0</v>
      </c>
      <c r="M950" s="654">
        <f t="shared" si="780"/>
        <v>0</v>
      </c>
      <c r="N950" s="655">
        <f>+IF(OR($Q950=Parametres!$G$2,$Q950=Parametres!$G$3),I950,C950)</f>
        <v>0</v>
      </c>
      <c r="O950" s="655">
        <f>+IF(OR($Q950=Parametres!$G$2,$Q950=Parametres!$G$3),J950,D950)</f>
        <v>0</v>
      </c>
      <c r="P950" s="655">
        <f>+IF(OR($Q950=Parametres!$G$2,$Q950=Parametres!$G$3),K950,E950)</f>
        <v>0</v>
      </c>
      <c r="Q950" s="654">
        <f t="shared" ref="Q950:S950" si="967">+F950</f>
        <v>0</v>
      </c>
      <c r="R950" s="653">
        <f t="shared" si="967"/>
        <v>0</v>
      </c>
      <c r="S950" s="654">
        <f t="shared" si="967"/>
        <v>0</v>
      </c>
      <c r="T950" s="656" t="e">
        <f>+VLOOKUP($L950,Data_Validation!$A:$D,1,0)</f>
        <v>#N/A</v>
      </c>
      <c r="U950" s="656" t="e">
        <f>+VLOOKUP($L950,Data_Validation!$A:$D,3,0)</f>
        <v>#N/A</v>
      </c>
      <c r="V950" s="656" t="e">
        <f>+VLOOKUP($L950,Data_Validation!$A:$D,4,0)</f>
        <v>#N/A</v>
      </c>
      <c r="W950" s="656" t="e">
        <f>+VLOOKUP($L950,Data_Validation!$A:$E,5,0)</f>
        <v>#N/A</v>
      </c>
    </row>
    <row r="951" spans="1:23" ht="15.75" customHeight="1">
      <c r="A951" s="716"/>
      <c r="B951" s="654"/>
      <c r="C951" s="717"/>
      <c r="D951" s="716"/>
      <c r="E951" s="716"/>
      <c r="F951" s="716"/>
      <c r="G951" s="716"/>
      <c r="H951" s="716"/>
      <c r="I951" s="716"/>
      <c r="J951" s="716"/>
      <c r="K951" s="716"/>
      <c r="L951" s="653" t="str">
        <f t="shared" si="915"/>
        <v>0</v>
      </c>
      <c r="M951" s="654">
        <f t="shared" si="780"/>
        <v>0</v>
      </c>
      <c r="N951" s="655">
        <f>+IF(OR($Q951=Parametres!$G$2,$Q951=Parametres!$G$3),I951,C951)</f>
        <v>0</v>
      </c>
      <c r="O951" s="655">
        <f>+IF(OR($Q951=Parametres!$G$2,$Q951=Parametres!$G$3),J951,D951)</f>
        <v>0</v>
      </c>
      <c r="P951" s="655">
        <f>+IF(OR($Q951=Parametres!$G$2,$Q951=Parametres!$G$3),K951,E951)</f>
        <v>0</v>
      </c>
      <c r="Q951" s="654">
        <f t="shared" ref="Q951:S951" si="968">+F951</f>
        <v>0</v>
      </c>
      <c r="R951" s="653">
        <f t="shared" si="968"/>
        <v>0</v>
      </c>
      <c r="S951" s="654">
        <f t="shared" si="968"/>
        <v>0</v>
      </c>
      <c r="T951" s="656" t="e">
        <f>+VLOOKUP($L951,Data_Validation!$A:$D,1,0)</f>
        <v>#N/A</v>
      </c>
      <c r="U951" s="656" t="e">
        <f>+VLOOKUP($L951,Data_Validation!$A:$D,3,0)</f>
        <v>#N/A</v>
      </c>
      <c r="V951" s="656" t="e">
        <f>+VLOOKUP($L951,Data_Validation!$A:$D,4,0)</f>
        <v>#N/A</v>
      </c>
      <c r="W951" s="656" t="e">
        <f>+VLOOKUP($L951,Data_Validation!$A:$E,5,0)</f>
        <v>#N/A</v>
      </c>
    </row>
    <row r="952" spans="1:23" ht="15.75" customHeight="1">
      <c r="A952" s="716"/>
      <c r="B952" s="654"/>
      <c r="C952" s="717"/>
      <c r="D952" s="716"/>
      <c r="E952" s="716"/>
      <c r="F952" s="716"/>
      <c r="G952" s="716"/>
      <c r="H952" s="716"/>
      <c r="I952" s="716"/>
      <c r="J952" s="716"/>
      <c r="K952" s="716"/>
      <c r="L952" s="653" t="str">
        <f t="shared" si="915"/>
        <v>0</v>
      </c>
      <c r="M952" s="654">
        <f t="shared" si="780"/>
        <v>0</v>
      </c>
      <c r="N952" s="655">
        <f>+IF(OR($Q952=Parametres!$G$2,$Q952=Parametres!$G$3),I952,C952)</f>
        <v>0</v>
      </c>
      <c r="O952" s="655">
        <f>+IF(OR($Q952=Parametres!$G$2,$Q952=Parametres!$G$3),J952,D952)</f>
        <v>0</v>
      </c>
      <c r="P952" s="655">
        <f>+IF(OR($Q952=Parametres!$G$2,$Q952=Parametres!$G$3),K952,E952)</f>
        <v>0</v>
      </c>
      <c r="Q952" s="654">
        <f t="shared" ref="Q952:S952" si="969">+F952</f>
        <v>0</v>
      </c>
      <c r="R952" s="653">
        <f t="shared" si="969"/>
        <v>0</v>
      </c>
      <c r="S952" s="654">
        <f t="shared" si="969"/>
        <v>0</v>
      </c>
      <c r="T952" s="656" t="e">
        <f>+VLOOKUP($L952,Data_Validation!$A:$D,1,0)</f>
        <v>#N/A</v>
      </c>
      <c r="U952" s="656" t="e">
        <f>+VLOOKUP($L952,Data_Validation!$A:$D,3,0)</f>
        <v>#N/A</v>
      </c>
      <c r="V952" s="656" t="e">
        <f>+VLOOKUP($L952,Data_Validation!$A:$D,4,0)</f>
        <v>#N/A</v>
      </c>
      <c r="W952" s="656" t="e">
        <f>+VLOOKUP($L952,Data_Validation!$A:$E,5,0)</f>
        <v>#N/A</v>
      </c>
    </row>
    <row r="953" spans="1:23" ht="15.75" customHeight="1">
      <c r="A953" s="716"/>
      <c r="B953" s="654"/>
      <c r="C953" s="717"/>
      <c r="D953" s="716"/>
      <c r="E953" s="716"/>
      <c r="F953" s="716"/>
      <c r="G953" s="716"/>
      <c r="H953" s="716"/>
      <c r="I953" s="716"/>
      <c r="J953" s="716"/>
      <c r="K953" s="716"/>
      <c r="L953" s="653" t="str">
        <f t="shared" si="915"/>
        <v>0</v>
      </c>
      <c r="M953" s="654">
        <f t="shared" si="780"/>
        <v>0</v>
      </c>
      <c r="N953" s="655">
        <f>+IF(OR($Q953=Parametres!$G$2,$Q953=Parametres!$G$3),I953,C953)</f>
        <v>0</v>
      </c>
      <c r="O953" s="655">
        <f>+IF(OR($Q953=Parametres!$G$2,$Q953=Parametres!$G$3),J953,D953)</f>
        <v>0</v>
      </c>
      <c r="P953" s="655">
        <f>+IF(OR($Q953=Parametres!$G$2,$Q953=Parametres!$G$3),K953,E953)</f>
        <v>0</v>
      </c>
      <c r="Q953" s="654">
        <f t="shared" ref="Q953:S953" si="970">+F953</f>
        <v>0</v>
      </c>
      <c r="R953" s="653">
        <f t="shared" si="970"/>
        <v>0</v>
      </c>
      <c r="S953" s="654">
        <f t="shared" si="970"/>
        <v>0</v>
      </c>
      <c r="T953" s="656" t="e">
        <f>+VLOOKUP($L953,Data_Validation!$A:$D,1,0)</f>
        <v>#N/A</v>
      </c>
      <c r="U953" s="656" t="e">
        <f>+VLOOKUP($L953,Data_Validation!$A:$D,3,0)</f>
        <v>#N/A</v>
      </c>
      <c r="V953" s="656" t="e">
        <f>+VLOOKUP($L953,Data_Validation!$A:$D,4,0)</f>
        <v>#N/A</v>
      </c>
      <c r="W953" s="656" t="e">
        <f>+VLOOKUP($L953,Data_Validation!$A:$E,5,0)</f>
        <v>#N/A</v>
      </c>
    </row>
    <row r="954" spans="1:23" ht="15.75" customHeight="1">
      <c r="A954" s="716"/>
      <c r="B954" s="654"/>
      <c r="C954" s="717"/>
      <c r="D954" s="716"/>
      <c r="E954" s="716"/>
      <c r="F954" s="716"/>
      <c r="G954" s="716"/>
      <c r="H954" s="716"/>
      <c r="I954" s="716"/>
      <c r="J954" s="716"/>
      <c r="K954" s="716"/>
      <c r="L954" s="653" t="str">
        <f t="shared" si="915"/>
        <v>0</v>
      </c>
      <c r="M954" s="654">
        <f t="shared" si="780"/>
        <v>0</v>
      </c>
      <c r="N954" s="655">
        <f>+IF(OR($Q954=Parametres!$G$2,$Q954=Parametres!$G$3),I954,C954)</f>
        <v>0</v>
      </c>
      <c r="O954" s="655">
        <f>+IF(OR($Q954=Parametres!$G$2,$Q954=Parametres!$G$3),J954,D954)</f>
        <v>0</v>
      </c>
      <c r="P954" s="655">
        <f>+IF(OR($Q954=Parametres!$G$2,$Q954=Parametres!$G$3),K954,E954)</f>
        <v>0</v>
      </c>
      <c r="Q954" s="654">
        <f t="shared" ref="Q954:S954" si="971">+F954</f>
        <v>0</v>
      </c>
      <c r="R954" s="653">
        <f t="shared" si="971"/>
        <v>0</v>
      </c>
      <c r="S954" s="654">
        <f t="shared" si="971"/>
        <v>0</v>
      </c>
      <c r="T954" s="656" t="e">
        <f>+VLOOKUP($L954,Data_Validation!$A:$D,1,0)</f>
        <v>#N/A</v>
      </c>
      <c r="U954" s="656" t="e">
        <f>+VLOOKUP($L954,Data_Validation!$A:$D,3,0)</f>
        <v>#N/A</v>
      </c>
      <c r="V954" s="656" t="e">
        <f>+VLOOKUP($L954,Data_Validation!$A:$D,4,0)</f>
        <v>#N/A</v>
      </c>
      <c r="W954" s="656" t="e">
        <f>+VLOOKUP($L954,Data_Validation!$A:$E,5,0)</f>
        <v>#N/A</v>
      </c>
    </row>
    <row r="955" spans="1:23" ht="15.75" customHeight="1">
      <c r="A955" s="716"/>
      <c r="B955" s="654"/>
      <c r="C955" s="717"/>
      <c r="D955" s="716"/>
      <c r="E955" s="716"/>
      <c r="F955" s="716"/>
      <c r="G955" s="716"/>
      <c r="H955" s="716"/>
      <c r="I955" s="716"/>
      <c r="J955" s="716"/>
      <c r="K955" s="716"/>
      <c r="L955" s="653" t="str">
        <f t="shared" si="915"/>
        <v>0</v>
      </c>
      <c r="M955" s="654">
        <f t="shared" si="780"/>
        <v>0</v>
      </c>
      <c r="N955" s="655">
        <f>+IF(OR($Q955=Parametres!$G$2,$Q955=Parametres!$G$3),I955,C955)</f>
        <v>0</v>
      </c>
      <c r="O955" s="655">
        <f>+IF(OR($Q955=Parametres!$G$2,$Q955=Parametres!$G$3),J955,D955)</f>
        <v>0</v>
      </c>
      <c r="P955" s="655">
        <f>+IF(OR($Q955=Parametres!$G$2,$Q955=Parametres!$G$3),K955,E955)</f>
        <v>0</v>
      </c>
      <c r="Q955" s="654">
        <f t="shared" ref="Q955:S955" si="972">+F955</f>
        <v>0</v>
      </c>
      <c r="R955" s="653">
        <f t="shared" si="972"/>
        <v>0</v>
      </c>
      <c r="S955" s="654">
        <f t="shared" si="972"/>
        <v>0</v>
      </c>
      <c r="T955" s="656" t="e">
        <f>+VLOOKUP($L955,Data_Validation!$A:$D,1,0)</f>
        <v>#N/A</v>
      </c>
      <c r="U955" s="656" t="e">
        <f>+VLOOKUP($L955,Data_Validation!$A:$D,3,0)</f>
        <v>#N/A</v>
      </c>
      <c r="V955" s="656" t="e">
        <f>+VLOOKUP($L955,Data_Validation!$A:$D,4,0)</f>
        <v>#N/A</v>
      </c>
      <c r="W955" s="656" t="e">
        <f>+VLOOKUP($L955,Data_Validation!$A:$E,5,0)</f>
        <v>#N/A</v>
      </c>
    </row>
    <row r="956" spans="1:23" ht="15.75" customHeight="1">
      <c r="A956" s="716"/>
      <c r="B956" s="654"/>
      <c r="C956" s="717"/>
      <c r="D956" s="716"/>
      <c r="E956" s="716"/>
      <c r="F956" s="716"/>
      <c r="G956" s="716"/>
      <c r="H956" s="716"/>
      <c r="I956" s="716"/>
      <c r="J956" s="716"/>
      <c r="K956" s="716"/>
      <c r="L956" s="653" t="str">
        <f t="shared" si="915"/>
        <v>0</v>
      </c>
      <c r="M956" s="654">
        <f t="shared" si="780"/>
        <v>0</v>
      </c>
      <c r="N956" s="655">
        <f>+IF(OR($Q956=Parametres!$G$2,$Q956=Parametres!$G$3),I956,C956)</f>
        <v>0</v>
      </c>
      <c r="O956" s="655">
        <f>+IF(OR($Q956=Parametres!$G$2,$Q956=Parametres!$G$3),J956,D956)</f>
        <v>0</v>
      </c>
      <c r="P956" s="655">
        <f>+IF(OR($Q956=Parametres!$G$2,$Q956=Parametres!$G$3),K956,E956)</f>
        <v>0</v>
      </c>
      <c r="Q956" s="654">
        <f t="shared" ref="Q956:S956" si="973">+F956</f>
        <v>0</v>
      </c>
      <c r="R956" s="653">
        <f t="shared" si="973"/>
        <v>0</v>
      </c>
      <c r="S956" s="654">
        <f t="shared" si="973"/>
        <v>0</v>
      </c>
      <c r="T956" s="656" t="e">
        <f>+VLOOKUP($L956,Data_Validation!$A:$D,1,0)</f>
        <v>#N/A</v>
      </c>
      <c r="U956" s="656" t="e">
        <f>+VLOOKUP($L956,Data_Validation!$A:$D,3,0)</f>
        <v>#N/A</v>
      </c>
      <c r="V956" s="656" t="e">
        <f>+VLOOKUP($L956,Data_Validation!$A:$D,4,0)</f>
        <v>#N/A</v>
      </c>
      <c r="W956" s="656" t="e">
        <f>+VLOOKUP($L956,Data_Validation!$A:$E,5,0)</f>
        <v>#N/A</v>
      </c>
    </row>
    <row r="957" spans="1:23" ht="15.75" customHeight="1">
      <c r="A957" s="716"/>
      <c r="B957" s="654"/>
      <c r="C957" s="717"/>
      <c r="D957" s="716"/>
      <c r="E957" s="716"/>
      <c r="F957" s="716"/>
      <c r="G957" s="716"/>
      <c r="H957" s="716"/>
      <c r="I957" s="716"/>
      <c r="J957" s="716"/>
      <c r="K957" s="716"/>
      <c r="L957" s="653" t="str">
        <f t="shared" si="915"/>
        <v>0</v>
      </c>
      <c r="M957" s="654">
        <f t="shared" si="780"/>
        <v>0</v>
      </c>
      <c r="N957" s="655">
        <f>+IF(OR($Q957=Parametres!$G$2,$Q957=Parametres!$G$3),I957,C957)</f>
        <v>0</v>
      </c>
      <c r="O957" s="655">
        <f>+IF(OR($Q957=Parametres!$G$2,$Q957=Parametres!$G$3),J957,D957)</f>
        <v>0</v>
      </c>
      <c r="P957" s="655">
        <f>+IF(OR($Q957=Parametres!$G$2,$Q957=Parametres!$G$3),K957,E957)</f>
        <v>0</v>
      </c>
      <c r="Q957" s="654">
        <f t="shared" ref="Q957:S957" si="974">+F957</f>
        <v>0</v>
      </c>
      <c r="R957" s="653">
        <f t="shared" si="974"/>
        <v>0</v>
      </c>
      <c r="S957" s="654">
        <f t="shared" si="974"/>
        <v>0</v>
      </c>
      <c r="T957" s="656" t="e">
        <f>+VLOOKUP($L957,Data_Validation!$A:$D,1,0)</f>
        <v>#N/A</v>
      </c>
      <c r="U957" s="656" t="e">
        <f>+VLOOKUP($L957,Data_Validation!$A:$D,3,0)</f>
        <v>#N/A</v>
      </c>
      <c r="V957" s="656" t="e">
        <f>+VLOOKUP($L957,Data_Validation!$A:$D,4,0)</f>
        <v>#N/A</v>
      </c>
      <c r="W957" s="656" t="e">
        <f>+VLOOKUP($L957,Data_Validation!$A:$E,5,0)</f>
        <v>#N/A</v>
      </c>
    </row>
    <row r="958" spans="1:23" ht="15.75" customHeight="1">
      <c r="A958" s="716"/>
      <c r="B958" s="654"/>
      <c r="C958" s="717"/>
      <c r="D958" s="716"/>
      <c r="E958" s="716"/>
      <c r="F958" s="716"/>
      <c r="G958" s="716"/>
      <c r="H958" s="716"/>
      <c r="I958" s="716"/>
      <c r="J958" s="716"/>
      <c r="K958" s="716"/>
      <c r="L958" s="653" t="str">
        <f t="shared" si="915"/>
        <v>0</v>
      </c>
      <c r="M958" s="654">
        <f t="shared" si="780"/>
        <v>0</v>
      </c>
      <c r="N958" s="655">
        <f>+IF(OR($Q958=Parametres!$G$2,$Q958=Parametres!$G$3),I958,C958)</f>
        <v>0</v>
      </c>
      <c r="O958" s="655">
        <f>+IF(OR($Q958=Parametres!$G$2,$Q958=Parametres!$G$3),J958,D958)</f>
        <v>0</v>
      </c>
      <c r="P958" s="655">
        <f>+IF(OR($Q958=Parametres!$G$2,$Q958=Parametres!$G$3),K958,E958)</f>
        <v>0</v>
      </c>
      <c r="Q958" s="654">
        <f t="shared" ref="Q958:S958" si="975">+F958</f>
        <v>0</v>
      </c>
      <c r="R958" s="653">
        <f t="shared" si="975"/>
        <v>0</v>
      </c>
      <c r="S958" s="654">
        <f t="shared" si="975"/>
        <v>0</v>
      </c>
      <c r="T958" s="656" t="e">
        <f>+VLOOKUP($L958,Data_Validation!$A:$D,1,0)</f>
        <v>#N/A</v>
      </c>
      <c r="U958" s="656" t="e">
        <f>+VLOOKUP($L958,Data_Validation!$A:$D,3,0)</f>
        <v>#N/A</v>
      </c>
      <c r="V958" s="656" t="e">
        <f>+VLOOKUP($L958,Data_Validation!$A:$D,4,0)</f>
        <v>#N/A</v>
      </c>
      <c r="W958" s="656" t="e">
        <f>+VLOOKUP($L958,Data_Validation!$A:$E,5,0)</f>
        <v>#N/A</v>
      </c>
    </row>
    <row r="959" spans="1:23" ht="15.75" customHeight="1">
      <c r="A959" s="716"/>
      <c r="B959" s="654"/>
      <c r="C959" s="717"/>
      <c r="D959" s="716"/>
      <c r="E959" s="716"/>
      <c r="F959" s="716"/>
      <c r="G959" s="716"/>
      <c r="H959" s="716"/>
      <c r="I959" s="716"/>
      <c r="J959" s="716"/>
      <c r="K959" s="716"/>
      <c r="L959" s="653" t="str">
        <f t="shared" si="915"/>
        <v>0</v>
      </c>
      <c r="M959" s="654">
        <f t="shared" si="780"/>
        <v>0</v>
      </c>
      <c r="N959" s="655">
        <f>+IF(OR($Q959=Parametres!$G$2,$Q959=Parametres!$G$3),I959,C959)</f>
        <v>0</v>
      </c>
      <c r="O959" s="655">
        <f>+IF(OR($Q959=Parametres!$G$2,$Q959=Parametres!$G$3),J959,D959)</f>
        <v>0</v>
      </c>
      <c r="P959" s="655">
        <f>+IF(OR($Q959=Parametres!$G$2,$Q959=Parametres!$G$3),K959,E959)</f>
        <v>0</v>
      </c>
      <c r="Q959" s="654">
        <f t="shared" ref="Q959:S959" si="976">+F959</f>
        <v>0</v>
      </c>
      <c r="R959" s="653">
        <f t="shared" si="976"/>
        <v>0</v>
      </c>
      <c r="S959" s="654">
        <f t="shared" si="976"/>
        <v>0</v>
      </c>
      <c r="T959" s="656" t="e">
        <f>+VLOOKUP($L959,Data_Validation!$A:$D,1,0)</f>
        <v>#N/A</v>
      </c>
      <c r="U959" s="656" t="e">
        <f>+VLOOKUP($L959,Data_Validation!$A:$D,3,0)</f>
        <v>#N/A</v>
      </c>
      <c r="V959" s="656" t="e">
        <f>+VLOOKUP($L959,Data_Validation!$A:$D,4,0)</f>
        <v>#N/A</v>
      </c>
      <c r="W959" s="656" t="e">
        <f>+VLOOKUP($L959,Data_Validation!$A:$E,5,0)</f>
        <v>#N/A</v>
      </c>
    </row>
    <row r="960" spans="1:23" ht="15.75" customHeight="1">
      <c r="A960" s="716"/>
      <c r="B960" s="654"/>
      <c r="C960" s="717"/>
      <c r="D960" s="716"/>
      <c r="E960" s="716"/>
      <c r="F960" s="716"/>
      <c r="G960" s="716"/>
      <c r="H960" s="716"/>
      <c r="I960" s="716"/>
      <c r="J960" s="716"/>
      <c r="K960" s="716"/>
      <c r="L960" s="653" t="str">
        <f t="shared" si="915"/>
        <v>0</v>
      </c>
      <c r="M960" s="654">
        <f t="shared" si="780"/>
        <v>0</v>
      </c>
      <c r="N960" s="655">
        <f>+IF(OR($Q960=Parametres!$G$2,$Q960=Parametres!$G$3),I960,C960)</f>
        <v>0</v>
      </c>
      <c r="O960" s="655">
        <f>+IF(OR($Q960=Parametres!$G$2,$Q960=Parametres!$G$3),J960,D960)</f>
        <v>0</v>
      </c>
      <c r="P960" s="655">
        <f>+IF(OR($Q960=Parametres!$G$2,$Q960=Parametres!$G$3),K960,E960)</f>
        <v>0</v>
      </c>
      <c r="Q960" s="654">
        <f t="shared" ref="Q960:S960" si="977">+F960</f>
        <v>0</v>
      </c>
      <c r="R960" s="653">
        <f t="shared" si="977"/>
        <v>0</v>
      </c>
      <c r="S960" s="654">
        <f t="shared" si="977"/>
        <v>0</v>
      </c>
      <c r="T960" s="656" t="e">
        <f>+VLOOKUP($L960,Data_Validation!$A:$D,1,0)</f>
        <v>#N/A</v>
      </c>
      <c r="U960" s="656" t="e">
        <f>+VLOOKUP($L960,Data_Validation!$A:$D,3,0)</f>
        <v>#N/A</v>
      </c>
      <c r="V960" s="656" t="e">
        <f>+VLOOKUP($L960,Data_Validation!$A:$D,4,0)</f>
        <v>#N/A</v>
      </c>
      <c r="W960" s="656" t="e">
        <f>+VLOOKUP($L960,Data_Validation!$A:$E,5,0)</f>
        <v>#N/A</v>
      </c>
    </row>
    <row r="961" spans="1:23" ht="15.75" customHeight="1">
      <c r="A961" s="716"/>
      <c r="B961" s="654"/>
      <c r="C961" s="717"/>
      <c r="D961" s="716"/>
      <c r="E961" s="716"/>
      <c r="F961" s="716"/>
      <c r="G961" s="716"/>
      <c r="H961" s="716"/>
      <c r="I961" s="716"/>
      <c r="J961" s="716"/>
      <c r="K961" s="716"/>
      <c r="L961" s="653" t="str">
        <f t="shared" si="915"/>
        <v>0</v>
      </c>
      <c r="M961" s="654">
        <f t="shared" si="780"/>
        <v>0</v>
      </c>
      <c r="N961" s="655">
        <f>+IF(OR($Q961=Parametres!$G$2,$Q961=Parametres!$G$3),I961,C961)</f>
        <v>0</v>
      </c>
      <c r="O961" s="655">
        <f>+IF(OR($Q961=Parametres!$G$2,$Q961=Parametres!$G$3),J961,D961)</f>
        <v>0</v>
      </c>
      <c r="P961" s="655">
        <f>+IF(OR($Q961=Parametres!$G$2,$Q961=Parametres!$G$3),K961,E961)</f>
        <v>0</v>
      </c>
      <c r="Q961" s="654">
        <f t="shared" ref="Q961:S961" si="978">+F961</f>
        <v>0</v>
      </c>
      <c r="R961" s="653">
        <f t="shared" si="978"/>
        <v>0</v>
      </c>
      <c r="S961" s="654">
        <f t="shared" si="978"/>
        <v>0</v>
      </c>
      <c r="T961" s="656" t="e">
        <f>+VLOOKUP($L961,Data_Validation!$A:$D,1,0)</f>
        <v>#N/A</v>
      </c>
      <c r="U961" s="656" t="e">
        <f>+VLOOKUP($L961,Data_Validation!$A:$D,3,0)</f>
        <v>#N/A</v>
      </c>
      <c r="V961" s="656" t="e">
        <f>+VLOOKUP($L961,Data_Validation!$A:$D,4,0)</f>
        <v>#N/A</v>
      </c>
      <c r="W961" s="656" t="e">
        <f>+VLOOKUP($L961,Data_Validation!$A:$E,5,0)</f>
        <v>#N/A</v>
      </c>
    </row>
    <row r="962" spans="1:23" ht="15.75" customHeight="1">
      <c r="A962" s="716"/>
      <c r="B962" s="654"/>
      <c r="C962" s="717"/>
      <c r="D962" s="716"/>
      <c r="E962" s="716"/>
      <c r="F962" s="716"/>
      <c r="G962" s="716"/>
      <c r="H962" s="716"/>
      <c r="I962" s="716"/>
      <c r="J962" s="716"/>
      <c r="K962" s="716"/>
      <c r="L962" s="653" t="str">
        <f t="shared" si="915"/>
        <v>0</v>
      </c>
      <c r="M962" s="654">
        <f t="shared" si="780"/>
        <v>0</v>
      </c>
      <c r="N962" s="655">
        <f>+IF(OR($Q962=Parametres!$G$2,$Q962=Parametres!$G$3),I962,C962)</f>
        <v>0</v>
      </c>
      <c r="O962" s="655">
        <f>+IF(OR($Q962=Parametres!$G$2,$Q962=Parametres!$G$3),J962,D962)</f>
        <v>0</v>
      </c>
      <c r="P962" s="655">
        <f>+IF(OR($Q962=Parametres!$G$2,$Q962=Parametres!$G$3),K962,E962)</f>
        <v>0</v>
      </c>
      <c r="Q962" s="654">
        <f t="shared" ref="Q962:S962" si="979">+F962</f>
        <v>0</v>
      </c>
      <c r="R962" s="653">
        <f t="shared" si="979"/>
        <v>0</v>
      </c>
      <c r="S962" s="654">
        <f t="shared" si="979"/>
        <v>0</v>
      </c>
      <c r="T962" s="656" t="e">
        <f>+VLOOKUP($L962,Data_Validation!$A:$D,1,0)</f>
        <v>#N/A</v>
      </c>
      <c r="U962" s="656" t="e">
        <f>+VLOOKUP($L962,Data_Validation!$A:$D,3,0)</f>
        <v>#N/A</v>
      </c>
      <c r="V962" s="656" t="e">
        <f>+VLOOKUP($L962,Data_Validation!$A:$D,4,0)</f>
        <v>#N/A</v>
      </c>
      <c r="W962" s="656" t="e">
        <f>+VLOOKUP($L962,Data_Validation!$A:$E,5,0)</f>
        <v>#N/A</v>
      </c>
    </row>
    <row r="963" spans="1:23" ht="15.75" customHeight="1">
      <c r="A963" s="716"/>
      <c r="B963" s="654"/>
      <c r="C963" s="717"/>
      <c r="D963" s="716"/>
      <c r="E963" s="716"/>
      <c r="F963" s="716"/>
      <c r="G963" s="716"/>
      <c r="H963" s="716"/>
      <c r="I963" s="716"/>
      <c r="J963" s="716"/>
      <c r="K963" s="716"/>
      <c r="L963" s="653" t="str">
        <f t="shared" ref="L963:L1026" si="980">TEXT(B963,0)</f>
        <v>0</v>
      </c>
      <c r="M963" s="654">
        <f t="shared" si="780"/>
        <v>0</v>
      </c>
      <c r="N963" s="655">
        <f>+IF(OR($Q963=Parametres!$G$2,$Q963=Parametres!$G$3),I963,C963)</f>
        <v>0</v>
      </c>
      <c r="O963" s="655">
        <f>+IF(OR($Q963=Parametres!$G$2,$Q963=Parametres!$G$3),J963,D963)</f>
        <v>0</v>
      </c>
      <c r="P963" s="655">
        <f>+IF(OR($Q963=Parametres!$G$2,$Q963=Parametres!$G$3),K963,E963)</f>
        <v>0</v>
      </c>
      <c r="Q963" s="654">
        <f t="shared" ref="Q963:S963" si="981">+F963</f>
        <v>0</v>
      </c>
      <c r="R963" s="653">
        <f t="shared" si="981"/>
        <v>0</v>
      </c>
      <c r="S963" s="654">
        <f t="shared" si="981"/>
        <v>0</v>
      </c>
      <c r="T963" s="656" t="e">
        <f>+VLOOKUP($L963,Data_Validation!$A:$D,1,0)</f>
        <v>#N/A</v>
      </c>
      <c r="U963" s="656" t="e">
        <f>+VLOOKUP($L963,Data_Validation!$A:$D,3,0)</f>
        <v>#N/A</v>
      </c>
      <c r="V963" s="656" t="e">
        <f>+VLOOKUP($L963,Data_Validation!$A:$D,4,0)</f>
        <v>#N/A</v>
      </c>
      <c r="W963" s="656" t="e">
        <f>+VLOOKUP($L963,Data_Validation!$A:$E,5,0)</f>
        <v>#N/A</v>
      </c>
    </row>
    <row r="964" spans="1:23" ht="15.75" customHeight="1">
      <c r="A964" s="716"/>
      <c r="B964" s="654"/>
      <c r="C964" s="717"/>
      <c r="D964" s="716"/>
      <c r="E964" s="716"/>
      <c r="F964" s="716"/>
      <c r="G964" s="716"/>
      <c r="H964" s="716"/>
      <c r="I964" s="716"/>
      <c r="J964" s="716"/>
      <c r="K964" s="716"/>
      <c r="L964" s="653" t="str">
        <f t="shared" si="980"/>
        <v>0</v>
      </c>
      <c r="M964" s="654">
        <f t="shared" si="780"/>
        <v>0</v>
      </c>
      <c r="N964" s="655">
        <f>+IF(OR($Q964=Parametres!$G$2,$Q964=Parametres!$G$3),I964,C964)</f>
        <v>0</v>
      </c>
      <c r="O964" s="655">
        <f>+IF(OR($Q964=Parametres!$G$2,$Q964=Parametres!$G$3),J964,D964)</f>
        <v>0</v>
      </c>
      <c r="P964" s="655">
        <f>+IF(OR($Q964=Parametres!$G$2,$Q964=Parametres!$G$3),K964,E964)</f>
        <v>0</v>
      </c>
      <c r="Q964" s="654">
        <f t="shared" ref="Q964:S964" si="982">+F964</f>
        <v>0</v>
      </c>
      <c r="R964" s="653">
        <f t="shared" si="982"/>
        <v>0</v>
      </c>
      <c r="S964" s="654">
        <f t="shared" si="982"/>
        <v>0</v>
      </c>
      <c r="T964" s="656" t="e">
        <f>+VLOOKUP($L964,Data_Validation!$A:$D,1,0)</f>
        <v>#N/A</v>
      </c>
      <c r="U964" s="656" t="e">
        <f>+VLOOKUP($L964,Data_Validation!$A:$D,3,0)</f>
        <v>#N/A</v>
      </c>
      <c r="V964" s="656" t="e">
        <f>+VLOOKUP($L964,Data_Validation!$A:$D,4,0)</f>
        <v>#N/A</v>
      </c>
      <c r="W964" s="656" t="e">
        <f>+VLOOKUP($L964,Data_Validation!$A:$E,5,0)</f>
        <v>#N/A</v>
      </c>
    </row>
    <row r="965" spans="1:23" ht="15.75" customHeight="1">
      <c r="A965" s="716"/>
      <c r="B965" s="654"/>
      <c r="C965" s="717"/>
      <c r="D965" s="716"/>
      <c r="E965" s="716"/>
      <c r="F965" s="716"/>
      <c r="G965" s="716"/>
      <c r="H965" s="716"/>
      <c r="I965" s="716"/>
      <c r="J965" s="716"/>
      <c r="K965" s="716"/>
      <c r="L965" s="653" t="str">
        <f t="shared" si="980"/>
        <v>0</v>
      </c>
      <c r="M965" s="654">
        <f t="shared" si="780"/>
        <v>0</v>
      </c>
      <c r="N965" s="655">
        <f>+IF(OR($Q965=Parametres!$G$2,$Q965=Parametres!$G$3),I965,C965)</f>
        <v>0</v>
      </c>
      <c r="O965" s="655">
        <f>+IF(OR($Q965=Parametres!$G$2,$Q965=Parametres!$G$3),J965,D965)</f>
        <v>0</v>
      </c>
      <c r="P965" s="655">
        <f>+IF(OR($Q965=Parametres!$G$2,$Q965=Parametres!$G$3),K965,E965)</f>
        <v>0</v>
      </c>
      <c r="Q965" s="654">
        <f t="shared" ref="Q965:S965" si="983">+F965</f>
        <v>0</v>
      </c>
      <c r="R965" s="653">
        <f t="shared" si="983"/>
        <v>0</v>
      </c>
      <c r="S965" s="654">
        <f t="shared" si="983"/>
        <v>0</v>
      </c>
      <c r="T965" s="656" t="e">
        <f>+VLOOKUP($L965,Data_Validation!$A:$D,1,0)</f>
        <v>#N/A</v>
      </c>
      <c r="U965" s="656" t="e">
        <f>+VLOOKUP($L965,Data_Validation!$A:$D,3,0)</f>
        <v>#N/A</v>
      </c>
      <c r="V965" s="656" t="e">
        <f>+VLOOKUP($L965,Data_Validation!$A:$D,4,0)</f>
        <v>#N/A</v>
      </c>
      <c r="W965" s="656" t="e">
        <f>+VLOOKUP($L965,Data_Validation!$A:$E,5,0)</f>
        <v>#N/A</v>
      </c>
    </row>
    <row r="966" spans="1:23" ht="15.75" customHeight="1">
      <c r="A966" s="716"/>
      <c r="B966" s="654"/>
      <c r="C966" s="717"/>
      <c r="D966" s="716"/>
      <c r="E966" s="716"/>
      <c r="F966" s="716"/>
      <c r="G966" s="716"/>
      <c r="H966" s="716"/>
      <c r="I966" s="716"/>
      <c r="J966" s="716"/>
      <c r="K966" s="716"/>
      <c r="L966" s="653" t="str">
        <f t="shared" si="980"/>
        <v>0</v>
      </c>
      <c r="M966" s="654">
        <f t="shared" si="780"/>
        <v>0</v>
      </c>
      <c r="N966" s="655">
        <f>+IF(OR($Q966=Parametres!$G$2,$Q966=Parametres!$G$3),I966,C966)</f>
        <v>0</v>
      </c>
      <c r="O966" s="655">
        <f>+IF(OR($Q966=Parametres!$G$2,$Q966=Parametres!$G$3),J966,D966)</f>
        <v>0</v>
      </c>
      <c r="P966" s="655">
        <f>+IF(OR($Q966=Parametres!$G$2,$Q966=Parametres!$G$3),K966,E966)</f>
        <v>0</v>
      </c>
      <c r="Q966" s="654">
        <f t="shared" ref="Q966:S966" si="984">+F966</f>
        <v>0</v>
      </c>
      <c r="R966" s="653">
        <f t="shared" si="984"/>
        <v>0</v>
      </c>
      <c r="S966" s="654">
        <f t="shared" si="984"/>
        <v>0</v>
      </c>
      <c r="T966" s="656" t="e">
        <f>+VLOOKUP($L966,Data_Validation!$A:$D,1,0)</f>
        <v>#N/A</v>
      </c>
      <c r="U966" s="656" t="e">
        <f>+VLOOKUP($L966,Data_Validation!$A:$D,3,0)</f>
        <v>#N/A</v>
      </c>
      <c r="V966" s="656" t="e">
        <f>+VLOOKUP($L966,Data_Validation!$A:$D,4,0)</f>
        <v>#N/A</v>
      </c>
      <c r="W966" s="656" t="e">
        <f>+VLOOKUP($L966,Data_Validation!$A:$E,5,0)</f>
        <v>#N/A</v>
      </c>
    </row>
    <row r="967" spans="1:23" ht="15.75" customHeight="1">
      <c r="A967" s="716"/>
      <c r="B967" s="654"/>
      <c r="C967" s="717"/>
      <c r="D967" s="716"/>
      <c r="E967" s="716"/>
      <c r="F967" s="716"/>
      <c r="G967" s="716"/>
      <c r="H967" s="716"/>
      <c r="I967" s="716"/>
      <c r="J967" s="716"/>
      <c r="K967" s="716"/>
      <c r="L967" s="653" t="str">
        <f t="shared" si="980"/>
        <v>0</v>
      </c>
      <c r="M967" s="654">
        <f t="shared" si="780"/>
        <v>0</v>
      </c>
      <c r="N967" s="655">
        <f>+IF(OR($Q967=Parametres!$G$2,$Q967=Parametres!$G$3),I967,C967)</f>
        <v>0</v>
      </c>
      <c r="O967" s="655">
        <f>+IF(OR($Q967=Parametres!$G$2,$Q967=Parametres!$G$3),J967,D967)</f>
        <v>0</v>
      </c>
      <c r="P967" s="655">
        <f>+IF(OR($Q967=Parametres!$G$2,$Q967=Parametres!$G$3),K967,E967)</f>
        <v>0</v>
      </c>
      <c r="Q967" s="654">
        <f t="shared" ref="Q967:S967" si="985">+F967</f>
        <v>0</v>
      </c>
      <c r="R967" s="653">
        <f t="shared" si="985"/>
        <v>0</v>
      </c>
      <c r="S967" s="654">
        <f t="shared" si="985"/>
        <v>0</v>
      </c>
      <c r="T967" s="656" t="e">
        <f>+VLOOKUP($L967,Data_Validation!$A:$D,1,0)</f>
        <v>#N/A</v>
      </c>
      <c r="U967" s="656" t="e">
        <f>+VLOOKUP($L967,Data_Validation!$A:$D,3,0)</f>
        <v>#N/A</v>
      </c>
      <c r="V967" s="656" t="e">
        <f>+VLOOKUP($L967,Data_Validation!$A:$D,4,0)</f>
        <v>#N/A</v>
      </c>
      <c r="W967" s="656" t="e">
        <f>+VLOOKUP($L967,Data_Validation!$A:$E,5,0)</f>
        <v>#N/A</v>
      </c>
    </row>
    <row r="968" spans="1:23" ht="15.75" customHeight="1">
      <c r="A968" s="716"/>
      <c r="B968" s="654"/>
      <c r="C968" s="717"/>
      <c r="D968" s="716"/>
      <c r="E968" s="716"/>
      <c r="F968" s="716"/>
      <c r="G968" s="716"/>
      <c r="H968" s="716"/>
      <c r="I968" s="716"/>
      <c r="J968" s="716"/>
      <c r="K968" s="716"/>
      <c r="L968" s="653" t="str">
        <f t="shared" si="980"/>
        <v>0</v>
      </c>
      <c r="M968" s="654">
        <f t="shared" si="780"/>
        <v>0</v>
      </c>
      <c r="N968" s="655">
        <f>+IF(OR($Q968=Parametres!$G$2,$Q968=Parametres!$G$3),I968,C968)</f>
        <v>0</v>
      </c>
      <c r="O968" s="655">
        <f>+IF(OR($Q968=Parametres!$G$2,$Q968=Parametres!$G$3),J968,D968)</f>
        <v>0</v>
      </c>
      <c r="P968" s="655">
        <f>+IF(OR($Q968=Parametres!$G$2,$Q968=Parametres!$G$3),K968,E968)</f>
        <v>0</v>
      </c>
      <c r="Q968" s="654">
        <f t="shared" ref="Q968:S968" si="986">+F968</f>
        <v>0</v>
      </c>
      <c r="R968" s="653">
        <f t="shared" si="986"/>
        <v>0</v>
      </c>
      <c r="S968" s="654">
        <f t="shared" si="986"/>
        <v>0</v>
      </c>
      <c r="T968" s="656" t="e">
        <f>+VLOOKUP($L968,Data_Validation!$A:$D,1,0)</f>
        <v>#N/A</v>
      </c>
      <c r="U968" s="656" t="e">
        <f>+VLOOKUP($L968,Data_Validation!$A:$D,3,0)</f>
        <v>#N/A</v>
      </c>
      <c r="V968" s="656" t="e">
        <f>+VLOOKUP($L968,Data_Validation!$A:$D,4,0)</f>
        <v>#N/A</v>
      </c>
      <c r="W968" s="656" t="e">
        <f>+VLOOKUP($L968,Data_Validation!$A:$E,5,0)</f>
        <v>#N/A</v>
      </c>
    </row>
    <row r="969" spans="1:23" ht="15.75" customHeight="1">
      <c r="A969" s="716"/>
      <c r="B969" s="654"/>
      <c r="C969" s="717"/>
      <c r="D969" s="716"/>
      <c r="E969" s="716"/>
      <c r="F969" s="716"/>
      <c r="G969" s="716"/>
      <c r="H969" s="716"/>
      <c r="I969" s="716"/>
      <c r="J969" s="716"/>
      <c r="K969" s="716"/>
      <c r="L969" s="653" t="str">
        <f t="shared" si="980"/>
        <v>0</v>
      </c>
      <c r="M969" s="654">
        <f t="shared" si="780"/>
        <v>0</v>
      </c>
      <c r="N969" s="655">
        <f>+IF(OR($Q969=Parametres!$G$2,$Q969=Parametres!$G$3),I969,C969)</f>
        <v>0</v>
      </c>
      <c r="O969" s="655">
        <f>+IF(OR($Q969=Parametres!$G$2,$Q969=Parametres!$G$3),J969,D969)</f>
        <v>0</v>
      </c>
      <c r="P969" s="655">
        <f>+IF(OR($Q969=Parametres!$G$2,$Q969=Parametres!$G$3),K969,E969)</f>
        <v>0</v>
      </c>
      <c r="Q969" s="654">
        <f t="shared" ref="Q969:S969" si="987">+F969</f>
        <v>0</v>
      </c>
      <c r="R969" s="653">
        <f t="shared" si="987"/>
        <v>0</v>
      </c>
      <c r="S969" s="654">
        <f t="shared" si="987"/>
        <v>0</v>
      </c>
      <c r="T969" s="656" t="e">
        <f>+VLOOKUP($L969,Data_Validation!$A:$D,1,0)</f>
        <v>#N/A</v>
      </c>
      <c r="U969" s="656" t="e">
        <f>+VLOOKUP($L969,Data_Validation!$A:$D,3,0)</f>
        <v>#N/A</v>
      </c>
      <c r="V969" s="656" t="e">
        <f>+VLOOKUP($L969,Data_Validation!$A:$D,4,0)</f>
        <v>#N/A</v>
      </c>
      <c r="W969" s="656" t="e">
        <f>+VLOOKUP($L969,Data_Validation!$A:$E,5,0)</f>
        <v>#N/A</v>
      </c>
    </row>
    <row r="970" spans="1:23" ht="15.75" customHeight="1">
      <c r="A970" s="716"/>
      <c r="B970" s="654"/>
      <c r="C970" s="717"/>
      <c r="D970" s="716"/>
      <c r="E970" s="716"/>
      <c r="F970" s="716"/>
      <c r="G970" s="716"/>
      <c r="H970" s="716"/>
      <c r="I970" s="716"/>
      <c r="J970" s="716"/>
      <c r="K970" s="716"/>
      <c r="L970" s="653" t="str">
        <f t="shared" si="980"/>
        <v>0</v>
      </c>
      <c r="M970" s="654">
        <f t="shared" si="780"/>
        <v>0</v>
      </c>
      <c r="N970" s="655">
        <f>+IF(OR($Q970=Parametres!$G$2,$Q970=Parametres!$G$3),I970,C970)</f>
        <v>0</v>
      </c>
      <c r="O970" s="655">
        <f>+IF(OR($Q970=Parametres!$G$2,$Q970=Parametres!$G$3),J970,D970)</f>
        <v>0</v>
      </c>
      <c r="P970" s="655">
        <f>+IF(OR($Q970=Parametres!$G$2,$Q970=Parametres!$G$3),K970,E970)</f>
        <v>0</v>
      </c>
      <c r="Q970" s="654">
        <f t="shared" ref="Q970:S970" si="988">+F970</f>
        <v>0</v>
      </c>
      <c r="R970" s="653">
        <f t="shared" si="988"/>
        <v>0</v>
      </c>
      <c r="S970" s="654">
        <f t="shared" si="988"/>
        <v>0</v>
      </c>
      <c r="T970" s="656" t="e">
        <f>+VLOOKUP($L970,Data_Validation!$A:$D,1,0)</f>
        <v>#N/A</v>
      </c>
      <c r="U970" s="656" t="e">
        <f>+VLOOKUP($L970,Data_Validation!$A:$D,3,0)</f>
        <v>#N/A</v>
      </c>
      <c r="V970" s="656" t="e">
        <f>+VLOOKUP($L970,Data_Validation!$A:$D,4,0)</f>
        <v>#N/A</v>
      </c>
      <c r="W970" s="656" t="e">
        <f>+VLOOKUP($L970,Data_Validation!$A:$E,5,0)</f>
        <v>#N/A</v>
      </c>
    </row>
    <row r="971" spans="1:23" ht="15.75" customHeight="1">
      <c r="A971" s="716"/>
      <c r="B971" s="654"/>
      <c r="C971" s="717"/>
      <c r="D971" s="716"/>
      <c r="E971" s="716"/>
      <c r="F971" s="716"/>
      <c r="G971" s="716"/>
      <c r="H971" s="716"/>
      <c r="I971" s="716"/>
      <c r="J971" s="716"/>
      <c r="K971" s="716"/>
      <c r="L971" s="653" t="str">
        <f t="shared" si="980"/>
        <v>0</v>
      </c>
      <c r="M971" s="654">
        <f t="shared" si="780"/>
        <v>0</v>
      </c>
      <c r="N971" s="655">
        <f>+IF(OR($Q971=Parametres!$G$2,$Q971=Parametres!$G$3),I971,C971)</f>
        <v>0</v>
      </c>
      <c r="O971" s="655">
        <f>+IF(OR($Q971=Parametres!$G$2,$Q971=Parametres!$G$3),J971,D971)</f>
        <v>0</v>
      </c>
      <c r="P971" s="655">
        <f>+IF(OR($Q971=Parametres!$G$2,$Q971=Parametres!$G$3),K971,E971)</f>
        <v>0</v>
      </c>
      <c r="Q971" s="654">
        <f t="shared" ref="Q971:S971" si="989">+F971</f>
        <v>0</v>
      </c>
      <c r="R971" s="653">
        <f t="shared" si="989"/>
        <v>0</v>
      </c>
      <c r="S971" s="654">
        <f t="shared" si="989"/>
        <v>0</v>
      </c>
      <c r="T971" s="656" t="e">
        <f>+VLOOKUP($L971,Data_Validation!$A:$D,1,0)</f>
        <v>#N/A</v>
      </c>
      <c r="U971" s="656" t="e">
        <f>+VLOOKUP($L971,Data_Validation!$A:$D,3,0)</f>
        <v>#N/A</v>
      </c>
      <c r="V971" s="656" t="e">
        <f>+VLOOKUP($L971,Data_Validation!$A:$D,4,0)</f>
        <v>#N/A</v>
      </c>
      <c r="W971" s="656" t="e">
        <f>+VLOOKUP($L971,Data_Validation!$A:$E,5,0)</f>
        <v>#N/A</v>
      </c>
    </row>
    <row r="972" spans="1:23" ht="15.75" customHeight="1">
      <c r="A972" s="716"/>
      <c r="B972" s="654"/>
      <c r="C972" s="717"/>
      <c r="D972" s="716"/>
      <c r="E972" s="716"/>
      <c r="F972" s="716"/>
      <c r="G972" s="716"/>
      <c r="H972" s="716"/>
      <c r="I972" s="716"/>
      <c r="J972" s="716"/>
      <c r="K972" s="716"/>
      <c r="L972" s="653" t="str">
        <f t="shared" si="980"/>
        <v>0</v>
      </c>
      <c r="M972" s="654">
        <f t="shared" si="780"/>
        <v>0</v>
      </c>
      <c r="N972" s="655">
        <f>+IF(OR($Q972=Parametres!$G$2,$Q972=Parametres!$G$3),I972,C972)</f>
        <v>0</v>
      </c>
      <c r="O972" s="655">
        <f>+IF(OR($Q972=Parametres!$G$2,$Q972=Parametres!$G$3),J972,D972)</f>
        <v>0</v>
      </c>
      <c r="P972" s="655">
        <f>+IF(OR($Q972=Parametres!$G$2,$Q972=Parametres!$G$3),K972,E972)</f>
        <v>0</v>
      </c>
      <c r="Q972" s="654">
        <f t="shared" ref="Q972:S972" si="990">+F972</f>
        <v>0</v>
      </c>
      <c r="R972" s="653">
        <f t="shared" si="990"/>
        <v>0</v>
      </c>
      <c r="S972" s="654">
        <f t="shared" si="990"/>
        <v>0</v>
      </c>
      <c r="T972" s="656" t="e">
        <f>+VLOOKUP($L972,Data_Validation!$A:$D,1,0)</f>
        <v>#N/A</v>
      </c>
      <c r="U972" s="656" t="e">
        <f>+VLOOKUP($L972,Data_Validation!$A:$D,3,0)</f>
        <v>#N/A</v>
      </c>
      <c r="V972" s="656" t="e">
        <f>+VLOOKUP($L972,Data_Validation!$A:$D,4,0)</f>
        <v>#N/A</v>
      </c>
      <c r="W972" s="656" t="e">
        <f>+VLOOKUP($L972,Data_Validation!$A:$E,5,0)</f>
        <v>#N/A</v>
      </c>
    </row>
    <row r="973" spans="1:23" ht="15.75" customHeight="1">
      <c r="A973" s="716"/>
      <c r="B973" s="654"/>
      <c r="C973" s="717"/>
      <c r="D973" s="716"/>
      <c r="E973" s="716"/>
      <c r="F973" s="716"/>
      <c r="G973" s="716"/>
      <c r="H973" s="716"/>
      <c r="I973" s="716"/>
      <c r="J973" s="716"/>
      <c r="K973" s="716"/>
      <c r="L973" s="653" t="str">
        <f t="shared" si="980"/>
        <v>0</v>
      </c>
      <c r="M973" s="654">
        <f t="shared" si="780"/>
        <v>0</v>
      </c>
      <c r="N973" s="655">
        <f>+IF(OR($Q973=Parametres!$G$2,$Q973=Parametres!$G$3),I973,C973)</f>
        <v>0</v>
      </c>
      <c r="O973" s="655">
        <f>+IF(OR($Q973=Parametres!$G$2,$Q973=Parametres!$G$3),J973,D973)</f>
        <v>0</v>
      </c>
      <c r="P973" s="655">
        <f>+IF(OR($Q973=Parametres!$G$2,$Q973=Parametres!$G$3),K973,E973)</f>
        <v>0</v>
      </c>
      <c r="Q973" s="654">
        <f t="shared" ref="Q973:S973" si="991">+F973</f>
        <v>0</v>
      </c>
      <c r="R973" s="653">
        <f t="shared" si="991"/>
        <v>0</v>
      </c>
      <c r="S973" s="654">
        <f t="shared" si="991"/>
        <v>0</v>
      </c>
      <c r="T973" s="656" t="e">
        <f>+VLOOKUP($L973,Data_Validation!$A:$D,1,0)</f>
        <v>#N/A</v>
      </c>
      <c r="U973" s="656" t="e">
        <f>+VLOOKUP($L973,Data_Validation!$A:$D,3,0)</f>
        <v>#N/A</v>
      </c>
      <c r="V973" s="656" t="e">
        <f>+VLOOKUP($L973,Data_Validation!$A:$D,4,0)</f>
        <v>#N/A</v>
      </c>
      <c r="W973" s="656" t="e">
        <f>+VLOOKUP($L973,Data_Validation!$A:$E,5,0)</f>
        <v>#N/A</v>
      </c>
    </row>
    <row r="974" spans="1:23" ht="15.75" customHeight="1">
      <c r="A974" s="716"/>
      <c r="B974" s="654"/>
      <c r="C974" s="717"/>
      <c r="D974" s="716"/>
      <c r="E974" s="716"/>
      <c r="F974" s="716"/>
      <c r="G974" s="716"/>
      <c r="H974" s="716"/>
      <c r="I974" s="716"/>
      <c r="J974" s="716"/>
      <c r="K974" s="716"/>
      <c r="L974" s="653" t="str">
        <f t="shared" si="980"/>
        <v>0</v>
      </c>
      <c r="M974" s="654">
        <f t="shared" si="780"/>
        <v>0</v>
      </c>
      <c r="N974" s="655">
        <f>+IF(OR($Q974=Parametres!$G$2,$Q974=Parametres!$G$3),I974,C974)</f>
        <v>0</v>
      </c>
      <c r="O974" s="655">
        <f>+IF(OR($Q974=Parametres!$G$2,$Q974=Parametres!$G$3),J974,D974)</f>
        <v>0</v>
      </c>
      <c r="P974" s="655">
        <f>+IF(OR($Q974=Parametres!$G$2,$Q974=Parametres!$G$3),K974,E974)</f>
        <v>0</v>
      </c>
      <c r="Q974" s="654">
        <f t="shared" ref="Q974:S974" si="992">+F974</f>
        <v>0</v>
      </c>
      <c r="R974" s="653">
        <f t="shared" si="992"/>
        <v>0</v>
      </c>
      <c r="S974" s="654">
        <f t="shared" si="992"/>
        <v>0</v>
      </c>
      <c r="T974" s="656" t="e">
        <f>+VLOOKUP($L974,Data_Validation!$A:$D,1,0)</f>
        <v>#N/A</v>
      </c>
      <c r="U974" s="656" t="e">
        <f>+VLOOKUP($L974,Data_Validation!$A:$D,3,0)</f>
        <v>#N/A</v>
      </c>
      <c r="V974" s="656" t="e">
        <f>+VLOOKUP($L974,Data_Validation!$A:$D,4,0)</f>
        <v>#N/A</v>
      </c>
      <c r="W974" s="656" t="e">
        <f>+VLOOKUP($L974,Data_Validation!$A:$E,5,0)</f>
        <v>#N/A</v>
      </c>
    </row>
    <row r="975" spans="1:23" ht="15.75" customHeight="1">
      <c r="A975" s="716"/>
      <c r="B975" s="654"/>
      <c r="C975" s="717"/>
      <c r="D975" s="716"/>
      <c r="E975" s="716"/>
      <c r="F975" s="716"/>
      <c r="G975" s="716"/>
      <c r="H975" s="716"/>
      <c r="I975" s="716"/>
      <c r="J975" s="716"/>
      <c r="K975" s="716"/>
      <c r="L975" s="653" t="str">
        <f t="shared" si="980"/>
        <v>0</v>
      </c>
      <c r="M975" s="654">
        <f t="shared" si="780"/>
        <v>0</v>
      </c>
      <c r="N975" s="655">
        <f>+IF(OR($Q975=Parametres!$G$2,$Q975=Parametres!$G$3),I975,C975)</f>
        <v>0</v>
      </c>
      <c r="O975" s="655">
        <f>+IF(OR($Q975=Parametres!$G$2,$Q975=Parametres!$G$3),J975,D975)</f>
        <v>0</v>
      </c>
      <c r="P975" s="655">
        <f>+IF(OR($Q975=Parametres!$G$2,$Q975=Parametres!$G$3),K975,E975)</f>
        <v>0</v>
      </c>
      <c r="Q975" s="654">
        <f t="shared" ref="Q975:S975" si="993">+F975</f>
        <v>0</v>
      </c>
      <c r="R975" s="653">
        <f t="shared" si="993"/>
        <v>0</v>
      </c>
      <c r="S975" s="654">
        <f t="shared" si="993"/>
        <v>0</v>
      </c>
      <c r="T975" s="656" t="e">
        <f>+VLOOKUP($L975,Data_Validation!$A:$D,1,0)</f>
        <v>#N/A</v>
      </c>
      <c r="U975" s="656" t="e">
        <f>+VLOOKUP($L975,Data_Validation!$A:$D,3,0)</f>
        <v>#N/A</v>
      </c>
      <c r="V975" s="656" t="e">
        <f>+VLOOKUP($L975,Data_Validation!$A:$D,4,0)</f>
        <v>#N/A</v>
      </c>
      <c r="W975" s="656" t="e">
        <f>+VLOOKUP($L975,Data_Validation!$A:$E,5,0)</f>
        <v>#N/A</v>
      </c>
    </row>
    <row r="976" spans="1:23" ht="15.75" customHeight="1">
      <c r="A976" s="716"/>
      <c r="B976" s="654"/>
      <c r="C976" s="717"/>
      <c r="D976" s="716"/>
      <c r="E976" s="716"/>
      <c r="F976" s="716"/>
      <c r="G976" s="716"/>
      <c r="H976" s="716"/>
      <c r="I976" s="716"/>
      <c r="J976" s="716"/>
      <c r="K976" s="716"/>
      <c r="L976" s="653" t="str">
        <f t="shared" si="980"/>
        <v>0</v>
      </c>
      <c r="M976" s="654">
        <f t="shared" si="780"/>
        <v>0</v>
      </c>
      <c r="N976" s="655">
        <f>+IF(OR($Q976=Parametres!$G$2,$Q976=Parametres!$G$3),I976,C976)</f>
        <v>0</v>
      </c>
      <c r="O976" s="655">
        <f>+IF(OR($Q976=Parametres!$G$2,$Q976=Parametres!$G$3),J976,D976)</f>
        <v>0</v>
      </c>
      <c r="P976" s="655">
        <f>+IF(OR($Q976=Parametres!$G$2,$Q976=Parametres!$G$3),K976,E976)</f>
        <v>0</v>
      </c>
      <c r="Q976" s="654">
        <f t="shared" ref="Q976:S976" si="994">+F976</f>
        <v>0</v>
      </c>
      <c r="R976" s="653">
        <f t="shared" si="994"/>
        <v>0</v>
      </c>
      <c r="S976" s="654">
        <f t="shared" si="994"/>
        <v>0</v>
      </c>
      <c r="T976" s="656" t="e">
        <f>+VLOOKUP($L976,Data_Validation!$A:$D,1,0)</f>
        <v>#N/A</v>
      </c>
      <c r="U976" s="656" t="e">
        <f>+VLOOKUP($L976,Data_Validation!$A:$D,3,0)</f>
        <v>#N/A</v>
      </c>
      <c r="V976" s="656" t="e">
        <f>+VLOOKUP($L976,Data_Validation!$A:$D,4,0)</f>
        <v>#N/A</v>
      </c>
      <c r="W976" s="656" t="e">
        <f>+VLOOKUP($L976,Data_Validation!$A:$E,5,0)</f>
        <v>#N/A</v>
      </c>
    </row>
    <row r="977" spans="1:23" ht="15.75" customHeight="1">
      <c r="A977" s="716"/>
      <c r="B977" s="654"/>
      <c r="C977" s="717"/>
      <c r="D977" s="716"/>
      <c r="E977" s="716"/>
      <c r="F977" s="716"/>
      <c r="G977" s="716"/>
      <c r="H977" s="716"/>
      <c r="I977" s="716"/>
      <c r="J977" s="716"/>
      <c r="K977" s="716"/>
      <c r="L977" s="653" t="str">
        <f t="shared" si="980"/>
        <v>0</v>
      </c>
      <c r="M977" s="654">
        <f t="shared" si="780"/>
        <v>0</v>
      </c>
      <c r="N977" s="655">
        <f>+IF(OR($Q977=Parametres!$G$2,$Q977=Parametres!$G$3),I977,C977)</f>
        <v>0</v>
      </c>
      <c r="O977" s="655">
        <f>+IF(OR($Q977=Parametres!$G$2,$Q977=Parametres!$G$3),J977,D977)</f>
        <v>0</v>
      </c>
      <c r="P977" s="655">
        <f>+IF(OR($Q977=Parametres!$G$2,$Q977=Parametres!$G$3),K977,E977)</f>
        <v>0</v>
      </c>
      <c r="Q977" s="654">
        <f t="shared" ref="Q977:S977" si="995">+F977</f>
        <v>0</v>
      </c>
      <c r="R977" s="653">
        <f t="shared" si="995"/>
        <v>0</v>
      </c>
      <c r="S977" s="654">
        <f t="shared" si="995"/>
        <v>0</v>
      </c>
      <c r="T977" s="656" t="e">
        <f>+VLOOKUP($L977,Data_Validation!$A:$D,1,0)</f>
        <v>#N/A</v>
      </c>
      <c r="U977" s="656" t="e">
        <f>+VLOOKUP($L977,Data_Validation!$A:$D,3,0)</f>
        <v>#N/A</v>
      </c>
      <c r="V977" s="656" t="e">
        <f>+VLOOKUP($L977,Data_Validation!$A:$D,4,0)</f>
        <v>#N/A</v>
      </c>
      <c r="W977" s="656" t="e">
        <f>+VLOOKUP($L977,Data_Validation!$A:$E,5,0)</f>
        <v>#N/A</v>
      </c>
    </row>
    <row r="978" spans="1:23" ht="15.75" customHeight="1">
      <c r="A978" s="716"/>
      <c r="B978" s="654"/>
      <c r="C978" s="717"/>
      <c r="D978" s="716"/>
      <c r="E978" s="716"/>
      <c r="F978" s="716"/>
      <c r="G978" s="716"/>
      <c r="H978" s="716"/>
      <c r="I978" s="716"/>
      <c r="J978" s="716"/>
      <c r="K978" s="716"/>
      <c r="L978" s="653" t="str">
        <f t="shared" si="980"/>
        <v>0</v>
      </c>
      <c r="M978" s="654">
        <f t="shared" si="780"/>
        <v>0</v>
      </c>
      <c r="N978" s="655">
        <f>+IF(OR($Q978=Parametres!$G$2,$Q978=Parametres!$G$3),I978,C978)</f>
        <v>0</v>
      </c>
      <c r="O978" s="655">
        <f>+IF(OR($Q978=Parametres!$G$2,$Q978=Parametres!$G$3),J978,D978)</f>
        <v>0</v>
      </c>
      <c r="P978" s="655">
        <f>+IF(OR($Q978=Parametres!$G$2,$Q978=Parametres!$G$3),K978,E978)</f>
        <v>0</v>
      </c>
      <c r="Q978" s="654">
        <f t="shared" ref="Q978:S978" si="996">+F978</f>
        <v>0</v>
      </c>
      <c r="R978" s="653">
        <f t="shared" si="996"/>
        <v>0</v>
      </c>
      <c r="S978" s="654">
        <f t="shared" si="996"/>
        <v>0</v>
      </c>
      <c r="T978" s="656" t="e">
        <f>+VLOOKUP($L978,Data_Validation!$A:$D,1,0)</f>
        <v>#N/A</v>
      </c>
      <c r="U978" s="656" t="e">
        <f>+VLOOKUP($L978,Data_Validation!$A:$D,3,0)</f>
        <v>#N/A</v>
      </c>
      <c r="V978" s="656" t="e">
        <f>+VLOOKUP($L978,Data_Validation!$A:$D,4,0)</f>
        <v>#N/A</v>
      </c>
      <c r="W978" s="656" t="e">
        <f>+VLOOKUP($L978,Data_Validation!$A:$E,5,0)</f>
        <v>#N/A</v>
      </c>
    </row>
    <row r="979" spans="1:23" ht="15.75" customHeight="1">
      <c r="A979" s="716"/>
      <c r="B979" s="654"/>
      <c r="C979" s="717"/>
      <c r="D979" s="716"/>
      <c r="E979" s="716"/>
      <c r="F979" s="716"/>
      <c r="G979" s="716"/>
      <c r="H979" s="716"/>
      <c r="I979" s="716"/>
      <c r="J979" s="716"/>
      <c r="K979" s="716"/>
      <c r="L979" s="653" t="str">
        <f t="shared" si="980"/>
        <v>0</v>
      </c>
      <c r="M979" s="654">
        <f t="shared" si="780"/>
        <v>0</v>
      </c>
      <c r="N979" s="655">
        <f>+IF(OR($Q979=Parametres!$G$2,$Q979=Parametres!$G$3),I979,C979)</f>
        <v>0</v>
      </c>
      <c r="O979" s="655">
        <f>+IF(OR($Q979=Parametres!$G$2,$Q979=Parametres!$G$3),J979,D979)</f>
        <v>0</v>
      </c>
      <c r="P979" s="655">
        <f>+IF(OR($Q979=Parametres!$G$2,$Q979=Parametres!$G$3),K979,E979)</f>
        <v>0</v>
      </c>
      <c r="Q979" s="654">
        <f t="shared" ref="Q979:S979" si="997">+F979</f>
        <v>0</v>
      </c>
      <c r="R979" s="653">
        <f t="shared" si="997"/>
        <v>0</v>
      </c>
      <c r="S979" s="654">
        <f t="shared" si="997"/>
        <v>0</v>
      </c>
      <c r="T979" s="656" t="e">
        <f>+VLOOKUP($L979,Data_Validation!$A:$D,1,0)</f>
        <v>#N/A</v>
      </c>
      <c r="U979" s="656" t="e">
        <f>+VLOOKUP($L979,Data_Validation!$A:$D,3,0)</f>
        <v>#N/A</v>
      </c>
      <c r="V979" s="656" t="e">
        <f>+VLOOKUP($L979,Data_Validation!$A:$D,4,0)</f>
        <v>#N/A</v>
      </c>
      <c r="W979" s="656" t="e">
        <f>+VLOOKUP($L979,Data_Validation!$A:$E,5,0)</f>
        <v>#N/A</v>
      </c>
    </row>
    <row r="980" spans="1:23" ht="15.75" customHeight="1">
      <c r="A980" s="716"/>
      <c r="B980" s="654"/>
      <c r="C980" s="717"/>
      <c r="D980" s="716"/>
      <c r="E980" s="716"/>
      <c r="F980" s="716"/>
      <c r="G980" s="716"/>
      <c r="H980" s="716"/>
      <c r="I980" s="716"/>
      <c r="J980" s="716"/>
      <c r="K980" s="716"/>
      <c r="L980" s="653" t="str">
        <f t="shared" si="980"/>
        <v>0</v>
      </c>
      <c r="M980" s="654">
        <f t="shared" si="780"/>
        <v>0</v>
      </c>
      <c r="N980" s="655">
        <f>+IF(OR($Q980=Parametres!$G$2,$Q980=Parametres!$G$3),I980,C980)</f>
        <v>0</v>
      </c>
      <c r="O980" s="655">
        <f>+IF(OR($Q980=Parametres!$G$2,$Q980=Parametres!$G$3),J980,D980)</f>
        <v>0</v>
      </c>
      <c r="P980" s="655">
        <f>+IF(OR($Q980=Parametres!$G$2,$Q980=Parametres!$G$3),K980,E980)</f>
        <v>0</v>
      </c>
      <c r="Q980" s="654">
        <f t="shared" ref="Q980:S980" si="998">+F980</f>
        <v>0</v>
      </c>
      <c r="R980" s="653">
        <f t="shared" si="998"/>
        <v>0</v>
      </c>
      <c r="S980" s="654">
        <f t="shared" si="998"/>
        <v>0</v>
      </c>
      <c r="T980" s="656" t="e">
        <f>+VLOOKUP($L980,Data_Validation!$A:$D,1,0)</f>
        <v>#N/A</v>
      </c>
      <c r="U980" s="656" t="e">
        <f>+VLOOKUP($L980,Data_Validation!$A:$D,3,0)</f>
        <v>#N/A</v>
      </c>
      <c r="V980" s="656" t="e">
        <f>+VLOOKUP($L980,Data_Validation!$A:$D,4,0)</f>
        <v>#N/A</v>
      </c>
      <c r="W980" s="656" t="e">
        <f>+VLOOKUP($L980,Data_Validation!$A:$E,5,0)</f>
        <v>#N/A</v>
      </c>
    </row>
    <row r="981" spans="1:23" ht="15.75" customHeight="1">
      <c r="A981" s="716"/>
      <c r="B981" s="654"/>
      <c r="C981" s="717"/>
      <c r="D981" s="716"/>
      <c r="E981" s="716"/>
      <c r="F981" s="716"/>
      <c r="G981" s="716"/>
      <c r="H981" s="716"/>
      <c r="I981" s="716"/>
      <c r="J981" s="716"/>
      <c r="K981" s="716"/>
      <c r="L981" s="653" t="str">
        <f t="shared" si="980"/>
        <v>0</v>
      </c>
      <c r="M981" s="654">
        <f t="shared" si="780"/>
        <v>0</v>
      </c>
      <c r="N981" s="655">
        <f>+IF(OR($Q981=Parametres!$G$2,$Q981=Parametres!$G$3),I981,C981)</f>
        <v>0</v>
      </c>
      <c r="O981" s="655">
        <f>+IF(OR($Q981=Parametres!$G$2,$Q981=Parametres!$G$3),J981,D981)</f>
        <v>0</v>
      </c>
      <c r="P981" s="655">
        <f>+IF(OR($Q981=Parametres!$G$2,$Q981=Parametres!$G$3),K981,E981)</f>
        <v>0</v>
      </c>
      <c r="Q981" s="654">
        <f t="shared" ref="Q981:S981" si="999">+F981</f>
        <v>0</v>
      </c>
      <c r="R981" s="653">
        <f t="shared" si="999"/>
        <v>0</v>
      </c>
      <c r="S981" s="654">
        <f t="shared" si="999"/>
        <v>0</v>
      </c>
      <c r="T981" s="656" t="e">
        <f>+VLOOKUP($L981,Data_Validation!$A:$D,1,0)</f>
        <v>#N/A</v>
      </c>
      <c r="U981" s="656" t="e">
        <f>+VLOOKUP($L981,Data_Validation!$A:$D,3,0)</f>
        <v>#N/A</v>
      </c>
      <c r="V981" s="656" t="e">
        <f>+VLOOKUP($L981,Data_Validation!$A:$D,4,0)</f>
        <v>#N/A</v>
      </c>
      <c r="W981" s="656" t="e">
        <f>+VLOOKUP($L981,Data_Validation!$A:$E,5,0)</f>
        <v>#N/A</v>
      </c>
    </row>
    <row r="982" spans="1:23" ht="15.75" customHeight="1">
      <c r="A982" s="716"/>
      <c r="B982" s="654"/>
      <c r="C982" s="717"/>
      <c r="D982" s="716"/>
      <c r="E982" s="716"/>
      <c r="F982" s="716"/>
      <c r="G982" s="716"/>
      <c r="H982" s="716"/>
      <c r="I982" s="716"/>
      <c r="J982" s="716"/>
      <c r="K982" s="716"/>
      <c r="L982" s="653" t="str">
        <f t="shared" si="980"/>
        <v>0</v>
      </c>
      <c r="M982" s="654">
        <f t="shared" si="780"/>
        <v>0</v>
      </c>
      <c r="N982" s="655">
        <f>+IF(OR($Q982=Parametres!$G$2,$Q982=Parametres!$G$3),I982,C982)</f>
        <v>0</v>
      </c>
      <c r="O982" s="655">
        <f>+IF(OR($Q982=Parametres!$G$2,$Q982=Parametres!$G$3),J982,D982)</f>
        <v>0</v>
      </c>
      <c r="P982" s="655">
        <f>+IF(OR($Q982=Parametres!$G$2,$Q982=Parametres!$G$3),K982,E982)</f>
        <v>0</v>
      </c>
      <c r="Q982" s="654">
        <f t="shared" ref="Q982:S982" si="1000">+F982</f>
        <v>0</v>
      </c>
      <c r="R982" s="653">
        <f t="shared" si="1000"/>
        <v>0</v>
      </c>
      <c r="S982" s="654">
        <f t="shared" si="1000"/>
        <v>0</v>
      </c>
      <c r="T982" s="656" t="e">
        <f>+VLOOKUP($L982,Data_Validation!$A:$D,1,0)</f>
        <v>#N/A</v>
      </c>
      <c r="U982" s="656" t="e">
        <f>+VLOOKUP($L982,Data_Validation!$A:$D,3,0)</f>
        <v>#N/A</v>
      </c>
      <c r="V982" s="656" t="e">
        <f>+VLOOKUP($L982,Data_Validation!$A:$D,4,0)</f>
        <v>#N/A</v>
      </c>
      <c r="W982" s="656" t="e">
        <f>+VLOOKUP($L982,Data_Validation!$A:$E,5,0)</f>
        <v>#N/A</v>
      </c>
    </row>
    <row r="983" spans="1:23" ht="15.75" customHeight="1">
      <c r="A983" s="716"/>
      <c r="B983" s="654"/>
      <c r="C983" s="717"/>
      <c r="D983" s="716"/>
      <c r="E983" s="716"/>
      <c r="F983" s="716"/>
      <c r="G983" s="716"/>
      <c r="H983" s="716"/>
      <c r="I983" s="716"/>
      <c r="J983" s="716"/>
      <c r="K983" s="716"/>
      <c r="L983" s="653" t="str">
        <f t="shared" si="980"/>
        <v>0</v>
      </c>
      <c r="M983" s="654">
        <f t="shared" si="780"/>
        <v>0</v>
      </c>
      <c r="N983" s="655">
        <f>+IF(OR($Q983=Parametres!$G$2,$Q983=Parametres!$G$3),I983,C983)</f>
        <v>0</v>
      </c>
      <c r="O983" s="655">
        <f>+IF(OR($Q983=Parametres!$G$2,$Q983=Parametres!$G$3),J983,D983)</f>
        <v>0</v>
      </c>
      <c r="P983" s="655">
        <f>+IF(OR($Q983=Parametres!$G$2,$Q983=Parametres!$G$3),K983,E983)</f>
        <v>0</v>
      </c>
      <c r="Q983" s="654">
        <f t="shared" ref="Q983:S983" si="1001">+F983</f>
        <v>0</v>
      </c>
      <c r="R983" s="653">
        <f t="shared" si="1001"/>
        <v>0</v>
      </c>
      <c r="S983" s="654">
        <f t="shared" si="1001"/>
        <v>0</v>
      </c>
      <c r="T983" s="656" t="e">
        <f>+VLOOKUP($L983,Data_Validation!$A:$D,1,0)</f>
        <v>#N/A</v>
      </c>
      <c r="U983" s="656" t="e">
        <f>+VLOOKUP($L983,Data_Validation!$A:$D,3,0)</f>
        <v>#N/A</v>
      </c>
      <c r="V983" s="656" t="e">
        <f>+VLOOKUP($L983,Data_Validation!$A:$D,4,0)</f>
        <v>#N/A</v>
      </c>
      <c r="W983" s="656" t="e">
        <f>+VLOOKUP($L983,Data_Validation!$A:$E,5,0)</f>
        <v>#N/A</v>
      </c>
    </row>
    <row r="984" spans="1:23" ht="15.75" customHeight="1">
      <c r="A984" s="716"/>
      <c r="B984" s="654"/>
      <c r="C984" s="717"/>
      <c r="D984" s="716"/>
      <c r="E984" s="716"/>
      <c r="F984" s="716"/>
      <c r="G984" s="716"/>
      <c r="H984" s="716"/>
      <c r="I984" s="716"/>
      <c r="J984" s="716"/>
      <c r="K984" s="716"/>
      <c r="L984" s="653" t="str">
        <f t="shared" si="980"/>
        <v>0</v>
      </c>
      <c r="M984" s="654">
        <f t="shared" si="780"/>
        <v>0</v>
      </c>
      <c r="N984" s="655">
        <f>+IF(OR($Q984=Parametres!$G$2,$Q984=Parametres!$G$3),I984,C984)</f>
        <v>0</v>
      </c>
      <c r="O984" s="655">
        <f>+IF(OR($Q984=Parametres!$G$2,$Q984=Parametres!$G$3),J984,D984)</f>
        <v>0</v>
      </c>
      <c r="P984" s="655">
        <f>+IF(OR($Q984=Parametres!$G$2,$Q984=Parametres!$G$3),K984,E984)</f>
        <v>0</v>
      </c>
      <c r="Q984" s="654">
        <f t="shared" ref="Q984:S984" si="1002">+F984</f>
        <v>0</v>
      </c>
      <c r="R984" s="653">
        <f t="shared" si="1002"/>
        <v>0</v>
      </c>
      <c r="S984" s="654">
        <f t="shared" si="1002"/>
        <v>0</v>
      </c>
      <c r="T984" s="656" t="e">
        <f>+VLOOKUP($L984,Data_Validation!$A:$D,1,0)</f>
        <v>#N/A</v>
      </c>
      <c r="U984" s="656" t="e">
        <f>+VLOOKUP($L984,Data_Validation!$A:$D,3,0)</f>
        <v>#N/A</v>
      </c>
      <c r="V984" s="656" t="e">
        <f>+VLOOKUP($L984,Data_Validation!$A:$D,4,0)</f>
        <v>#N/A</v>
      </c>
      <c r="W984" s="656" t="e">
        <f>+VLOOKUP($L984,Data_Validation!$A:$E,5,0)</f>
        <v>#N/A</v>
      </c>
    </row>
    <row r="985" spans="1:23" ht="15.75" customHeight="1">
      <c r="A985" s="716"/>
      <c r="B985" s="654"/>
      <c r="C985" s="717"/>
      <c r="D985" s="716"/>
      <c r="E985" s="716"/>
      <c r="F985" s="716"/>
      <c r="G985" s="716"/>
      <c r="H985" s="716"/>
      <c r="I985" s="716"/>
      <c r="J985" s="716"/>
      <c r="K985" s="716"/>
      <c r="L985" s="653" t="str">
        <f t="shared" si="980"/>
        <v>0</v>
      </c>
      <c r="M985" s="654">
        <f t="shared" si="780"/>
        <v>0</v>
      </c>
      <c r="N985" s="655">
        <f>+IF(OR($Q985=Parametres!$G$2,$Q985=Parametres!$G$3),I985,C985)</f>
        <v>0</v>
      </c>
      <c r="O985" s="655">
        <f>+IF(OR($Q985=Parametres!$G$2,$Q985=Parametres!$G$3),J985,D985)</f>
        <v>0</v>
      </c>
      <c r="P985" s="655">
        <f>+IF(OR($Q985=Parametres!$G$2,$Q985=Parametres!$G$3),K985,E985)</f>
        <v>0</v>
      </c>
      <c r="Q985" s="654">
        <f t="shared" ref="Q985:S985" si="1003">+F985</f>
        <v>0</v>
      </c>
      <c r="R985" s="653">
        <f t="shared" si="1003"/>
        <v>0</v>
      </c>
      <c r="S985" s="654">
        <f t="shared" si="1003"/>
        <v>0</v>
      </c>
      <c r="T985" s="656" t="e">
        <f>+VLOOKUP($L985,Data_Validation!$A:$D,1,0)</f>
        <v>#N/A</v>
      </c>
      <c r="U985" s="656" t="e">
        <f>+VLOOKUP($L985,Data_Validation!$A:$D,3,0)</f>
        <v>#N/A</v>
      </c>
      <c r="V985" s="656" t="e">
        <f>+VLOOKUP($L985,Data_Validation!$A:$D,4,0)</f>
        <v>#N/A</v>
      </c>
      <c r="W985" s="656" t="e">
        <f>+VLOOKUP($L985,Data_Validation!$A:$E,5,0)</f>
        <v>#N/A</v>
      </c>
    </row>
    <row r="986" spans="1:23" ht="15.75" customHeight="1">
      <c r="A986" s="716"/>
      <c r="B986" s="654"/>
      <c r="C986" s="717"/>
      <c r="D986" s="716"/>
      <c r="E986" s="716"/>
      <c r="F986" s="716"/>
      <c r="G986" s="716"/>
      <c r="H986" s="716"/>
      <c r="I986" s="716"/>
      <c r="J986" s="716"/>
      <c r="K986" s="716"/>
      <c r="L986" s="653" t="str">
        <f t="shared" si="980"/>
        <v>0</v>
      </c>
      <c r="M986" s="654">
        <f t="shared" si="780"/>
        <v>0</v>
      </c>
      <c r="N986" s="655">
        <f>+IF(OR($Q986=Parametres!$G$2,$Q986=Parametres!$G$3),I986,C986)</f>
        <v>0</v>
      </c>
      <c r="O986" s="655">
        <f>+IF(OR($Q986=Parametres!$G$2,$Q986=Parametres!$G$3),J986,D986)</f>
        <v>0</v>
      </c>
      <c r="P986" s="655">
        <f>+IF(OR($Q986=Parametres!$G$2,$Q986=Parametres!$G$3),K986,E986)</f>
        <v>0</v>
      </c>
      <c r="Q986" s="654">
        <f t="shared" ref="Q986:S986" si="1004">+F986</f>
        <v>0</v>
      </c>
      <c r="R986" s="653">
        <f t="shared" si="1004"/>
        <v>0</v>
      </c>
      <c r="S986" s="654">
        <f t="shared" si="1004"/>
        <v>0</v>
      </c>
      <c r="T986" s="656" t="e">
        <f>+VLOOKUP($L986,Data_Validation!$A:$D,1,0)</f>
        <v>#N/A</v>
      </c>
      <c r="U986" s="656" t="e">
        <f>+VLOOKUP($L986,Data_Validation!$A:$D,3,0)</f>
        <v>#N/A</v>
      </c>
      <c r="V986" s="656" t="e">
        <f>+VLOOKUP($L986,Data_Validation!$A:$D,4,0)</f>
        <v>#N/A</v>
      </c>
      <c r="W986" s="656" t="e">
        <f>+VLOOKUP($L986,Data_Validation!$A:$E,5,0)</f>
        <v>#N/A</v>
      </c>
    </row>
    <row r="987" spans="1:23" ht="15.75" customHeight="1">
      <c r="A987" s="716"/>
      <c r="B987" s="654"/>
      <c r="C987" s="717"/>
      <c r="D987" s="716"/>
      <c r="E987" s="716"/>
      <c r="F987" s="716"/>
      <c r="G987" s="716"/>
      <c r="H987" s="716"/>
      <c r="I987" s="716"/>
      <c r="J987" s="716"/>
      <c r="K987" s="716"/>
      <c r="L987" s="653" t="str">
        <f t="shared" si="980"/>
        <v>0</v>
      </c>
      <c r="M987" s="654">
        <f t="shared" si="780"/>
        <v>0</v>
      </c>
      <c r="N987" s="655">
        <f>+IF(OR($Q987=Parametres!$G$2,$Q987=Parametres!$G$3),I987,C987)</f>
        <v>0</v>
      </c>
      <c r="O987" s="655">
        <f>+IF(OR($Q987=Parametres!$G$2,$Q987=Parametres!$G$3),J987,D987)</f>
        <v>0</v>
      </c>
      <c r="P987" s="655">
        <f>+IF(OR($Q987=Parametres!$G$2,$Q987=Parametres!$G$3),K987,E987)</f>
        <v>0</v>
      </c>
      <c r="Q987" s="654">
        <f t="shared" ref="Q987:S987" si="1005">+F987</f>
        <v>0</v>
      </c>
      <c r="R987" s="653">
        <f t="shared" si="1005"/>
        <v>0</v>
      </c>
      <c r="S987" s="654">
        <f t="shared" si="1005"/>
        <v>0</v>
      </c>
      <c r="T987" s="656" t="e">
        <f>+VLOOKUP($L987,Data_Validation!$A:$D,1,0)</f>
        <v>#N/A</v>
      </c>
      <c r="U987" s="656" t="e">
        <f>+VLOOKUP($L987,Data_Validation!$A:$D,3,0)</f>
        <v>#N/A</v>
      </c>
      <c r="V987" s="656" t="e">
        <f>+VLOOKUP($L987,Data_Validation!$A:$D,4,0)</f>
        <v>#N/A</v>
      </c>
      <c r="W987" s="656" t="e">
        <f>+VLOOKUP($L987,Data_Validation!$A:$E,5,0)</f>
        <v>#N/A</v>
      </c>
    </row>
    <row r="988" spans="1:23" ht="15.75" customHeight="1">
      <c r="A988" s="716"/>
      <c r="B988" s="654"/>
      <c r="C988" s="717"/>
      <c r="D988" s="716"/>
      <c r="E988" s="716"/>
      <c r="F988" s="716"/>
      <c r="G988" s="716"/>
      <c r="H988" s="716"/>
      <c r="I988" s="716"/>
      <c r="J988" s="716"/>
      <c r="K988" s="716"/>
      <c r="L988" s="653" t="str">
        <f t="shared" si="980"/>
        <v>0</v>
      </c>
      <c r="M988" s="654">
        <f t="shared" si="780"/>
        <v>0</v>
      </c>
      <c r="N988" s="655">
        <f>+IF(OR($Q988=Parametres!$G$2,$Q988=Parametres!$G$3),I988,C988)</f>
        <v>0</v>
      </c>
      <c r="O988" s="655">
        <f>+IF(OR($Q988=Parametres!$G$2,$Q988=Parametres!$G$3),J988,D988)</f>
        <v>0</v>
      </c>
      <c r="P988" s="655">
        <f>+IF(OR($Q988=Parametres!$G$2,$Q988=Parametres!$G$3),K988,E988)</f>
        <v>0</v>
      </c>
      <c r="Q988" s="654">
        <f t="shared" ref="Q988:S988" si="1006">+F988</f>
        <v>0</v>
      </c>
      <c r="R988" s="653">
        <f t="shared" si="1006"/>
        <v>0</v>
      </c>
      <c r="S988" s="654">
        <f t="shared" si="1006"/>
        <v>0</v>
      </c>
      <c r="T988" s="656" t="e">
        <f>+VLOOKUP($L988,Data_Validation!$A:$D,1,0)</f>
        <v>#N/A</v>
      </c>
      <c r="U988" s="656" t="e">
        <f>+VLOOKUP($L988,Data_Validation!$A:$D,3,0)</f>
        <v>#N/A</v>
      </c>
      <c r="V988" s="656" t="e">
        <f>+VLOOKUP($L988,Data_Validation!$A:$D,4,0)</f>
        <v>#N/A</v>
      </c>
      <c r="W988" s="656" t="e">
        <f>+VLOOKUP($L988,Data_Validation!$A:$E,5,0)</f>
        <v>#N/A</v>
      </c>
    </row>
    <row r="989" spans="1:23" ht="15.75" customHeight="1">
      <c r="A989" s="716"/>
      <c r="B989" s="654"/>
      <c r="C989" s="717"/>
      <c r="D989" s="716"/>
      <c r="E989" s="716"/>
      <c r="F989" s="716"/>
      <c r="G989" s="716"/>
      <c r="H989" s="716"/>
      <c r="I989" s="716"/>
      <c r="J989" s="716"/>
      <c r="K989" s="716"/>
      <c r="L989" s="653" t="str">
        <f t="shared" si="980"/>
        <v>0</v>
      </c>
      <c r="M989" s="654">
        <f t="shared" si="780"/>
        <v>0</v>
      </c>
      <c r="N989" s="655">
        <f>+IF(OR($Q989=Parametres!$G$2,$Q989=Parametres!$G$3),I989,C989)</f>
        <v>0</v>
      </c>
      <c r="O989" s="655">
        <f>+IF(OR($Q989=Parametres!$G$2,$Q989=Parametres!$G$3),J989,D989)</f>
        <v>0</v>
      </c>
      <c r="P989" s="655">
        <f>+IF(OR($Q989=Parametres!$G$2,$Q989=Parametres!$G$3),K989,E989)</f>
        <v>0</v>
      </c>
      <c r="Q989" s="654">
        <f t="shared" ref="Q989:S989" si="1007">+F989</f>
        <v>0</v>
      </c>
      <c r="R989" s="653">
        <f t="shared" si="1007"/>
        <v>0</v>
      </c>
      <c r="S989" s="654">
        <f t="shared" si="1007"/>
        <v>0</v>
      </c>
      <c r="T989" s="656" t="e">
        <f>+VLOOKUP($L989,Data_Validation!$A:$D,1,0)</f>
        <v>#N/A</v>
      </c>
      <c r="U989" s="656" t="e">
        <f>+VLOOKUP($L989,Data_Validation!$A:$D,3,0)</f>
        <v>#N/A</v>
      </c>
      <c r="V989" s="656" t="e">
        <f>+VLOOKUP($L989,Data_Validation!$A:$D,4,0)</f>
        <v>#N/A</v>
      </c>
      <c r="W989" s="656" t="e">
        <f>+VLOOKUP($L989,Data_Validation!$A:$E,5,0)</f>
        <v>#N/A</v>
      </c>
    </row>
    <row r="990" spans="1:23" ht="15.75" customHeight="1">
      <c r="A990" s="716"/>
      <c r="B990" s="654"/>
      <c r="C990" s="717"/>
      <c r="D990" s="716"/>
      <c r="E990" s="716"/>
      <c r="F990" s="716"/>
      <c r="G990" s="716"/>
      <c r="H990" s="716"/>
      <c r="I990" s="716"/>
      <c r="J990" s="716"/>
      <c r="K990" s="716"/>
      <c r="L990" s="653" t="str">
        <f t="shared" si="980"/>
        <v>0</v>
      </c>
      <c r="M990" s="654">
        <f t="shared" si="780"/>
        <v>0</v>
      </c>
      <c r="N990" s="655">
        <f>+IF(OR($Q990=Parametres!$G$2,$Q990=Parametres!$G$3),I990,C990)</f>
        <v>0</v>
      </c>
      <c r="O990" s="655">
        <f>+IF(OR($Q990=Parametres!$G$2,$Q990=Parametres!$G$3),J990,D990)</f>
        <v>0</v>
      </c>
      <c r="P990" s="655">
        <f>+IF(OR($Q990=Parametres!$G$2,$Q990=Parametres!$G$3),K990,E990)</f>
        <v>0</v>
      </c>
      <c r="Q990" s="654">
        <f t="shared" ref="Q990:S990" si="1008">+F990</f>
        <v>0</v>
      </c>
      <c r="R990" s="653">
        <f t="shared" si="1008"/>
        <v>0</v>
      </c>
      <c r="S990" s="654">
        <f t="shared" si="1008"/>
        <v>0</v>
      </c>
      <c r="T990" s="656" t="e">
        <f>+VLOOKUP($L990,Data_Validation!$A:$D,1,0)</f>
        <v>#N/A</v>
      </c>
      <c r="U990" s="656" t="e">
        <f>+VLOOKUP($L990,Data_Validation!$A:$D,3,0)</f>
        <v>#N/A</v>
      </c>
      <c r="V990" s="656" t="e">
        <f>+VLOOKUP($L990,Data_Validation!$A:$D,4,0)</f>
        <v>#N/A</v>
      </c>
      <c r="W990" s="656" t="e">
        <f>+VLOOKUP($L990,Data_Validation!$A:$E,5,0)</f>
        <v>#N/A</v>
      </c>
    </row>
    <row r="991" spans="1:23" ht="15.75" customHeight="1">
      <c r="A991" s="716"/>
      <c r="B991" s="654"/>
      <c r="C991" s="717"/>
      <c r="D991" s="716"/>
      <c r="E991" s="716"/>
      <c r="F991" s="716"/>
      <c r="G991" s="716"/>
      <c r="H991" s="716"/>
      <c r="I991" s="716"/>
      <c r="J991" s="716"/>
      <c r="K991" s="716"/>
      <c r="L991" s="653" t="str">
        <f t="shared" si="980"/>
        <v>0</v>
      </c>
      <c r="M991" s="654">
        <f t="shared" si="780"/>
        <v>0</v>
      </c>
      <c r="N991" s="655">
        <f>+IF(OR($Q991=Parametres!$G$2,$Q991=Parametres!$G$3),I991,C991)</f>
        <v>0</v>
      </c>
      <c r="O991" s="655">
        <f>+IF(OR($Q991=Parametres!$G$2,$Q991=Parametres!$G$3),J991,D991)</f>
        <v>0</v>
      </c>
      <c r="P991" s="655">
        <f>+IF(OR($Q991=Parametres!$G$2,$Q991=Parametres!$G$3),K991,E991)</f>
        <v>0</v>
      </c>
      <c r="Q991" s="654">
        <f t="shared" ref="Q991:S991" si="1009">+F991</f>
        <v>0</v>
      </c>
      <c r="R991" s="653">
        <f t="shared" si="1009"/>
        <v>0</v>
      </c>
      <c r="S991" s="654">
        <f t="shared" si="1009"/>
        <v>0</v>
      </c>
      <c r="T991" s="656" t="e">
        <f>+VLOOKUP($L991,Data_Validation!$A:$D,1,0)</f>
        <v>#N/A</v>
      </c>
      <c r="U991" s="656" t="e">
        <f>+VLOOKUP($L991,Data_Validation!$A:$D,3,0)</f>
        <v>#N/A</v>
      </c>
      <c r="V991" s="656" t="e">
        <f>+VLOOKUP($L991,Data_Validation!$A:$D,4,0)</f>
        <v>#N/A</v>
      </c>
      <c r="W991" s="656" t="e">
        <f>+VLOOKUP($L991,Data_Validation!$A:$E,5,0)</f>
        <v>#N/A</v>
      </c>
    </row>
    <row r="992" spans="1:23" ht="15.75" customHeight="1">
      <c r="A992" s="716"/>
      <c r="B992" s="654"/>
      <c r="C992" s="717"/>
      <c r="D992" s="716"/>
      <c r="E992" s="716"/>
      <c r="F992" s="716"/>
      <c r="G992" s="716"/>
      <c r="H992" s="716"/>
      <c r="I992" s="716"/>
      <c r="J992" s="716"/>
      <c r="K992" s="716"/>
      <c r="L992" s="653" t="str">
        <f t="shared" si="980"/>
        <v>0</v>
      </c>
      <c r="M992" s="654">
        <f t="shared" si="780"/>
        <v>0</v>
      </c>
      <c r="N992" s="655">
        <f>+IF(OR($Q992=Parametres!$G$2,$Q992=Parametres!$G$3),I992,C992)</f>
        <v>0</v>
      </c>
      <c r="O992" s="655">
        <f>+IF(OR($Q992=Parametres!$G$2,$Q992=Parametres!$G$3),J992,D992)</f>
        <v>0</v>
      </c>
      <c r="P992" s="655">
        <f>+IF(OR($Q992=Parametres!$G$2,$Q992=Parametres!$G$3),K992,E992)</f>
        <v>0</v>
      </c>
      <c r="Q992" s="654">
        <f t="shared" ref="Q992:S992" si="1010">+F992</f>
        <v>0</v>
      </c>
      <c r="R992" s="653">
        <f t="shared" si="1010"/>
        <v>0</v>
      </c>
      <c r="S992" s="654">
        <f t="shared" si="1010"/>
        <v>0</v>
      </c>
      <c r="T992" s="656" t="e">
        <f>+VLOOKUP($L992,Data_Validation!$A:$D,1,0)</f>
        <v>#N/A</v>
      </c>
      <c r="U992" s="656" t="e">
        <f>+VLOOKUP($L992,Data_Validation!$A:$D,3,0)</f>
        <v>#N/A</v>
      </c>
      <c r="V992" s="656" t="e">
        <f>+VLOOKUP($L992,Data_Validation!$A:$D,4,0)</f>
        <v>#N/A</v>
      </c>
      <c r="W992" s="656" t="e">
        <f>+VLOOKUP($L992,Data_Validation!$A:$E,5,0)</f>
        <v>#N/A</v>
      </c>
    </row>
    <row r="993" spans="1:23" ht="15.75" customHeight="1">
      <c r="A993" s="716"/>
      <c r="B993" s="654"/>
      <c r="C993" s="717"/>
      <c r="D993" s="716"/>
      <c r="E993" s="716"/>
      <c r="F993" s="716"/>
      <c r="G993" s="716"/>
      <c r="H993" s="716"/>
      <c r="I993" s="716"/>
      <c r="J993" s="716"/>
      <c r="K993" s="716"/>
      <c r="L993" s="653" t="str">
        <f t="shared" si="980"/>
        <v>0</v>
      </c>
      <c r="M993" s="654">
        <f t="shared" si="780"/>
        <v>0</v>
      </c>
      <c r="N993" s="655">
        <f>+IF(OR($Q993=Parametres!$G$2,$Q993=Parametres!$G$3),I993,C993)</f>
        <v>0</v>
      </c>
      <c r="O993" s="655">
        <f>+IF(OR($Q993=Parametres!$G$2,$Q993=Parametres!$G$3),J993,D993)</f>
        <v>0</v>
      </c>
      <c r="P993" s="655">
        <f>+IF(OR($Q993=Parametres!$G$2,$Q993=Parametres!$G$3),K993,E993)</f>
        <v>0</v>
      </c>
      <c r="Q993" s="654">
        <f t="shared" ref="Q993:S993" si="1011">+F993</f>
        <v>0</v>
      </c>
      <c r="R993" s="653">
        <f t="shared" si="1011"/>
        <v>0</v>
      </c>
      <c r="S993" s="654">
        <f t="shared" si="1011"/>
        <v>0</v>
      </c>
      <c r="T993" s="656" t="e">
        <f>+VLOOKUP($L993,Data_Validation!$A:$D,1,0)</f>
        <v>#N/A</v>
      </c>
      <c r="U993" s="656" t="e">
        <f>+VLOOKUP($L993,Data_Validation!$A:$D,3,0)</f>
        <v>#N/A</v>
      </c>
      <c r="V993" s="656" t="e">
        <f>+VLOOKUP($L993,Data_Validation!$A:$D,4,0)</f>
        <v>#N/A</v>
      </c>
      <c r="W993" s="656" t="e">
        <f>+VLOOKUP($L993,Data_Validation!$A:$E,5,0)</f>
        <v>#N/A</v>
      </c>
    </row>
    <row r="994" spans="1:23" ht="15.75" customHeight="1">
      <c r="A994" s="716"/>
      <c r="B994" s="654"/>
      <c r="C994" s="717"/>
      <c r="D994" s="716"/>
      <c r="E994" s="716"/>
      <c r="F994" s="716"/>
      <c r="G994" s="716"/>
      <c r="H994" s="716"/>
      <c r="I994" s="716"/>
      <c r="J994" s="716"/>
      <c r="K994" s="716"/>
      <c r="L994" s="653" t="str">
        <f t="shared" si="980"/>
        <v>0</v>
      </c>
      <c r="M994" s="654">
        <f t="shared" si="780"/>
        <v>0</v>
      </c>
      <c r="N994" s="655">
        <f>+IF(OR($Q994=Parametres!$G$2,$Q994=Parametres!$G$3),I994,C994)</f>
        <v>0</v>
      </c>
      <c r="O994" s="655">
        <f>+IF(OR($Q994=Parametres!$G$2,$Q994=Parametres!$G$3),J994,D994)</f>
        <v>0</v>
      </c>
      <c r="P994" s="655">
        <f>+IF(OR($Q994=Parametres!$G$2,$Q994=Parametres!$G$3),K994,E994)</f>
        <v>0</v>
      </c>
      <c r="Q994" s="654">
        <f t="shared" ref="Q994:S994" si="1012">+F994</f>
        <v>0</v>
      </c>
      <c r="R994" s="653">
        <f t="shared" si="1012"/>
        <v>0</v>
      </c>
      <c r="S994" s="654">
        <f t="shared" si="1012"/>
        <v>0</v>
      </c>
      <c r="T994" s="656" t="e">
        <f>+VLOOKUP($L994,Data_Validation!$A:$D,1,0)</f>
        <v>#N/A</v>
      </c>
      <c r="U994" s="656" t="e">
        <f>+VLOOKUP($L994,Data_Validation!$A:$D,3,0)</f>
        <v>#N/A</v>
      </c>
      <c r="V994" s="656" t="e">
        <f>+VLOOKUP($L994,Data_Validation!$A:$D,4,0)</f>
        <v>#N/A</v>
      </c>
      <c r="W994" s="656" t="e">
        <f>+VLOOKUP($L994,Data_Validation!$A:$E,5,0)</f>
        <v>#N/A</v>
      </c>
    </row>
    <row r="995" spans="1:23" ht="15.75" customHeight="1">
      <c r="A995" s="716"/>
      <c r="B995" s="654"/>
      <c r="C995" s="717"/>
      <c r="D995" s="716"/>
      <c r="E995" s="716"/>
      <c r="F995" s="716"/>
      <c r="G995" s="716"/>
      <c r="H995" s="716"/>
      <c r="I995" s="716"/>
      <c r="J995" s="716"/>
      <c r="K995" s="716"/>
      <c r="L995" s="653" t="str">
        <f t="shared" si="980"/>
        <v>0</v>
      </c>
      <c r="M995" s="654">
        <f t="shared" si="780"/>
        <v>0</v>
      </c>
      <c r="N995" s="655">
        <f>+IF(OR($Q995=Parametres!$G$2,$Q995=Parametres!$G$3),I995,C995)</f>
        <v>0</v>
      </c>
      <c r="O995" s="655">
        <f>+IF(OR($Q995=Parametres!$G$2,$Q995=Parametres!$G$3),J995,D995)</f>
        <v>0</v>
      </c>
      <c r="P995" s="655">
        <f>+IF(OR($Q995=Parametres!$G$2,$Q995=Parametres!$G$3),K995,E995)</f>
        <v>0</v>
      </c>
      <c r="Q995" s="654">
        <f t="shared" ref="Q995:S995" si="1013">+F995</f>
        <v>0</v>
      </c>
      <c r="R995" s="653">
        <f t="shared" si="1013"/>
        <v>0</v>
      </c>
      <c r="S995" s="654">
        <f t="shared" si="1013"/>
        <v>0</v>
      </c>
      <c r="T995" s="656" t="e">
        <f>+VLOOKUP($L995,Data_Validation!$A:$D,1,0)</f>
        <v>#N/A</v>
      </c>
      <c r="U995" s="656" t="e">
        <f>+VLOOKUP($L995,Data_Validation!$A:$D,3,0)</f>
        <v>#N/A</v>
      </c>
      <c r="V995" s="656" t="e">
        <f>+VLOOKUP($L995,Data_Validation!$A:$D,4,0)</f>
        <v>#N/A</v>
      </c>
      <c r="W995" s="656" t="e">
        <f>+VLOOKUP($L995,Data_Validation!$A:$E,5,0)</f>
        <v>#N/A</v>
      </c>
    </row>
    <row r="996" spans="1:23" ht="15.75" customHeight="1">
      <c r="A996" s="716"/>
      <c r="B996" s="654"/>
      <c r="C996" s="717"/>
      <c r="D996" s="716"/>
      <c r="E996" s="716"/>
      <c r="F996" s="716"/>
      <c r="G996" s="716"/>
      <c r="H996" s="716"/>
      <c r="I996" s="716"/>
      <c r="J996" s="716"/>
      <c r="K996" s="716"/>
      <c r="L996" s="653" t="str">
        <f t="shared" si="980"/>
        <v>0</v>
      </c>
      <c r="M996" s="654">
        <f t="shared" si="780"/>
        <v>0</v>
      </c>
      <c r="N996" s="655">
        <f>+IF(OR($Q996=Parametres!$G$2,$Q996=Parametres!$G$3),I996,C996)</f>
        <v>0</v>
      </c>
      <c r="O996" s="655">
        <f>+IF(OR($Q996=Parametres!$G$2,$Q996=Parametres!$G$3),J996,D996)</f>
        <v>0</v>
      </c>
      <c r="P996" s="655">
        <f>+IF(OR($Q996=Parametres!$G$2,$Q996=Parametres!$G$3),K996,E996)</f>
        <v>0</v>
      </c>
      <c r="Q996" s="654">
        <f t="shared" ref="Q996:S996" si="1014">+F996</f>
        <v>0</v>
      </c>
      <c r="R996" s="653">
        <f t="shared" si="1014"/>
        <v>0</v>
      </c>
      <c r="S996" s="654">
        <f t="shared" si="1014"/>
        <v>0</v>
      </c>
      <c r="T996" s="656" t="e">
        <f>+VLOOKUP($L996,Data_Validation!$A:$D,1,0)</f>
        <v>#N/A</v>
      </c>
      <c r="U996" s="656" t="e">
        <f>+VLOOKUP($L996,Data_Validation!$A:$D,3,0)</f>
        <v>#N/A</v>
      </c>
      <c r="V996" s="656" t="e">
        <f>+VLOOKUP($L996,Data_Validation!$A:$D,4,0)</f>
        <v>#N/A</v>
      </c>
      <c r="W996" s="656" t="e">
        <f>+VLOOKUP($L996,Data_Validation!$A:$E,5,0)</f>
        <v>#N/A</v>
      </c>
    </row>
    <row r="997" spans="1:23" ht="15.75" customHeight="1">
      <c r="A997" s="716"/>
      <c r="B997" s="654"/>
      <c r="C997" s="717"/>
      <c r="D997" s="716"/>
      <c r="E997" s="716"/>
      <c r="F997" s="716"/>
      <c r="G997" s="716"/>
      <c r="H997" s="716"/>
      <c r="I997" s="716"/>
      <c r="J997" s="716"/>
      <c r="K997" s="716"/>
      <c r="L997" s="653" t="str">
        <f t="shared" si="980"/>
        <v>0</v>
      </c>
      <c r="M997" s="654">
        <f t="shared" si="780"/>
        <v>0</v>
      </c>
      <c r="N997" s="655">
        <f>+IF(OR($Q997=Parametres!$G$2,$Q997=Parametres!$G$3),I997,C997)</f>
        <v>0</v>
      </c>
      <c r="O997" s="655">
        <f>+IF(OR($Q997=Parametres!$G$2,$Q997=Parametres!$G$3),J997,D997)</f>
        <v>0</v>
      </c>
      <c r="P997" s="655">
        <f>+IF(OR($Q997=Parametres!$G$2,$Q997=Parametres!$G$3),K997,E997)</f>
        <v>0</v>
      </c>
      <c r="Q997" s="654">
        <f t="shared" ref="Q997:S997" si="1015">+F997</f>
        <v>0</v>
      </c>
      <c r="R997" s="653">
        <f t="shared" si="1015"/>
        <v>0</v>
      </c>
      <c r="S997" s="654">
        <f t="shared" si="1015"/>
        <v>0</v>
      </c>
      <c r="T997" s="656" t="e">
        <f>+VLOOKUP($L997,Data_Validation!$A:$D,1,0)</f>
        <v>#N/A</v>
      </c>
      <c r="U997" s="656" t="e">
        <f>+VLOOKUP($L997,Data_Validation!$A:$D,3,0)</f>
        <v>#N/A</v>
      </c>
      <c r="V997" s="656" t="e">
        <f>+VLOOKUP($L997,Data_Validation!$A:$D,4,0)</f>
        <v>#N/A</v>
      </c>
      <c r="W997" s="656" t="e">
        <f>+VLOOKUP($L997,Data_Validation!$A:$E,5,0)</f>
        <v>#N/A</v>
      </c>
    </row>
    <row r="998" spans="1:23" ht="15.75" customHeight="1">
      <c r="A998" s="716"/>
      <c r="B998" s="654"/>
      <c r="C998" s="717"/>
      <c r="D998" s="716"/>
      <c r="E998" s="716"/>
      <c r="F998" s="716"/>
      <c r="G998" s="716"/>
      <c r="H998" s="716"/>
      <c r="I998" s="716"/>
      <c r="J998" s="716"/>
      <c r="K998" s="716"/>
      <c r="L998" s="653" t="str">
        <f t="shared" si="980"/>
        <v>0</v>
      </c>
      <c r="M998" s="654">
        <f t="shared" si="780"/>
        <v>0</v>
      </c>
      <c r="N998" s="655">
        <f>+IF(OR($Q998=Parametres!$G$2,$Q998=Parametres!$G$3),I998,C998)</f>
        <v>0</v>
      </c>
      <c r="O998" s="655">
        <f>+IF(OR($Q998=Parametres!$G$2,$Q998=Parametres!$G$3),J998,D998)</f>
        <v>0</v>
      </c>
      <c r="P998" s="655">
        <f>+IF(OR($Q998=Parametres!$G$2,$Q998=Parametres!$G$3),K998,E998)</f>
        <v>0</v>
      </c>
      <c r="Q998" s="654">
        <f t="shared" ref="Q998:S998" si="1016">+F998</f>
        <v>0</v>
      </c>
      <c r="R998" s="653">
        <f t="shared" si="1016"/>
        <v>0</v>
      </c>
      <c r="S998" s="654">
        <f t="shared" si="1016"/>
        <v>0</v>
      </c>
      <c r="T998" s="656" t="e">
        <f>+VLOOKUP($L998,Data_Validation!$A:$D,1,0)</f>
        <v>#N/A</v>
      </c>
      <c r="U998" s="656" t="e">
        <f>+VLOOKUP($L998,Data_Validation!$A:$D,3,0)</f>
        <v>#N/A</v>
      </c>
      <c r="V998" s="656" t="e">
        <f>+VLOOKUP($L998,Data_Validation!$A:$D,4,0)</f>
        <v>#N/A</v>
      </c>
      <c r="W998" s="656" t="e">
        <f>+VLOOKUP($L998,Data_Validation!$A:$E,5,0)</f>
        <v>#N/A</v>
      </c>
    </row>
    <row r="999" spans="1:23" ht="15.75" customHeight="1">
      <c r="A999" s="716"/>
      <c r="B999" s="654"/>
      <c r="C999" s="717"/>
      <c r="D999" s="716"/>
      <c r="E999" s="716"/>
      <c r="F999" s="716"/>
      <c r="G999" s="716"/>
      <c r="H999" s="716"/>
      <c r="I999" s="716"/>
      <c r="J999" s="716"/>
      <c r="K999" s="716"/>
      <c r="L999" s="653" t="str">
        <f t="shared" si="980"/>
        <v>0</v>
      </c>
      <c r="M999" s="654">
        <f t="shared" si="780"/>
        <v>0</v>
      </c>
      <c r="N999" s="655">
        <f>+IF(OR($Q999=Parametres!$G$2,$Q999=Parametres!$G$3),I999,C999)</f>
        <v>0</v>
      </c>
      <c r="O999" s="655">
        <f>+IF(OR($Q999=Parametres!$G$2,$Q999=Parametres!$G$3),J999,D999)</f>
        <v>0</v>
      </c>
      <c r="P999" s="655">
        <f>+IF(OR($Q999=Parametres!$G$2,$Q999=Parametres!$G$3),K999,E999)</f>
        <v>0</v>
      </c>
      <c r="Q999" s="654">
        <f t="shared" ref="Q999:S999" si="1017">+F999</f>
        <v>0</v>
      </c>
      <c r="R999" s="653">
        <f t="shared" si="1017"/>
        <v>0</v>
      </c>
      <c r="S999" s="654">
        <f t="shared" si="1017"/>
        <v>0</v>
      </c>
      <c r="T999" s="656" t="e">
        <f>+VLOOKUP($L999,Data_Validation!$A:$D,1,0)</f>
        <v>#N/A</v>
      </c>
      <c r="U999" s="656" t="e">
        <f>+VLOOKUP($L999,Data_Validation!$A:$D,3,0)</f>
        <v>#N/A</v>
      </c>
      <c r="V999" s="656" t="e">
        <f>+VLOOKUP($L999,Data_Validation!$A:$D,4,0)</f>
        <v>#N/A</v>
      </c>
      <c r="W999" s="656" t="e">
        <f>+VLOOKUP($L999,Data_Validation!$A:$E,5,0)</f>
        <v>#N/A</v>
      </c>
    </row>
    <row r="1000" spans="1:23" ht="15.75" customHeight="1">
      <c r="A1000" s="716"/>
      <c r="B1000" s="654"/>
      <c r="C1000" s="717"/>
      <c r="D1000" s="716"/>
      <c r="E1000" s="716"/>
      <c r="F1000" s="716"/>
      <c r="G1000" s="716"/>
      <c r="H1000" s="716"/>
      <c r="I1000" s="716"/>
      <c r="J1000" s="716"/>
      <c r="K1000" s="716"/>
      <c r="L1000" s="653" t="str">
        <f t="shared" si="980"/>
        <v>0</v>
      </c>
      <c r="M1000" s="654">
        <f t="shared" si="780"/>
        <v>0</v>
      </c>
      <c r="N1000" s="655">
        <f>+IF(OR($Q1000=Parametres!$G$2,$Q1000=Parametres!$G$3),I1000,C1000)</f>
        <v>0</v>
      </c>
      <c r="O1000" s="655">
        <f>+IF(OR($Q1000=Parametres!$G$2,$Q1000=Parametres!$G$3),J1000,D1000)</f>
        <v>0</v>
      </c>
      <c r="P1000" s="655">
        <f>+IF(OR($Q1000=Parametres!$G$2,$Q1000=Parametres!$G$3),K1000,E1000)</f>
        <v>0</v>
      </c>
      <c r="Q1000" s="654">
        <f t="shared" ref="Q1000:S1000" si="1018">+F1000</f>
        <v>0</v>
      </c>
      <c r="R1000" s="653">
        <f t="shared" si="1018"/>
        <v>0</v>
      </c>
      <c r="S1000" s="654">
        <f t="shared" si="1018"/>
        <v>0</v>
      </c>
      <c r="T1000" s="656" t="e">
        <f>+VLOOKUP($L1000,Data_Validation!$A:$D,1,0)</f>
        <v>#N/A</v>
      </c>
      <c r="U1000" s="656" t="e">
        <f>+VLOOKUP($L1000,Data_Validation!$A:$D,3,0)</f>
        <v>#N/A</v>
      </c>
      <c r="V1000" s="656" t="e">
        <f>+VLOOKUP($L1000,Data_Validation!$A:$D,4,0)</f>
        <v>#N/A</v>
      </c>
      <c r="W1000" s="656" t="e">
        <f>+VLOOKUP($L1000,Data_Validation!$A:$E,5,0)</f>
        <v>#N/A</v>
      </c>
    </row>
    <row r="1001" spans="1:23" ht="15.75" customHeight="1">
      <c r="A1001" s="716"/>
      <c r="B1001" s="654"/>
      <c r="C1001" s="717"/>
      <c r="D1001" s="716"/>
      <c r="E1001" s="716"/>
      <c r="F1001" s="716"/>
      <c r="G1001" s="716"/>
      <c r="H1001" s="716"/>
      <c r="I1001" s="716"/>
      <c r="J1001" s="716"/>
      <c r="K1001" s="716"/>
      <c r="L1001" s="653" t="str">
        <f t="shared" si="980"/>
        <v>0</v>
      </c>
      <c r="M1001" s="654">
        <f t="shared" si="780"/>
        <v>0</v>
      </c>
      <c r="N1001" s="655">
        <f>+IF(OR($Q1001=Parametres!$G$2,$Q1001=Parametres!$G$3),I1001,C1001)</f>
        <v>0</v>
      </c>
      <c r="O1001" s="655">
        <f>+IF(OR($Q1001=Parametres!$G$2,$Q1001=Parametres!$G$3),J1001,D1001)</f>
        <v>0</v>
      </c>
      <c r="P1001" s="655">
        <f>+IF(OR($Q1001=Parametres!$G$2,$Q1001=Parametres!$G$3),K1001,E1001)</f>
        <v>0</v>
      </c>
      <c r="Q1001" s="654">
        <f t="shared" ref="Q1001:S1001" si="1019">+F1001</f>
        <v>0</v>
      </c>
      <c r="R1001" s="653">
        <f t="shared" si="1019"/>
        <v>0</v>
      </c>
      <c r="S1001" s="654">
        <f t="shared" si="1019"/>
        <v>0</v>
      </c>
      <c r="T1001" s="656" t="e">
        <f>+VLOOKUP($L1001,Data_Validation!$A:$D,1,0)</f>
        <v>#N/A</v>
      </c>
      <c r="U1001" s="656" t="e">
        <f>+VLOOKUP($L1001,Data_Validation!$A:$D,3,0)</f>
        <v>#N/A</v>
      </c>
      <c r="V1001" s="656" t="e">
        <f>+VLOOKUP($L1001,Data_Validation!$A:$D,4,0)</f>
        <v>#N/A</v>
      </c>
      <c r="W1001" s="656" t="e">
        <f>+VLOOKUP($L1001,Data_Validation!$A:$E,5,0)</f>
        <v>#N/A</v>
      </c>
    </row>
    <row r="1002" spans="1:23" ht="15.75" customHeight="1">
      <c r="A1002" s="716"/>
      <c r="B1002" s="654"/>
      <c r="C1002" s="717"/>
      <c r="D1002" s="716"/>
      <c r="E1002" s="716"/>
      <c r="F1002" s="716"/>
      <c r="G1002" s="716"/>
      <c r="H1002" s="716"/>
      <c r="I1002" s="716"/>
      <c r="J1002" s="716"/>
      <c r="K1002" s="716"/>
      <c r="L1002" s="653" t="str">
        <f t="shared" si="980"/>
        <v>0</v>
      </c>
      <c r="M1002" s="654">
        <f t="shared" si="780"/>
        <v>0</v>
      </c>
      <c r="N1002" s="655">
        <f>+IF(OR($Q1002=Parametres!$G$2,$Q1002=Parametres!$G$3),I1002,C1002)</f>
        <v>0</v>
      </c>
      <c r="O1002" s="655">
        <f>+IF(OR($Q1002=Parametres!$G$2,$Q1002=Parametres!$G$3),J1002,D1002)</f>
        <v>0</v>
      </c>
      <c r="P1002" s="655">
        <f>+IF(OR($Q1002=Parametres!$G$2,$Q1002=Parametres!$G$3),K1002,E1002)</f>
        <v>0</v>
      </c>
      <c r="Q1002" s="654">
        <f t="shared" ref="Q1002:S1002" si="1020">+F1002</f>
        <v>0</v>
      </c>
      <c r="R1002" s="653">
        <f t="shared" si="1020"/>
        <v>0</v>
      </c>
      <c r="S1002" s="654">
        <f t="shared" si="1020"/>
        <v>0</v>
      </c>
      <c r="T1002" s="656" t="e">
        <f>+VLOOKUP($L1002,Data_Validation!$A:$D,1,0)</f>
        <v>#N/A</v>
      </c>
      <c r="U1002" s="656" t="e">
        <f>+VLOOKUP($L1002,Data_Validation!$A:$D,3,0)</f>
        <v>#N/A</v>
      </c>
      <c r="V1002" s="656" t="e">
        <f>+VLOOKUP($L1002,Data_Validation!$A:$D,4,0)</f>
        <v>#N/A</v>
      </c>
      <c r="W1002" s="656" t="e">
        <f>+VLOOKUP($L1002,Data_Validation!$A:$E,5,0)</f>
        <v>#N/A</v>
      </c>
    </row>
    <row r="1003" spans="1:23" ht="15.75" customHeight="1">
      <c r="A1003" s="716"/>
      <c r="B1003" s="654"/>
      <c r="C1003" s="717"/>
      <c r="D1003" s="716"/>
      <c r="E1003" s="716"/>
      <c r="F1003" s="716"/>
      <c r="G1003" s="716"/>
      <c r="H1003" s="716"/>
      <c r="I1003" s="716"/>
      <c r="J1003" s="716"/>
      <c r="K1003" s="716"/>
      <c r="L1003" s="653" t="str">
        <f t="shared" si="980"/>
        <v>0</v>
      </c>
      <c r="M1003" s="654">
        <f t="shared" si="780"/>
        <v>0</v>
      </c>
      <c r="N1003" s="655">
        <f>+IF(OR($Q1003=Parametres!$G$2,$Q1003=Parametres!$G$3),I1003,C1003)</f>
        <v>0</v>
      </c>
      <c r="O1003" s="655">
        <f>+IF(OR($Q1003=Parametres!$G$2,$Q1003=Parametres!$G$3),J1003,D1003)</f>
        <v>0</v>
      </c>
      <c r="P1003" s="655">
        <f>+IF(OR($Q1003=Parametres!$G$2,$Q1003=Parametres!$G$3),K1003,E1003)</f>
        <v>0</v>
      </c>
      <c r="Q1003" s="654">
        <f t="shared" ref="Q1003:S1003" si="1021">+F1003</f>
        <v>0</v>
      </c>
      <c r="R1003" s="653">
        <f t="shared" si="1021"/>
        <v>0</v>
      </c>
      <c r="S1003" s="654">
        <f t="shared" si="1021"/>
        <v>0</v>
      </c>
      <c r="T1003" s="656" t="e">
        <f>+VLOOKUP($L1003,Data_Validation!$A:$D,1,0)</f>
        <v>#N/A</v>
      </c>
      <c r="U1003" s="656" t="e">
        <f>+VLOOKUP($L1003,Data_Validation!$A:$D,3,0)</f>
        <v>#N/A</v>
      </c>
      <c r="V1003" s="656" t="e">
        <f>+VLOOKUP($L1003,Data_Validation!$A:$D,4,0)</f>
        <v>#N/A</v>
      </c>
      <c r="W1003" s="656" t="e">
        <f>+VLOOKUP($L1003,Data_Validation!$A:$E,5,0)</f>
        <v>#N/A</v>
      </c>
    </row>
    <row r="1004" spans="1:23" ht="15.75" customHeight="1">
      <c r="A1004" s="716"/>
      <c r="B1004" s="654"/>
      <c r="C1004" s="717"/>
      <c r="D1004" s="716"/>
      <c r="E1004" s="716"/>
      <c r="F1004" s="716"/>
      <c r="G1004" s="716"/>
      <c r="H1004" s="716"/>
      <c r="I1004" s="716"/>
      <c r="J1004" s="716"/>
      <c r="K1004" s="716"/>
      <c r="L1004" s="653" t="str">
        <f t="shared" si="980"/>
        <v>0</v>
      </c>
      <c r="M1004" s="654">
        <f t="shared" si="780"/>
        <v>0</v>
      </c>
      <c r="N1004" s="655">
        <f>+IF(OR($Q1004=Parametres!$G$2,$Q1004=Parametres!$G$3),I1004,C1004)</f>
        <v>0</v>
      </c>
      <c r="O1004" s="655">
        <f>+IF(OR($Q1004=Parametres!$G$2,$Q1004=Parametres!$G$3),J1004,D1004)</f>
        <v>0</v>
      </c>
      <c r="P1004" s="655">
        <f>+IF(OR($Q1004=Parametres!$G$2,$Q1004=Parametres!$G$3),K1004,E1004)</f>
        <v>0</v>
      </c>
      <c r="Q1004" s="654">
        <f t="shared" ref="Q1004:S1004" si="1022">+F1004</f>
        <v>0</v>
      </c>
      <c r="R1004" s="653">
        <f t="shared" si="1022"/>
        <v>0</v>
      </c>
      <c r="S1004" s="654">
        <f t="shared" si="1022"/>
        <v>0</v>
      </c>
      <c r="T1004" s="656" t="e">
        <f>+VLOOKUP($L1004,Data_Validation!$A:$D,1,0)</f>
        <v>#N/A</v>
      </c>
      <c r="U1004" s="656" t="e">
        <f>+VLOOKUP($L1004,Data_Validation!$A:$D,3,0)</f>
        <v>#N/A</v>
      </c>
      <c r="V1004" s="656" t="e">
        <f>+VLOOKUP($L1004,Data_Validation!$A:$D,4,0)</f>
        <v>#N/A</v>
      </c>
      <c r="W1004" s="656" t="e">
        <f>+VLOOKUP($L1004,Data_Validation!$A:$E,5,0)</f>
        <v>#N/A</v>
      </c>
    </row>
    <row r="1005" spans="1:23" ht="15.75" customHeight="1">
      <c r="A1005" s="716"/>
      <c r="B1005" s="654"/>
      <c r="C1005" s="717"/>
      <c r="D1005" s="716"/>
      <c r="E1005" s="716"/>
      <c r="F1005" s="716"/>
      <c r="G1005" s="716"/>
      <c r="H1005" s="716"/>
      <c r="I1005" s="716"/>
      <c r="J1005" s="716"/>
      <c r="K1005" s="716"/>
      <c r="L1005" s="653" t="str">
        <f t="shared" si="980"/>
        <v>0</v>
      </c>
      <c r="M1005" s="654">
        <f t="shared" si="780"/>
        <v>0</v>
      </c>
      <c r="N1005" s="655">
        <f>+IF(OR($Q1005=Parametres!$G$2,$Q1005=Parametres!$G$3),I1005,C1005)</f>
        <v>0</v>
      </c>
      <c r="O1005" s="655">
        <f>+IF(OR($Q1005=Parametres!$G$2,$Q1005=Parametres!$G$3),J1005,D1005)</f>
        <v>0</v>
      </c>
      <c r="P1005" s="655">
        <f>+IF(OR($Q1005=Parametres!$G$2,$Q1005=Parametres!$G$3),K1005,E1005)</f>
        <v>0</v>
      </c>
      <c r="Q1005" s="654">
        <f t="shared" ref="Q1005:S1005" si="1023">+F1005</f>
        <v>0</v>
      </c>
      <c r="R1005" s="653">
        <f t="shared" si="1023"/>
        <v>0</v>
      </c>
      <c r="S1005" s="654">
        <f t="shared" si="1023"/>
        <v>0</v>
      </c>
      <c r="T1005" s="656" t="e">
        <f>+VLOOKUP($L1005,Data_Validation!$A:$D,1,0)</f>
        <v>#N/A</v>
      </c>
      <c r="U1005" s="656" t="e">
        <f>+VLOOKUP($L1005,Data_Validation!$A:$D,3,0)</f>
        <v>#N/A</v>
      </c>
      <c r="V1005" s="656" t="e">
        <f>+VLOOKUP($L1005,Data_Validation!$A:$D,4,0)</f>
        <v>#N/A</v>
      </c>
      <c r="W1005" s="656" t="e">
        <f>+VLOOKUP($L1005,Data_Validation!$A:$E,5,0)</f>
        <v>#N/A</v>
      </c>
    </row>
    <row r="1006" spans="1:23" ht="15.75" customHeight="1">
      <c r="A1006" s="716"/>
      <c r="B1006" s="654"/>
      <c r="C1006" s="717"/>
      <c r="D1006" s="716"/>
      <c r="E1006" s="716"/>
      <c r="F1006" s="716"/>
      <c r="G1006" s="716"/>
      <c r="H1006" s="716"/>
      <c r="I1006" s="716"/>
      <c r="J1006" s="716"/>
      <c r="K1006" s="716"/>
      <c r="L1006" s="653" t="str">
        <f t="shared" si="980"/>
        <v>0</v>
      </c>
      <c r="M1006" s="654">
        <f t="shared" si="780"/>
        <v>0</v>
      </c>
      <c r="N1006" s="655">
        <f>+IF(OR($Q1006=Parametres!$G$2,$Q1006=Parametres!$G$3),I1006,C1006)</f>
        <v>0</v>
      </c>
      <c r="O1006" s="655">
        <f>+IF(OR($Q1006=Parametres!$G$2,$Q1006=Parametres!$G$3),J1006,D1006)</f>
        <v>0</v>
      </c>
      <c r="P1006" s="655">
        <f>+IF(OR($Q1006=Parametres!$G$2,$Q1006=Parametres!$G$3),K1006,E1006)</f>
        <v>0</v>
      </c>
      <c r="Q1006" s="654">
        <f t="shared" ref="Q1006:S1006" si="1024">+F1006</f>
        <v>0</v>
      </c>
      <c r="R1006" s="653">
        <f t="shared" si="1024"/>
        <v>0</v>
      </c>
      <c r="S1006" s="654">
        <f t="shared" si="1024"/>
        <v>0</v>
      </c>
      <c r="T1006" s="656" t="e">
        <f>+VLOOKUP($L1006,Data_Validation!$A:$D,1,0)</f>
        <v>#N/A</v>
      </c>
      <c r="U1006" s="656" t="e">
        <f>+VLOOKUP($L1006,Data_Validation!$A:$D,3,0)</f>
        <v>#N/A</v>
      </c>
      <c r="V1006" s="656" t="e">
        <f>+VLOOKUP($L1006,Data_Validation!$A:$D,4,0)</f>
        <v>#N/A</v>
      </c>
      <c r="W1006" s="656" t="e">
        <f>+VLOOKUP($L1006,Data_Validation!$A:$E,5,0)</f>
        <v>#N/A</v>
      </c>
    </row>
    <row r="1007" spans="1:23" ht="15.75" customHeight="1">
      <c r="A1007" s="716"/>
      <c r="B1007" s="654"/>
      <c r="C1007" s="717"/>
      <c r="D1007" s="716"/>
      <c r="E1007" s="716"/>
      <c r="F1007" s="716"/>
      <c r="G1007" s="716"/>
      <c r="H1007" s="716"/>
      <c r="I1007" s="716"/>
      <c r="J1007" s="716"/>
      <c r="K1007" s="716"/>
      <c r="L1007" s="653" t="str">
        <f t="shared" si="980"/>
        <v>0</v>
      </c>
      <c r="M1007" s="654">
        <f t="shared" si="780"/>
        <v>0</v>
      </c>
      <c r="N1007" s="655">
        <f>+IF(OR($Q1007=Parametres!$G$2,$Q1007=Parametres!$G$3),I1007,C1007)</f>
        <v>0</v>
      </c>
      <c r="O1007" s="655">
        <f>+IF(OR($Q1007=Parametres!$G$2,$Q1007=Parametres!$G$3),J1007,D1007)</f>
        <v>0</v>
      </c>
      <c r="P1007" s="655">
        <f>+IF(OR($Q1007=Parametres!$G$2,$Q1007=Parametres!$G$3),K1007,E1007)</f>
        <v>0</v>
      </c>
      <c r="Q1007" s="654">
        <f t="shared" ref="Q1007:S1007" si="1025">+F1007</f>
        <v>0</v>
      </c>
      <c r="R1007" s="653">
        <f t="shared" si="1025"/>
        <v>0</v>
      </c>
      <c r="S1007" s="654">
        <f t="shared" si="1025"/>
        <v>0</v>
      </c>
      <c r="T1007" s="656" t="e">
        <f>+VLOOKUP($L1007,Data_Validation!$A:$D,1,0)</f>
        <v>#N/A</v>
      </c>
      <c r="U1007" s="656" t="e">
        <f>+VLOOKUP($L1007,Data_Validation!$A:$D,3,0)</f>
        <v>#N/A</v>
      </c>
      <c r="V1007" s="656" t="e">
        <f>+VLOOKUP($L1007,Data_Validation!$A:$D,4,0)</f>
        <v>#N/A</v>
      </c>
      <c r="W1007" s="656" t="e">
        <f>+VLOOKUP($L1007,Data_Validation!$A:$E,5,0)</f>
        <v>#N/A</v>
      </c>
    </row>
    <row r="1008" spans="1:23" ht="15.75" customHeight="1">
      <c r="A1008" s="716"/>
      <c r="B1008" s="654"/>
      <c r="C1008" s="717"/>
      <c r="D1008" s="716"/>
      <c r="E1008" s="716"/>
      <c r="F1008" s="716"/>
      <c r="G1008" s="716"/>
      <c r="H1008" s="716"/>
      <c r="I1008" s="716"/>
      <c r="J1008" s="716"/>
      <c r="K1008" s="716"/>
      <c r="L1008" s="653" t="str">
        <f t="shared" si="980"/>
        <v>0</v>
      </c>
      <c r="M1008" s="654">
        <f t="shared" si="780"/>
        <v>0</v>
      </c>
      <c r="N1008" s="655">
        <f>+IF(OR($Q1008=Parametres!$G$2,$Q1008=Parametres!$G$3),I1008,C1008)</f>
        <v>0</v>
      </c>
      <c r="O1008" s="655">
        <f>+IF(OR($Q1008=Parametres!$G$2,$Q1008=Parametres!$G$3),J1008,D1008)</f>
        <v>0</v>
      </c>
      <c r="P1008" s="655">
        <f>+IF(OR($Q1008=Parametres!$G$2,$Q1008=Parametres!$G$3),K1008,E1008)</f>
        <v>0</v>
      </c>
      <c r="Q1008" s="654">
        <f t="shared" ref="Q1008:S1008" si="1026">+F1008</f>
        <v>0</v>
      </c>
      <c r="R1008" s="653">
        <f t="shared" si="1026"/>
        <v>0</v>
      </c>
      <c r="S1008" s="654">
        <f t="shared" si="1026"/>
        <v>0</v>
      </c>
      <c r="T1008" s="656" t="e">
        <f>+VLOOKUP($L1008,Data_Validation!$A:$D,1,0)</f>
        <v>#N/A</v>
      </c>
      <c r="U1008" s="656" t="e">
        <f>+VLOOKUP($L1008,Data_Validation!$A:$D,3,0)</f>
        <v>#N/A</v>
      </c>
      <c r="V1008" s="656" t="e">
        <f>+VLOOKUP($L1008,Data_Validation!$A:$D,4,0)</f>
        <v>#N/A</v>
      </c>
      <c r="W1008" s="656" t="e">
        <f>+VLOOKUP($L1008,Data_Validation!$A:$E,5,0)</f>
        <v>#N/A</v>
      </c>
    </row>
    <row r="1009" spans="1:23" ht="15.75" customHeight="1">
      <c r="A1009" s="716"/>
      <c r="B1009" s="654"/>
      <c r="C1009" s="717"/>
      <c r="D1009" s="716"/>
      <c r="E1009" s="716"/>
      <c r="F1009" s="716"/>
      <c r="G1009" s="716"/>
      <c r="H1009" s="716"/>
      <c r="I1009" s="716"/>
      <c r="J1009" s="716"/>
      <c r="K1009" s="716"/>
      <c r="L1009" s="653" t="str">
        <f t="shared" si="980"/>
        <v>0</v>
      </c>
      <c r="M1009" s="654">
        <f t="shared" si="780"/>
        <v>0</v>
      </c>
      <c r="N1009" s="655">
        <f>+IF(OR($Q1009=Parametres!$G$2,$Q1009=Parametres!$G$3),I1009,C1009)</f>
        <v>0</v>
      </c>
      <c r="O1009" s="655">
        <f>+IF(OR($Q1009=Parametres!$G$2,$Q1009=Parametres!$G$3),J1009,D1009)</f>
        <v>0</v>
      </c>
      <c r="P1009" s="655">
        <f>+IF(OR($Q1009=Parametres!$G$2,$Q1009=Parametres!$G$3),K1009,E1009)</f>
        <v>0</v>
      </c>
      <c r="Q1009" s="654">
        <f t="shared" ref="Q1009:S1009" si="1027">+F1009</f>
        <v>0</v>
      </c>
      <c r="R1009" s="653">
        <f t="shared" si="1027"/>
        <v>0</v>
      </c>
      <c r="S1009" s="654">
        <f t="shared" si="1027"/>
        <v>0</v>
      </c>
      <c r="T1009" s="656" t="e">
        <f>+VLOOKUP($L1009,Data_Validation!$A:$D,1,0)</f>
        <v>#N/A</v>
      </c>
      <c r="U1009" s="656" t="e">
        <f>+VLOOKUP($L1009,Data_Validation!$A:$D,3,0)</f>
        <v>#N/A</v>
      </c>
      <c r="V1009" s="656" t="e">
        <f>+VLOOKUP($L1009,Data_Validation!$A:$D,4,0)</f>
        <v>#N/A</v>
      </c>
      <c r="W1009" s="656" t="e">
        <f>+VLOOKUP($L1009,Data_Validation!$A:$E,5,0)</f>
        <v>#N/A</v>
      </c>
    </row>
    <row r="1010" spans="1:23" ht="15.75" customHeight="1">
      <c r="A1010" s="716"/>
      <c r="B1010" s="654"/>
      <c r="C1010" s="717"/>
      <c r="D1010" s="716"/>
      <c r="E1010" s="716"/>
      <c r="F1010" s="716"/>
      <c r="G1010" s="716"/>
      <c r="H1010" s="716"/>
      <c r="I1010" s="716"/>
      <c r="J1010" s="716"/>
      <c r="K1010" s="716"/>
      <c r="L1010" s="653" t="str">
        <f t="shared" si="980"/>
        <v>0</v>
      </c>
      <c r="M1010" s="654">
        <f t="shared" si="780"/>
        <v>0</v>
      </c>
      <c r="N1010" s="655">
        <f>+IF(OR($Q1010=Parametres!$G$2,$Q1010=Parametres!$G$3),I1010,C1010)</f>
        <v>0</v>
      </c>
      <c r="O1010" s="655">
        <f>+IF(OR($Q1010=Parametres!$G$2,$Q1010=Parametres!$G$3),J1010,D1010)</f>
        <v>0</v>
      </c>
      <c r="P1010" s="655">
        <f>+IF(OR($Q1010=Parametres!$G$2,$Q1010=Parametres!$G$3),K1010,E1010)</f>
        <v>0</v>
      </c>
      <c r="Q1010" s="654">
        <f t="shared" ref="Q1010:S1010" si="1028">+F1010</f>
        <v>0</v>
      </c>
      <c r="R1010" s="653">
        <f t="shared" si="1028"/>
        <v>0</v>
      </c>
      <c r="S1010" s="654">
        <f t="shared" si="1028"/>
        <v>0</v>
      </c>
      <c r="T1010" s="656" t="e">
        <f>+VLOOKUP($L1010,Data_Validation!$A:$D,1,0)</f>
        <v>#N/A</v>
      </c>
      <c r="U1010" s="656" t="e">
        <f>+VLOOKUP($L1010,Data_Validation!$A:$D,3,0)</f>
        <v>#N/A</v>
      </c>
      <c r="V1010" s="656" t="e">
        <f>+VLOOKUP($L1010,Data_Validation!$A:$D,4,0)</f>
        <v>#N/A</v>
      </c>
      <c r="W1010" s="656" t="e">
        <f>+VLOOKUP($L1010,Data_Validation!$A:$E,5,0)</f>
        <v>#N/A</v>
      </c>
    </row>
    <row r="1011" spans="1:23" ht="15.75" customHeight="1">
      <c r="A1011" s="716"/>
      <c r="B1011" s="654"/>
      <c r="C1011" s="717"/>
      <c r="D1011" s="716"/>
      <c r="E1011" s="716"/>
      <c r="F1011" s="716"/>
      <c r="G1011" s="716"/>
      <c r="H1011" s="716"/>
      <c r="I1011" s="716"/>
      <c r="J1011" s="716"/>
      <c r="K1011" s="716"/>
      <c r="L1011" s="653" t="str">
        <f t="shared" si="980"/>
        <v>0</v>
      </c>
      <c r="M1011" s="654">
        <f t="shared" si="780"/>
        <v>0</v>
      </c>
      <c r="N1011" s="655">
        <f>+IF(OR($Q1011=Parametres!$G$2,$Q1011=Parametres!$G$3),I1011,C1011)</f>
        <v>0</v>
      </c>
      <c r="O1011" s="655">
        <f>+IF(OR($Q1011=Parametres!$G$2,$Q1011=Parametres!$G$3),J1011,D1011)</f>
        <v>0</v>
      </c>
      <c r="P1011" s="655">
        <f>+IF(OR($Q1011=Parametres!$G$2,$Q1011=Parametres!$G$3),K1011,E1011)</f>
        <v>0</v>
      </c>
      <c r="Q1011" s="654">
        <f t="shared" ref="Q1011:S1011" si="1029">+F1011</f>
        <v>0</v>
      </c>
      <c r="R1011" s="653">
        <f t="shared" si="1029"/>
        <v>0</v>
      </c>
      <c r="S1011" s="654">
        <f t="shared" si="1029"/>
        <v>0</v>
      </c>
      <c r="T1011" s="656" t="e">
        <f>+VLOOKUP($L1011,Data_Validation!$A:$D,1,0)</f>
        <v>#N/A</v>
      </c>
      <c r="U1011" s="656" t="e">
        <f>+VLOOKUP($L1011,Data_Validation!$A:$D,3,0)</f>
        <v>#N/A</v>
      </c>
      <c r="V1011" s="656" t="e">
        <f>+VLOOKUP($L1011,Data_Validation!$A:$D,4,0)</f>
        <v>#N/A</v>
      </c>
      <c r="W1011" s="656" t="e">
        <f>+VLOOKUP($L1011,Data_Validation!$A:$E,5,0)</f>
        <v>#N/A</v>
      </c>
    </row>
    <row r="1012" spans="1:23" ht="15.75" customHeight="1">
      <c r="A1012" s="716"/>
      <c r="B1012" s="654"/>
      <c r="C1012" s="717"/>
      <c r="D1012" s="716"/>
      <c r="E1012" s="716"/>
      <c r="F1012" s="716"/>
      <c r="G1012" s="716"/>
      <c r="H1012" s="716"/>
      <c r="I1012" s="716"/>
      <c r="J1012" s="716"/>
      <c r="K1012" s="716"/>
      <c r="L1012" s="653" t="str">
        <f t="shared" si="980"/>
        <v>0</v>
      </c>
      <c r="M1012" s="654">
        <f t="shared" si="780"/>
        <v>0</v>
      </c>
      <c r="N1012" s="655">
        <f>+IF(OR($Q1012=Parametres!$G$2,$Q1012=Parametres!$G$3),I1012,C1012)</f>
        <v>0</v>
      </c>
      <c r="O1012" s="655">
        <f>+IF(OR($Q1012=Parametres!$G$2,$Q1012=Parametres!$G$3),J1012,D1012)</f>
        <v>0</v>
      </c>
      <c r="P1012" s="655">
        <f>+IF(OR($Q1012=Parametres!$G$2,$Q1012=Parametres!$G$3),K1012,E1012)</f>
        <v>0</v>
      </c>
      <c r="Q1012" s="654">
        <f t="shared" ref="Q1012:S1012" si="1030">+F1012</f>
        <v>0</v>
      </c>
      <c r="R1012" s="653">
        <f t="shared" si="1030"/>
        <v>0</v>
      </c>
      <c r="S1012" s="654">
        <f t="shared" si="1030"/>
        <v>0</v>
      </c>
      <c r="T1012" s="656" t="e">
        <f>+VLOOKUP($L1012,Data_Validation!$A:$D,1,0)</f>
        <v>#N/A</v>
      </c>
      <c r="U1012" s="656" t="e">
        <f>+VLOOKUP($L1012,Data_Validation!$A:$D,3,0)</f>
        <v>#N/A</v>
      </c>
      <c r="V1012" s="656" t="e">
        <f>+VLOOKUP($L1012,Data_Validation!$A:$D,4,0)</f>
        <v>#N/A</v>
      </c>
      <c r="W1012" s="656" t="e">
        <f>+VLOOKUP($L1012,Data_Validation!$A:$E,5,0)</f>
        <v>#N/A</v>
      </c>
    </row>
    <row r="1013" spans="1:23" ht="15.75" customHeight="1">
      <c r="A1013" s="716"/>
      <c r="B1013" s="654"/>
      <c r="C1013" s="717"/>
      <c r="D1013" s="716"/>
      <c r="E1013" s="716"/>
      <c r="F1013" s="716"/>
      <c r="G1013" s="716"/>
      <c r="H1013" s="716"/>
      <c r="I1013" s="716"/>
      <c r="J1013" s="716"/>
      <c r="K1013" s="716"/>
      <c r="L1013" s="653" t="str">
        <f t="shared" si="980"/>
        <v>0</v>
      </c>
      <c r="M1013" s="654">
        <f t="shared" si="780"/>
        <v>0</v>
      </c>
      <c r="N1013" s="655">
        <f>+IF(OR($Q1013=Parametres!$G$2,$Q1013=Parametres!$G$3),I1013,C1013)</f>
        <v>0</v>
      </c>
      <c r="O1013" s="655">
        <f>+IF(OR($Q1013=Parametres!$G$2,$Q1013=Parametres!$G$3),J1013,D1013)</f>
        <v>0</v>
      </c>
      <c r="P1013" s="655">
        <f>+IF(OR($Q1013=Parametres!$G$2,$Q1013=Parametres!$G$3),K1013,E1013)</f>
        <v>0</v>
      </c>
      <c r="Q1013" s="654">
        <f t="shared" ref="Q1013:S1013" si="1031">+F1013</f>
        <v>0</v>
      </c>
      <c r="R1013" s="653">
        <f t="shared" si="1031"/>
        <v>0</v>
      </c>
      <c r="S1013" s="654">
        <f t="shared" si="1031"/>
        <v>0</v>
      </c>
      <c r="T1013" s="656" t="e">
        <f>+VLOOKUP($L1013,Data_Validation!$A:$D,1,0)</f>
        <v>#N/A</v>
      </c>
      <c r="U1013" s="656" t="e">
        <f>+VLOOKUP($L1013,Data_Validation!$A:$D,3,0)</f>
        <v>#N/A</v>
      </c>
      <c r="V1013" s="656" t="e">
        <f>+VLOOKUP($L1013,Data_Validation!$A:$D,4,0)</f>
        <v>#N/A</v>
      </c>
      <c r="W1013" s="656" t="e">
        <f>+VLOOKUP($L1013,Data_Validation!$A:$E,5,0)</f>
        <v>#N/A</v>
      </c>
    </row>
    <row r="1014" spans="1:23" ht="15.75" customHeight="1">
      <c r="A1014" s="716"/>
      <c r="B1014" s="654"/>
      <c r="C1014" s="717"/>
      <c r="D1014" s="716"/>
      <c r="E1014" s="716"/>
      <c r="F1014" s="716"/>
      <c r="G1014" s="716"/>
      <c r="H1014" s="716"/>
      <c r="I1014" s="716"/>
      <c r="J1014" s="716"/>
      <c r="K1014" s="716"/>
      <c r="L1014" s="653" t="str">
        <f t="shared" si="980"/>
        <v>0</v>
      </c>
      <c r="M1014" s="654">
        <f t="shared" si="780"/>
        <v>0</v>
      </c>
      <c r="N1014" s="655">
        <f>+IF(OR($Q1014=Parametres!$G$2,$Q1014=Parametres!$G$3),I1014,C1014)</f>
        <v>0</v>
      </c>
      <c r="O1014" s="655">
        <f>+IF(OR($Q1014=Parametres!$G$2,$Q1014=Parametres!$G$3),J1014,D1014)</f>
        <v>0</v>
      </c>
      <c r="P1014" s="655">
        <f>+IF(OR($Q1014=Parametres!$G$2,$Q1014=Parametres!$G$3),K1014,E1014)</f>
        <v>0</v>
      </c>
      <c r="Q1014" s="654">
        <f t="shared" ref="Q1014:S1014" si="1032">+F1014</f>
        <v>0</v>
      </c>
      <c r="R1014" s="653">
        <f t="shared" si="1032"/>
        <v>0</v>
      </c>
      <c r="S1014" s="654">
        <f t="shared" si="1032"/>
        <v>0</v>
      </c>
      <c r="T1014" s="656" t="e">
        <f>+VLOOKUP($L1014,Data_Validation!$A:$D,1,0)</f>
        <v>#N/A</v>
      </c>
      <c r="U1014" s="656" t="e">
        <f>+VLOOKUP($L1014,Data_Validation!$A:$D,3,0)</f>
        <v>#N/A</v>
      </c>
      <c r="V1014" s="656" t="e">
        <f>+VLOOKUP($L1014,Data_Validation!$A:$D,4,0)</f>
        <v>#N/A</v>
      </c>
      <c r="W1014" s="656" t="e">
        <f>+VLOOKUP($L1014,Data_Validation!$A:$E,5,0)</f>
        <v>#N/A</v>
      </c>
    </row>
    <row r="1015" spans="1:23" ht="15.75" customHeight="1">
      <c r="A1015" s="716"/>
      <c r="B1015" s="654"/>
      <c r="C1015" s="717"/>
      <c r="D1015" s="716"/>
      <c r="E1015" s="716"/>
      <c r="F1015" s="716"/>
      <c r="G1015" s="716"/>
      <c r="H1015" s="716"/>
      <c r="I1015" s="716"/>
      <c r="J1015" s="716"/>
      <c r="K1015" s="716"/>
      <c r="L1015" s="653" t="str">
        <f t="shared" si="980"/>
        <v>0</v>
      </c>
      <c r="M1015" s="654">
        <f t="shared" si="780"/>
        <v>0</v>
      </c>
      <c r="N1015" s="655">
        <f>+IF(OR($Q1015=Parametres!$G$2,$Q1015=Parametres!$G$3),I1015,C1015)</f>
        <v>0</v>
      </c>
      <c r="O1015" s="655">
        <f>+IF(OR($Q1015=Parametres!$G$2,$Q1015=Parametres!$G$3),J1015,D1015)</f>
        <v>0</v>
      </c>
      <c r="P1015" s="655">
        <f>+IF(OR($Q1015=Parametres!$G$2,$Q1015=Parametres!$G$3),K1015,E1015)</f>
        <v>0</v>
      </c>
      <c r="Q1015" s="654">
        <f t="shared" ref="Q1015:S1015" si="1033">+F1015</f>
        <v>0</v>
      </c>
      <c r="R1015" s="653">
        <f t="shared" si="1033"/>
        <v>0</v>
      </c>
      <c r="S1015" s="654">
        <f t="shared" si="1033"/>
        <v>0</v>
      </c>
      <c r="T1015" s="656" t="e">
        <f>+VLOOKUP($L1015,Data_Validation!$A:$D,1,0)</f>
        <v>#N/A</v>
      </c>
      <c r="U1015" s="656" t="e">
        <f>+VLOOKUP($L1015,Data_Validation!$A:$D,3,0)</f>
        <v>#N/A</v>
      </c>
      <c r="V1015" s="656" t="e">
        <f>+VLOOKUP($L1015,Data_Validation!$A:$D,4,0)</f>
        <v>#N/A</v>
      </c>
      <c r="W1015" s="656" t="e">
        <f>+VLOOKUP($L1015,Data_Validation!$A:$E,5,0)</f>
        <v>#N/A</v>
      </c>
    </row>
    <row r="1016" spans="1:23" ht="15.75" customHeight="1">
      <c r="A1016" s="716"/>
      <c r="B1016" s="654"/>
      <c r="C1016" s="717"/>
      <c r="D1016" s="716"/>
      <c r="E1016" s="716"/>
      <c r="F1016" s="716"/>
      <c r="G1016" s="716"/>
      <c r="H1016" s="716"/>
      <c r="I1016" s="716"/>
      <c r="J1016" s="716"/>
      <c r="K1016" s="716"/>
      <c r="L1016" s="653" t="str">
        <f t="shared" si="980"/>
        <v>0</v>
      </c>
      <c r="M1016" s="654">
        <f t="shared" si="780"/>
        <v>0</v>
      </c>
      <c r="N1016" s="655">
        <f>+IF(OR($Q1016=Parametres!$G$2,$Q1016=Parametres!$G$3),I1016,C1016)</f>
        <v>0</v>
      </c>
      <c r="O1016" s="655">
        <f>+IF(OR($Q1016=Parametres!$G$2,$Q1016=Parametres!$G$3),J1016,D1016)</f>
        <v>0</v>
      </c>
      <c r="P1016" s="655">
        <f>+IF(OR($Q1016=Parametres!$G$2,$Q1016=Parametres!$G$3),K1016,E1016)</f>
        <v>0</v>
      </c>
      <c r="Q1016" s="654">
        <f t="shared" ref="Q1016:S1016" si="1034">+F1016</f>
        <v>0</v>
      </c>
      <c r="R1016" s="653">
        <f t="shared" si="1034"/>
        <v>0</v>
      </c>
      <c r="S1016" s="654">
        <f t="shared" si="1034"/>
        <v>0</v>
      </c>
      <c r="T1016" s="656" t="e">
        <f>+VLOOKUP($L1016,Data_Validation!$A:$D,1,0)</f>
        <v>#N/A</v>
      </c>
      <c r="U1016" s="656" t="e">
        <f>+VLOOKUP($L1016,Data_Validation!$A:$D,3,0)</f>
        <v>#N/A</v>
      </c>
      <c r="V1016" s="656" t="e">
        <f>+VLOOKUP($L1016,Data_Validation!$A:$D,4,0)</f>
        <v>#N/A</v>
      </c>
      <c r="W1016" s="656" t="e">
        <f>+VLOOKUP($L1016,Data_Validation!$A:$E,5,0)</f>
        <v>#N/A</v>
      </c>
    </row>
    <row r="1017" spans="1:23" ht="15.75" customHeight="1">
      <c r="A1017" s="716"/>
      <c r="B1017" s="654"/>
      <c r="C1017" s="717"/>
      <c r="D1017" s="716"/>
      <c r="E1017" s="716"/>
      <c r="F1017" s="716"/>
      <c r="G1017" s="716"/>
      <c r="H1017" s="716"/>
      <c r="I1017" s="716"/>
      <c r="J1017" s="716"/>
      <c r="K1017" s="716"/>
      <c r="L1017" s="653" t="str">
        <f t="shared" si="980"/>
        <v>0</v>
      </c>
      <c r="M1017" s="654">
        <f t="shared" si="780"/>
        <v>0</v>
      </c>
      <c r="N1017" s="655">
        <f>+IF(OR($Q1017=Parametres!$G$2,$Q1017=Parametres!$G$3),I1017,C1017)</f>
        <v>0</v>
      </c>
      <c r="O1017" s="655">
        <f>+IF(OR($Q1017=Parametres!$G$2,$Q1017=Parametres!$G$3),J1017,D1017)</f>
        <v>0</v>
      </c>
      <c r="P1017" s="655">
        <f>+IF(OR($Q1017=Parametres!$G$2,$Q1017=Parametres!$G$3),K1017,E1017)</f>
        <v>0</v>
      </c>
      <c r="Q1017" s="654">
        <f t="shared" ref="Q1017:S1017" si="1035">+F1017</f>
        <v>0</v>
      </c>
      <c r="R1017" s="653">
        <f t="shared" si="1035"/>
        <v>0</v>
      </c>
      <c r="S1017" s="654">
        <f t="shared" si="1035"/>
        <v>0</v>
      </c>
      <c r="T1017" s="656" t="e">
        <f>+VLOOKUP($L1017,Data_Validation!$A:$D,1,0)</f>
        <v>#N/A</v>
      </c>
      <c r="U1017" s="656" t="e">
        <f>+VLOOKUP($L1017,Data_Validation!$A:$D,3,0)</f>
        <v>#N/A</v>
      </c>
      <c r="V1017" s="656" t="e">
        <f>+VLOOKUP($L1017,Data_Validation!$A:$D,4,0)</f>
        <v>#N/A</v>
      </c>
      <c r="W1017" s="656" t="e">
        <f>+VLOOKUP($L1017,Data_Validation!$A:$E,5,0)</f>
        <v>#N/A</v>
      </c>
    </row>
    <row r="1018" spans="1:23" ht="15.75" customHeight="1">
      <c r="A1018" s="716"/>
      <c r="B1018" s="654"/>
      <c r="C1018" s="717"/>
      <c r="D1018" s="716"/>
      <c r="E1018" s="716"/>
      <c r="F1018" s="716"/>
      <c r="G1018" s="716"/>
      <c r="H1018" s="716"/>
      <c r="I1018" s="716"/>
      <c r="J1018" s="716"/>
      <c r="K1018" s="716"/>
      <c r="L1018" s="653" t="str">
        <f t="shared" si="980"/>
        <v>0</v>
      </c>
      <c r="M1018" s="654">
        <f t="shared" si="780"/>
        <v>0</v>
      </c>
      <c r="N1018" s="655">
        <f>+IF(OR($Q1018=Parametres!$G$2,$Q1018=Parametres!$G$3),I1018,C1018)</f>
        <v>0</v>
      </c>
      <c r="O1018" s="655">
        <f>+IF(OR($Q1018=Parametres!$G$2,$Q1018=Parametres!$G$3),J1018,D1018)</f>
        <v>0</v>
      </c>
      <c r="P1018" s="655">
        <f>+IF(OR($Q1018=Parametres!$G$2,$Q1018=Parametres!$G$3),K1018,E1018)</f>
        <v>0</v>
      </c>
      <c r="Q1018" s="654">
        <f t="shared" ref="Q1018:S1018" si="1036">+F1018</f>
        <v>0</v>
      </c>
      <c r="R1018" s="653">
        <f t="shared" si="1036"/>
        <v>0</v>
      </c>
      <c r="S1018" s="654">
        <f t="shared" si="1036"/>
        <v>0</v>
      </c>
      <c r="T1018" s="656" t="e">
        <f>+VLOOKUP($L1018,Data_Validation!$A:$D,1,0)</f>
        <v>#N/A</v>
      </c>
      <c r="U1018" s="656" t="e">
        <f>+VLOOKUP($L1018,Data_Validation!$A:$D,3,0)</f>
        <v>#N/A</v>
      </c>
      <c r="V1018" s="656" t="e">
        <f>+VLOOKUP($L1018,Data_Validation!$A:$D,4,0)</f>
        <v>#N/A</v>
      </c>
      <c r="W1018" s="656" t="e">
        <f>+VLOOKUP($L1018,Data_Validation!$A:$E,5,0)</f>
        <v>#N/A</v>
      </c>
    </row>
    <row r="1019" spans="1:23" ht="15.75" customHeight="1">
      <c r="A1019" s="716"/>
      <c r="B1019" s="654"/>
      <c r="C1019" s="717"/>
      <c r="D1019" s="716"/>
      <c r="E1019" s="716"/>
      <c r="F1019" s="716"/>
      <c r="G1019" s="716"/>
      <c r="H1019" s="716"/>
      <c r="I1019" s="716"/>
      <c r="J1019" s="716"/>
      <c r="K1019" s="716"/>
      <c r="L1019" s="653" t="str">
        <f t="shared" si="980"/>
        <v>0</v>
      </c>
      <c r="M1019" s="654">
        <f t="shared" si="780"/>
        <v>0</v>
      </c>
      <c r="N1019" s="655">
        <f>+IF(OR($Q1019=Parametres!$G$2,$Q1019=Parametres!$G$3),I1019,C1019)</f>
        <v>0</v>
      </c>
      <c r="O1019" s="655">
        <f>+IF(OR($Q1019=Parametres!$G$2,$Q1019=Parametres!$G$3),J1019,D1019)</f>
        <v>0</v>
      </c>
      <c r="P1019" s="655">
        <f>+IF(OR($Q1019=Parametres!$G$2,$Q1019=Parametres!$G$3),K1019,E1019)</f>
        <v>0</v>
      </c>
      <c r="Q1019" s="654">
        <f t="shared" ref="Q1019:S1019" si="1037">+F1019</f>
        <v>0</v>
      </c>
      <c r="R1019" s="653">
        <f t="shared" si="1037"/>
        <v>0</v>
      </c>
      <c r="S1019" s="654">
        <f t="shared" si="1037"/>
        <v>0</v>
      </c>
      <c r="T1019" s="656" t="e">
        <f>+VLOOKUP($L1019,Data_Validation!$A:$D,1,0)</f>
        <v>#N/A</v>
      </c>
      <c r="U1019" s="656" t="e">
        <f>+VLOOKUP($L1019,Data_Validation!$A:$D,3,0)</f>
        <v>#N/A</v>
      </c>
      <c r="V1019" s="656" t="e">
        <f>+VLOOKUP($L1019,Data_Validation!$A:$D,4,0)</f>
        <v>#N/A</v>
      </c>
      <c r="W1019" s="656" t="e">
        <f>+VLOOKUP($L1019,Data_Validation!$A:$E,5,0)</f>
        <v>#N/A</v>
      </c>
    </row>
    <row r="1020" spans="1:23" ht="15.75" customHeight="1">
      <c r="A1020" s="716"/>
      <c r="B1020" s="654"/>
      <c r="C1020" s="717"/>
      <c r="D1020" s="716"/>
      <c r="E1020" s="716"/>
      <c r="F1020" s="716"/>
      <c r="G1020" s="716"/>
      <c r="H1020" s="716"/>
      <c r="I1020" s="716"/>
      <c r="J1020" s="716"/>
      <c r="K1020" s="716"/>
      <c r="L1020" s="653" t="str">
        <f t="shared" si="980"/>
        <v>0</v>
      </c>
      <c r="M1020" s="654">
        <f t="shared" si="780"/>
        <v>0</v>
      </c>
      <c r="N1020" s="655">
        <f>+IF(OR($Q1020=Parametres!$G$2,$Q1020=Parametres!$G$3),I1020,C1020)</f>
        <v>0</v>
      </c>
      <c r="O1020" s="655">
        <f>+IF(OR($Q1020=Parametres!$G$2,$Q1020=Parametres!$G$3),J1020,D1020)</f>
        <v>0</v>
      </c>
      <c r="P1020" s="655">
        <f>+IF(OR($Q1020=Parametres!$G$2,$Q1020=Parametres!$G$3),K1020,E1020)</f>
        <v>0</v>
      </c>
      <c r="Q1020" s="654">
        <f t="shared" ref="Q1020:S1020" si="1038">+F1020</f>
        <v>0</v>
      </c>
      <c r="R1020" s="653">
        <f t="shared" si="1038"/>
        <v>0</v>
      </c>
      <c r="S1020" s="654">
        <f t="shared" si="1038"/>
        <v>0</v>
      </c>
      <c r="T1020" s="656" t="e">
        <f>+VLOOKUP($L1020,Data_Validation!$A:$D,1,0)</f>
        <v>#N/A</v>
      </c>
      <c r="U1020" s="656" t="e">
        <f>+VLOOKUP($L1020,Data_Validation!$A:$D,3,0)</f>
        <v>#N/A</v>
      </c>
      <c r="V1020" s="656" t="e">
        <f>+VLOOKUP($L1020,Data_Validation!$A:$D,4,0)</f>
        <v>#N/A</v>
      </c>
      <c r="W1020" s="656" t="e">
        <f>+VLOOKUP($L1020,Data_Validation!$A:$E,5,0)</f>
        <v>#N/A</v>
      </c>
    </row>
    <row r="1021" spans="1:23" ht="15.75" customHeight="1">
      <c r="A1021" s="716"/>
      <c r="B1021" s="654"/>
      <c r="C1021" s="717"/>
      <c r="D1021" s="716"/>
      <c r="E1021" s="716"/>
      <c r="F1021" s="716"/>
      <c r="G1021" s="716"/>
      <c r="H1021" s="716"/>
      <c r="I1021" s="716"/>
      <c r="J1021" s="716"/>
      <c r="K1021" s="716"/>
      <c r="L1021" s="653" t="str">
        <f t="shared" si="980"/>
        <v>0</v>
      </c>
      <c r="M1021" s="654">
        <f t="shared" si="780"/>
        <v>0</v>
      </c>
      <c r="N1021" s="655">
        <f>+IF(OR($Q1021=Parametres!$G$2,$Q1021=Parametres!$G$3),I1021,C1021)</f>
        <v>0</v>
      </c>
      <c r="O1021" s="655">
        <f>+IF(OR($Q1021=Parametres!$G$2,$Q1021=Parametres!$G$3),J1021,D1021)</f>
        <v>0</v>
      </c>
      <c r="P1021" s="655">
        <f>+IF(OR($Q1021=Parametres!$G$2,$Q1021=Parametres!$G$3),K1021,E1021)</f>
        <v>0</v>
      </c>
      <c r="Q1021" s="654">
        <f t="shared" ref="Q1021:S1021" si="1039">+F1021</f>
        <v>0</v>
      </c>
      <c r="R1021" s="653">
        <f t="shared" si="1039"/>
        <v>0</v>
      </c>
      <c r="S1021" s="654">
        <f t="shared" si="1039"/>
        <v>0</v>
      </c>
      <c r="T1021" s="656" t="e">
        <f>+VLOOKUP($L1021,Data_Validation!$A:$D,1,0)</f>
        <v>#N/A</v>
      </c>
      <c r="U1021" s="656" t="e">
        <f>+VLOOKUP($L1021,Data_Validation!$A:$D,3,0)</f>
        <v>#N/A</v>
      </c>
      <c r="V1021" s="656" t="e">
        <f>+VLOOKUP($L1021,Data_Validation!$A:$D,4,0)</f>
        <v>#N/A</v>
      </c>
      <c r="W1021" s="656" t="e">
        <f>+VLOOKUP($L1021,Data_Validation!$A:$E,5,0)</f>
        <v>#N/A</v>
      </c>
    </row>
    <row r="1022" spans="1:23" ht="15.75" customHeight="1">
      <c r="A1022" s="716"/>
      <c r="B1022" s="654"/>
      <c r="C1022" s="717"/>
      <c r="D1022" s="716"/>
      <c r="E1022" s="716"/>
      <c r="F1022" s="716"/>
      <c r="G1022" s="716"/>
      <c r="H1022" s="716"/>
      <c r="I1022" s="716"/>
      <c r="J1022" s="716"/>
      <c r="K1022" s="716"/>
      <c r="L1022" s="653" t="str">
        <f t="shared" si="980"/>
        <v>0</v>
      </c>
      <c r="M1022" s="654">
        <f t="shared" ref="M1022:M1055" si="1040">+A1022</f>
        <v>0</v>
      </c>
      <c r="N1022" s="655">
        <f>+IF(OR($Q1022=Parametres!$G$2,$Q1022=Parametres!$G$3),I1022,C1022)</f>
        <v>0</v>
      </c>
      <c r="O1022" s="655">
        <f>+IF(OR($Q1022=Parametres!$G$2,$Q1022=Parametres!$G$3),J1022,D1022)</f>
        <v>0</v>
      </c>
      <c r="P1022" s="655">
        <f>+IF(OR($Q1022=Parametres!$G$2,$Q1022=Parametres!$G$3),K1022,E1022)</f>
        <v>0</v>
      </c>
      <c r="Q1022" s="654">
        <f t="shared" ref="Q1022:S1022" si="1041">+F1022</f>
        <v>0</v>
      </c>
      <c r="R1022" s="653">
        <f t="shared" si="1041"/>
        <v>0</v>
      </c>
      <c r="S1022" s="654">
        <f t="shared" si="1041"/>
        <v>0</v>
      </c>
      <c r="T1022" s="656" t="e">
        <f>+VLOOKUP($L1022,Data_Validation!$A:$D,1,0)</f>
        <v>#N/A</v>
      </c>
      <c r="U1022" s="656" t="e">
        <f>+VLOOKUP($L1022,Data_Validation!$A:$D,3,0)</f>
        <v>#N/A</v>
      </c>
      <c r="V1022" s="656" t="e">
        <f>+VLOOKUP($L1022,Data_Validation!$A:$D,4,0)</f>
        <v>#N/A</v>
      </c>
      <c r="W1022" s="656" t="e">
        <f>+VLOOKUP($L1022,Data_Validation!$A:$E,5,0)</f>
        <v>#N/A</v>
      </c>
    </row>
    <row r="1023" spans="1:23" ht="15.75" customHeight="1">
      <c r="A1023" s="716"/>
      <c r="B1023" s="654"/>
      <c r="C1023" s="717"/>
      <c r="D1023" s="716"/>
      <c r="E1023" s="716"/>
      <c r="F1023" s="716"/>
      <c r="G1023" s="716"/>
      <c r="H1023" s="716"/>
      <c r="I1023" s="716"/>
      <c r="J1023" s="716"/>
      <c r="K1023" s="716"/>
      <c r="L1023" s="653" t="str">
        <f t="shared" si="980"/>
        <v>0</v>
      </c>
      <c r="M1023" s="654">
        <f t="shared" si="1040"/>
        <v>0</v>
      </c>
      <c r="N1023" s="655">
        <f>+IF(OR($Q1023=Parametres!$G$2,$Q1023=Parametres!$G$3),I1023,C1023)</f>
        <v>0</v>
      </c>
      <c r="O1023" s="655">
        <f>+IF(OR($Q1023=Parametres!$G$2,$Q1023=Parametres!$G$3),J1023,D1023)</f>
        <v>0</v>
      </c>
      <c r="P1023" s="655">
        <f>+IF(OR($Q1023=Parametres!$G$2,$Q1023=Parametres!$G$3),K1023,E1023)</f>
        <v>0</v>
      </c>
      <c r="Q1023" s="654">
        <f t="shared" ref="Q1023:S1023" si="1042">+F1023</f>
        <v>0</v>
      </c>
      <c r="R1023" s="653">
        <f t="shared" si="1042"/>
        <v>0</v>
      </c>
      <c r="S1023" s="654">
        <f t="shared" si="1042"/>
        <v>0</v>
      </c>
      <c r="T1023" s="656" t="e">
        <f>+VLOOKUP($L1023,Data_Validation!$A:$D,1,0)</f>
        <v>#N/A</v>
      </c>
      <c r="U1023" s="656" t="e">
        <f>+VLOOKUP($L1023,Data_Validation!$A:$D,3,0)</f>
        <v>#N/A</v>
      </c>
      <c r="V1023" s="656" t="e">
        <f>+VLOOKUP($L1023,Data_Validation!$A:$D,4,0)</f>
        <v>#N/A</v>
      </c>
      <c r="W1023" s="656" t="e">
        <f>+VLOOKUP($L1023,Data_Validation!$A:$E,5,0)</f>
        <v>#N/A</v>
      </c>
    </row>
    <row r="1024" spans="1:23" ht="15.75" customHeight="1">
      <c r="A1024" s="716"/>
      <c r="B1024" s="654"/>
      <c r="C1024" s="717"/>
      <c r="D1024" s="716"/>
      <c r="E1024" s="716"/>
      <c r="F1024" s="716"/>
      <c r="G1024" s="716"/>
      <c r="H1024" s="716"/>
      <c r="I1024" s="716"/>
      <c r="J1024" s="716"/>
      <c r="K1024" s="716"/>
      <c r="L1024" s="653" t="str">
        <f t="shared" si="980"/>
        <v>0</v>
      </c>
      <c r="M1024" s="654">
        <f t="shared" si="1040"/>
        <v>0</v>
      </c>
      <c r="N1024" s="655">
        <f>+IF(OR($Q1024=Parametres!$G$2,$Q1024=Parametres!$G$3),I1024,C1024)</f>
        <v>0</v>
      </c>
      <c r="O1024" s="655">
        <f>+IF(OR($Q1024=Parametres!$G$2,$Q1024=Parametres!$G$3),J1024,D1024)</f>
        <v>0</v>
      </c>
      <c r="P1024" s="655">
        <f>+IF(OR($Q1024=Parametres!$G$2,$Q1024=Parametres!$G$3),K1024,E1024)</f>
        <v>0</v>
      </c>
      <c r="Q1024" s="654">
        <f t="shared" ref="Q1024:S1024" si="1043">+F1024</f>
        <v>0</v>
      </c>
      <c r="R1024" s="653">
        <f t="shared" si="1043"/>
        <v>0</v>
      </c>
      <c r="S1024" s="654">
        <f t="shared" si="1043"/>
        <v>0</v>
      </c>
      <c r="T1024" s="656" t="e">
        <f>+VLOOKUP($L1024,Data_Validation!$A:$D,1,0)</f>
        <v>#N/A</v>
      </c>
      <c r="U1024" s="656" t="e">
        <f>+VLOOKUP($L1024,Data_Validation!$A:$D,3,0)</f>
        <v>#N/A</v>
      </c>
      <c r="V1024" s="656" t="e">
        <f>+VLOOKUP($L1024,Data_Validation!$A:$D,4,0)</f>
        <v>#N/A</v>
      </c>
      <c r="W1024" s="656" t="e">
        <f>+VLOOKUP($L1024,Data_Validation!$A:$E,5,0)</f>
        <v>#N/A</v>
      </c>
    </row>
    <row r="1025" spans="1:23" ht="15.75" customHeight="1">
      <c r="A1025" s="716"/>
      <c r="B1025" s="654"/>
      <c r="C1025" s="717"/>
      <c r="D1025" s="716"/>
      <c r="E1025" s="716"/>
      <c r="F1025" s="716"/>
      <c r="G1025" s="716"/>
      <c r="H1025" s="716"/>
      <c r="I1025" s="716"/>
      <c r="J1025" s="716"/>
      <c r="K1025" s="716"/>
      <c r="L1025" s="653" t="str">
        <f t="shared" si="980"/>
        <v>0</v>
      </c>
      <c r="M1025" s="654">
        <f t="shared" si="1040"/>
        <v>0</v>
      </c>
      <c r="N1025" s="655">
        <f>+IF(OR($Q1025=Parametres!$G$2,$Q1025=Parametres!$G$3),I1025,C1025)</f>
        <v>0</v>
      </c>
      <c r="O1025" s="655">
        <f>+IF(OR($Q1025=Parametres!$G$2,$Q1025=Parametres!$G$3),J1025,D1025)</f>
        <v>0</v>
      </c>
      <c r="P1025" s="655">
        <f>+IF(OR($Q1025=Parametres!$G$2,$Q1025=Parametres!$G$3),K1025,E1025)</f>
        <v>0</v>
      </c>
      <c r="Q1025" s="654">
        <f t="shared" ref="Q1025:S1025" si="1044">+F1025</f>
        <v>0</v>
      </c>
      <c r="R1025" s="653">
        <f t="shared" si="1044"/>
        <v>0</v>
      </c>
      <c r="S1025" s="654">
        <f t="shared" si="1044"/>
        <v>0</v>
      </c>
      <c r="T1025" s="656" t="e">
        <f>+VLOOKUP($L1025,Data_Validation!$A:$D,1,0)</f>
        <v>#N/A</v>
      </c>
      <c r="U1025" s="656" t="e">
        <f>+VLOOKUP($L1025,Data_Validation!$A:$D,3,0)</f>
        <v>#N/A</v>
      </c>
      <c r="V1025" s="656" t="e">
        <f>+VLOOKUP($L1025,Data_Validation!$A:$D,4,0)</f>
        <v>#N/A</v>
      </c>
      <c r="W1025" s="656" t="e">
        <f>+VLOOKUP($L1025,Data_Validation!$A:$E,5,0)</f>
        <v>#N/A</v>
      </c>
    </row>
    <row r="1026" spans="1:23" ht="15.75" customHeight="1">
      <c r="A1026" s="716"/>
      <c r="B1026" s="654"/>
      <c r="C1026" s="717"/>
      <c r="D1026" s="716"/>
      <c r="E1026" s="716"/>
      <c r="F1026" s="716"/>
      <c r="G1026" s="716"/>
      <c r="H1026" s="716"/>
      <c r="I1026" s="716"/>
      <c r="J1026" s="716"/>
      <c r="K1026" s="716"/>
      <c r="L1026" s="653" t="str">
        <f t="shared" si="980"/>
        <v>0</v>
      </c>
      <c r="M1026" s="654">
        <f t="shared" si="1040"/>
        <v>0</v>
      </c>
      <c r="N1026" s="655">
        <f>+IF(OR($Q1026=Parametres!$G$2,$Q1026=Parametres!$G$3),I1026,C1026)</f>
        <v>0</v>
      </c>
      <c r="O1026" s="655">
        <f>+IF(OR($Q1026=Parametres!$G$2,$Q1026=Parametres!$G$3),J1026,D1026)</f>
        <v>0</v>
      </c>
      <c r="P1026" s="655">
        <f>+IF(OR($Q1026=Parametres!$G$2,$Q1026=Parametres!$G$3),K1026,E1026)</f>
        <v>0</v>
      </c>
      <c r="Q1026" s="654">
        <f t="shared" ref="Q1026:S1026" si="1045">+F1026</f>
        <v>0</v>
      </c>
      <c r="R1026" s="653">
        <f t="shared" si="1045"/>
        <v>0</v>
      </c>
      <c r="S1026" s="654">
        <f t="shared" si="1045"/>
        <v>0</v>
      </c>
      <c r="T1026" s="656" t="e">
        <f>+VLOOKUP($L1026,Data_Validation!$A:$D,1,0)</f>
        <v>#N/A</v>
      </c>
      <c r="U1026" s="656" t="e">
        <f>+VLOOKUP($L1026,Data_Validation!$A:$D,3,0)</f>
        <v>#N/A</v>
      </c>
      <c r="V1026" s="656" t="e">
        <f>+VLOOKUP($L1026,Data_Validation!$A:$D,4,0)</f>
        <v>#N/A</v>
      </c>
      <c r="W1026" s="656" t="e">
        <f>+VLOOKUP($L1026,Data_Validation!$A:$E,5,0)</f>
        <v>#N/A</v>
      </c>
    </row>
    <row r="1027" spans="1:23" ht="15.75" customHeight="1">
      <c r="A1027" s="716"/>
      <c r="B1027" s="654"/>
      <c r="C1027" s="717"/>
      <c r="D1027" s="716"/>
      <c r="E1027" s="716"/>
      <c r="F1027" s="716"/>
      <c r="G1027" s="716"/>
      <c r="H1027" s="716"/>
      <c r="I1027" s="716"/>
      <c r="J1027" s="716"/>
      <c r="K1027" s="716"/>
      <c r="L1027" s="653" t="str">
        <f t="shared" ref="L1027:L1055" si="1046">TEXT(B1027,0)</f>
        <v>0</v>
      </c>
      <c r="M1027" s="654">
        <f t="shared" si="1040"/>
        <v>0</v>
      </c>
      <c r="N1027" s="655">
        <f>+IF(OR($Q1027=Parametres!$G$2,$Q1027=Parametres!$G$3),I1027,C1027)</f>
        <v>0</v>
      </c>
      <c r="O1027" s="655">
        <f>+IF(OR($Q1027=Parametres!$G$2,$Q1027=Parametres!$G$3),J1027,D1027)</f>
        <v>0</v>
      </c>
      <c r="P1027" s="655">
        <f>+IF(OR($Q1027=Parametres!$G$2,$Q1027=Parametres!$G$3),K1027,E1027)</f>
        <v>0</v>
      </c>
      <c r="Q1027" s="654">
        <f t="shared" ref="Q1027:S1027" si="1047">+F1027</f>
        <v>0</v>
      </c>
      <c r="R1027" s="653">
        <f t="shared" si="1047"/>
        <v>0</v>
      </c>
      <c r="S1027" s="654">
        <f t="shared" si="1047"/>
        <v>0</v>
      </c>
      <c r="T1027" s="656" t="e">
        <f>+VLOOKUP($L1027,Data_Validation!$A:$D,1,0)</f>
        <v>#N/A</v>
      </c>
      <c r="U1027" s="656" t="e">
        <f>+VLOOKUP($L1027,Data_Validation!$A:$D,3,0)</f>
        <v>#N/A</v>
      </c>
      <c r="V1027" s="656" t="e">
        <f>+VLOOKUP($L1027,Data_Validation!$A:$D,4,0)</f>
        <v>#N/A</v>
      </c>
      <c r="W1027" s="656" t="e">
        <f>+VLOOKUP($L1027,Data_Validation!$A:$E,5,0)</f>
        <v>#N/A</v>
      </c>
    </row>
    <row r="1028" spans="1:23" ht="15.75" customHeight="1">
      <c r="A1028" s="716"/>
      <c r="B1028" s="654"/>
      <c r="C1028" s="717"/>
      <c r="D1028" s="716"/>
      <c r="E1028" s="716"/>
      <c r="F1028" s="716"/>
      <c r="G1028" s="716"/>
      <c r="H1028" s="716"/>
      <c r="I1028" s="716"/>
      <c r="J1028" s="716"/>
      <c r="K1028" s="716"/>
      <c r="L1028" s="653" t="str">
        <f t="shared" si="1046"/>
        <v>0</v>
      </c>
      <c r="M1028" s="654">
        <f t="shared" si="1040"/>
        <v>0</v>
      </c>
      <c r="N1028" s="655">
        <f>+IF(OR($Q1028=Parametres!$G$2,$Q1028=Parametres!$G$3),I1028,C1028)</f>
        <v>0</v>
      </c>
      <c r="O1028" s="655">
        <f>+IF(OR($Q1028=Parametres!$G$2,$Q1028=Parametres!$G$3),J1028,D1028)</f>
        <v>0</v>
      </c>
      <c r="P1028" s="655">
        <f>+IF(OR($Q1028=Parametres!$G$2,$Q1028=Parametres!$G$3),K1028,E1028)</f>
        <v>0</v>
      </c>
      <c r="Q1028" s="654">
        <f t="shared" ref="Q1028:S1028" si="1048">+F1028</f>
        <v>0</v>
      </c>
      <c r="R1028" s="653">
        <f t="shared" si="1048"/>
        <v>0</v>
      </c>
      <c r="S1028" s="654">
        <f t="shared" si="1048"/>
        <v>0</v>
      </c>
      <c r="T1028" s="656" t="e">
        <f>+VLOOKUP($L1028,Data_Validation!$A:$D,1,0)</f>
        <v>#N/A</v>
      </c>
      <c r="U1028" s="656" t="e">
        <f>+VLOOKUP($L1028,Data_Validation!$A:$D,3,0)</f>
        <v>#N/A</v>
      </c>
      <c r="V1028" s="656" t="e">
        <f>+VLOOKUP($L1028,Data_Validation!$A:$D,4,0)</f>
        <v>#N/A</v>
      </c>
      <c r="W1028" s="656" t="e">
        <f>+VLOOKUP($L1028,Data_Validation!$A:$E,5,0)</f>
        <v>#N/A</v>
      </c>
    </row>
    <row r="1029" spans="1:23" ht="15.75" customHeight="1">
      <c r="A1029" s="716"/>
      <c r="B1029" s="654"/>
      <c r="C1029" s="717"/>
      <c r="D1029" s="716"/>
      <c r="E1029" s="716"/>
      <c r="F1029" s="716"/>
      <c r="G1029" s="716"/>
      <c r="H1029" s="716"/>
      <c r="I1029" s="716"/>
      <c r="J1029" s="716"/>
      <c r="K1029" s="716"/>
      <c r="L1029" s="653" t="str">
        <f t="shared" si="1046"/>
        <v>0</v>
      </c>
      <c r="M1029" s="654">
        <f t="shared" si="1040"/>
        <v>0</v>
      </c>
      <c r="N1029" s="655">
        <f>+IF(OR($Q1029=Parametres!$G$2,$Q1029=Parametres!$G$3),I1029,C1029)</f>
        <v>0</v>
      </c>
      <c r="O1029" s="655">
        <f>+IF(OR($Q1029=Parametres!$G$2,$Q1029=Parametres!$G$3),J1029,D1029)</f>
        <v>0</v>
      </c>
      <c r="P1029" s="655">
        <f>+IF(OR($Q1029=Parametres!$G$2,$Q1029=Parametres!$G$3),K1029,E1029)</f>
        <v>0</v>
      </c>
      <c r="Q1029" s="654">
        <f t="shared" ref="Q1029:S1029" si="1049">+F1029</f>
        <v>0</v>
      </c>
      <c r="R1029" s="653">
        <f t="shared" si="1049"/>
        <v>0</v>
      </c>
      <c r="S1029" s="654">
        <f t="shared" si="1049"/>
        <v>0</v>
      </c>
      <c r="T1029" s="656" t="e">
        <f>+VLOOKUP($L1029,Data_Validation!$A:$D,1,0)</f>
        <v>#N/A</v>
      </c>
      <c r="U1029" s="656" t="e">
        <f>+VLOOKUP($L1029,Data_Validation!$A:$D,3,0)</f>
        <v>#N/A</v>
      </c>
      <c r="V1029" s="656" t="e">
        <f>+VLOOKUP($L1029,Data_Validation!$A:$D,4,0)</f>
        <v>#N/A</v>
      </c>
      <c r="W1029" s="656" t="e">
        <f>+VLOOKUP($L1029,Data_Validation!$A:$E,5,0)</f>
        <v>#N/A</v>
      </c>
    </row>
    <row r="1030" spans="1:23" ht="15.75" customHeight="1">
      <c r="A1030" s="716"/>
      <c r="B1030" s="654"/>
      <c r="C1030" s="717"/>
      <c r="D1030" s="716"/>
      <c r="E1030" s="716"/>
      <c r="F1030" s="716"/>
      <c r="G1030" s="716"/>
      <c r="H1030" s="716"/>
      <c r="I1030" s="716"/>
      <c r="J1030" s="716"/>
      <c r="K1030" s="716"/>
      <c r="L1030" s="653" t="str">
        <f t="shared" si="1046"/>
        <v>0</v>
      </c>
      <c r="M1030" s="654">
        <f t="shared" si="1040"/>
        <v>0</v>
      </c>
      <c r="N1030" s="655">
        <f>+IF(OR($Q1030=Parametres!$G$2,$Q1030=Parametres!$G$3),I1030,C1030)</f>
        <v>0</v>
      </c>
      <c r="O1030" s="655">
        <f>+IF(OR($Q1030=Parametres!$G$2,$Q1030=Parametres!$G$3),J1030,D1030)</f>
        <v>0</v>
      </c>
      <c r="P1030" s="655">
        <f>+IF(OR($Q1030=Parametres!$G$2,$Q1030=Parametres!$G$3),K1030,E1030)</f>
        <v>0</v>
      </c>
      <c r="Q1030" s="654">
        <f t="shared" ref="Q1030:S1030" si="1050">+F1030</f>
        <v>0</v>
      </c>
      <c r="R1030" s="653">
        <f t="shared" si="1050"/>
        <v>0</v>
      </c>
      <c r="S1030" s="654">
        <f t="shared" si="1050"/>
        <v>0</v>
      </c>
      <c r="T1030" s="656" t="e">
        <f>+VLOOKUP($L1030,Data_Validation!$A:$D,1,0)</f>
        <v>#N/A</v>
      </c>
      <c r="U1030" s="656" t="e">
        <f>+VLOOKUP($L1030,Data_Validation!$A:$D,3,0)</f>
        <v>#N/A</v>
      </c>
      <c r="V1030" s="656" t="e">
        <f>+VLOOKUP($L1030,Data_Validation!$A:$D,4,0)</f>
        <v>#N/A</v>
      </c>
      <c r="W1030" s="656" t="e">
        <f>+VLOOKUP($L1030,Data_Validation!$A:$E,5,0)</f>
        <v>#N/A</v>
      </c>
    </row>
    <row r="1031" spans="1:23" ht="15.75" customHeight="1">
      <c r="A1031" s="716"/>
      <c r="B1031" s="654"/>
      <c r="C1031" s="717"/>
      <c r="D1031" s="716"/>
      <c r="E1031" s="716"/>
      <c r="F1031" s="716"/>
      <c r="G1031" s="716"/>
      <c r="H1031" s="716"/>
      <c r="I1031" s="716"/>
      <c r="J1031" s="716"/>
      <c r="K1031" s="716"/>
      <c r="L1031" s="653" t="str">
        <f t="shared" si="1046"/>
        <v>0</v>
      </c>
      <c r="M1031" s="654">
        <f t="shared" si="1040"/>
        <v>0</v>
      </c>
      <c r="N1031" s="655">
        <f>+IF(OR($Q1031=Parametres!$G$2,$Q1031=Parametres!$G$3),I1031,C1031)</f>
        <v>0</v>
      </c>
      <c r="O1031" s="655">
        <f>+IF(OR($Q1031=Parametres!$G$2,$Q1031=Parametres!$G$3),J1031,D1031)</f>
        <v>0</v>
      </c>
      <c r="P1031" s="655">
        <f>+IF(OR($Q1031=Parametres!$G$2,$Q1031=Parametres!$G$3),K1031,E1031)</f>
        <v>0</v>
      </c>
      <c r="Q1031" s="654">
        <f t="shared" ref="Q1031:S1031" si="1051">+F1031</f>
        <v>0</v>
      </c>
      <c r="R1031" s="653">
        <f t="shared" si="1051"/>
        <v>0</v>
      </c>
      <c r="S1031" s="654">
        <f t="shared" si="1051"/>
        <v>0</v>
      </c>
      <c r="T1031" s="656" t="e">
        <f>+VLOOKUP($L1031,Data_Validation!$A:$D,1,0)</f>
        <v>#N/A</v>
      </c>
      <c r="U1031" s="656" t="e">
        <f>+VLOOKUP($L1031,Data_Validation!$A:$D,3,0)</f>
        <v>#N/A</v>
      </c>
      <c r="V1031" s="656" t="e">
        <f>+VLOOKUP($L1031,Data_Validation!$A:$D,4,0)</f>
        <v>#N/A</v>
      </c>
      <c r="W1031" s="656" t="e">
        <f>+VLOOKUP($L1031,Data_Validation!$A:$E,5,0)</f>
        <v>#N/A</v>
      </c>
    </row>
    <row r="1032" spans="1:23" ht="15.75" customHeight="1">
      <c r="A1032" s="716"/>
      <c r="B1032" s="654"/>
      <c r="C1032" s="717"/>
      <c r="D1032" s="716"/>
      <c r="E1032" s="716"/>
      <c r="F1032" s="716"/>
      <c r="G1032" s="716"/>
      <c r="H1032" s="716"/>
      <c r="I1032" s="716"/>
      <c r="J1032" s="716"/>
      <c r="K1032" s="716"/>
      <c r="L1032" s="653" t="str">
        <f t="shared" si="1046"/>
        <v>0</v>
      </c>
      <c r="M1032" s="654">
        <f t="shared" si="1040"/>
        <v>0</v>
      </c>
      <c r="N1032" s="655">
        <f>+IF(OR($Q1032=Parametres!$G$2,$Q1032=Parametres!$G$3),I1032,C1032)</f>
        <v>0</v>
      </c>
      <c r="O1032" s="655">
        <f>+IF(OR($Q1032=Parametres!$G$2,$Q1032=Parametres!$G$3),J1032,D1032)</f>
        <v>0</v>
      </c>
      <c r="P1032" s="655">
        <f>+IF(OR($Q1032=Parametres!$G$2,$Q1032=Parametres!$G$3),K1032,E1032)</f>
        <v>0</v>
      </c>
      <c r="Q1032" s="654">
        <f t="shared" ref="Q1032:S1032" si="1052">+F1032</f>
        <v>0</v>
      </c>
      <c r="R1032" s="653">
        <f t="shared" si="1052"/>
        <v>0</v>
      </c>
      <c r="S1032" s="654">
        <f t="shared" si="1052"/>
        <v>0</v>
      </c>
      <c r="T1032" s="656" t="e">
        <f>+VLOOKUP($L1032,Data_Validation!$A:$D,1,0)</f>
        <v>#N/A</v>
      </c>
      <c r="U1032" s="656" t="e">
        <f>+VLOOKUP($L1032,Data_Validation!$A:$D,3,0)</f>
        <v>#N/A</v>
      </c>
      <c r="V1032" s="656" t="e">
        <f>+VLOOKUP($L1032,Data_Validation!$A:$D,4,0)</f>
        <v>#N/A</v>
      </c>
      <c r="W1032" s="656" t="e">
        <f>+VLOOKUP($L1032,Data_Validation!$A:$E,5,0)</f>
        <v>#N/A</v>
      </c>
    </row>
    <row r="1033" spans="1:23" ht="15.75" customHeight="1">
      <c r="A1033" s="716"/>
      <c r="B1033" s="654"/>
      <c r="C1033" s="717"/>
      <c r="D1033" s="716"/>
      <c r="E1033" s="716"/>
      <c r="F1033" s="716"/>
      <c r="G1033" s="716"/>
      <c r="H1033" s="716"/>
      <c r="I1033" s="716"/>
      <c r="J1033" s="716"/>
      <c r="K1033" s="716"/>
      <c r="L1033" s="653" t="str">
        <f t="shared" si="1046"/>
        <v>0</v>
      </c>
      <c r="M1033" s="654">
        <f t="shared" si="1040"/>
        <v>0</v>
      </c>
      <c r="N1033" s="655">
        <f>+IF(OR($Q1033=Parametres!$G$2,$Q1033=Parametres!$G$3),I1033,C1033)</f>
        <v>0</v>
      </c>
      <c r="O1033" s="655">
        <f>+IF(OR($Q1033=Parametres!$G$2,$Q1033=Parametres!$G$3),J1033,D1033)</f>
        <v>0</v>
      </c>
      <c r="P1033" s="655">
        <f>+IF(OR($Q1033=Parametres!$G$2,$Q1033=Parametres!$G$3),K1033,E1033)</f>
        <v>0</v>
      </c>
      <c r="Q1033" s="654">
        <f t="shared" ref="Q1033:S1033" si="1053">+F1033</f>
        <v>0</v>
      </c>
      <c r="R1033" s="653">
        <f t="shared" si="1053"/>
        <v>0</v>
      </c>
      <c r="S1033" s="654">
        <f t="shared" si="1053"/>
        <v>0</v>
      </c>
      <c r="T1033" s="656" t="e">
        <f>+VLOOKUP($L1033,Data_Validation!$A:$D,1,0)</f>
        <v>#N/A</v>
      </c>
      <c r="U1033" s="656" t="e">
        <f>+VLOOKUP($L1033,Data_Validation!$A:$D,3,0)</f>
        <v>#N/A</v>
      </c>
      <c r="V1033" s="656" t="e">
        <f>+VLOOKUP($L1033,Data_Validation!$A:$D,4,0)</f>
        <v>#N/A</v>
      </c>
      <c r="W1033" s="656" t="e">
        <f>+VLOOKUP($L1033,Data_Validation!$A:$E,5,0)</f>
        <v>#N/A</v>
      </c>
    </row>
    <row r="1034" spans="1:23" ht="15.75" customHeight="1">
      <c r="A1034" s="716"/>
      <c r="B1034" s="654"/>
      <c r="C1034" s="717"/>
      <c r="D1034" s="716"/>
      <c r="E1034" s="716"/>
      <c r="F1034" s="716"/>
      <c r="G1034" s="716"/>
      <c r="H1034" s="716"/>
      <c r="I1034" s="716"/>
      <c r="J1034" s="716"/>
      <c r="K1034" s="716"/>
      <c r="L1034" s="653" t="str">
        <f t="shared" si="1046"/>
        <v>0</v>
      </c>
      <c r="M1034" s="654">
        <f t="shared" si="1040"/>
        <v>0</v>
      </c>
      <c r="N1034" s="655">
        <f>+IF(OR($Q1034=Parametres!$G$2,$Q1034=Parametres!$G$3),I1034,C1034)</f>
        <v>0</v>
      </c>
      <c r="O1034" s="655">
        <f>+IF(OR($Q1034=Parametres!$G$2,$Q1034=Parametres!$G$3),J1034,D1034)</f>
        <v>0</v>
      </c>
      <c r="P1034" s="655">
        <f>+IF(OR($Q1034=Parametres!$G$2,$Q1034=Parametres!$G$3),K1034,E1034)</f>
        <v>0</v>
      </c>
      <c r="Q1034" s="654">
        <f t="shared" ref="Q1034:S1034" si="1054">+F1034</f>
        <v>0</v>
      </c>
      <c r="R1034" s="653">
        <f t="shared" si="1054"/>
        <v>0</v>
      </c>
      <c r="S1034" s="654">
        <f t="shared" si="1054"/>
        <v>0</v>
      </c>
      <c r="T1034" s="656" t="e">
        <f>+VLOOKUP($L1034,Data_Validation!$A:$D,1,0)</f>
        <v>#N/A</v>
      </c>
      <c r="U1034" s="656" t="e">
        <f>+VLOOKUP($L1034,Data_Validation!$A:$D,3,0)</f>
        <v>#N/A</v>
      </c>
      <c r="V1034" s="656" t="e">
        <f>+VLOOKUP($L1034,Data_Validation!$A:$D,4,0)</f>
        <v>#N/A</v>
      </c>
      <c r="W1034" s="656" t="e">
        <f>+VLOOKUP($L1034,Data_Validation!$A:$E,5,0)</f>
        <v>#N/A</v>
      </c>
    </row>
    <row r="1035" spans="1:23" ht="15.75" customHeight="1">
      <c r="A1035" s="716"/>
      <c r="B1035" s="654"/>
      <c r="C1035" s="717"/>
      <c r="D1035" s="716"/>
      <c r="E1035" s="716"/>
      <c r="F1035" s="716"/>
      <c r="G1035" s="716"/>
      <c r="H1035" s="716"/>
      <c r="I1035" s="716"/>
      <c r="J1035" s="716"/>
      <c r="K1035" s="716"/>
      <c r="L1035" s="653" t="str">
        <f t="shared" si="1046"/>
        <v>0</v>
      </c>
      <c r="M1035" s="654">
        <f t="shared" si="1040"/>
        <v>0</v>
      </c>
      <c r="N1035" s="655">
        <f>+IF(OR($Q1035=Parametres!$G$2,$Q1035=Parametres!$G$3),I1035,C1035)</f>
        <v>0</v>
      </c>
      <c r="O1035" s="655">
        <f>+IF(OR($Q1035=Parametres!$G$2,$Q1035=Parametres!$G$3),J1035,D1035)</f>
        <v>0</v>
      </c>
      <c r="P1035" s="655">
        <f>+IF(OR($Q1035=Parametres!$G$2,$Q1035=Parametres!$G$3),K1035,E1035)</f>
        <v>0</v>
      </c>
      <c r="Q1035" s="654">
        <f t="shared" ref="Q1035:S1035" si="1055">+F1035</f>
        <v>0</v>
      </c>
      <c r="R1035" s="653">
        <f t="shared" si="1055"/>
        <v>0</v>
      </c>
      <c r="S1035" s="654">
        <f t="shared" si="1055"/>
        <v>0</v>
      </c>
      <c r="T1035" s="656" t="e">
        <f>+VLOOKUP($L1035,Data_Validation!$A:$D,1,0)</f>
        <v>#N/A</v>
      </c>
      <c r="U1035" s="656" t="e">
        <f>+VLOOKUP($L1035,Data_Validation!$A:$D,3,0)</f>
        <v>#N/A</v>
      </c>
      <c r="V1035" s="656" t="e">
        <f>+VLOOKUP($L1035,Data_Validation!$A:$D,4,0)</f>
        <v>#N/A</v>
      </c>
      <c r="W1035" s="656" t="e">
        <f>+VLOOKUP($L1035,Data_Validation!$A:$E,5,0)</f>
        <v>#N/A</v>
      </c>
    </row>
    <row r="1036" spans="1:23" ht="15.75" customHeight="1">
      <c r="A1036" s="716"/>
      <c r="B1036" s="654"/>
      <c r="C1036" s="717"/>
      <c r="D1036" s="716"/>
      <c r="E1036" s="716"/>
      <c r="F1036" s="716"/>
      <c r="G1036" s="716"/>
      <c r="H1036" s="716"/>
      <c r="I1036" s="716"/>
      <c r="J1036" s="716"/>
      <c r="K1036" s="716"/>
      <c r="L1036" s="653" t="str">
        <f t="shared" si="1046"/>
        <v>0</v>
      </c>
      <c r="M1036" s="654">
        <f t="shared" si="1040"/>
        <v>0</v>
      </c>
      <c r="N1036" s="655">
        <f>+IF(OR($Q1036=Parametres!$G$2,$Q1036=Parametres!$G$3),I1036,C1036)</f>
        <v>0</v>
      </c>
      <c r="O1036" s="655">
        <f>+IF(OR($Q1036=Parametres!$G$2,$Q1036=Parametres!$G$3),J1036,D1036)</f>
        <v>0</v>
      </c>
      <c r="P1036" s="655">
        <f>+IF(OR($Q1036=Parametres!$G$2,$Q1036=Parametres!$G$3),K1036,E1036)</f>
        <v>0</v>
      </c>
      <c r="Q1036" s="654">
        <f t="shared" ref="Q1036:S1036" si="1056">+F1036</f>
        <v>0</v>
      </c>
      <c r="R1036" s="653">
        <f t="shared" si="1056"/>
        <v>0</v>
      </c>
      <c r="S1036" s="654">
        <f t="shared" si="1056"/>
        <v>0</v>
      </c>
      <c r="T1036" s="656" t="e">
        <f>+VLOOKUP($L1036,Data_Validation!$A:$D,1,0)</f>
        <v>#N/A</v>
      </c>
      <c r="U1036" s="656" t="e">
        <f>+VLOOKUP($L1036,Data_Validation!$A:$D,3,0)</f>
        <v>#N/A</v>
      </c>
      <c r="V1036" s="656" t="e">
        <f>+VLOOKUP($L1036,Data_Validation!$A:$D,4,0)</f>
        <v>#N/A</v>
      </c>
      <c r="W1036" s="656" t="e">
        <f>+VLOOKUP($L1036,Data_Validation!$A:$E,5,0)</f>
        <v>#N/A</v>
      </c>
    </row>
    <row r="1037" spans="1:23" ht="15.75" customHeight="1">
      <c r="A1037" s="716"/>
      <c r="B1037" s="654"/>
      <c r="C1037" s="717"/>
      <c r="D1037" s="716"/>
      <c r="E1037" s="716"/>
      <c r="F1037" s="716"/>
      <c r="G1037" s="716"/>
      <c r="H1037" s="716"/>
      <c r="I1037" s="716"/>
      <c r="J1037" s="716"/>
      <c r="K1037" s="716"/>
      <c r="L1037" s="653" t="str">
        <f t="shared" si="1046"/>
        <v>0</v>
      </c>
      <c r="M1037" s="654">
        <f t="shared" si="1040"/>
        <v>0</v>
      </c>
      <c r="N1037" s="655">
        <f>+IF(OR($Q1037=Parametres!$G$2,$Q1037=Parametres!$G$3),I1037,C1037)</f>
        <v>0</v>
      </c>
      <c r="O1037" s="655">
        <f>+IF(OR($Q1037=Parametres!$G$2,$Q1037=Parametres!$G$3),J1037,D1037)</f>
        <v>0</v>
      </c>
      <c r="P1037" s="655">
        <f>+IF(OR($Q1037=Parametres!$G$2,$Q1037=Parametres!$G$3),K1037,E1037)</f>
        <v>0</v>
      </c>
      <c r="Q1037" s="654">
        <f t="shared" ref="Q1037:S1037" si="1057">+F1037</f>
        <v>0</v>
      </c>
      <c r="R1037" s="653">
        <f t="shared" si="1057"/>
        <v>0</v>
      </c>
      <c r="S1037" s="654">
        <f t="shared" si="1057"/>
        <v>0</v>
      </c>
      <c r="T1037" s="656" t="e">
        <f>+VLOOKUP($L1037,Data_Validation!$A:$D,1,0)</f>
        <v>#N/A</v>
      </c>
      <c r="U1037" s="656" t="e">
        <f>+VLOOKUP($L1037,Data_Validation!$A:$D,3,0)</f>
        <v>#N/A</v>
      </c>
      <c r="V1037" s="656" t="e">
        <f>+VLOOKUP($L1037,Data_Validation!$A:$D,4,0)</f>
        <v>#N/A</v>
      </c>
      <c r="W1037" s="656" t="e">
        <f>+VLOOKUP($L1037,Data_Validation!$A:$E,5,0)</f>
        <v>#N/A</v>
      </c>
    </row>
    <row r="1038" spans="1:23" ht="15.75" customHeight="1">
      <c r="A1038" s="716"/>
      <c r="B1038" s="654"/>
      <c r="C1038" s="717"/>
      <c r="D1038" s="716"/>
      <c r="E1038" s="716"/>
      <c r="F1038" s="716"/>
      <c r="G1038" s="716"/>
      <c r="H1038" s="716"/>
      <c r="I1038" s="716"/>
      <c r="J1038" s="716"/>
      <c r="K1038" s="716"/>
      <c r="L1038" s="653" t="str">
        <f t="shared" si="1046"/>
        <v>0</v>
      </c>
      <c r="M1038" s="654">
        <f t="shared" si="1040"/>
        <v>0</v>
      </c>
      <c r="N1038" s="655">
        <f>+IF(OR($Q1038=Parametres!$G$2,$Q1038=Parametres!$G$3),I1038,C1038)</f>
        <v>0</v>
      </c>
      <c r="O1038" s="655">
        <f>+IF(OR($Q1038=Parametres!$G$2,$Q1038=Parametres!$G$3),J1038,D1038)</f>
        <v>0</v>
      </c>
      <c r="P1038" s="655">
        <f>+IF(OR($Q1038=Parametres!$G$2,$Q1038=Parametres!$G$3),K1038,E1038)</f>
        <v>0</v>
      </c>
      <c r="Q1038" s="654">
        <f t="shared" ref="Q1038:S1038" si="1058">+F1038</f>
        <v>0</v>
      </c>
      <c r="R1038" s="653">
        <f t="shared" si="1058"/>
        <v>0</v>
      </c>
      <c r="S1038" s="654">
        <f t="shared" si="1058"/>
        <v>0</v>
      </c>
      <c r="T1038" s="656" t="e">
        <f>+VLOOKUP($L1038,Data_Validation!$A:$D,1,0)</f>
        <v>#N/A</v>
      </c>
      <c r="U1038" s="656" t="e">
        <f>+VLOOKUP($L1038,Data_Validation!$A:$D,3,0)</f>
        <v>#N/A</v>
      </c>
      <c r="V1038" s="656" t="e">
        <f>+VLOOKUP($L1038,Data_Validation!$A:$D,4,0)</f>
        <v>#N/A</v>
      </c>
      <c r="W1038" s="656" t="e">
        <f>+VLOOKUP($L1038,Data_Validation!$A:$E,5,0)</f>
        <v>#N/A</v>
      </c>
    </row>
    <row r="1039" spans="1:23" ht="15.75" customHeight="1">
      <c r="A1039" s="716"/>
      <c r="B1039" s="654"/>
      <c r="C1039" s="717"/>
      <c r="D1039" s="716"/>
      <c r="E1039" s="716"/>
      <c r="F1039" s="716"/>
      <c r="G1039" s="716"/>
      <c r="H1039" s="716"/>
      <c r="I1039" s="716"/>
      <c r="J1039" s="716"/>
      <c r="K1039" s="716"/>
      <c r="L1039" s="653" t="str">
        <f t="shared" si="1046"/>
        <v>0</v>
      </c>
      <c r="M1039" s="654">
        <f t="shared" si="1040"/>
        <v>0</v>
      </c>
      <c r="N1039" s="655">
        <f>+IF(OR($Q1039=Parametres!$G$2,$Q1039=Parametres!$G$3),I1039,C1039)</f>
        <v>0</v>
      </c>
      <c r="O1039" s="655">
        <f>+IF(OR($Q1039=Parametres!$G$2,$Q1039=Parametres!$G$3),J1039,D1039)</f>
        <v>0</v>
      </c>
      <c r="P1039" s="655">
        <f>+IF(OR($Q1039=Parametres!$G$2,$Q1039=Parametres!$G$3),K1039,E1039)</f>
        <v>0</v>
      </c>
      <c r="Q1039" s="654">
        <f t="shared" ref="Q1039:S1039" si="1059">+F1039</f>
        <v>0</v>
      </c>
      <c r="R1039" s="653">
        <f t="shared" si="1059"/>
        <v>0</v>
      </c>
      <c r="S1039" s="654">
        <f t="shared" si="1059"/>
        <v>0</v>
      </c>
      <c r="T1039" s="656" t="e">
        <f>+VLOOKUP($L1039,Data_Validation!$A:$D,1,0)</f>
        <v>#N/A</v>
      </c>
      <c r="U1039" s="656" t="e">
        <f>+VLOOKUP($L1039,Data_Validation!$A:$D,3,0)</f>
        <v>#N/A</v>
      </c>
      <c r="V1039" s="656" t="e">
        <f>+VLOOKUP($L1039,Data_Validation!$A:$D,4,0)</f>
        <v>#N/A</v>
      </c>
      <c r="W1039" s="656" t="e">
        <f>+VLOOKUP($L1039,Data_Validation!$A:$E,5,0)</f>
        <v>#N/A</v>
      </c>
    </row>
    <row r="1040" spans="1:23" ht="15.75" customHeight="1">
      <c r="A1040" s="716"/>
      <c r="B1040" s="654"/>
      <c r="C1040" s="717"/>
      <c r="D1040" s="716"/>
      <c r="E1040" s="716"/>
      <c r="F1040" s="716"/>
      <c r="G1040" s="716"/>
      <c r="H1040" s="716"/>
      <c r="I1040" s="716"/>
      <c r="J1040" s="716"/>
      <c r="K1040" s="716"/>
      <c r="L1040" s="653" t="str">
        <f t="shared" si="1046"/>
        <v>0</v>
      </c>
      <c r="M1040" s="654">
        <f t="shared" si="1040"/>
        <v>0</v>
      </c>
      <c r="N1040" s="655">
        <f>+IF(OR($Q1040=Parametres!$G$2,$Q1040=Parametres!$G$3),I1040,C1040)</f>
        <v>0</v>
      </c>
      <c r="O1040" s="655">
        <f>+IF(OR($Q1040=Parametres!$G$2,$Q1040=Parametres!$G$3),J1040,D1040)</f>
        <v>0</v>
      </c>
      <c r="P1040" s="655">
        <f>+IF(OR($Q1040=Parametres!$G$2,$Q1040=Parametres!$G$3),K1040,E1040)</f>
        <v>0</v>
      </c>
      <c r="Q1040" s="654">
        <f t="shared" ref="Q1040:S1040" si="1060">+F1040</f>
        <v>0</v>
      </c>
      <c r="R1040" s="653">
        <f t="shared" si="1060"/>
        <v>0</v>
      </c>
      <c r="S1040" s="654">
        <f t="shared" si="1060"/>
        <v>0</v>
      </c>
      <c r="T1040" s="656" t="e">
        <f>+VLOOKUP($L1040,Data_Validation!$A:$D,1,0)</f>
        <v>#N/A</v>
      </c>
      <c r="U1040" s="656" t="e">
        <f>+VLOOKUP($L1040,Data_Validation!$A:$D,3,0)</f>
        <v>#N/A</v>
      </c>
      <c r="V1040" s="656" t="e">
        <f>+VLOOKUP($L1040,Data_Validation!$A:$D,4,0)</f>
        <v>#N/A</v>
      </c>
      <c r="W1040" s="656" t="e">
        <f>+VLOOKUP($L1040,Data_Validation!$A:$E,5,0)</f>
        <v>#N/A</v>
      </c>
    </row>
    <row r="1041" spans="1:23" ht="15.75" customHeight="1">
      <c r="A1041" s="716"/>
      <c r="B1041" s="654"/>
      <c r="C1041" s="717"/>
      <c r="D1041" s="716"/>
      <c r="E1041" s="716"/>
      <c r="F1041" s="716"/>
      <c r="G1041" s="716"/>
      <c r="H1041" s="716"/>
      <c r="I1041" s="716"/>
      <c r="J1041" s="716"/>
      <c r="K1041" s="716"/>
      <c r="L1041" s="653" t="str">
        <f t="shared" si="1046"/>
        <v>0</v>
      </c>
      <c r="M1041" s="654">
        <f t="shared" si="1040"/>
        <v>0</v>
      </c>
      <c r="N1041" s="655">
        <f>+IF(OR($Q1041=Parametres!$G$2,$Q1041=Parametres!$G$3),I1041,C1041)</f>
        <v>0</v>
      </c>
      <c r="O1041" s="655">
        <f>+IF(OR($Q1041=Parametres!$G$2,$Q1041=Parametres!$G$3),J1041,D1041)</f>
        <v>0</v>
      </c>
      <c r="P1041" s="655">
        <f>+IF(OR($Q1041=Parametres!$G$2,$Q1041=Parametres!$G$3),K1041,E1041)</f>
        <v>0</v>
      </c>
      <c r="Q1041" s="654">
        <f t="shared" ref="Q1041:S1041" si="1061">+F1041</f>
        <v>0</v>
      </c>
      <c r="R1041" s="653">
        <f t="shared" si="1061"/>
        <v>0</v>
      </c>
      <c r="S1041" s="654">
        <f t="shared" si="1061"/>
        <v>0</v>
      </c>
      <c r="T1041" s="656" t="e">
        <f>+VLOOKUP($L1041,Data_Validation!$A:$D,1,0)</f>
        <v>#N/A</v>
      </c>
      <c r="U1041" s="656" t="e">
        <f>+VLOOKUP($L1041,Data_Validation!$A:$D,3,0)</f>
        <v>#N/A</v>
      </c>
      <c r="V1041" s="656" t="e">
        <f>+VLOOKUP($L1041,Data_Validation!$A:$D,4,0)</f>
        <v>#N/A</v>
      </c>
      <c r="W1041" s="656" t="e">
        <f>+VLOOKUP($L1041,Data_Validation!$A:$E,5,0)</f>
        <v>#N/A</v>
      </c>
    </row>
    <row r="1042" spans="1:23" ht="15.75" customHeight="1">
      <c r="A1042" s="716"/>
      <c r="B1042" s="654"/>
      <c r="C1042" s="717"/>
      <c r="D1042" s="716"/>
      <c r="E1042" s="716"/>
      <c r="F1042" s="716"/>
      <c r="G1042" s="716"/>
      <c r="H1042" s="716"/>
      <c r="I1042" s="716"/>
      <c r="J1042" s="716"/>
      <c r="K1042" s="716"/>
      <c r="L1042" s="653" t="str">
        <f t="shared" si="1046"/>
        <v>0</v>
      </c>
      <c r="M1042" s="654">
        <f t="shared" si="1040"/>
        <v>0</v>
      </c>
      <c r="N1042" s="655">
        <f>+IF(OR($Q1042=Parametres!$G$2,$Q1042=Parametres!$G$3),I1042,C1042)</f>
        <v>0</v>
      </c>
      <c r="O1042" s="655">
        <f>+IF(OR($Q1042=Parametres!$G$2,$Q1042=Parametres!$G$3),J1042,D1042)</f>
        <v>0</v>
      </c>
      <c r="P1042" s="655">
        <f>+IF(OR($Q1042=Parametres!$G$2,$Q1042=Parametres!$G$3),K1042,E1042)</f>
        <v>0</v>
      </c>
      <c r="Q1042" s="654">
        <f t="shared" ref="Q1042:S1042" si="1062">+F1042</f>
        <v>0</v>
      </c>
      <c r="R1042" s="653">
        <f t="shared" si="1062"/>
        <v>0</v>
      </c>
      <c r="S1042" s="654">
        <f t="shared" si="1062"/>
        <v>0</v>
      </c>
      <c r="T1042" s="656" t="e">
        <f>+VLOOKUP($L1042,Data_Validation!$A:$D,1,0)</f>
        <v>#N/A</v>
      </c>
      <c r="U1042" s="656" t="e">
        <f>+VLOOKUP($L1042,Data_Validation!$A:$D,3,0)</f>
        <v>#N/A</v>
      </c>
      <c r="V1042" s="656" t="e">
        <f>+VLOOKUP($L1042,Data_Validation!$A:$D,4,0)</f>
        <v>#N/A</v>
      </c>
      <c r="W1042" s="656" t="e">
        <f>+VLOOKUP($L1042,Data_Validation!$A:$E,5,0)</f>
        <v>#N/A</v>
      </c>
    </row>
    <row r="1043" spans="1:23" ht="15.75" customHeight="1">
      <c r="A1043" s="716"/>
      <c r="B1043" s="654"/>
      <c r="C1043" s="717"/>
      <c r="D1043" s="716"/>
      <c r="E1043" s="716"/>
      <c r="F1043" s="716"/>
      <c r="G1043" s="716"/>
      <c r="H1043" s="716"/>
      <c r="I1043" s="716"/>
      <c r="J1043" s="716"/>
      <c r="K1043" s="716"/>
      <c r="L1043" s="653" t="str">
        <f t="shared" si="1046"/>
        <v>0</v>
      </c>
      <c r="M1043" s="654">
        <f t="shared" si="1040"/>
        <v>0</v>
      </c>
      <c r="N1043" s="655">
        <f>+IF(OR($Q1043=Parametres!$G$2,$Q1043=Parametres!$G$3),I1043,C1043)</f>
        <v>0</v>
      </c>
      <c r="O1043" s="655">
        <f>+IF(OR($Q1043=Parametres!$G$2,$Q1043=Parametres!$G$3),J1043,D1043)</f>
        <v>0</v>
      </c>
      <c r="P1043" s="655">
        <f>+IF(OR($Q1043=Parametres!$G$2,$Q1043=Parametres!$G$3),K1043,E1043)</f>
        <v>0</v>
      </c>
      <c r="Q1043" s="654">
        <f t="shared" ref="Q1043:S1043" si="1063">+F1043</f>
        <v>0</v>
      </c>
      <c r="R1043" s="653">
        <f t="shared" si="1063"/>
        <v>0</v>
      </c>
      <c r="S1043" s="654">
        <f t="shared" si="1063"/>
        <v>0</v>
      </c>
      <c r="T1043" s="656" t="e">
        <f>+VLOOKUP($L1043,Data_Validation!$A:$D,1,0)</f>
        <v>#N/A</v>
      </c>
      <c r="U1043" s="656" t="e">
        <f>+VLOOKUP($L1043,Data_Validation!$A:$D,3,0)</f>
        <v>#N/A</v>
      </c>
      <c r="V1043" s="656" t="e">
        <f>+VLOOKUP($L1043,Data_Validation!$A:$D,4,0)</f>
        <v>#N/A</v>
      </c>
      <c r="W1043" s="656" t="e">
        <f>+VLOOKUP($L1043,Data_Validation!$A:$E,5,0)</f>
        <v>#N/A</v>
      </c>
    </row>
    <row r="1044" spans="1:23" ht="15.75" customHeight="1">
      <c r="A1044" s="716"/>
      <c r="B1044" s="654"/>
      <c r="C1044" s="717"/>
      <c r="D1044" s="716"/>
      <c r="E1044" s="716"/>
      <c r="F1044" s="716"/>
      <c r="G1044" s="716"/>
      <c r="H1044" s="716"/>
      <c r="I1044" s="716"/>
      <c r="J1044" s="716"/>
      <c r="K1044" s="716"/>
      <c r="L1044" s="653" t="str">
        <f t="shared" si="1046"/>
        <v>0</v>
      </c>
      <c r="M1044" s="654">
        <f t="shared" si="1040"/>
        <v>0</v>
      </c>
      <c r="N1044" s="655">
        <f>+IF(OR($Q1044=Parametres!$G$2,$Q1044=Parametres!$G$3),I1044,C1044)</f>
        <v>0</v>
      </c>
      <c r="O1044" s="655">
        <f>+IF(OR($Q1044=Parametres!$G$2,$Q1044=Parametres!$G$3),J1044,D1044)</f>
        <v>0</v>
      </c>
      <c r="P1044" s="655">
        <f>+IF(OR($Q1044=Parametres!$G$2,$Q1044=Parametres!$G$3),K1044,E1044)</f>
        <v>0</v>
      </c>
      <c r="Q1044" s="654">
        <f t="shared" ref="Q1044:S1044" si="1064">+F1044</f>
        <v>0</v>
      </c>
      <c r="R1044" s="653">
        <f t="shared" si="1064"/>
        <v>0</v>
      </c>
      <c r="S1044" s="654">
        <f t="shared" si="1064"/>
        <v>0</v>
      </c>
      <c r="T1044" s="656" t="e">
        <f>+VLOOKUP($L1044,Data_Validation!$A:$D,1,0)</f>
        <v>#N/A</v>
      </c>
      <c r="U1044" s="656" t="e">
        <f>+VLOOKUP($L1044,Data_Validation!$A:$D,3,0)</f>
        <v>#N/A</v>
      </c>
      <c r="V1044" s="656" t="e">
        <f>+VLOOKUP($L1044,Data_Validation!$A:$D,4,0)</f>
        <v>#N/A</v>
      </c>
      <c r="W1044" s="656" t="e">
        <f>+VLOOKUP($L1044,Data_Validation!$A:$E,5,0)</f>
        <v>#N/A</v>
      </c>
    </row>
    <row r="1045" spans="1:23" ht="15.75" customHeight="1">
      <c r="A1045" s="716"/>
      <c r="B1045" s="654"/>
      <c r="C1045" s="717"/>
      <c r="D1045" s="716"/>
      <c r="E1045" s="716"/>
      <c r="F1045" s="716"/>
      <c r="G1045" s="716"/>
      <c r="H1045" s="716"/>
      <c r="I1045" s="716"/>
      <c r="J1045" s="716"/>
      <c r="K1045" s="716"/>
      <c r="L1045" s="653" t="str">
        <f t="shared" si="1046"/>
        <v>0</v>
      </c>
      <c r="M1045" s="654">
        <f t="shared" si="1040"/>
        <v>0</v>
      </c>
      <c r="N1045" s="655">
        <f>+IF(OR($Q1045=Parametres!$G$2,$Q1045=Parametres!$G$3),I1045,C1045)</f>
        <v>0</v>
      </c>
      <c r="O1045" s="655">
        <f>+IF(OR($Q1045=Parametres!$G$2,$Q1045=Parametres!$G$3),J1045,D1045)</f>
        <v>0</v>
      </c>
      <c r="P1045" s="655">
        <f>+IF(OR($Q1045=Parametres!$G$2,$Q1045=Parametres!$G$3),K1045,E1045)</f>
        <v>0</v>
      </c>
      <c r="Q1045" s="654">
        <f t="shared" ref="Q1045:S1045" si="1065">+F1045</f>
        <v>0</v>
      </c>
      <c r="R1045" s="653">
        <f t="shared" si="1065"/>
        <v>0</v>
      </c>
      <c r="S1045" s="654">
        <f t="shared" si="1065"/>
        <v>0</v>
      </c>
      <c r="T1045" s="656" t="e">
        <f>+VLOOKUP($L1045,Data_Validation!$A:$D,1,0)</f>
        <v>#N/A</v>
      </c>
      <c r="U1045" s="656" t="e">
        <f>+VLOOKUP($L1045,Data_Validation!$A:$D,3,0)</f>
        <v>#N/A</v>
      </c>
      <c r="V1045" s="656" t="e">
        <f>+VLOOKUP($L1045,Data_Validation!$A:$D,4,0)</f>
        <v>#N/A</v>
      </c>
      <c r="W1045" s="656" t="e">
        <f>+VLOOKUP($L1045,Data_Validation!$A:$E,5,0)</f>
        <v>#N/A</v>
      </c>
    </row>
    <row r="1046" spans="1:23" ht="15.75" customHeight="1">
      <c r="A1046" s="716"/>
      <c r="B1046" s="654"/>
      <c r="C1046" s="717"/>
      <c r="D1046" s="716"/>
      <c r="E1046" s="716"/>
      <c r="F1046" s="716"/>
      <c r="G1046" s="716"/>
      <c r="H1046" s="716"/>
      <c r="I1046" s="716"/>
      <c r="J1046" s="716"/>
      <c r="K1046" s="716"/>
      <c r="L1046" s="653" t="str">
        <f t="shared" si="1046"/>
        <v>0</v>
      </c>
      <c r="M1046" s="654">
        <f t="shared" si="1040"/>
        <v>0</v>
      </c>
      <c r="N1046" s="655">
        <f>+IF(OR($Q1046=Parametres!$G$2,$Q1046=Parametres!$G$3),I1046,C1046)</f>
        <v>0</v>
      </c>
      <c r="O1046" s="655">
        <f>+IF(OR($Q1046=Parametres!$G$2,$Q1046=Parametres!$G$3),J1046,D1046)</f>
        <v>0</v>
      </c>
      <c r="P1046" s="655">
        <f>+IF(OR($Q1046=Parametres!$G$2,$Q1046=Parametres!$G$3),K1046,E1046)</f>
        <v>0</v>
      </c>
      <c r="Q1046" s="654">
        <f t="shared" ref="Q1046:S1046" si="1066">+F1046</f>
        <v>0</v>
      </c>
      <c r="R1046" s="653">
        <f t="shared" si="1066"/>
        <v>0</v>
      </c>
      <c r="S1046" s="654">
        <f t="shared" si="1066"/>
        <v>0</v>
      </c>
      <c r="T1046" s="656" t="e">
        <f>+VLOOKUP($L1046,Data_Validation!$A:$D,1,0)</f>
        <v>#N/A</v>
      </c>
      <c r="U1046" s="656" t="e">
        <f>+VLOOKUP($L1046,Data_Validation!$A:$D,3,0)</f>
        <v>#N/A</v>
      </c>
      <c r="V1046" s="656" t="e">
        <f>+VLOOKUP($L1046,Data_Validation!$A:$D,4,0)</f>
        <v>#N/A</v>
      </c>
      <c r="W1046" s="656" t="e">
        <f>+VLOOKUP($L1046,Data_Validation!$A:$E,5,0)</f>
        <v>#N/A</v>
      </c>
    </row>
    <row r="1047" spans="1:23" ht="15.75" customHeight="1">
      <c r="A1047" s="716"/>
      <c r="B1047" s="654"/>
      <c r="C1047" s="717"/>
      <c r="D1047" s="716"/>
      <c r="E1047" s="716"/>
      <c r="F1047" s="716"/>
      <c r="G1047" s="716"/>
      <c r="H1047" s="716"/>
      <c r="I1047" s="716"/>
      <c r="J1047" s="716"/>
      <c r="K1047" s="716"/>
      <c r="L1047" s="653" t="str">
        <f t="shared" si="1046"/>
        <v>0</v>
      </c>
      <c r="M1047" s="654">
        <f t="shared" si="1040"/>
        <v>0</v>
      </c>
      <c r="N1047" s="655">
        <f>+IF(OR($Q1047=Parametres!$G$2,$Q1047=Parametres!$G$3),I1047,C1047)</f>
        <v>0</v>
      </c>
      <c r="O1047" s="655">
        <f>+IF(OR($Q1047=Parametres!$G$2,$Q1047=Parametres!$G$3),J1047,D1047)</f>
        <v>0</v>
      </c>
      <c r="P1047" s="655">
        <f>+IF(OR($Q1047=Parametres!$G$2,$Q1047=Parametres!$G$3),K1047,E1047)</f>
        <v>0</v>
      </c>
      <c r="Q1047" s="654">
        <f t="shared" ref="Q1047:S1047" si="1067">+F1047</f>
        <v>0</v>
      </c>
      <c r="R1047" s="653">
        <f t="shared" si="1067"/>
        <v>0</v>
      </c>
      <c r="S1047" s="654">
        <f t="shared" si="1067"/>
        <v>0</v>
      </c>
      <c r="T1047" s="656" t="e">
        <f>+VLOOKUP($L1047,Data_Validation!$A:$D,1,0)</f>
        <v>#N/A</v>
      </c>
      <c r="U1047" s="656" t="e">
        <f>+VLOOKUP($L1047,Data_Validation!$A:$D,3,0)</f>
        <v>#N/A</v>
      </c>
      <c r="V1047" s="656" t="e">
        <f>+VLOOKUP($L1047,Data_Validation!$A:$D,4,0)</f>
        <v>#N/A</v>
      </c>
      <c r="W1047" s="656" t="e">
        <f>+VLOOKUP($L1047,Data_Validation!$A:$E,5,0)</f>
        <v>#N/A</v>
      </c>
    </row>
    <row r="1048" spans="1:23" ht="15.75" customHeight="1">
      <c r="A1048" s="716"/>
      <c r="B1048" s="654"/>
      <c r="C1048" s="717"/>
      <c r="D1048" s="716"/>
      <c r="E1048" s="716"/>
      <c r="F1048" s="716"/>
      <c r="G1048" s="716"/>
      <c r="H1048" s="716"/>
      <c r="I1048" s="716"/>
      <c r="J1048" s="716"/>
      <c r="K1048" s="716"/>
      <c r="L1048" s="653" t="str">
        <f t="shared" si="1046"/>
        <v>0</v>
      </c>
      <c r="M1048" s="654">
        <f t="shared" si="1040"/>
        <v>0</v>
      </c>
      <c r="N1048" s="655">
        <f>+IF(OR($Q1048=Parametres!$G$2,$Q1048=Parametres!$G$3),I1048,C1048)</f>
        <v>0</v>
      </c>
      <c r="O1048" s="655">
        <f>+IF(OR($Q1048=Parametres!$G$2,$Q1048=Parametres!$G$3),J1048,D1048)</f>
        <v>0</v>
      </c>
      <c r="P1048" s="655">
        <f>+IF(OR($Q1048=Parametres!$G$2,$Q1048=Parametres!$G$3),K1048,E1048)</f>
        <v>0</v>
      </c>
      <c r="Q1048" s="654">
        <f t="shared" ref="Q1048:S1048" si="1068">+F1048</f>
        <v>0</v>
      </c>
      <c r="R1048" s="653">
        <f t="shared" si="1068"/>
        <v>0</v>
      </c>
      <c r="S1048" s="654">
        <f t="shared" si="1068"/>
        <v>0</v>
      </c>
      <c r="T1048" s="656" t="e">
        <f>+VLOOKUP($L1048,Data_Validation!$A:$D,1,0)</f>
        <v>#N/A</v>
      </c>
      <c r="U1048" s="656" t="e">
        <f>+VLOOKUP($L1048,Data_Validation!$A:$D,3,0)</f>
        <v>#N/A</v>
      </c>
      <c r="V1048" s="656" t="e">
        <f>+VLOOKUP($L1048,Data_Validation!$A:$D,4,0)</f>
        <v>#N/A</v>
      </c>
      <c r="W1048" s="656" t="e">
        <f>+VLOOKUP($L1048,Data_Validation!$A:$E,5,0)</f>
        <v>#N/A</v>
      </c>
    </row>
    <row r="1049" spans="1:23" ht="15.75" customHeight="1">
      <c r="A1049" s="716"/>
      <c r="B1049" s="654"/>
      <c r="C1049" s="717"/>
      <c r="D1049" s="716"/>
      <c r="E1049" s="716"/>
      <c r="F1049" s="716"/>
      <c r="G1049" s="716"/>
      <c r="H1049" s="716"/>
      <c r="I1049" s="716"/>
      <c r="J1049" s="716"/>
      <c r="K1049" s="716"/>
      <c r="L1049" s="653" t="str">
        <f t="shared" si="1046"/>
        <v>0</v>
      </c>
      <c r="M1049" s="654">
        <f t="shared" si="1040"/>
        <v>0</v>
      </c>
      <c r="N1049" s="655">
        <f>+IF(OR($Q1049=Parametres!$G$2,$Q1049=Parametres!$G$3),I1049,C1049)</f>
        <v>0</v>
      </c>
      <c r="O1049" s="655">
        <f>+IF(OR($Q1049=Parametres!$G$2,$Q1049=Parametres!$G$3),J1049,D1049)</f>
        <v>0</v>
      </c>
      <c r="P1049" s="655">
        <f>+IF(OR($Q1049=Parametres!$G$2,$Q1049=Parametres!$G$3),K1049,E1049)</f>
        <v>0</v>
      </c>
      <c r="Q1049" s="654">
        <f t="shared" ref="Q1049:S1049" si="1069">+F1049</f>
        <v>0</v>
      </c>
      <c r="R1049" s="653">
        <f t="shared" si="1069"/>
        <v>0</v>
      </c>
      <c r="S1049" s="654">
        <f t="shared" si="1069"/>
        <v>0</v>
      </c>
      <c r="T1049" s="656" t="e">
        <f>+VLOOKUP($L1049,Data_Validation!$A:$D,1,0)</f>
        <v>#N/A</v>
      </c>
      <c r="U1049" s="656" t="e">
        <f>+VLOOKUP($L1049,Data_Validation!$A:$D,3,0)</f>
        <v>#N/A</v>
      </c>
      <c r="V1049" s="656" t="e">
        <f>+VLOOKUP($L1049,Data_Validation!$A:$D,4,0)</f>
        <v>#N/A</v>
      </c>
      <c r="W1049" s="656" t="e">
        <f>+VLOOKUP($L1049,Data_Validation!$A:$E,5,0)</f>
        <v>#N/A</v>
      </c>
    </row>
    <row r="1050" spans="1:23" ht="15.75" customHeight="1">
      <c r="A1050" s="716"/>
      <c r="B1050" s="654"/>
      <c r="C1050" s="717"/>
      <c r="D1050" s="716"/>
      <c r="E1050" s="716"/>
      <c r="F1050" s="716"/>
      <c r="G1050" s="716"/>
      <c r="H1050" s="716"/>
      <c r="I1050" s="716"/>
      <c r="J1050" s="716"/>
      <c r="K1050" s="716"/>
      <c r="L1050" s="653" t="str">
        <f t="shared" si="1046"/>
        <v>0</v>
      </c>
      <c r="M1050" s="654">
        <f t="shared" si="1040"/>
        <v>0</v>
      </c>
      <c r="N1050" s="655">
        <f>+IF(OR($Q1050=Parametres!$G$2,$Q1050=Parametres!$G$3),I1050,C1050)</f>
        <v>0</v>
      </c>
      <c r="O1050" s="655">
        <f>+IF(OR($Q1050=Parametres!$G$2,$Q1050=Parametres!$G$3),J1050,D1050)</f>
        <v>0</v>
      </c>
      <c r="P1050" s="655">
        <f>+IF(OR($Q1050=Parametres!$G$2,$Q1050=Parametres!$G$3),K1050,E1050)</f>
        <v>0</v>
      </c>
      <c r="Q1050" s="654">
        <f t="shared" ref="Q1050:S1050" si="1070">+F1050</f>
        <v>0</v>
      </c>
      <c r="R1050" s="653">
        <f t="shared" si="1070"/>
        <v>0</v>
      </c>
      <c r="S1050" s="654">
        <f t="shared" si="1070"/>
        <v>0</v>
      </c>
      <c r="T1050" s="656" t="e">
        <f>+VLOOKUP($L1050,Data_Validation!$A:$D,1,0)</f>
        <v>#N/A</v>
      </c>
      <c r="U1050" s="656" t="e">
        <f>+VLOOKUP($L1050,Data_Validation!$A:$D,3,0)</f>
        <v>#N/A</v>
      </c>
      <c r="V1050" s="656" t="e">
        <f>+VLOOKUP($L1050,Data_Validation!$A:$D,4,0)</f>
        <v>#N/A</v>
      </c>
      <c r="W1050" s="656" t="e">
        <f>+VLOOKUP($L1050,Data_Validation!$A:$E,5,0)</f>
        <v>#N/A</v>
      </c>
    </row>
    <row r="1051" spans="1:23" ht="15.75" customHeight="1">
      <c r="A1051" s="716"/>
      <c r="B1051" s="654"/>
      <c r="C1051" s="717"/>
      <c r="D1051" s="716"/>
      <c r="E1051" s="716"/>
      <c r="F1051" s="716"/>
      <c r="G1051" s="716"/>
      <c r="H1051" s="716"/>
      <c r="I1051" s="716"/>
      <c r="J1051" s="716"/>
      <c r="K1051" s="716"/>
      <c r="L1051" s="653" t="str">
        <f t="shared" si="1046"/>
        <v>0</v>
      </c>
      <c r="M1051" s="654">
        <f t="shared" si="1040"/>
        <v>0</v>
      </c>
      <c r="N1051" s="655">
        <f>+IF(OR($Q1051=Parametres!$G$2,$Q1051=Parametres!$G$3),I1051,C1051)</f>
        <v>0</v>
      </c>
      <c r="O1051" s="655">
        <f>+IF(OR($Q1051=Parametres!$G$2,$Q1051=Parametres!$G$3),J1051,D1051)</f>
        <v>0</v>
      </c>
      <c r="P1051" s="655">
        <f>+IF(OR($Q1051=Parametres!$G$2,$Q1051=Parametres!$G$3),K1051,E1051)</f>
        <v>0</v>
      </c>
      <c r="Q1051" s="654">
        <f t="shared" ref="Q1051:S1051" si="1071">+F1051</f>
        <v>0</v>
      </c>
      <c r="R1051" s="653">
        <f t="shared" si="1071"/>
        <v>0</v>
      </c>
      <c r="S1051" s="654">
        <f t="shared" si="1071"/>
        <v>0</v>
      </c>
      <c r="T1051" s="656" t="e">
        <f>+VLOOKUP($L1051,Data_Validation!$A:$D,1,0)</f>
        <v>#N/A</v>
      </c>
      <c r="U1051" s="656" t="e">
        <f>+VLOOKUP($L1051,Data_Validation!$A:$D,3,0)</f>
        <v>#N/A</v>
      </c>
      <c r="V1051" s="656" t="e">
        <f>+VLOOKUP($L1051,Data_Validation!$A:$D,4,0)</f>
        <v>#N/A</v>
      </c>
      <c r="W1051" s="656" t="e">
        <f>+VLOOKUP($L1051,Data_Validation!$A:$E,5,0)</f>
        <v>#N/A</v>
      </c>
    </row>
    <row r="1052" spans="1:23" ht="15.75" customHeight="1">
      <c r="A1052" s="716"/>
      <c r="B1052" s="654"/>
      <c r="C1052" s="717"/>
      <c r="D1052" s="716"/>
      <c r="E1052" s="716"/>
      <c r="F1052" s="716"/>
      <c r="G1052" s="716"/>
      <c r="H1052" s="716"/>
      <c r="I1052" s="716"/>
      <c r="J1052" s="716"/>
      <c r="K1052" s="716"/>
      <c r="L1052" s="653" t="str">
        <f t="shared" si="1046"/>
        <v>0</v>
      </c>
      <c r="M1052" s="654">
        <f t="shared" si="1040"/>
        <v>0</v>
      </c>
      <c r="N1052" s="655">
        <f>+IF(OR($Q1052=Parametres!$G$2,$Q1052=Parametres!$G$3),I1052,C1052)</f>
        <v>0</v>
      </c>
      <c r="O1052" s="655">
        <f>+IF(OR($Q1052=Parametres!$G$2,$Q1052=Parametres!$G$3),J1052,D1052)</f>
        <v>0</v>
      </c>
      <c r="P1052" s="655">
        <f>+IF(OR($Q1052=Parametres!$G$2,$Q1052=Parametres!$G$3),K1052,E1052)</f>
        <v>0</v>
      </c>
      <c r="Q1052" s="654">
        <f t="shared" ref="Q1052:S1052" si="1072">+F1052</f>
        <v>0</v>
      </c>
      <c r="R1052" s="653">
        <f t="shared" si="1072"/>
        <v>0</v>
      </c>
      <c r="S1052" s="654">
        <f t="shared" si="1072"/>
        <v>0</v>
      </c>
      <c r="T1052" s="656" t="e">
        <f>+VLOOKUP($L1052,Data_Validation!$A:$D,1,0)</f>
        <v>#N/A</v>
      </c>
      <c r="U1052" s="656" t="e">
        <f>+VLOOKUP($L1052,Data_Validation!$A:$D,3,0)</f>
        <v>#N/A</v>
      </c>
      <c r="V1052" s="656" t="e">
        <f>+VLOOKUP($L1052,Data_Validation!$A:$D,4,0)</f>
        <v>#N/A</v>
      </c>
      <c r="W1052" s="656" t="e">
        <f>+VLOOKUP($L1052,Data_Validation!$A:$E,5,0)</f>
        <v>#N/A</v>
      </c>
    </row>
    <row r="1053" spans="1:23" ht="15.75" customHeight="1">
      <c r="A1053" s="716"/>
      <c r="B1053" s="654"/>
      <c r="C1053" s="717"/>
      <c r="D1053" s="716"/>
      <c r="E1053" s="716"/>
      <c r="F1053" s="716"/>
      <c r="G1053" s="716"/>
      <c r="H1053" s="716"/>
      <c r="I1053" s="716"/>
      <c r="J1053" s="716"/>
      <c r="K1053" s="716"/>
      <c r="L1053" s="653" t="str">
        <f t="shared" si="1046"/>
        <v>0</v>
      </c>
      <c r="M1053" s="654">
        <f t="shared" si="1040"/>
        <v>0</v>
      </c>
      <c r="N1053" s="655">
        <f>+IF(OR($Q1053=Parametres!$G$2,$Q1053=Parametres!$G$3),I1053,C1053)</f>
        <v>0</v>
      </c>
      <c r="O1053" s="655">
        <f>+IF(OR($Q1053=Parametres!$G$2,$Q1053=Parametres!$G$3),J1053,D1053)</f>
        <v>0</v>
      </c>
      <c r="P1053" s="655">
        <f>+IF(OR($Q1053=Parametres!$G$2,$Q1053=Parametres!$G$3),K1053,E1053)</f>
        <v>0</v>
      </c>
      <c r="Q1053" s="654">
        <f t="shared" ref="Q1053:S1053" si="1073">+F1053</f>
        <v>0</v>
      </c>
      <c r="R1053" s="653">
        <f t="shared" si="1073"/>
        <v>0</v>
      </c>
      <c r="S1053" s="654">
        <f t="shared" si="1073"/>
        <v>0</v>
      </c>
      <c r="T1053" s="656" t="e">
        <f>+VLOOKUP($L1053,Data_Validation!$A:$D,1,0)</f>
        <v>#N/A</v>
      </c>
      <c r="U1053" s="656" t="e">
        <f>+VLOOKUP($L1053,Data_Validation!$A:$D,3,0)</f>
        <v>#N/A</v>
      </c>
      <c r="V1053" s="656" t="e">
        <f>+VLOOKUP($L1053,Data_Validation!$A:$D,4,0)</f>
        <v>#N/A</v>
      </c>
      <c r="W1053" s="656" t="e">
        <f>+VLOOKUP($L1053,Data_Validation!$A:$E,5,0)</f>
        <v>#N/A</v>
      </c>
    </row>
    <row r="1054" spans="1:23" ht="15.75" customHeight="1">
      <c r="A1054" s="716"/>
      <c r="B1054" s="654"/>
      <c r="C1054" s="717"/>
      <c r="D1054" s="716"/>
      <c r="E1054" s="716"/>
      <c r="F1054" s="716"/>
      <c r="G1054" s="716"/>
      <c r="H1054" s="716"/>
      <c r="I1054" s="716"/>
      <c r="J1054" s="716"/>
      <c r="K1054" s="716"/>
      <c r="L1054" s="653" t="str">
        <f t="shared" si="1046"/>
        <v>0</v>
      </c>
      <c r="M1054" s="654">
        <f t="shared" si="1040"/>
        <v>0</v>
      </c>
      <c r="N1054" s="655">
        <f>+IF(OR($Q1054=Parametres!$G$2,$Q1054=Parametres!$G$3),I1054,C1054)</f>
        <v>0</v>
      </c>
      <c r="O1054" s="655">
        <f>+IF(OR($Q1054=Parametres!$G$2,$Q1054=Parametres!$G$3),J1054,D1054)</f>
        <v>0</v>
      </c>
      <c r="P1054" s="655">
        <f>+IF(OR($Q1054=Parametres!$G$2,$Q1054=Parametres!$G$3),K1054,E1054)</f>
        <v>0</v>
      </c>
      <c r="Q1054" s="654">
        <f t="shared" ref="Q1054:S1054" si="1074">+F1054</f>
        <v>0</v>
      </c>
      <c r="R1054" s="653">
        <f t="shared" si="1074"/>
        <v>0</v>
      </c>
      <c r="S1054" s="654">
        <f t="shared" si="1074"/>
        <v>0</v>
      </c>
      <c r="T1054" s="656" t="e">
        <f>+VLOOKUP($L1054,Data_Validation!$A:$D,1,0)</f>
        <v>#N/A</v>
      </c>
      <c r="U1054" s="656" t="e">
        <f>+VLOOKUP($L1054,Data_Validation!$A:$D,3,0)</f>
        <v>#N/A</v>
      </c>
      <c r="V1054" s="656" t="e">
        <f>+VLOOKUP($L1054,Data_Validation!$A:$D,4,0)</f>
        <v>#N/A</v>
      </c>
      <c r="W1054" s="656" t="e">
        <f>+VLOOKUP($L1054,Data_Validation!$A:$E,5,0)</f>
        <v>#N/A</v>
      </c>
    </row>
    <row r="1055" spans="1:23" ht="15.75" customHeight="1">
      <c r="A1055" s="716"/>
      <c r="B1055" s="654"/>
      <c r="C1055" s="717"/>
      <c r="D1055" s="716"/>
      <c r="E1055" s="716"/>
      <c r="F1055" s="716"/>
      <c r="G1055" s="716"/>
      <c r="H1055" s="716"/>
      <c r="I1055" s="716"/>
      <c r="J1055" s="716"/>
      <c r="K1055" s="716"/>
      <c r="L1055" s="653" t="str">
        <f t="shared" si="1046"/>
        <v>0</v>
      </c>
      <c r="M1055" s="654">
        <f t="shared" si="1040"/>
        <v>0</v>
      </c>
      <c r="N1055" s="655">
        <f>+IF(OR($Q1055=Parametres!$G$2,$Q1055=Parametres!$G$3),I1055,C1055)</f>
        <v>0</v>
      </c>
      <c r="O1055" s="655">
        <f>+IF(OR($Q1055=Parametres!$G$2,$Q1055=Parametres!$G$3),J1055,D1055)</f>
        <v>0</v>
      </c>
      <c r="P1055" s="655">
        <f>+IF(OR($Q1055=Parametres!$G$2,$Q1055=Parametres!$G$3),K1055,E1055)</f>
        <v>0</v>
      </c>
      <c r="Q1055" s="654">
        <f t="shared" ref="Q1055:S1055" si="1075">+F1055</f>
        <v>0</v>
      </c>
      <c r="R1055" s="653">
        <f t="shared" si="1075"/>
        <v>0</v>
      </c>
      <c r="S1055" s="654">
        <f t="shared" si="1075"/>
        <v>0</v>
      </c>
      <c r="T1055" s="656" t="e">
        <f>+VLOOKUP($L1055,Data_Validation!$A:$D,1,0)</f>
        <v>#N/A</v>
      </c>
      <c r="U1055" s="656" t="e">
        <f>+VLOOKUP($L1055,Data_Validation!$A:$D,3,0)</f>
        <v>#N/A</v>
      </c>
      <c r="V1055" s="656" t="e">
        <f>+VLOOKUP($L1055,Data_Validation!$A:$D,4,0)</f>
        <v>#N/A</v>
      </c>
      <c r="W1055" s="656" t="e">
        <f>+VLOOKUP($L1055,Data_Validation!$A:$E,5,0)</f>
        <v>#N/A</v>
      </c>
    </row>
    <row r="1056" spans="1:23" ht="15.75" customHeight="1">
      <c r="O1056" s="673"/>
    </row>
    <row r="1057" spans="2:15" ht="15.75" customHeight="1">
      <c r="O1057" s="673"/>
    </row>
    <row r="1058" spans="2:15" ht="15.75" customHeight="1">
      <c r="O1058" s="673"/>
    </row>
    <row r="1059" spans="2:15" ht="15.75" customHeight="1">
      <c r="O1059" s="673"/>
    </row>
    <row r="1060" spans="2:15" ht="15.75" customHeight="1">
      <c r="O1060" s="673"/>
    </row>
    <row r="1061" spans="2:15" ht="15.75" customHeight="1">
      <c r="O1061" s="673"/>
    </row>
    <row r="1062" spans="2:15" ht="15.75" customHeight="1">
      <c r="O1062" s="673"/>
    </row>
    <row r="1063" spans="2:15" ht="15.75" customHeight="1">
      <c r="O1063" s="673"/>
    </row>
    <row r="1064" spans="2:15" ht="15.75" customHeight="1">
      <c r="O1064" s="673"/>
    </row>
    <row r="1065" spans="2:15" ht="15.75" customHeight="1">
      <c r="O1065" s="673"/>
    </row>
    <row r="1066" spans="2:15" ht="15" customHeight="1">
      <c r="B1066" s="5"/>
      <c r="C1066" s="5"/>
      <c r="O1066" s="673"/>
    </row>
    <row r="1067" spans="2:15" ht="15" customHeight="1">
      <c r="B1067" s="5"/>
      <c r="O1067" s="673"/>
    </row>
    <row r="1068" spans="2:15" ht="15" customHeight="1">
      <c r="B1068" s="5"/>
      <c r="C1068" s="5"/>
      <c r="D1068" s="5"/>
      <c r="E1068" s="5"/>
      <c r="F1068" s="5"/>
      <c r="O1068" s="673"/>
    </row>
    <row r="1069" spans="2:15" ht="15" customHeight="1">
      <c r="B1069" s="5"/>
      <c r="O1069" s="673"/>
    </row>
    <row r="1070" spans="2:15" ht="15" customHeight="1">
      <c r="B1070" s="5"/>
      <c r="C1070" s="5"/>
      <c r="D1070" s="5"/>
      <c r="E1070" s="5"/>
      <c r="F1070" s="5"/>
      <c r="O1070" s="673"/>
    </row>
    <row r="1071" spans="2:15" ht="15" customHeight="1">
      <c r="B1071" s="5"/>
      <c r="O1071" s="673"/>
    </row>
    <row r="1072" spans="2:15" ht="15" customHeight="1">
      <c r="B1072" s="5"/>
      <c r="C1072" s="5"/>
      <c r="D1072" s="5"/>
      <c r="E1072" s="5"/>
      <c r="F1072" s="5"/>
      <c r="O1072" s="673"/>
    </row>
    <row r="1073" spans="2:15" ht="15" customHeight="1">
      <c r="B1073" s="5"/>
      <c r="O1073" s="673"/>
    </row>
    <row r="1074" spans="2:15" ht="15" customHeight="1">
      <c r="B1074" s="5"/>
      <c r="C1074" s="5"/>
      <c r="D1074" s="5"/>
      <c r="E1074" s="5"/>
      <c r="F1074" s="5"/>
      <c r="O1074" s="673"/>
    </row>
    <row r="1075" spans="2:15" ht="15" customHeight="1">
      <c r="B1075" s="5"/>
      <c r="O1075" s="673"/>
    </row>
    <row r="1076" spans="2:15" ht="15" customHeight="1">
      <c r="B1076" s="5"/>
      <c r="C1076" s="5"/>
      <c r="D1076" s="5"/>
      <c r="E1076" s="5"/>
      <c r="F1076" s="5"/>
      <c r="O1076" s="673"/>
    </row>
    <row r="1077" spans="2:15" ht="15" customHeight="1">
      <c r="B1077" s="5"/>
      <c r="O1077" s="673"/>
    </row>
    <row r="1078" spans="2:15" ht="15" customHeight="1">
      <c r="B1078" s="5"/>
      <c r="C1078" s="5"/>
      <c r="D1078" s="5"/>
      <c r="E1078" s="5"/>
      <c r="F1078" s="5"/>
      <c r="O1078" s="673"/>
    </row>
    <row r="1079" spans="2:15" ht="15" customHeight="1">
      <c r="B1079" s="5"/>
      <c r="O1079" s="673"/>
    </row>
    <row r="1080" spans="2:15" ht="15" customHeight="1">
      <c r="B1080" s="5"/>
      <c r="C1080" s="5"/>
      <c r="D1080" s="5"/>
      <c r="E1080" s="5"/>
      <c r="F1080" s="5"/>
      <c r="O1080" s="673"/>
    </row>
    <row r="1081" spans="2:15" ht="15" customHeight="1">
      <c r="B1081" s="5"/>
      <c r="O1081" s="673"/>
    </row>
    <row r="1082" spans="2:15" ht="15" customHeight="1">
      <c r="B1082" s="5"/>
      <c r="C1082" s="5"/>
      <c r="D1082" s="5"/>
      <c r="O1082" s="673"/>
    </row>
    <row r="1083" spans="2:15" ht="15" customHeight="1">
      <c r="B1083" s="5"/>
      <c r="O1083" s="673"/>
    </row>
    <row r="1084" spans="2:15" ht="15" customHeight="1">
      <c r="B1084" s="5"/>
      <c r="C1084" s="5"/>
      <c r="D1084" s="5"/>
      <c r="E1084" s="5"/>
      <c r="F1084" s="5"/>
      <c r="O1084" s="673"/>
    </row>
    <row r="1085" spans="2:15" ht="15" customHeight="1">
      <c r="B1085" s="5"/>
      <c r="O1085" s="673"/>
    </row>
    <row r="1086" spans="2:15" ht="15" customHeight="1">
      <c r="C1086" s="5"/>
      <c r="D1086" s="5"/>
      <c r="O1086" s="673"/>
    </row>
    <row r="1087" spans="2:15" ht="15" customHeight="1">
      <c r="E1087" s="5"/>
      <c r="F1087" s="5"/>
      <c r="O1087" s="673"/>
    </row>
  </sheetData>
  <autoFilter ref="A1:X1055" xr:uid="{00000000-0009-0000-0000-000010000000}"/>
  <dataValidations disablePrompts="1" count="1">
    <dataValidation type="list" allowBlank="1" showErrorMessage="1" sqref="U1" xr:uid="{00000000-0002-0000-1000-000000000000}">
      <formula1>$D$1:$D$26</formula1>
    </dataValidation>
  </dataValidations>
  <pageMargins left="0.7" right="0.7" top="0.75" bottom="0.75" header="0" footer="0"/>
  <pageSetup scale="63" orientation="landscape"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000"/>
  <sheetViews>
    <sheetView workbookViewId="0"/>
  </sheetViews>
  <sheetFormatPr baseColWidth="10" defaultColWidth="12.625" defaultRowHeight="15" customHeight="1"/>
  <cols>
    <col min="1" max="1" width="19.25" customWidth="1"/>
    <col min="2" max="2" width="42.5" customWidth="1"/>
    <col min="3" max="3" width="13.125" customWidth="1"/>
    <col min="4" max="4" width="33.375" customWidth="1"/>
    <col min="5" max="6" width="10.625" customWidth="1"/>
    <col min="7" max="7" width="43.875" customWidth="1"/>
    <col min="8" max="26" width="10.625" customWidth="1"/>
  </cols>
  <sheetData>
    <row r="1" spans="1:8" ht="14.25" customHeight="1">
      <c r="A1" s="674" t="s">
        <v>1317</v>
      </c>
      <c r="B1" s="674" t="s">
        <v>251</v>
      </c>
      <c r="C1" s="674" t="s">
        <v>1318</v>
      </c>
      <c r="D1" s="674" t="s">
        <v>718</v>
      </c>
    </row>
    <row r="2" spans="1:8" ht="14.25" customHeight="1">
      <c r="A2" s="689" t="s">
        <v>1436</v>
      </c>
      <c r="B2" s="678" t="s">
        <v>1437</v>
      </c>
      <c r="C2" s="679" t="s">
        <v>92</v>
      </c>
      <c r="D2" s="679" t="s">
        <v>46</v>
      </c>
      <c r="G2" s="650" t="s">
        <v>720</v>
      </c>
      <c r="H2" s="650" t="s">
        <v>1438</v>
      </c>
    </row>
    <row r="3" spans="1:8" ht="14.25" customHeight="1">
      <c r="A3" s="689" t="s">
        <v>1439</v>
      </c>
      <c r="B3" s="678" t="s">
        <v>1440</v>
      </c>
      <c r="C3" s="679" t="s">
        <v>152</v>
      </c>
      <c r="D3" s="679" t="s">
        <v>48</v>
      </c>
      <c r="G3" s="650" t="s">
        <v>729</v>
      </c>
      <c r="H3" s="650" t="s">
        <v>1441</v>
      </c>
    </row>
    <row r="4" spans="1:8" ht="14.25" customHeight="1">
      <c r="A4" s="689" t="s">
        <v>1442</v>
      </c>
      <c r="B4" s="678" t="s">
        <v>1443</v>
      </c>
      <c r="C4" s="679" t="s">
        <v>92</v>
      </c>
      <c r="D4" s="679" t="s">
        <v>46</v>
      </c>
      <c r="G4" s="650" t="s">
        <v>730</v>
      </c>
      <c r="H4" s="650" t="s">
        <v>1444</v>
      </c>
    </row>
    <row r="5" spans="1:8" ht="14.25" customHeight="1">
      <c r="A5" s="689" t="s">
        <v>1445</v>
      </c>
      <c r="B5" s="678" t="s">
        <v>1446</v>
      </c>
      <c r="C5" s="679" t="s">
        <v>152</v>
      </c>
      <c r="D5" s="679" t="s">
        <v>48</v>
      </c>
      <c r="G5" s="650" t="s">
        <v>815</v>
      </c>
      <c r="H5" s="650" t="s">
        <v>817</v>
      </c>
    </row>
    <row r="6" spans="1:8" ht="14.25" customHeight="1">
      <c r="A6" s="689" t="s">
        <v>1447</v>
      </c>
      <c r="B6" s="678" t="s">
        <v>1448</v>
      </c>
      <c r="C6" s="679" t="s">
        <v>92</v>
      </c>
      <c r="D6" s="679" t="s">
        <v>46</v>
      </c>
      <c r="G6" s="650" t="s">
        <v>1342</v>
      </c>
      <c r="H6" s="650" t="s">
        <v>1449</v>
      </c>
    </row>
    <row r="7" spans="1:8" ht="14.25" customHeight="1">
      <c r="A7" s="689" t="s">
        <v>1450</v>
      </c>
      <c r="B7" s="678" t="s">
        <v>1451</v>
      </c>
      <c r="C7" s="679" t="s">
        <v>152</v>
      </c>
      <c r="D7" s="679" t="s">
        <v>48</v>
      </c>
      <c r="G7" s="650" t="s">
        <v>820</v>
      </c>
      <c r="H7" s="650" t="s">
        <v>1452</v>
      </c>
    </row>
    <row r="8" spans="1:8" ht="14.25" customHeight="1">
      <c r="A8" s="689" t="s">
        <v>1453</v>
      </c>
      <c r="B8" s="678" t="s">
        <v>1454</v>
      </c>
      <c r="C8" s="679" t="s">
        <v>92</v>
      </c>
      <c r="D8" s="679" t="s">
        <v>46</v>
      </c>
      <c r="G8" s="650" t="s">
        <v>822</v>
      </c>
      <c r="H8" s="650" t="s">
        <v>823</v>
      </c>
    </row>
    <row r="9" spans="1:8" ht="14.25" customHeight="1">
      <c r="A9" s="689" t="s">
        <v>1455</v>
      </c>
      <c r="B9" s="678" t="s">
        <v>1456</v>
      </c>
      <c r="C9" s="679" t="s">
        <v>152</v>
      </c>
      <c r="D9" s="679" t="s">
        <v>48</v>
      </c>
      <c r="G9" s="650" t="s">
        <v>824</v>
      </c>
      <c r="H9" s="650" t="s">
        <v>825</v>
      </c>
    </row>
    <row r="10" spans="1:8" ht="14.25" customHeight="1">
      <c r="A10" s="689" t="s">
        <v>1457</v>
      </c>
      <c r="B10" s="678" t="s">
        <v>1458</v>
      </c>
      <c r="C10" s="679" t="s">
        <v>92</v>
      </c>
      <c r="D10" s="679" t="s">
        <v>46</v>
      </c>
      <c r="G10" s="650" t="s">
        <v>826</v>
      </c>
      <c r="H10" s="650" t="s">
        <v>1459</v>
      </c>
    </row>
    <row r="11" spans="1:8" ht="14.25" customHeight="1">
      <c r="A11" s="689" t="s">
        <v>1460</v>
      </c>
      <c r="B11" s="678" t="s">
        <v>1461</v>
      </c>
      <c r="C11" s="679" t="s">
        <v>152</v>
      </c>
      <c r="D11" s="679" t="s">
        <v>48</v>
      </c>
      <c r="G11" s="650" t="s">
        <v>827</v>
      </c>
      <c r="H11" s="650" t="s">
        <v>828</v>
      </c>
    </row>
    <row r="12" spans="1:8" ht="14.25" customHeight="1">
      <c r="A12" s="689" t="s">
        <v>1462</v>
      </c>
      <c r="B12" s="678" t="s">
        <v>1463</v>
      </c>
      <c r="C12" s="679" t="s">
        <v>92</v>
      </c>
      <c r="D12" s="679" t="s">
        <v>46</v>
      </c>
      <c r="G12" s="650" t="s">
        <v>829</v>
      </c>
      <c r="H12" s="650" t="s">
        <v>1464</v>
      </c>
    </row>
    <row r="13" spans="1:8" ht="14.25" customHeight="1">
      <c r="A13" s="689" t="s">
        <v>1465</v>
      </c>
      <c r="B13" s="678" t="s">
        <v>1466</v>
      </c>
      <c r="C13" s="679" t="s">
        <v>152</v>
      </c>
      <c r="D13" s="679" t="s">
        <v>48</v>
      </c>
      <c r="G13" s="650" t="s">
        <v>832</v>
      </c>
      <c r="H13" s="650" t="s">
        <v>1467</v>
      </c>
    </row>
    <row r="14" spans="1:8" ht="14.25" customHeight="1">
      <c r="A14" s="689" t="s">
        <v>1468</v>
      </c>
      <c r="B14" s="678" t="s">
        <v>1469</v>
      </c>
      <c r="C14" s="679" t="s">
        <v>92</v>
      </c>
      <c r="D14" s="679" t="s">
        <v>46</v>
      </c>
      <c r="G14" s="650" t="s">
        <v>834</v>
      </c>
      <c r="H14" s="650" t="s">
        <v>835</v>
      </c>
    </row>
    <row r="15" spans="1:8" ht="14.25" customHeight="1">
      <c r="A15" s="689" t="s">
        <v>1470</v>
      </c>
      <c r="B15" s="678" t="s">
        <v>1471</v>
      </c>
      <c r="C15" s="679" t="s">
        <v>152</v>
      </c>
      <c r="D15" s="679" t="s">
        <v>48</v>
      </c>
      <c r="G15" s="650" t="s">
        <v>836</v>
      </c>
      <c r="H15" s="650" t="s">
        <v>1472</v>
      </c>
    </row>
    <row r="16" spans="1:8" ht="14.25" customHeight="1">
      <c r="A16" s="689" t="s">
        <v>1473</v>
      </c>
      <c r="B16" s="678" t="s">
        <v>1474</v>
      </c>
      <c r="C16" s="679" t="s">
        <v>92</v>
      </c>
      <c r="D16" s="679" t="s">
        <v>46</v>
      </c>
      <c r="G16" s="650" t="s">
        <v>837</v>
      </c>
      <c r="H16" s="650" t="s">
        <v>1475</v>
      </c>
    </row>
    <row r="17" spans="1:8" ht="14.25" customHeight="1">
      <c r="A17" s="689" t="s">
        <v>1476</v>
      </c>
      <c r="B17" s="678" t="s">
        <v>1477</v>
      </c>
      <c r="C17" s="679" t="s">
        <v>152</v>
      </c>
      <c r="D17" s="679" t="s">
        <v>48</v>
      </c>
      <c r="G17" s="650" t="s">
        <v>1346</v>
      </c>
      <c r="H17" s="650" t="s">
        <v>1478</v>
      </c>
    </row>
    <row r="18" spans="1:8" ht="14.25" customHeight="1">
      <c r="A18" s="689" t="s">
        <v>1479</v>
      </c>
      <c r="B18" s="678" t="s">
        <v>1480</v>
      </c>
      <c r="C18" s="679" t="s">
        <v>1321</v>
      </c>
      <c r="D18" s="679"/>
      <c r="G18" s="650" t="s">
        <v>1347</v>
      </c>
      <c r="H18" s="650" t="s">
        <v>1429</v>
      </c>
    </row>
    <row r="19" spans="1:8" ht="14.25" customHeight="1">
      <c r="A19" s="689" t="s">
        <v>1481</v>
      </c>
      <c r="B19" s="678" t="s">
        <v>1482</v>
      </c>
      <c r="C19" s="679" t="s">
        <v>1321</v>
      </c>
      <c r="D19" s="679"/>
      <c r="G19" s="650" t="s">
        <v>840</v>
      </c>
      <c r="H19" s="650" t="s">
        <v>841</v>
      </c>
    </row>
    <row r="20" spans="1:8" ht="14.25" customHeight="1">
      <c r="A20" s="689" t="s">
        <v>1483</v>
      </c>
      <c r="B20" s="678" t="s">
        <v>1484</v>
      </c>
      <c r="C20" s="679" t="s">
        <v>1321</v>
      </c>
      <c r="D20" s="679"/>
      <c r="G20" s="650" t="s">
        <v>842</v>
      </c>
      <c r="H20" s="650" t="s">
        <v>843</v>
      </c>
    </row>
    <row r="21" spans="1:8" ht="14.25" customHeight="1">
      <c r="A21" s="689" t="s">
        <v>1485</v>
      </c>
      <c r="B21" s="678" t="s">
        <v>1486</v>
      </c>
      <c r="C21" s="679" t="s">
        <v>1321</v>
      </c>
      <c r="D21" s="679"/>
      <c r="G21" s="650" t="s">
        <v>844</v>
      </c>
      <c r="H21" s="650" t="s">
        <v>1487</v>
      </c>
    </row>
    <row r="22" spans="1:8" ht="14.25" customHeight="1">
      <c r="A22" s="689" t="s">
        <v>1488</v>
      </c>
      <c r="B22" s="678" t="s">
        <v>1489</v>
      </c>
      <c r="C22" s="679" t="s">
        <v>1321</v>
      </c>
      <c r="D22" s="679"/>
      <c r="G22" s="650" t="s">
        <v>845</v>
      </c>
      <c r="H22" s="650" t="s">
        <v>846</v>
      </c>
    </row>
    <row r="23" spans="1:8" ht="14.25" customHeight="1">
      <c r="A23" s="689" t="s">
        <v>1490</v>
      </c>
      <c r="B23" s="678" t="s">
        <v>1491</v>
      </c>
      <c r="C23" s="679" t="s">
        <v>1321</v>
      </c>
      <c r="D23" s="679"/>
      <c r="G23" s="650" t="s">
        <v>847</v>
      </c>
      <c r="H23" s="650" t="s">
        <v>848</v>
      </c>
    </row>
    <row r="24" spans="1:8" ht="14.25" customHeight="1">
      <c r="A24" s="689" t="s">
        <v>1492</v>
      </c>
      <c r="B24" s="678" t="s">
        <v>1493</v>
      </c>
      <c r="C24" s="679" t="s">
        <v>1321</v>
      </c>
      <c r="D24" s="679"/>
      <c r="G24" s="650" t="s">
        <v>849</v>
      </c>
      <c r="H24" s="650" t="s">
        <v>850</v>
      </c>
    </row>
    <row r="25" spans="1:8" ht="14.25" customHeight="1">
      <c r="A25" s="689" t="s">
        <v>1494</v>
      </c>
      <c r="B25" s="678" t="s">
        <v>1495</v>
      </c>
      <c r="C25" s="679" t="s">
        <v>1321</v>
      </c>
      <c r="D25" s="679"/>
      <c r="G25" s="650" t="s">
        <v>855</v>
      </c>
      <c r="H25" s="650" t="s">
        <v>856</v>
      </c>
    </row>
    <row r="26" spans="1:8" ht="14.25" customHeight="1">
      <c r="A26" s="689" t="s">
        <v>1496</v>
      </c>
      <c r="B26" s="678" t="s">
        <v>1497</v>
      </c>
      <c r="C26" s="679" t="s">
        <v>1321</v>
      </c>
      <c r="D26" s="679"/>
      <c r="G26" s="650" t="s">
        <v>858</v>
      </c>
      <c r="H26" s="650" t="s">
        <v>1498</v>
      </c>
    </row>
    <row r="27" spans="1:8" ht="14.25" customHeight="1">
      <c r="A27" s="689" t="s">
        <v>1499</v>
      </c>
      <c r="B27" s="678" t="s">
        <v>1500</v>
      </c>
      <c r="C27" s="679" t="s">
        <v>1321</v>
      </c>
      <c r="D27" s="679"/>
      <c r="G27" s="650" t="s">
        <v>859</v>
      </c>
      <c r="H27" s="650" t="s">
        <v>860</v>
      </c>
    </row>
    <row r="28" spans="1:8" ht="14.25" customHeight="1">
      <c r="A28" s="689" t="s">
        <v>1501</v>
      </c>
      <c r="B28" s="678" t="s">
        <v>1502</v>
      </c>
      <c r="C28" s="679" t="s">
        <v>1321</v>
      </c>
      <c r="D28" s="679"/>
      <c r="G28" s="650" t="s">
        <v>861</v>
      </c>
      <c r="H28" s="650" t="s">
        <v>862</v>
      </c>
    </row>
    <row r="29" spans="1:8" ht="14.25" customHeight="1">
      <c r="A29" s="689" t="s">
        <v>1503</v>
      </c>
      <c r="B29" s="678" t="s">
        <v>1504</v>
      </c>
      <c r="C29" s="679" t="s">
        <v>1321</v>
      </c>
      <c r="D29" s="679"/>
      <c r="G29" s="650" t="s">
        <v>863</v>
      </c>
      <c r="H29" s="650" t="s">
        <v>1505</v>
      </c>
    </row>
    <row r="30" spans="1:8" ht="14.25" customHeight="1">
      <c r="A30" s="689" t="s">
        <v>1506</v>
      </c>
      <c r="B30" s="678" t="s">
        <v>1507</v>
      </c>
      <c r="C30" s="679" t="s">
        <v>1321</v>
      </c>
      <c r="D30" s="679"/>
      <c r="G30" s="650" t="s">
        <v>864</v>
      </c>
      <c r="H30" s="650" t="s">
        <v>1508</v>
      </c>
    </row>
    <row r="31" spans="1:8" ht="14.25" customHeight="1">
      <c r="A31" s="689" t="s">
        <v>1509</v>
      </c>
      <c r="B31" s="678" t="s">
        <v>1510</v>
      </c>
      <c r="C31" s="679" t="s">
        <v>1321</v>
      </c>
      <c r="D31" s="679"/>
      <c r="G31" s="650" t="s">
        <v>865</v>
      </c>
      <c r="H31" s="650" t="s">
        <v>866</v>
      </c>
    </row>
    <row r="32" spans="1:8" ht="14.25" customHeight="1">
      <c r="A32" s="689" t="s">
        <v>1511</v>
      </c>
      <c r="B32" s="678" t="s">
        <v>1512</v>
      </c>
      <c r="C32" s="679" t="s">
        <v>1321</v>
      </c>
      <c r="D32" s="679"/>
      <c r="G32" s="650" t="s">
        <v>867</v>
      </c>
      <c r="H32" s="650" t="s">
        <v>1513</v>
      </c>
    </row>
    <row r="33" spans="1:8" ht="14.25" customHeight="1">
      <c r="A33" s="689" t="s">
        <v>1514</v>
      </c>
      <c r="B33" s="678" t="s">
        <v>1515</v>
      </c>
      <c r="C33" s="679" t="s">
        <v>1321</v>
      </c>
      <c r="D33" s="679"/>
      <c r="G33" s="650" t="s">
        <v>869</v>
      </c>
      <c r="H33" s="650" t="s">
        <v>1516</v>
      </c>
    </row>
    <row r="34" spans="1:8" ht="14.25" customHeight="1">
      <c r="A34" s="688" t="s">
        <v>1517</v>
      </c>
      <c r="B34" s="688" t="s">
        <v>1518</v>
      </c>
      <c r="C34" s="679" t="s">
        <v>1325</v>
      </c>
      <c r="D34" s="679"/>
      <c r="G34" s="650" t="s">
        <v>870</v>
      </c>
      <c r="H34" s="650" t="s">
        <v>1519</v>
      </c>
    </row>
    <row r="35" spans="1:8" ht="14.25" customHeight="1">
      <c r="A35" s="688" t="s">
        <v>1520</v>
      </c>
      <c r="B35" s="688" t="s">
        <v>1521</v>
      </c>
      <c r="C35" s="679" t="s">
        <v>1325</v>
      </c>
      <c r="D35" s="679"/>
      <c r="G35" s="650" t="s">
        <v>1351</v>
      </c>
      <c r="H35" s="650" t="s">
        <v>1522</v>
      </c>
    </row>
    <row r="36" spans="1:8" ht="14.25" customHeight="1">
      <c r="A36" s="688" t="s">
        <v>1523</v>
      </c>
      <c r="B36" s="688" t="s">
        <v>1524</v>
      </c>
      <c r="C36" s="679" t="s">
        <v>1325</v>
      </c>
      <c r="D36" s="679"/>
      <c r="G36" s="650" t="s">
        <v>871</v>
      </c>
      <c r="H36" s="650" t="s">
        <v>1525</v>
      </c>
    </row>
    <row r="37" spans="1:8" ht="14.25" customHeight="1">
      <c r="A37" s="689" t="s">
        <v>1526</v>
      </c>
      <c r="B37" s="678" t="s">
        <v>1527</v>
      </c>
      <c r="C37" s="679" t="s">
        <v>1325</v>
      </c>
      <c r="D37" s="679"/>
      <c r="G37" s="650" t="s">
        <v>872</v>
      </c>
      <c r="H37" s="650" t="s">
        <v>1528</v>
      </c>
    </row>
    <row r="38" spans="1:8" ht="14.25" customHeight="1">
      <c r="A38" s="689" t="s">
        <v>1529</v>
      </c>
      <c r="B38" s="678" t="s">
        <v>1530</v>
      </c>
      <c r="C38" s="679" t="s">
        <v>1325</v>
      </c>
      <c r="D38" s="679"/>
      <c r="G38" s="650" t="s">
        <v>1352</v>
      </c>
      <c r="H38" s="650" t="s">
        <v>1531</v>
      </c>
    </row>
    <row r="39" spans="1:8" ht="14.25" customHeight="1">
      <c r="A39" s="689" t="s">
        <v>1532</v>
      </c>
      <c r="B39" s="678" t="s">
        <v>1533</v>
      </c>
      <c r="C39" s="679" t="s">
        <v>1325</v>
      </c>
      <c r="D39" s="679"/>
      <c r="G39" s="650" t="s">
        <v>1354</v>
      </c>
      <c r="H39" s="650" t="s">
        <v>1534</v>
      </c>
    </row>
    <row r="40" spans="1:8" ht="14.25" customHeight="1">
      <c r="A40" s="689" t="s">
        <v>1535</v>
      </c>
      <c r="B40" s="678" t="s">
        <v>1536</v>
      </c>
      <c r="C40" s="679" t="s">
        <v>1325</v>
      </c>
      <c r="D40" s="679"/>
      <c r="G40" s="650" t="s">
        <v>1355</v>
      </c>
      <c r="H40" s="650" t="s">
        <v>1537</v>
      </c>
    </row>
    <row r="41" spans="1:8" ht="14.25" customHeight="1">
      <c r="A41" s="689" t="s">
        <v>1538</v>
      </c>
      <c r="B41" s="678" t="s">
        <v>1539</v>
      </c>
      <c r="C41" s="679" t="s">
        <v>1325</v>
      </c>
      <c r="D41" s="679"/>
      <c r="G41" s="650" t="s">
        <v>873</v>
      </c>
      <c r="H41" s="650" t="s">
        <v>1540</v>
      </c>
    </row>
    <row r="42" spans="1:8" ht="14.25" customHeight="1">
      <c r="A42" s="689" t="s">
        <v>1541</v>
      </c>
      <c r="B42" s="678" t="s">
        <v>1542</v>
      </c>
      <c r="C42" s="679" t="s">
        <v>161</v>
      </c>
      <c r="D42" s="679"/>
      <c r="G42" s="650" t="s">
        <v>874</v>
      </c>
      <c r="H42" s="650" t="s">
        <v>1543</v>
      </c>
    </row>
    <row r="43" spans="1:8" ht="14.25" customHeight="1">
      <c r="A43" s="689" t="s">
        <v>1544</v>
      </c>
      <c r="B43" s="678" t="s">
        <v>1545</v>
      </c>
      <c r="C43" s="679" t="s">
        <v>161</v>
      </c>
      <c r="D43" s="679"/>
      <c r="G43" s="650" t="s">
        <v>1356</v>
      </c>
      <c r="H43" s="650" t="s">
        <v>1546</v>
      </c>
    </row>
    <row r="44" spans="1:8" ht="14.25" customHeight="1">
      <c r="A44" s="689" t="s">
        <v>1547</v>
      </c>
      <c r="B44" s="678" t="s">
        <v>1548</v>
      </c>
      <c r="C44" s="679" t="s">
        <v>161</v>
      </c>
      <c r="D44" s="679"/>
      <c r="G44" s="650" t="s">
        <v>1357</v>
      </c>
      <c r="H44" s="650" t="s">
        <v>1549</v>
      </c>
    </row>
    <row r="45" spans="1:8" ht="14.25" customHeight="1">
      <c r="A45" s="689" t="s">
        <v>1550</v>
      </c>
      <c r="B45" s="678" t="s">
        <v>1551</v>
      </c>
      <c r="C45" s="679" t="s">
        <v>1325</v>
      </c>
      <c r="D45" s="679" t="s">
        <v>164</v>
      </c>
      <c r="G45" s="650" t="s">
        <v>875</v>
      </c>
      <c r="H45" s="650" t="s">
        <v>1552</v>
      </c>
    </row>
    <row r="46" spans="1:8" ht="14.25" customHeight="1">
      <c r="A46" s="689" t="s">
        <v>1553</v>
      </c>
      <c r="B46" s="678" t="s">
        <v>1554</v>
      </c>
      <c r="C46" s="679" t="s">
        <v>1325</v>
      </c>
      <c r="D46" s="679" t="s">
        <v>166</v>
      </c>
      <c r="G46" s="650" t="s">
        <v>876</v>
      </c>
      <c r="H46" s="650" t="s">
        <v>1555</v>
      </c>
    </row>
    <row r="47" spans="1:8" ht="14.25" customHeight="1">
      <c r="A47" s="689" t="s">
        <v>1556</v>
      </c>
      <c r="B47" s="678" t="s">
        <v>1557</v>
      </c>
      <c r="C47" s="679" t="s">
        <v>161</v>
      </c>
      <c r="D47" s="679" t="s">
        <v>167</v>
      </c>
      <c r="G47" s="650" t="s">
        <v>877</v>
      </c>
      <c r="H47" s="650" t="s">
        <v>1558</v>
      </c>
    </row>
    <row r="48" spans="1:8" ht="14.25" customHeight="1">
      <c r="A48" s="689" t="s">
        <v>1559</v>
      </c>
      <c r="B48" s="678" t="s">
        <v>1560</v>
      </c>
      <c r="C48" s="679" t="s">
        <v>176</v>
      </c>
      <c r="D48" s="679" t="s">
        <v>178</v>
      </c>
      <c r="G48" s="650" t="s">
        <v>878</v>
      </c>
      <c r="H48" s="650" t="s">
        <v>1561</v>
      </c>
    </row>
    <row r="49" spans="1:8" ht="14.25" customHeight="1">
      <c r="A49" s="689" t="s">
        <v>1562</v>
      </c>
      <c r="B49" s="678" t="s">
        <v>1563</v>
      </c>
      <c r="C49" s="679" t="s">
        <v>161</v>
      </c>
      <c r="D49" s="679"/>
      <c r="G49" s="650" t="s">
        <v>880</v>
      </c>
      <c r="H49" s="650" t="s">
        <v>1564</v>
      </c>
    </row>
    <row r="50" spans="1:8" ht="14.25" customHeight="1">
      <c r="A50" s="689" t="s">
        <v>1565</v>
      </c>
      <c r="B50" s="678" t="s">
        <v>1566</v>
      </c>
      <c r="C50" s="679" t="s">
        <v>1325</v>
      </c>
      <c r="D50" s="679"/>
      <c r="G50" s="650" t="s">
        <v>1358</v>
      </c>
      <c r="H50" s="650" t="s">
        <v>1567</v>
      </c>
    </row>
    <row r="51" spans="1:8" ht="14.25" customHeight="1">
      <c r="A51" s="689" t="s">
        <v>1568</v>
      </c>
      <c r="B51" s="678" t="s">
        <v>1569</v>
      </c>
      <c r="C51" s="679" t="s">
        <v>1321</v>
      </c>
      <c r="D51" s="679"/>
      <c r="G51" s="650" t="s">
        <v>881</v>
      </c>
      <c r="H51" s="650" t="s">
        <v>1570</v>
      </c>
    </row>
    <row r="52" spans="1:8" ht="14.25" customHeight="1">
      <c r="A52" s="689" t="s">
        <v>1571</v>
      </c>
      <c r="B52" s="678" t="s">
        <v>1572</v>
      </c>
      <c r="C52" s="679" t="s">
        <v>1321</v>
      </c>
      <c r="D52" s="679"/>
      <c r="G52" s="650" t="s">
        <v>883</v>
      </c>
      <c r="H52" s="650" t="s">
        <v>1573</v>
      </c>
    </row>
    <row r="53" spans="1:8" ht="14.25" customHeight="1">
      <c r="A53" s="689" t="s">
        <v>1574</v>
      </c>
      <c r="B53" s="678" t="s">
        <v>1575</v>
      </c>
      <c r="C53" s="679" t="s">
        <v>1325</v>
      </c>
      <c r="D53" s="679"/>
      <c r="G53" s="650" t="s">
        <v>1359</v>
      </c>
      <c r="H53" s="650" t="s">
        <v>1576</v>
      </c>
    </row>
    <row r="54" spans="1:8" ht="14.25" customHeight="1">
      <c r="A54" s="689" t="s">
        <v>1577</v>
      </c>
      <c r="B54" s="678" t="s">
        <v>1578</v>
      </c>
      <c r="C54" s="679" t="s">
        <v>1321</v>
      </c>
      <c r="D54" s="679"/>
      <c r="G54" s="650" t="s">
        <v>1360</v>
      </c>
      <c r="H54" s="650" t="s">
        <v>1579</v>
      </c>
    </row>
    <row r="55" spans="1:8" ht="14.25" customHeight="1">
      <c r="A55" s="689" t="s">
        <v>1580</v>
      </c>
      <c r="B55" s="678" t="s">
        <v>1581</v>
      </c>
      <c r="C55" s="679" t="s">
        <v>1321</v>
      </c>
      <c r="D55" s="679"/>
      <c r="G55" s="650" t="s">
        <v>1361</v>
      </c>
      <c r="H55" s="650" t="s">
        <v>1582</v>
      </c>
    </row>
    <row r="56" spans="1:8" ht="14.25" customHeight="1">
      <c r="A56" s="689" t="s">
        <v>1583</v>
      </c>
      <c r="B56" s="678" t="s">
        <v>1584</v>
      </c>
      <c r="C56" s="679" t="s">
        <v>1325</v>
      </c>
      <c r="D56" s="679"/>
      <c r="G56" s="650" t="s">
        <v>884</v>
      </c>
      <c r="H56" s="650" t="s">
        <v>1585</v>
      </c>
    </row>
    <row r="57" spans="1:8" ht="14.25" customHeight="1">
      <c r="A57" s="689" t="s">
        <v>1586</v>
      </c>
      <c r="B57" s="678" t="s">
        <v>1587</v>
      </c>
      <c r="C57" s="679" t="s">
        <v>1321</v>
      </c>
      <c r="D57" s="679"/>
      <c r="G57" s="650" t="s">
        <v>886</v>
      </c>
      <c r="H57" s="650" t="s">
        <v>1588</v>
      </c>
    </row>
    <row r="58" spans="1:8" ht="14.25" customHeight="1">
      <c r="A58" s="689" t="s">
        <v>1589</v>
      </c>
      <c r="B58" s="678" t="s">
        <v>1590</v>
      </c>
      <c r="C58" s="679" t="s">
        <v>152</v>
      </c>
      <c r="D58" s="679"/>
      <c r="G58" s="650" t="s">
        <v>887</v>
      </c>
      <c r="H58" s="650" t="s">
        <v>1591</v>
      </c>
    </row>
    <row r="59" spans="1:8" ht="14.25" customHeight="1">
      <c r="A59" s="689" t="s">
        <v>1592</v>
      </c>
      <c r="B59" s="678" t="s">
        <v>1593</v>
      </c>
      <c r="C59" s="679" t="s">
        <v>152</v>
      </c>
      <c r="D59" s="679"/>
      <c r="G59" s="650" t="s">
        <v>888</v>
      </c>
      <c r="H59" s="650" t="s">
        <v>1594</v>
      </c>
    </row>
    <row r="60" spans="1:8" ht="14.25" customHeight="1">
      <c r="A60" s="689" t="s">
        <v>1595</v>
      </c>
      <c r="B60" s="678" t="s">
        <v>1596</v>
      </c>
      <c r="C60" s="679" t="s">
        <v>1325</v>
      </c>
      <c r="D60" s="679"/>
      <c r="G60" s="650" t="s">
        <v>889</v>
      </c>
      <c r="H60" s="650" t="s">
        <v>1597</v>
      </c>
    </row>
    <row r="61" spans="1:8" ht="14.25" customHeight="1">
      <c r="A61" s="689" t="s">
        <v>1598</v>
      </c>
      <c r="B61" s="678" t="s">
        <v>1599</v>
      </c>
      <c r="C61" s="679" t="s">
        <v>1325</v>
      </c>
      <c r="D61" s="679"/>
      <c r="G61" s="650" t="s">
        <v>890</v>
      </c>
      <c r="H61" s="650" t="s">
        <v>1600</v>
      </c>
    </row>
    <row r="62" spans="1:8" ht="14.25" customHeight="1">
      <c r="A62" s="689" t="s">
        <v>1601</v>
      </c>
      <c r="B62" s="678" t="s">
        <v>1602</v>
      </c>
      <c r="C62" s="679" t="s">
        <v>92</v>
      </c>
      <c r="D62" s="679" t="s">
        <v>186</v>
      </c>
      <c r="G62" s="650" t="s">
        <v>1362</v>
      </c>
      <c r="H62" s="650" t="s">
        <v>1603</v>
      </c>
    </row>
    <row r="63" spans="1:8" ht="14.25" customHeight="1">
      <c r="A63" s="689" t="s">
        <v>1604</v>
      </c>
      <c r="B63" s="678" t="s">
        <v>1605</v>
      </c>
      <c r="C63" s="679" t="s">
        <v>92</v>
      </c>
      <c r="D63" s="679" t="s">
        <v>186</v>
      </c>
      <c r="G63" s="650" t="s">
        <v>1363</v>
      </c>
      <c r="H63" s="650" t="s">
        <v>1606</v>
      </c>
    </row>
    <row r="64" spans="1:8" ht="14.25" customHeight="1">
      <c r="A64" s="689" t="s">
        <v>1607</v>
      </c>
      <c r="B64" s="678" t="s">
        <v>1608</v>
      </c>
      <c r="C64" s="679" t="s">
        <v>92</v>
      </c>
      <c r="D64" s="679" t="s">
        <v>186</v>
      </c>
      <c r="G64" s="650" t="s">
        <v>891</v>
      </c>
      <c r="H64" s="650" t="s">
        <v>1609</v>
      </c>
    </row>
    <row r="65" spans="1:8" ht="14.25" customHeight="1">
      <c r="A65" s="689" t="s">
        <v>1610</v>
      </c>
      <c r="B65" s="678" t="s">
        <v>1611</v>
      </c>
      <c r="C65" s="679" t="s">
        <v>92</v>
      </c>
      <c r="D65" s="679" t="s">
        <v>186</v>
      </c>
      <c r="G65" s="650" t="s">
        <v>892</v>
      </c>
      <c r="H65" s="650" t="s">
        <v>1612</v>
      </c>
    </row>
    <row r="66" spans="1:8" ht="14.25" customHeight="1">
      <c r="A66" s="689" t="s">
        <v>1613</v>
      </c>
      <c r="B66" s="678" t="s">
        <v>1614</v>
      </c>
      <c r="C66" s="679" t="s">
        <v>92</v>
      </c>
      <c r="D66" s="679" t="s">
        <v>186</v>
      </c>
      <c r="G66" s="650" t="s">
        <v>893</v>
      </c>
      <c r="H66" s="650" t="s">
        <v>1615</v>
      </c>
    </row>
    <row r="67" spans="1:8" ht="14.25" customHeight="1">
      <c r="A67" s="689" t="s">
        <v>1616</v>
      </c>
      <c r="B67" s="678" t="s">
        <v>1617</v>
      </c>
      <c r="C67" s="679" t="s">
        <v>92</v>
      </c>
      <c r="D67" s="679" t="s">
        <v>186</v>
      </c>
      <c r="G67" s="650" t="s">
        <v>894</v>
      </c>
      <c r="H67" s="650" t="s">
        <v>1618</v>
      </c>
    </row>
    <row r="68" spans="1:8" ht="14.25" customHeight="1">
      <c r="A68" s="689" t="s">
        <v>1619</v>
      </c>
      <c r="B68" s="678" t="s">
        <v>1620</v>
      </c>
      <c r="C68" s="679" t="s">
        <v>92</v>
      </c>
      <c r="D68" s="679" t="s">
        <v>186</v>
      </c>
      <c r="G68" s="650" t="s">
        <v>895</v>
      </c>
      <c r="H68" s="650" t="s">
        <v>1621</v>
      </c>
    </row>
    <row r="69" spans="1:8" ht="14.25" customHeight="1">
      <c r="A69" s="689" t="s">
        <v>1622</v>
      </c>
      <c r="B69" s="678" t="s">
        <v>1623</v>
      </c>
      <c r="C69" s="679" t="s">
        <v>92</v>
      </c>
      <c r="D69" s="679" t="s">
        <v>186</v>
      </c>
      <c r="G69" s="650" t="s">
        <v>896</v>
      </c>
      <c r="H69" s="650" t="s">
        <v>1624</v>
      </c>
    </row>
    <row r="70" spans="1:8" ht="14.25" customHeight="1">
      <c r="A70" s="689" t="s">
        <v>1625</v>
      </c>
      <c r="B70" s="678" t="s">
        <v>1626</v>
      </c>
      <c r="C70" s="679" t="s">
        <v>152</v>
      </c>
      <c r="D70" s="679" t="s">
        <v>186</v>
      </c>
      <c r="G70" s="650" t="s">
        <v>897</v>
      </c>
      <c r="H70" s="650" t="s">
        <v>1627</v>
      </c>
    </row>
    <row r="71" spans="1:8" ht="14.25" customHeight="1">
      <c r="A71" s="689" t="s">
        <v>1628</v>
      </c>
      <c r="B71" s="678" t="s">
        <v>1629</v>
      </c>
      <c r="C71" s="679" t="s">
        <v>152</v>
      </c>
      <c r="D71" s="679" t="s">
        <v>186</v>
      </c>
      <c r="G71" s="650" t="s">
        <v>898</v>
      </c>
      <c r="H71" s="650" t="s">
        <v>1630</v>
      </c>
    </row>
    <row r="72" spans="1:8" ht="14.25" customHeight="1">
      <c r="A72" s="689" t="s">
        <v>1631</v>
      </c>
      <c r="B72" s="678" t="s">
        <v>1632</v>
      </c>
      <c r="C72" s="679" t="s">
        <v>152</v>
      </c>
      <c r="D72" s="679" t="s">
        <v>186</v>
      </c>
      <c r="G72" s="650" t="s">
        <v>1364</v>
      </c>
      <c r="H72" s="650" t="s">
        <v>899</v>
      </c>
    </row>
    <row r="73" spans="1:8" ht="14.25" customHeight="1">
      <c r="A73" s="689" t="s">
        <v>1633</v>
      </c>
      <c r="B73" s="678" t="s">
        <v>1634</v>
      </c>
      <c r="C73" s="679" t="s">
        <v>152</v>
      </c>
      <c r="D73" s="679" t="s">
        <v>186</v>
      </c>
      <c r="G73" s="650" t="s">
        <v>900</v>
      </c>
      <c r="H73" s="650" t="s">
        <v>1635</v>
      </c>
    </row>
    <row r="74" spans="1:8" ht="14.25" customHeight="1">
      <c r="A74" s="689" t="s">
        <v>1636</v>
      </c>
      <c r="B74" s="678" t="s">
        <v>1637</v>
      </c>
      <c r="C74" s="679" t="s">
        <v>152</v>
      </c>
      <c r="D74" s="679" t="s">
        <v>186</v>
      </c>
      <c r="G74" s="650" t="s">
        <v>721</v>
      </c>
      <c r="H74" s="650" t="s">
        <v>1638</v>
      </c>
    </row>
    <row r="75" spans="1:8" ht="14.25" customHeight="1">
      <c r="A75" s="689" t="s">
        <v>1639</v>
      </c>
      <c r="B75" s="678" t="s">
        <v>1640</v>
      </c>
      <c r="C75" s="679" t="s">
        <v>152</v>
      </c>
      <c r="D75" s="679" t="s">
        <v>186</v>
      </c>
      <c r="G75" s="650" t="s">
        <v>901</v>
      </c>
      <c r="H75" s="650" t="s">
        <v>903</v>
      </c>
    </row>
    <row r="76" spans="1:8" ht="14.25" customHeight="1">
      <c r="A76" s="689" t="s">
        <v>1641</v>
      </c>
      <c r="B76" s="678" t="s">
        <v>1642</v>
      </c>
      <c r="C76" s="679" t="s">
        <v>152</v>
      </c>
      <c r="D76" s="679" t="s">
        <v>186</v>
      </c>
      <c r="G76" s="650" t="s">
        <v>904</v>
      </c>
      <c r="H76" s="650" t="s">
        <v>905</v>
      </c>
    </row>
    <row r="77" spans="1:8" ht="14.25" customHeight="1">
      <c r="A77" s="689" t="s">
        <v>1643</v>
      </c>
      <c r="B77" s="678" t="s">
        <v>1644</v>
      </c>
      <c r="C77" s="679" t="s">
        <v>152</v>
      </c>
      <c r="D77" s="679" t="s">
        <v>186</v>
      </c>
      <c r="G77" s="650" t="s">
        <v>906</v>
      </c>
      <c r="H77" s="650" t="s">
        <v>907</v>
      </c>
    </row>
    <row r="78" spans="1:8" ht="14.25" customHeight="1">
      <c r="A78" s="678" t="s">
        <v>1645</v>
      </c>
      <c r="B78" s="678" t="s">
        <v>1646</v>
      </c>
      <c r="C78" s="679" t="s">
        <v>92</v>
      </c>
      <c r="D78" s="679" t="s">
        <v>1647</v>
      </c>
      <c r="G78" s="650" t="s">
        <v>908</v>
      </c>
      <c r="H78" s="650" t="s">
        <v>909</v>
      </c>
    </row>
    <row r="79" spans="1:8" ht="14.25" customHeight="1">
      <c r="A79" s="678" t="s">
        <v>1648</v>
      </c>
      <c r="B79" s="678" t="s">
        <v>1649</v>
      </c>
      <c r="C79" s="679" t="s">
        <v>92</v>
      </c>
      <c r="D79" s="679" t="s">
        <v>1647</v>
      </c>
      <c r="G79" s="650" t="s">
        <v>910</v>
      </c>
      <c r="H79" s="650" t="s">
        <v>911</v>
      </c>
    </row>
    <row r="80" spans="1:8" ht="14.25" customHeight="1">
      <c r="A80" s="678" t="s">
        <v>1650</v>
      </c>
      <c r="B80" s="678" t="s">
        <v>1651</v>
      </c>
      <c r="C80" s="679" t="s">
        <v>92</v>
      </c>
      <c r="D80" s="679" t="s">
        <v>1647</v>
      </c>
      <c r="G80" s="650" t="s">
        <v>912</v>
      </c>
      <c r="H80" s="650" t="s">
        <v>1652</v>
      </c>
    </row>
    <row r="81" spans="1:8" ht="14.25" customHeight="1">
      <c r="A81" s="678" t="s">
        <v>1653</v>
      </c>
      <c r="B81" s="678" t="s">
        <v>1654</v>
      </c>
      <c r="C81" s="679" t="s">
        <v>92</v>
      </c>
      <c r="D81" s="679" t="s">
        <v>1647</v>
      </c>
      <c r="G81" s="650" t="s">
        <v>913</v>
      </c>
      <c r="H81" s="650" t="s">
        <v>914</v>
      </c>
    </row>
    <row r="82" spans="1:8" ht="14.25" customHeight="1">
      <c r="A82" s="678" t="s">
        <v>1655</v>
      </c>
      <c r="B82" s="678" t="s">
        <v>1656</v>
      </c>
      <c r="C82" s="679" t="s">
        <v>92</v>
      </c>
      <c r="D82" s="679" t="s">
        <v>1647</v>
      </c>
      <c r="G82" s="650" t="s">
        <v>915</v>
      </c>
      <c r="H82" s="650" t="s">
        <v>1657</v>
      </c>
    </row>
    <row r="83" spans="1:8" ht="14.25" customHeight="1">
      <c r="A83" s="678" t="s">
        <v>1658</v>
      </c>
      <c r="B83" s="678" t="s">
        <v>1659</v>
      </c>
      <c r="C83" s="679" t="s">
        <v>92</v>
      </c>
      <c r="D83" s="679" t="s">
        <v>1647</v>
      </c>
      <c r="G83" s="650" t="s">
        <v>916</v>
      </c>
      <c r="H83" s="650" t="s">
        <v>1660</v>
      </c>
    </row>
    <row r="84" spans="1:8" ht="14.25" customHeight="1">
      <c r="A84" s="678" t="s">
        <v>1661</v>
      </c>
      <c r="B84" s="678" t="s">
        <v>1662</v>
      </c>
      <c r="C84" s="679" t="s">
        <v>92</v>
      </c>
      <c r="D84" s="679" t="s">
        <v>1647</v>
      </c>
      <c r="G84" s="650" t="s">
        <v>917</v>
      </c>
      <c r="H84" s="650" t="s">
        <v>1663</v>
      </c>
    </row>
    <row r="85" spans="1:8" ht="14.25" customHeight="1">
      <c r="A85" s="678" t="s">
        <v>1664</v>
      </c>
      <c r="B85" s="678" t="s">
        <v>1665</v>
      </c>
      <c r="C85" s="679" t="s">
        <v>92</v>
      </c>
      <c r="D85" s="679" t="s">
        <v>1647</v>
      </c>
      <c r="G85" s="650" t="s">
        <v>919</v>
      </c>
      <c r="H85" s="650" t="s">
        <v>918</v>
      </c>
    </row>
    <row r="86" spans="1:8" ht="14.25" customHeight="1">
      <c r="A86" s="689" t="s">
        <v>1666</v>
      </c>
      <c r="B86" s="678" t="s">
        <v>1667</v>
      </c>
      <c r="C86" s="679" t="s">
        <v>92</v>
      </c>
      <c r="D86" s="679"/>
      <c r="G86" s="650" t="s">
        <v>920</v>
      </c>
      <c r="H86" s="650" t="s">
        <v>1668</v>
      </c>
    </row>
    <row r="87" spans="1:8" ht="14.25" customHeight="1">
      <c r="A87" s="689" t="s">
        <v>1669</v>
      </c>
      <c r="B87" s="678" t="s">
        <v>1670</v>
      </c>
      <c r="C87" s="679" t="s">
        <v>152</v>
      </c>
      <c r="D87" s="679"/>
      <c r="G87" s="650" t="s">
        <v>921</v>
      </c>
      <c r="H87" s="650" t="s">
        <v>1671</v>
      </c>
    </row>
    <row r="88" spans="1:8" ht="14.25" customHeight="1">
      <c r="A88" s="689" t="s">
        <v>1672</v>
      </c>
      <c r="B88" s="678" t="s">
        <v>1673</v>
      </c>
      <c r="C88" s="679" t="s">
        <v>161</v>
      </c>
      <c r="D88" s="679"/>
      <c r="G88" s="650" t="s">
        <v>732</v>
      </c>
      <c r="H88" s="650" t="s">
        <v>1674</v>
      </c>
    </row>
    <row r="89" spans="1:8" ht="14.25" customHeight="1">
      <c r="A89" s="689" t="s">
        <v>1675</v>
      </c>
      <c r="B89" s="678" t="s">
        <v>1676</v>
      </c>
      <c r="C89" s="679" t="s">
        <v>176</v>
      </c>
      <c r="D89" s="679"/>
      <c r="G89" s="650" t="s">
        <v>922</v>
      </c>
      <c r="H89" s="650" t="s">
        <v>923</v>
      </c>
    </row>
    <row r="90" spans="1:8" ht="14.25" customHeight="1">
      <c r="A90" s="689" t="s">
        <v>1677</v>
      </c>
      <c r="B90" s="678" t="s">
        <v>1678</v>
      </c>
      <c r="C90" s="679" t="s">
        <v>180</v>
      </c>
      <c r="D90" s="679"/>
      <c r="G90" s="650" t="s">
        <v>924</v>
      </c>
      <c r="H90" s="650" t="s">
        <v>1679</v>
      </c>
    </row>
    <row r="91" spans="1:8" ht="14.25" customHeight="1">
      <c r="A91" s="689" t="s">
        <v>1680</v>
      </c>
      <c r="B91" s="678" t="s">
        <v>1681</v>
      </c>
      <c r="C91" s="679" t="s">
        <v>92</v>
      </c>
      <c r="D91" s="679"/>
      <c r="G91" s="650" t="s">
        <v>925</v>
      </c>
      <c r="H91" s="650" t="s">
        <v>928</v>
      </c>
    </row>
    <row r="92" spans="1:8" ht="14.25" customHeight="1">
      <c r="A92" s="689" t="s">
        <v>1682</v>
      </c>
      <c r="B92" s="678" t="s">
        <v>1683</v>
      </c>
      <c r="C92" s="679" t="s">
        <v>152</v>
      </c>
      <c r="D92" s="679"/>
      <c r="G92" s="650" t="s">
        <v>927</v>
      </c>
      <c r="H92" s="650" t="s">
        <v>1684</v>
      </c>
    </row>
    <row r="93" spans="1:8" ht="14.25" customHeight="1">
      <c r="A93" s="689" t="s">
        <v>1685</v>
      </c>
      <c r="B93" s="678" t="s">
        <v>1686</v>
      </c>
      <c r="C93" s="679" t="s">
        <v>161</v>
      </c>
      <c r="D93" s="679"/>
      <c r="G93" s="650" t="s">
        <v>930</v>
      </c>
      <c r="H93" s="650" t="s">
        <v>1687</v>
      </c>
    </row>
    <row r="94" spans="1:8" ht="14.25" customHeight="1">
      <c r="A94" s="689" t="s">
        <v>1688</v>
      </c>
      <c r="B94" s="678" t="s">
        <v>1689</v>
      </c>
      <c r="C94" s="679" t="s">
        <v>180</v>
      </c>
      <c r="D94" s="679"/>
      <c r="G94" s="650" t="s">
        <v>733</v>
      </c>
      <c r="H94" s="650" t="s">
        <v>1690</v>
      </c>
    </row>
    <row r="95" spans="1:8" ht="14.25" customHeight="1">
      <c r="A95" s="689" t="s">
        <v>1691</v>
      </c>
      <c r="B95" s="678" t="s">
        <v>1692</v>
      </c>
      <c r="C95" s="679" t="s">
        <v>152</v>
      </c>
      <c r="D95" s="679"/>
      <c r="G95" s="650" t="s">
        <v>931</v>
      </c>
      <c r="H95" s="650" t="s">
        <v>932</v>
      </c>
    </row>
    <row r="96" spans="1:8" ht="14.25" customHeight="1">
      <c r="A96" s="689" t="s">
        <v>1693</v>
      </c>
      <c r="B96" s="678" t="s">
        <v>1694</v>
      </c>
      <c r="C96" s="679" t="s">
        <v>92</v>
      </c>
      <c r="D96" s="679" t="s">
        <v>168</v>
      </c>
      <c r="G96" s="650" t="s">
        <v>933</v>
      </c>
      <c r="H96" s="650" t="s">
        <v>1695</v>
      </c>
    </row>
    <row r="97" spans="1:8" ht="14.25" customHeight="1">
      <c r="A97" s="689" t="s">
        <v>1696</v>
      </c>
      <c r="B97" s="678" t="s">
        <v>1697</v>
      </c>
      <c r="C97" s="679" t="s">
        <v>92</v>
      </c>
      <c r="D97" s="679"/>
      <c r="G97" s="650" t="s">
        <v>734</v>
      </c>
      <c r="H97" s="650" t="s">
        <v>1698</v>
      </c>
    </row>
    <row r="98" spans="1:8" ht="14.25" customHeight="1">
      <c r="A98" s="689" t="s">
        <v>1699</v>
      </c>
      <c r="B98" s="678" t="s">
        <v>1700</v>
      </c>
      <c r="C98" s="679" t="s">
        <v>152</v>
      </c>
      <c r="D98" s="679"/>
      <c r="G98" s="650" t="s">
        <v>934</v>
      </c>
      <c r="H98" s="650" t="s">
        <v>1701</v>
      </c>
    </row>
    <row r="99" spans="1:8" ht="14.25" customHeight="1">
      <c r="A99" s="689" t="s">
        <v>1702</v>
      </c>
      <c r="B99" s="678" t="s">
        <v>1703</v>
      </c>
      <c r="C99" s="679" t="s">
        <v>92</v>
      </c>
      <c r="D99" s="679"/>
      <c r="G99" s="650" t="s">
        <v>935</v>
      </c>
      <c r="H99" s="650" t="s">
        <v>1704</v>
      </c>
    </row>
    <row r="100" spans="1:8" ht="14.25" customHeight="1">
      <c r="A100" s="689" t="s">
        <v>1705</v>
      </c>
      <c r="B100" s="678" t="s">
        <v>1706</v>
      </c>
      <c r="C100" s="679" t="s">
        <v>152</v>
      </c>
      <c r="D100" s="679"/>
      <c r="G100" s="650" t="s">
        <v>936</v>
      </c>
      <c r="H100" s="650" t="s">
        <v>1707</v>
      </c>
    </row>
    <row r="101" spans="1:8" ht="14.25" customHeight="1">
      <c r="A101" s="689" t="s">
        <v>1708</v>
      </c>
      <c r="B101" s="678" t="s">
        <v>1709</v>
      </c>
      <c r="C101" s="679" t="s">
        <v>161</v>
      </c>
      <c r="D101" s="679"/>
      <c r="G101" s="650" t="s">
        <v>735</v>
      </c>
      <c r="H101" s="650" t="s">
        <v>1710</v>
      </c>
    </row>
    <row r="102" spans="1:8" ht="14.25" customHeight="1">
      <c r="A102" s="689" t="s">
        <v>1711</v>
      </c>
      <c r="B102" s="678" t="s">
        <v>1712</v>
      </c>
      <c r="C102" s="679" t="s">
        <v>180</v>
      </c>
      <c r="D102" s="679"/>
      <c r="G102" s="650" t="s">
        <v>736</v>
      </c>
      <c r="H102" s="650" t="s">
        <v>1713</v>
      </c>
    </row>
    <row r="103" spans="1:8" ht="14.25" customHeight="1">
      <c r="A103" s="689" t="s">
        <v>1714</v>
      </c>
      <c r="B103" s="678" t="s">
        <v>1715</v>
      </c>
      <c r="C103" s="679" t="s">
        <v>92</v>
      </c>
      <c r="D103" s="679"/>
      <c r="G103" s="650" t="s">
        <v>937</v>
      </c>
      <c r="H103" s="650" t="s">
        <v>938</v>
      </c>
    </row>
    <row r="104" spans="1:8" ht="14.25" customHeight="1">
      <c r="A104" s="689" t="s">
        <v>1716</v>
      </c>
      <c r="B104" s="678" t="s">
        <v>1717</v>
      </c>
      <c r="C104" s="679" t="s">
        <v>152</v>
      </c>
      <c r="D104" s="679"/>
      <c r="G104" s="650" t="s">
        <v>737</v>
      </c>
      <c r="H104" s="650" t="s">
        <v>1718</v>
      </c>
    </row>
    <row r="105" spans="1:8" ht="14.25" customHeight="1">
      <c r="A105" s="689" t="s">
        <v>1719</v>
      </c>
      <c r="B105" s="678" t="s">
        <v>1720</v>
      </c>
      <c r="C105" s="679" t="s">
        <v>161</v>
      </c>
      <c r="D105" s="679"/>
      <c r="G105" s="650" t="s">
        <v>738</v>
      </c>
      <c r="H105" s="650" t="s">
        <v>1721</v>
      </c>
    </row>
    <row r="106" spans="1:8" ht="14.25" customHeight="1">
      <c r="A106" s="689" t="s">
        <v>1722</v>
      </c>
      <c r="B106" s="678" t="s">
        <v>1723</v>
      </c>
      <c r="C106" s="679" t="s">
        <v>161</v>
      </c>
      <c r="D106" s="679" t="s">
        <v>168</v>
      </c>
      <c r="G106" s="650" t="s">
        <v>739</v>
      </c>
      <c r="H106" s="650" t="s">
        <v>1724</v>
      </c>
    </row>
    <row r="107" spans="1:8" ht="14.25" customHeight="1">
      <c r="A107" s="689" t="s">
        <v>1725</v>
      </c>
      <c r="B107" s="678" t="s">
        <v>1726</v>
      </c>
      <c r="C107" s="679" t="s">
        <v>161</v>
      </c>
      <c r="D107" s="679"/>
      <c r="G107" s="650" t="s">
        <v>740</v>
      </c>
      <c r="H107" s="650" t="s">
        <v>1727</v>
      </c>
    </row>
    <row r="108" spans="1:8" ht="14.25" customHeight="1">
      <c r="A108" s="689" t="s">
        <v>1728</v>
      </c>
      <c r="B108" s="678" t="s">
        <v>1729</v>
      </c>
      <c r="C108" s="679" t="s">
        <v>92</v>
      </c>
      <c r="D108" s="679"/>
      <c r="G108" s="650" t="s">
        <v>939</v>
      </c>
      <c r="H108" s="650" t="s">
        <v>940</v>
      </c>
    </row>
    <row r="109" spans="1:8" ht="14.25" customHeight="1">
      <c r="A109" s="689" t="s">
        <v>1730</v>
      </c>
      <c r="B109" s="678" t="s">
        <v>1731</v>
      </c>
      <c r="C109" s="679" t="s">
        <v>152</v>
      </c>
      <c r="D109" s="679"/>
      <c r="G109" s="650" t="s">
        <v>943</v>
      </c>
      <c r="H109" s="650" t="s">
        <v>944</v>
      </c>
    </row>
    <row r="110" spans="1:8" ht="14.25" customHeight="1">
      <c r="A110" s="689" t="s">
        <v>1732</v>
      </c>
      <c r="B110" s="678" t="s">
        <v>1733</v>
      </c>
      <c r="C110" s="679" t="s">
        <v>161</v>
      </c>
      <c r="D110" s="679"/>
      <c r="G110" s="650" t="s">
        <v>945</v>
      </c>
      <c r="H110" s="650" t="s">
        <v>1734</v>
      </c>
    </row>
    <row r="111" spans="1:8" ht="14.25" customHeight="1">
      <c r="A111" s="689" t="s">
        <v>1735</v>
      </c>
      <c r="B111" s="678" t="s">
        <v>1736</v>
      </c>
      <c r="C111" s="679" t="s">
        <v>176</v>
      </c>
      <c r="D111" s="679"/>
      <c r="G111" s="650" t="s">
        <v>1367</v>
      </c>
      <c r="H111" s="650" t="s">
        <v>1737</v>
      </c>
    </row>
    <row r="112" spans="1:8" ht="14.25" customHeight="1">
      <c r="A112" s="689" t="s">
        <v>1738</v>
      </c>
      <c r="B112" s="678" t="s">
        <v>1739</v>
      </c>
      <c r="C112" s="679" t="s">
        <v>180</v>
      </c>
      <c r="D112" s="679"/>
      <c r="G112" s="650" t="s">
        <v>946</v>
      </c>
      <c r="H112" s="650" t="s">
        <v>1740</v>
      </c>
    </row>
    <row r="113" spans="1:8" ht="14.25" customHeight="1">
      <c r="A113" s="689" t="s">
        <v>1741</v>
      </c>
      <c r="B113" s="678" t="s">
        <v>1742</v>
      </c>
      <c r="C113" s="679" t="s">
        <v>1325</v>
      </c>
      <c r="D113" s="679" t="s">
        <v>121</v>
      </c>
      <c r="G113" s="650" t="s">
        <v>947</v>
      </c>
      <c r="H113" s="650" t="s">
        <v>1743</v>
      </c>
    </row>
    <row r="114" spans="1:8" ht="14.25" customHeight="1">
      <c r="A114" s="689" t="s">
        <v>1744</v>
      </c>
      <c r="B114" s="678" t="s">
        <v>1745</v>
      </c>
      <c r="C114" s="679" t="s">
        <v>1325</v>
      </c>
      <c r="D114" s="679" t="s">
        <v>121</v>
      </c>
      <c r="G114" s="650" t="s">
        <v>741</v>
      </c>
      <c r="H114" s="650" t="s">
        <v>742</v>
      </c>
    </row>
    <row r="115" spans="1:8" ht="14.25" customHeight="1">
      <c r="A115" s="689" t="s">
        <v>1746</v>
      </c>
      <c r="B115" s="678" t="s">
        <v>1747</v>
      </c>
      <c r="C115" s="679" t="s">
        <v>161</v>
      </c>
      <c r="D115" s="679" t="s">
        <v>121</v>
      </c>
      <c r="G115" s="650" t="s">
        <v>743</v>
      </c>
      <c r="H115" s="650" t="s">
        <v>744</v>
      </c>
    </row>
    <row r="116" spans="1:8" ht="14.25" customHeight="1">
      <c r="A116" s="689" t="s">
        <v>1748</v>
      </c>
      <c r="B116" s="678" t="s">
        <v>1749</v>
      </c>
      <c r="C116" s="679" t="s">
        <v>176</v>
      </c>
      <c r="D116" s="679" t="s">
        <v>121</v>
      </c>
      <c r="G116" s="650" t="s">
        <v>745</v>
      </c>
      <c r="H116" s="650" t="s">
        <v>1750</v>
      </c>
    </row>
    <row r="117" spans="1:8" ht="14.25" customHeight="1">
      <c r="A117" s="689" t="s">
        <v>1751</v>
      </c>
      <c r="B117" s="678" t="s">
        <v>1752</v>
      </c>
      <c r="C117" s="679" t="s">
        <v>180</v>
      </c>
      <c r="D117" s="679" t="s">
        <v>121</v>
      </c>
      <c r="G117" s="650" t="s">
        <v>746</v>
      </c>
      <c r="H117" s="650" t="s">
        <v>1753</v>
      </c>
    </row>
    <row r="118" spans="1:8" ht="14.25" customHeight="1">
      <c r="A118" s="689" t="s">
        <v>1754</v>
      </c>
      <c r="B118" s="678" t="s">
        <v>1755</v>
      </c>
      <c r="C118" s="679" t="s">
        <v>180</v>
      </c>
      <c r="D118" s="679"/>
      <c r="G118" s="650" t="s">
        <v>952</v>
      </c>
      <c r="H118" s="650" t="s">
        <v>953</v>
      </c>
    </row>
    <row r="119" spans="1:8" ht="14.25" customHeight="1">
      <c r="A119" s="689" t="s">
        <v>1756</v>
      </c>
      <c r="B119" s="678" t="s">
        <v>1757</v>
      </c>
      <c r="C119" s="679" t="s">
        <v>1321</v>
      </c>
      <c r="D119" s="679" t="s">
        <v>25</v>
      </c>
      <c r="G119" s="650" t="s">
        <v>954</v>
      </c>
      <c r="H119" s="650" t="s">
        <v>955</v>
      </c>
    </row>
    <row r="120" spans="1:8" ht="14.25" customHeight="1">
      <c r="A120" s="689" t="s">
        <v>1758</v>
      </c>
      <c r="B120" s="678" t="s">
        <v>1759</v>
      </c>
      <c r="C120" s="679" t="s">
        <v>1321</v>
      </c>
      <c r="D120" s="679" t="s">
        <v>25</v>
      </c>
      <c r="G120" s="650" t="s">
        <v>722</v>
      </c>
      <c r="H120" s="650" t="s">
        <v>748</v>
      </c>
    </row>
    <row r="121" spans="1:8" ht="14.25" customHeight="1">
      <c r="A121" s="689" t="s">
        <v>1760</v>
      </c>
      <c r="B121" s="678" t="s">
        <v>1761</v>
      </c>
      <c r="C121" s="679" t="s">
        <v>1321</v>
      </c>
      <c r="D121" s="679" t="s">
        <v>1762</v>
      </c>
      <c r="G121" s="650" t="s">
        <v>747</v>
      </c>
      <c r="H121" s="650" t="s">
        <v>1763</v>
      </c>
    </row>
    <row r="122" spans="1:8" ht="14.25" customHeight="1">
      <c r="A122" s="689" t="s">
        <v>1764</v>
      </c>
      <c r="B122" s="678" t="s">
        <v>1765</v>
      </c>
      <c r="C122" s="679" t="s">
        <v>1321</v>
      </c>
      <c r="D122" s="679" t="s">
        <v>25</v>
      </c>
      <c r="G122" s="650" t="s">
        <v>956</v>
      </c>
      <c r="H122" s="650" t="s">
        <v>958</v>
      </c>
    </row>
    <row r="123" spans="1:8" ht="14.25" customHeight="1">
      <c r="A123" s="689" t="s">
        <v>1766</v>
      </c>
      <c r="B123" s="678" t="s">
        <v>1767</v>
      </c>
      <c r="C123" s="679" t="s">
        <v>1321</v>
      </c>
      <c r="D123" s="679" t="s">
        <v>25</v>
      </c>
      <c r="G123" s="650" t="s">
        <v>959</v>
      </c>
      <c r="H123" s="650" t="s">
        <v>1768</v>
      </c>
    </row>
    <row r="124" spans="1:8" ht="14.25" customHeight="1">
      <c r="A124" s="689" t="s">
        <v>1769</v>
      </c>
      <c r="B124" s="678" t="s">
        <v>1770</v>
      </c>
      <c r="C124" s="679" t="s">
        <v>1321</v>
      </c>
      <c r="D124" s="679" t="s">
        <v>25</v>
      </c>
      <c r="G124" s="650" t="s">
        <v>960</v>
      </c>
      <c r="H124" s="650" t="s">
        <v>1771</v>
      </c>
    </row>
    <row r="125" spans="1:8" ht="14.25" customHeight="1">
      <c r="A125" s="689" t="s">
        <v>1772</v>
      </c>
      <c r="B125" s="678" t="s">
        <v>1773</v>
      </c>
      <c r="C125" s="679" t="s">
        <v>1321</v>
      </c>
      <c r="D125" s="679" t="s">
        <v>25</v>
      </c>
      <c r="G125" s="650" t="s">
        <v>749</v>
      </c>
      <c r="H125" s="650" t="s">
        <v>1774</v>
      </c>
    </row>
    <row r="126" spans="1:8" ht="14.25" customHeight="1">
      <c r="A126" s="689" t="s">
        <v>1775</v>
      </c>
      <c r="B126" s="678" t="s">
        <v>1776</v>
      </c>
      <c r="C126" s="679" t="s">
        <v>1321</v>
      </c>
      <c r="D126" s="679" t="s">
        <v>29</v>
      </c>
      <c r="G126" s="650" t="s">
        <v>750</v>
      </c>
      <c r="H126" s="650" t="s">
        <v>1777</v>
      </c>
    </row>
    <row r="127" spans="1:8" ht="14.25" customHeight="1">
      <c r="A127" s="689" t="s">
        <v>1778</v>
      </c>
      <c r="B127" s="678" t="s">
        <v>1779</v>
      </c>
      <c r="C127" s="679" t="s">
        <v>1321</v>
      </c>
      <c r="D127" s="679" t="s">
        <v>30</v>
      </c>
      <c r="G127" s="650" t="s">
        <v>751</v>
      </c>
      <c r="H127" s="650" t="s">
        <v>1780</v>
      </c>
    </row>
    <row r="128" spans="1:8" ht="14.25" customHeight="1">
      <c r="A128" s="689" t="s">
        <v>1781</v>
      </c>
      <c r="B128" s="678" t="s">
        <v>1782</v>
      </c>
      <c r="C128" s="679" t="s">
        <v>1321</v>
      </c>
      <c r="D128" s="679" t="s">
        <v>30</v>
      </c>
      <c r="G128" s="650" t="s">
        <v>752</v>
      </c>
      <c r="H128" s="650" t="s">
        <v>1783</v>
      </c>
    </row>
    <row r="129" spans="1:8" ht="14.25" customHeight="1">
      <c r="A129" s="689" t="s">
        <v>1784</v>
      </c>
      <c r="B129" s="678" t="s">
        <v>1785</v>
      </c>
      <c r="C129" s="679" t="s">
        <v>1321</v>
      </c>
      <c r="D129" s="679" t="s">
        <v>34</v>
      </c>
      <c r="G129" s="650" t="s">
        <v>753</v>
      </c>
      <c r="H129" s="650" t="s">
        <v>1786</v>
      </c>
    </row>
    <row r="130" spans="1:8" ht="14.25" customHeight="1">
      <c r="A130" s="689" t="s">
        <v>1787</v>
      </c>
      <c r="B130" s="678" t="s">
        <v>1788</v>
      </c>
      <c r="C130" s="679" t="s">
        <v>1321</v>
      </c>
      <c r="D130" s="679" t="s">
        <v>38</v>
      </c>
      <c r="G130" s="650" t="s">
        <v>754</v>
      </c>
      <c r="H130" s="650" t="s">
        <v>1789</v>
      </c>
    </row>
    <row r="131" spans="1:8" ht="14.25" customHeight="1">
      <c r="A131" s="689" t="s">
        <v>1790</v>
      </c>
      <c r="B131" s="678" t="s">
        <v>1791</v>
      </c>
      <c r="C131" s="679" t="s">
        <v>1321</v>
      </c>
      <c r="D131" s="679" t="s">
        <v>32</v>
      </c>
      <c r="G131" s="650" t="s">
        <v>755</v>
      </c>
      <c r="H131" s="650" t="s">
        <v>1792</v>
      </c>
    </row>
    <row r="132" spans="1:8" ht="14.25" customHeight="1">
      <c r="A132" s="689" t="s">
        <v>1793</v>
      </c>
      <c r="B132" s="678" t="s">
        <v>1794</v>
      </c>
      <c r="C132" s="679" t="s">
        <v>1321</v>
      </c>
      <c r="D132" s="679" t="s">
        <v>36</v>
      </c>
      <c r="G132" s="650" t="s">
        <v>961</v>
      </c>
      <c r="H132" s="650" t="s">
        <v>1795</v>
      </c>
    </row>
    <row r="133" spans="1:8" ht="14.25" customHeight="1">
      <c r="A133" s="689" t="s">
        <v>1796</v>
      </c>
      <c r="B133" s="678" t="s">
        <v>1797</v>
      </c>
      <c r="C133" s="679" t="s">
        <v>1321</v>
      </c>
      <c r="D133" s="679" t="s">
        <v>1344</v>
      </c>
      <c r="G133" s="650" t="s">
        <v>756</v>
      </c>
      <c r="H133" s="650" t="s">
        <v>1798</v>
      </c>
    </row>
    <row r="134" spans="1:8" ht="14.25" customHeight="1">
      <c r="A134" s="678" t="s">
        <v>1799</v>
      </c>
      <c r="B134" s="678" t="s">
        <v>1800</v>
      </c>
      <c r="C134" s="679" t="s">
        <v>1321</v>
      </c>
      <c r="D134" s="679" t="s">
        <v>1344</v>
      </c>
      <c r="G134" s="650" t="s">
        <v>757</v>
      </c>
      <c r="H134" s="650" t="s">
        <v>1801</v>
      </c>
    </row>
    <row r="135" spans="1:8" ht="14.25" customHeight="1">
      <c r="A135" s="689" t="s">
        <v>1802</v>
      </c>
      <c r="B135" s="678" t="s">
        <v>1803</v>
      </c>
      <c r="C135" s="679" t="s">
        <v>1321</v>
      </c>
      <c r="D135" s="679" t="s">
        <v>57</v>
      </c>
      <c r="G135" s="650" t="s">
        <v>758</v>
      </c>
      <c r="H135" s="650" t="s">
        <v>1804</v>
      </c>
    </row>
    <row r="136" spans="1:8" ht="14.25" customHeight="1">
      <c r="A136" s="689" t="s">
        <v>1805</v>
      </c>
      <c r="B136" s="678" t="s">
        <v>1806</v>
      </c>
      <c r="C136" s="679" t="s">
        <v>1321</v>
      </c>
      <c r="D136" s="679" t="s">
        <v>32</v>
      </c>
      <c r="G136" s="650" t="s">
        <v>759</v>
      </c>
      <c r="H136" s="650" t="s">
        <v>1807</v>
      </c>
    </row>
    <row r="137" spans="1:8" ht="14.25" customHeight="1">
      <c r="A137" s="689" t="s">
        <v>1808</v>
      </c>
      <c r="B137" s="678" t="s">
        <v>1809</v>
      </c>
      <c r="C137" s="679" t="s">
        <v>1321</v>
      </c>
      <c r="D137" s="679" t="s">
        <v>1344</v>
      </c>
      <c r="G137" s="650" t="s">
        <v>723</v>
      </c>
      <c r="H137" s="650" t="s">
        <v>761</v>
      </c>
    </row>
    <row r="138" spans="1:8" ht="14.25" customHeight="1">
      <c r="A138" s="689" t="s">
        <v>1810</v>
      </c>
      <c r="B138" s="678" t="s">
        <v>1811</v>
      </c>
      <c r="C138" s="679" t="s">
        <v>1321</v>
      </c>
      <c r="D138" s="679" t="s">
        <v>42</v>
      </c>
      <c r="G138" s="650" t="s">
        <v>760</v>
      </c>
      <c r="H138" s="650" t="s">
        <v>1812</v>
      </c>
    </row>
    <row r="139" spans="1:8" ht="14.25" customHeight="1">
      <c r="A139" s="689" t="s">
        <v>1813</v>
      </c>
      <c r="B139" s="678" t="s">
        <v>1814</v>
      </c>
      <c r="C139" s="679" t="s">
        <v>1321</v>
      </c>
      <c r="D139" s="679" t="s">
        <v>1344</v>
      </c>
      <c r="G139" s="650" t="s">
        <v>762</v>
      </c>
      <c r="H139" s="650" t="s">
        <v>1815</v>
      </c>
    </row>
    <row r="140" spans="1:8" ht="14.25" customHeight="1">
      <c r="A140" s="689" t="s">
        <v>1816</v>
      </c>
      <c r="B140" s="678" t="s">
        <v>1817</v>
      </c>
      <c r="C140" s="679" t="s">
        <v>1321</v>
      </c>
      <c r="D140" s="679" t="s">
        <v>46</v>
      </c>
      <c r="G140" s="650" t="s">
        <v>763</v>
      </c>
      <c r="H140" s="650" t="s">
        <v>1818</v>
      </c>
    </row>
    <row r="141" spans="1:8" ht="14.25" customHeight="1">
      <c r="A141" s="689" t="s">
        <v>1819</v>
      </c>
      <c r="B141" s="678" t="s">
        <v>1820</v>
      </c>
      <c r="C141" s="679" t="s">
        <v>1321</v>
      </c>
      <c r="D141" s="679">
        <v>0</v>
      </c>
      <c r="G141" s="650" t="s">
        <v>764</v>
      </c>
      <c r="H141" s="650" t="s">
        <v>1821</v>
      </c>
    </row>
    <row r="142" spans="1:8" ht="14.25" customHeight="1">
      <c r="A142" s="689" t="s">
        <v>1822</v>
      </c>
      <c r="B142" s="678" t="s">
        <v>1823</v>
      </c>
      <c r="C142" s="679" t="s">
        <v>1321</v>
      </c>
      <c r="D142" s="679" t="s">
        <v>46</v>
      </c>
      <c r="G142" s="650" t="s">
        <v>765</v>
      </c>
      <c r="H142" s="650" t="s">
        <v>1824</v>
      </c>
    </row>
    <row r="143" spans="1:8" ht="14.25" customHeight="1">
      <c r="A143" s="689" t="s">
        <v>1825</v>
      </c>
      <c r="B143" s="678" t="s">
        <v>1826</v>
      </c>
      <c r="C143" s="679" t="s">
        <v>1321</v>
      </c>
      <c r="D143" s="679" t="s">
        <v>48</v>
      </c>
      <c r="G143" s="650" t="s">
        <v>766</v>
      </c>
      <c r="H143" s="650" t="s">
        <v>1827</v>
      </c>
    </row>
    <row r="144" spans="1:8" ht="14.25" customHeight="1">
      <c r="A144" s="689" t="s">
        <v>1828</v>
      </c>
      <c r="B144" s="678" t="s">
        <v>1829</v>
      </c>
      <c r="C144" s="679" t="s">
        <v>1321</v>
      </c>
      <c r="D144" s="679" t="s">
        <v>48</v>
      </c>
      <c r="G144" s="650" t="s">
        <v>767</v>
      </c>
      <c r="H144" s="650" t="s">
        <v>1830</v>
      </c>
    </row>
    <row r="145" spans="1:8" ht="14.25" customHeight="1">
      <c r="A145" s="689" t="s">
        <v>1831</v>
      </c>
      <c r="B145" s="678" t="s">
        <v>1832</v>
      </c>
      <c r="C145" s="679" t="s">
        <v>1321</v>
      </c>
      <c r="D145" s="679" t="s">
        <v>154</v>
      </c>
      <c r="G145" s="650" t="s">
        <v>768</v>
      </c>
      <c r="H145" s="650" t="s">
        <v>1833</v>
      </c>
    </row>
    <row r="146" spans="1:8" ht="14.25" customHeight="1">
      <c r="A146" s="689" t="s">
        <v>1834</v>
      </c>
      <c r="B146" s="678" t="s">
        <v>1835</v>
      </c>
      <c r="C146" s="679" t="s">
        <v>1321</v>
      </c>
      <c r="D146" s="679" t="s">
        <v>46</v>
      </c>
      <c r="G146" s="650" t="s">
        <v>769</v>
      </c>
      <c r="H146" s="650" t="s">
        <v>1836</v>
      </c>
    </row>
    <row r="147" spans="1:8" ht="14.25" customHeight="1">
      <c r="A147" s="689" t="s">
        <v>1837</v>
      </c>
      <c r="B147" s="678" t="s">
        <v>1838</v>
      </c>
      <c r="C147" s="679" t="s">
        <v>1321</v>
      </c>
      <c r="D147" s="679">
        <v>0</v>
      </c>
      <c r="G147" s="650" t="s">
        <v>770</v>
      </c>
      <c r="H147" s="650" t="s">
        <v>1839</v>
      </c>
    </row>
    <row r="148" spans="1:8" ht="14.25" customHeight="1">
      <c r="A148" s="689" t="s">
        <v>1840</v>
      </c>
      <c r="B148" s="678" t="s">
        <v>1841</v>
      </c>
      <c r="C148" s="679" t="s">
        <v>1321</v>
      </c>
      <c r="D148" s="679" t="s">
        <v>46</v>
      </c>
      <c r="G148" s="650" t="s">
        <v>962</v>
      </c>
      <c r="H148" s="650" t="s">
        <v>964</v>
      </c>
    </row>
    <row r="149" spans="1:8" ht="14.25" customHeight="1">
      <c r="A149" s="689" t="s">
        <v>1842</v>
      </c>
      <c r="B149" s="678" t="s">
        <v>1843</v>
      </c>
      <c r="C149" s="679" t="s">
        <v>1321</v>
      </c>
      <c r="D149" s="679">
        <v>0</v>
      </c>
      <c r="G149" s="650" t="s">
        <v>965</v>
      </c>
      <c r="H149" s="650" t="s">
        <v>966</v>
      </c>
    </row>
    <row r="150" spans="1:8" ht="14.25" customHeight="1">
      <c r="A150" s="689" t="s">
        <v>1844</v>
      </c>
      <c r="B150" s="678" t="s">
        <v>1845</v>
      </c>
      <c r="C150" s="679" t="s">
        <v>1321</v>
      </c>
      <c r="D150" s="679" t="s">
        <v>50</v>
      </c>
      <c r="G150" s="650" t="s">
        <v>1369</v>
      </c>
      <c r="H150" s="650" t="s">
        <v>1846</v>
      </c>
    </row>
    <row r="151" spans="1:8" ht="14.25" customHeight="1">
      <c r="A151" s="689" t="s">
        <v>1847</v>
      </c>
      <c r="B151" s="678" t="s">
        <v>1848</v>
      </c>
      <c r="C151" s="679" t="s">
        <v>1321</v>
      </c>
      <c r="D151" s="679" t="s">
        <v>50</v>
      </c>
      <c r="G151" s="650" t="s">
        <v>1409</v>
      </c>
      <c r="H151" s="650" t="s">
        <v>1408</v>
      </c>
    </row>
    <row r="152" spans="1:8" ht="14.25" customHeight="1">
      <c r="A152" s="689" t="s">
        <v>1849</v>
      </c>
      <c r="B152" s="678" t="s">
        <v>1850</v>
      </c>
      <c r="C152" s="679" t="s">
        <v>1321</v>
      </c>
      <c r="D152" s="679" t="s">
        <v>50</v>
      </c>
      <c r="G152" s="650" t="s">
        <v>1370</v>
      </c>
      <c r="H152" s="650" t="s">
        <v>1431</v>
      </c>
    </row>
    <row r="153" spans="1:8" ht="14.25" customHeight="1">
      <c r="A153" s="689" t="s">
        <v>1851</v>
      </c>
      <c r="B153" s="678" t="s">
        <v>1852</v>
      </c>
      <c r="C153" s="679" t="s">
        <v>1321</v>
      </c>
      <c r="D153" s="679" t="s">
        <v>56</v>
      </c>
      <c r="G153" s="650" t="s">
        <v>1411</v>
      </c>
      <c r="H153" s="650" t="s">
        <v>1410</v>
      </c>
    </row>
    <row r="154" spans="1:8" ht="14.25" customHeight="1">
      <c r="A154" s="689" t="s">
        <v>1853</v>
      </c>
      <c r="B154" s="678" t="s">
        <v>1854</v>
      </c>
      <c r="C154" s="679" t="s">
        <v>1321</v>
      </c>
      <c r="D154" s="679" t="s">
        <v>58</v>
      </c>
      <c r="G154" s="650" t="s">
        <v>1371</v>
      </c>
      <c r="H154" s="650" t="s">
        <v>1432</v>
      </c>
    </row>
    <row r="155" spans="1:8" ht="14.25" customHeight="1">
      <c r="A155" s="689" t="s">
        <v>1855</v>
      </c>
      <c r="B155" s="678" t="s">
        <v>1856</v>
      </c>
      <c r="C155" s="679" t="s">
        <v>1321</v>
      </c>
      <c r="D155" s="679" t="s">
        <v>50</v>
      </c>
      <c r="G155" s="650" t="s">
        <v>1413</v>
      </c>
      <c r="H155" s="650" t="s">
        <v>1412</v>
      </c>
    </row>
    <row r="156" spans="1:8" ht="14.25" customHeight="1">
      <c r="A156" s="689" t="s">
        <v>1857</v>
      </c>
      <c r="B156" s="678" t="s">
        <v>1858</v>
      </c>
      <c r="C156" s="679" t="s">
        <v>1321</v>
      </c>
      <c r="D156" s="679" t="s">
        <v>50</v>
      </c>
      <c r="G156" s="650" t="s">
        <v>967</v>
      </c>
      <c r="H156" s="650" t="s">
        <v>968</v>
      </c>
    </row>
    <row r="157" spans="1:8" ht="14.25" customHeight="1">
      <c r="A157" s="689" t="s">
        <v>1859</v>
      </c>
      <c r="B157" s="678" t="s">
        <v>1860</v>
      </c>
      <c r="C157" s="679" t="s">
        <v>1321</v>
      </c>
      <c r="D157" s="679" t="s">
        <v>60</v>
      </c>
      <c r="G157" s="650" t="s">
        <v>969</v>
      </c>
      <c r="H157" s="650" t="s">
        <v>970</v>
      </c>
    </row>
    <row r="158" spans="1:8" ht="14.25" customHeight="1">
      <c r="A158" s="689" t="s">
        <v>1861</v>
      </c>
      <c r="B158" s="678" t="s">
        <v>1862</v>
      </c>
      <c r="C158" s="679" t="s">
        <v>1321</v>
      </c>
      <c r="D158" s="679" t="s">
        <v>60</v>
      </c>
      <c r="G158" s="650" t="s">
        <v>771</v>
      </c>
      <c r="H158" s="650" t="s">
        <v>978</v>
      </c>
    </row>
    <row r="159" spans="1:8" ht="14.25" customHeight="1">
      <c r="A159" s="689" t="s">
        <v>1863</v>
      </c>
      <c r="B159" s="678" t="s">
        <v>1864</v>
      </c>
      <c r="C159" s="679" t="s">
        <v>1321</v>
      </c>
      <c r="D159" s="679" t="s">
        <v>60</v>
      </c>
      <c r="G159" s="650" t="s">
        <v>1372</v>
      </c>
      <c r="H159" s="650" t="s">
        <v>972</v>
      </c>
    </row>
    <row r="160" spans="1:8" ht="14.25" customHeight="1">
      <c r="A160" s="689" t="s">
        <v>1865</v>
      </c>
      <c r="B160" s="678" t="s">
        <v>1866</v>
      </c>
      <c r="C160" s="679" t="s">
        <v>1321</v>
      </c>
      <c r="D160" s="679" t="s">
        <v>60</v>
      </c>
      <c r="G160" s="650" t="s">
        <v>1414</v>
      </c>
      <c r="H160" s="650" t="s">
        <v>973</v>
      </c>
    </row>
    <row r="161" spans="1:8" ht="14.25" customHeight="1">
      <c r="A161" s="689" t="s">
        <v>1867</v>
      </c>
      <c r="B161" s="678" t="s">
        <v>1868</v>
      </c>
      <c r="C161" s="679" t="s">
        <v>1321</v>
      </c>
      <c r="D161" s="679" t="s">
        <v>60</v>
      </c>
      <c r="G161" s="650" t="s">
        <v>1373</v>
      </c>
      <c r="H161" s="650" t="s">
        <v>1869</v>
      </c>
    </row>
    <row r="162" spans="1:8" ht="14.25" customHeight="1">
      <c r="A162" s="689" t="s">
        <v>1870</v>
      </c>
      <c r="B162" s="678" t="s">
        <v>1871</v>
      </c>
      <c r="C162" s="679" t="s">
        <v>1321</v>
      </c>
      <c r="D162" s="679" t="s">
        <v>57</v>
      </c>
      <c r="G162" s="650" t="s">
        <v>1416</v>
      </c>
      <c r="H162" s="650" t="s">
        <v>1415</v>
      </c>
    </row>
    <row r="163" spans="1:8" ht="14.25" customHeight="1">
      <c r="A163" s="689" t="s">
        <v>1872</v>
      </c>
      <c r="B163" s="678" t="s">
        <v>1873</v>
      </c>
      <c r="C163" s="679" t="s">
        <v>1321</v>
      </c>
      <c r="D163" s="679" t="s">
        <v>60</v>
      </c>
      <c r="G163" s="650" t="s">
        <v>1374</v>
      </c>
      <c r="H163" s="650" t="s">
        <v>1435</v>
      </c>
    </row>
    <row r="164" spans="1:8" ht="14.25" customHeight="1">
      <c r="A164" s="689" t="s">
        <v>1874</v>
      </c>
      <c r="B164" s="678" t="s">
        <v>1875</v>
      </c>
      <c r="C164" s="679" t="s">
        <v>1321</v>
      </c>
      <c r="D164" s="679" t="s">
        <v>60</v>
      </c>
      <c r="G164" s="650" t="s">
        <v>1418</v>
      </c>
      <c r="H164" s="650" t="s">
        <v>1417</v>
      </c>
    </row>
    <row r="165" spans="1:8" ht="14.25" customHeight="1">
      <c r="A165" s="678" t="s">
        <v>1876</v>
      </c>
      <c r="B165" s="678" t="s">
        <v>1877</v>
      </c>
      <c r="C165" s="679" t="s">
        <v>1321</v>
      </c>
      <c r="D165" s="679" t="s">
        <v>60</v>
      </c>
      <c r="G165" s="650" t="s">
        <v>979</v>
      </c>
      <c r="H165" s="650" t="s">
        <v>980</v>
      </c>
    </row>
    <row r="166" spans="1:8" ht="14.25" customHeight="1">
      <c r="A166" s="689" t="s">
        <v>1878</v>
      </c>
      <c r="B166" s="678" t="s">
        <v>1879</v>
      </c>
      <c r="C166" s="679" t="s">
        <v>1321</v>
      </c>
      <c r="D166" s="679" t="s">
        <v>60</v>
      </c>
      <c r="G166" s="650" t="s">
        <v>981</v>
      </c>
      <c r="H166" s="650" t="s">
        <v>982</v>
      </c>
    </row>
    <row r="167" spans="1:8" ht="14.25" customHeight="1">
      <c r="A167" s="689" t="s">
        <v>1880</v>
      </c>
      <c r="B167" s="678" t="s">
        <v>1881</v>
      </c>
      <c r="C167" s="679" t="s">
        <v>1321</v>
      </c>
      <c r="D167" s="679" t="s">
        <v>60</v>
      </c>
      <c r="G167" s="650" t="s">
        <v>986</v>
      </c>
      <c r="H167" s="650" t="s">
        <v>987</v>
      </c>
    </row>
    <row r="168" spans="1:8" ht="14.25" customHeight="1">
      <c r="A168" s="689" t="s">
        <v>1882</v>
      </c>
      <c r="B168" s="678" t="s">
        <v>1883</v>
      </c>
      <c r="C168" s="679" t="s">
        <v>1321</v>
      </c>
      <c r="D168" s="679" t="s">
        <v>60</v>
      </c>
      <c r="G168" s="650" t="s">
        <v>988</v>
      </c>
      <c r="H168" s="650" t="s">
        <v>989</v>
      </c>
    </row>
    <row r="169" spans="1:8" ht="14.25" customHeight="1">
      <c r="A169" s="689" t="s">
        <v>1884</v>
      </c>
      <c r="B169" s="678" t="s">
        <v>1885</v>
      </c>
      <c r="C169" s="679" t="s">
        <v>1321</v>
      </c>
      <c r="D169" s="679" t="s">
        <v>57</v>
      </c>
      <c r="G169" s="650" t="s">
        <v>990</v>
      </c>
      <c r="H169" s="650" t="s">
        <v>991</v>
      </c>
    </row>
    <row r="170" spans="1:8" ht="14.25" customHeight="1">
      <c r="A170" s="678" t="s">
        <v>1886</v>
      </c>
      <c r="B170" s="678" t="s">
        <v>1887</v>
      </c>
      <c r="C170" s="679" t="s">
        <v>1321</v>
      </c>
      <c r="D170" s="679" t="s">
        <v>57</v>
      </c>
      <c r="G170" s="650" t="s">
        <v>992</v>
      </c>
      <c r="H170" s="650" t="s">
        <v>993</v>
      </c>
    </row>
    <row r="171" spans="1:8" ht="14.25" customHeight="1">
      <c r="A171" s="689" t="s">
        <v>1888</v>
      </c>
      <c r="B171" s="678" t="s">
        <v>1889</v>
      </c>
      <c r="C171" s="679" t="s">
        <v>1321</v>
      </c>
      <c r="D171" s="679" t="s">
        <v>60</v>
      </c>
      <c r="G171" s="650" t="s">
        <v>1376</v>
      </c>
      <c r="H171" s="650" t="s">
        <v>1433</v>
      </c>
    </row>
    <row r="172" spans="1:8" ht="14.25" customHeight="1">
      <c r="A172" s="689" t="s">
        <v>1890</v>
      </c>
      <c r="B172" s="678" t="s">
        <v>1891</v>
      </c>
      <c r="C172" s="679" t="s">
        <v>1321</v>
      </c>
      <c r="D172" s="679" t="s">
        <v>60</v>
      </c>
      <c r="G172" s="650" t="s">
        <v>1421</v>
      </c>
      <c r="H172" s="650" t="s">
        <v>1420</v>
      </c>
    </row>
    <row r="173" spans="1:8" ht="14.25" customHeight="1">
      <c r="A173" s="689" t="s">
        <v>1892</v>
      </c>
      <c r="B173" s="678" t="s">
        <v>1893</v>
      </c>
      <c r="C173" s="679" t="s">
        <v>1321</v>
      </c>
      <c r="D173" s="679" t="s">
        <v>60</v>
      </c>
      <c r="G173" s="650" t="s">
        <v>994</v>
      </c>
      <c r="H173" s="650" t="s">
        <v>995</v>
      </c>
    </row>
    <row r="174" spans="1:8" ht="14.25" customHeight="1">
      <c r="A174" s="689" t="s">
        <v>1894</v>
      </c>
      <c r="B174" s="678" t="s">
        <v>1895</v>
      </c>
      <c r="C174" s="679" t="s">
        <v>1321</v>
      </c>
      <c r="D174" s="679" t="s">
        <v>60</v>
      </c>
      <c r="G174" s="650" t="s">
        <v>996</v>
      </c>
      <c r="H174" s="650" t="s">
        <v>997</v>
      </c>
    </row>
    <row r="175" spans="1:8" ht="14.25" customHeight="1">
      <c r="A175" s="689" t="s">
        <v>1896</v>
      </c>
      <c r="B175" s="678" t="s">
        <v>1359</v>
      </c>
      <c r="C175" s="679" t="s">
        <v>1321</v>
      </c>
      <c r="D175" s="679" t="s">
        <v>60</v>
      </c>
      <c r="G175" s="650" t="s">
        <v>998</v>
      </c>
      <c r="H175" s="650" t="s">
        <v>999</v>
      </c>
    </row>
    <row r="176" spans="1:8" ht="14.25" customHeight="1">
      <c r="A176" s="678" t="s">
        <v>1897</v>
      </c>
      <c r="B176" s="678" t="s">
        <v>1898</v>
      </c>
      <c r="C176" s="679" t="s">
        <v>1321</v>
      </c>
      <c r="D176" s="679" t="s">
        <v>60</v>
      </c>
      <c r="G176" s="650" t="s">
        <v>1000</v>
      </c>
      <c r="H176" s="650" t="s">
        <v>1001</v>
      </c>
    </row>
    <row r="177" spans="1:8" ht="14.25" customHeight="1">
      <c r="A177" s="689" t="s">
        <v>1899</v>
      </c>
      <c r="B177" s="678" t="s">
        <v>1900</v>
      </c>
      <c r="C177" s="679" t="s">
        <v>1321</v>
      </c>
      <c r="D177" s="679" t="s">
        <v>60</v>
      </c>
      <c r="G177" s="650" t="s">
        <v>1006</v>
      </c>
      <c r="H177" s="650" t="s">
        <v>1007</v>
      </c>
    </row>
    <row r="178" spans="1:8" ht="14.25" customHeight="1">
      <c r="A178" s="689" t="s">
        <v>1901</v>
      </c>
      <c r="B178" s="678" t="s">
        <v>1902</v>
      </c>
      <c r="C178" s="679" t="s">
        <v>1321</v>
      </c>
      <c r="D178" s="679" t="s">
        <v>70</v>
      </c>
      <c r="G178" s="650" t="s">
        <v>1008</v>
      </c>
      <c r="H178" s="650" t="s">
        <v>1009</v>
      </c>
    </row>
    <row r="179" spans="1:8" ht="14.25" customHeight="1">
      <c r="A179" s="689" t="s">
        <v>1903</v>
      </c>
      <c r="B179" s="678" t="s">
        <v>1904</v>
      </c>
      <c r="C179" s="679" t="s">
        <v>1321</v>
      </c>
      <c r="D179" s="679" t="s">
        <v>70</v>
      </c>
      <c r="G179" s="650" t="s">
        <v>773</v>
      </c>
      <c r="H179" s="650" t="s">
        <v>1905</v>
      </c>
    </row>
    <row r="180" spans="1:8" ht="14.25" customHeight="1">
      <c r="A180" s="689" t="s">
        <v>1906</v>
      </c>
      <c r="B180" s="678" t="s">
        <v>1907</v>
      </c>
      <c r="C180" s="679" t="s">
        <v>1321</v>
      </c>
      <c r="D180" s="679" t="s">
        <v>70</v>
      </c>
      <c r="G180" s="650" t="s">
        <v>1010</v>
      </c>
      <c r="H180" s="650" t="s">
        <v>1011</v>
      </c>
    </row>
    <row r="181" spans="1:8" ht="14.25" customHeight="1">
      <c r="A181" s="689" t="s">
        <v>1908</v>
      </c>
      <c r="B181" s="678" t="s">
        <v>1909</v>
      </c>
      <c r="C181" s="679" t="s">
        <v>1321</v>
      </c>
      <c r="D181" s="679" t="s">
        <v>70</v>
      </c>
      <c r="G181" s="650" t="s">
        <v>1012</v>
      </c>
      <c r="H181" s="650" t="s">
        <v>1013</v>
      </c>
    </row>
    <row r="182" spans="1:8" ht="14.25" customHeight="1">
      <c r="A182" s="689" t="s">
        <v>1910</v>
      </c>
      <c r="B182" s="678" t="s">
        <v>1911</v>
      </c>
      <c r="C182" s="679" t="s">
        <v>1321</v>
      </c>
      <c r="D182" s="679" t="s">
        <v>74</v>
      </c>
      <c r="G182" s="650" t="s">
        <v>774</v>
      </c>
      <c r="H182" s="650" t="s">
        <v>1912</v>
      </c>
    </row>
    <row r="183" spans="1:8" ht="14.25" customHeight="1">
      <c r="A183" s="689" t="s">
        <v>1913</v>
      </c>
      <c r="B183" s="678" t="s">
        <v>1914</v>
      </c>
      <c r="C183" s="679" t="s">
        <v>1321</v>
      </c>
      <c r="D183" s="679" t="s">
        <v>74</v>
      </c>
      <c r="G183" s="650" t="s">
        <v>775</v>
      </c>
      <c r="H183" s="650" t="s">
        <v>1915</v>
      </c>
    </row>
    <row r="184" spans="1:8" ht="14.25" customHeight="1">
      <c r="A184" s="689" t="s">
        <v>1916</v>
      </c>
      <c r="B184" s="678" t="s">
        <v>1917</v>
      </c>
      <c r="C184" s="679" t="s">
        <v>1321</v>
      </c>
      <c r="D184" s="679" t="s">
        <v>74</v>
      </c>
      <c r="G184" s="650" t="s">
        <v>776</v>
      </c>
      <c r="H184" s="650" t="s">
        <v>1918</v>
      </c>
    </row>
    <row r="185" spans="1:8" ht="14.25" customHeight="1">
      <c r="A185" s="689" t="s">
        <v>1919</v>
      </c>
      <c r="B185" s="678" t="s">
        <v>1920</v>
      </c>
      <c r="C185" s="679" t="s">
        <v>1321</v>
      </c>
      <c r="D185" s="679" t="s">
        <v>74</v>
      </c>
      <c r="G185" s="650" t="s">
        <v>777</v>
      </c>
      <c r="H185" s="650" t="s">
        <v>1921</v>
      </c>
    </row>
    <row r="186" spans="1:8" ht="14.25" customHeight="1">
      <c r="A186" s="689" t="s">
        <v>1922</v>
      </c>
      <c r="B186" s="678" t="s">
        <v>1923</v>
      </c>
      <c r="C186" s="679" t="s">
        <v>1321</v>
      </c>
      <c r="D186" s="679" t="s">
        <v>74</v>
      </c>
      <c r="G186" s="650" t="s">
        <v>778</v>
      </c>
      <c r="H186" s="650" t="s">
        <v>1924</v>
      </c>
    </row>
    <row r="187" spans="1:8" ht="14.25" customHeight="1">
      <c r="A187" s="689" t="s">
        <v>1925</v>
      </c>
      <c r="B187" s="678" t="s">
        <v>1926</v>
      </c>
      <c r="C187" s="679" t="s">
        <v>1321</v>
      </c>
      <c r="D187" s="679" t="s">
        <v>74</v>
      </c>
      <c r="G187" s="650" t="s">
        <v>779</v>
      </c>
      <c r="H187" s="650" t="s">
        <v>1927</v>
      </c>
    </row>
    <row r="188" spans="1:8" ht="14.25" customHeight="1">
      <c r="A188" s="689" t="s">
        <v>1928</v>
      </c>
      <c r="B188" s="678" t="s">
        <v>1929</v>
      </c>
      <c r="C188" s="679" t="s">
        <v>1321</v>
      </c>
      <c r="D188" s="679" t="s">
        <v>77</v>
      </c>
      <c r="G188" s="650" t="s">
        <v>780</v>
      </c>
      <c r="H188" s="650" t="s">
        <v>1930</v>
      </c>
    </row>
    <row r="189" spans="1:8" ht="14.25" customHeight="1">
      <c r="A189" s="689" t="s">
        <v>1931</v>
      </c>
      <c r="B189" s="678" t="s">
        <v>1932</v>
      </c>
      <c r="C189" s="679" t="s">
        <v>1321</v>
      </c>
      <c r="D189" s="679" t="s">
        <v>77</v>
      </c>
      <c r="G189" s="650" t="s">
        <v>1014</v>
      </c>
      <c r="H189" s="650" t="s">
        <v>1933</v>
      </c>
    </row>
    <row r="190" spans="1:8" ht="14.25" customHeight="1">
      <c r="A190" s="689" t="s">
        <v>1934</v>
      </c>
      <c r="B190" s="678" t="s">
        <v>1935</v>
      </c>
      <c r="C190" s="679" t="s">
        <v>1321</v>
      </c>
      <c r="D190" s="679" t="s">
        <v>1936</v>
      </c>
      <c r="G190" s="650" t="s">
        <v>1016</v>
      </c>
      <c r="H190" s="650" t="s">
        <v>1017</v>
      </c>
    </row>
    <row r="191" spans="1:8" ht="14.25" customHeight="1">
      <c r="A191" s="689" t="s">
        <v>1937</v>
      </c>
      <c r="B191" s="678" t="s">
        <v>1938</v>
      </c>
      <c r="C191" s="679" t="s">
        <v>1321</v>
      </c>
      <c r="D191" s="679" t="s">
        <v>1936</v>
      </c>
      <c r="G191" s="650" t="s">
        <v>781</v>
      </c>
      <c r="H191" s="650" t="s">
        <v>1939</v>
      </c>
    </row>
    <row r="192" spans="1:8" ht="14.25" customHeight="1">
      <c r="A192" s="689" t="s">
        <v>1940</v>
      </c>
      <c r="B192" s="678" t="s">
        <v>1941</v>
      </c>
      <c r="C192" s="679" t="s">
        <v>1321</v>
      </c>
      <c r="D192" s="679" t="s">
        <v>77</v>
      </c>
      <c r="G192" s="650" t="s">
        <v>1018</v>
      </c>
      <c r="H192" s="650" t="s">
        <v>1942</v>
      </c>
    </row>
    <row r="193" spans="1:8" ht="14.25" customHeight="1">
      <c r="A193" s="689" t="s">
        <v>1943</v>
      </c>
      <c r="B193" s="678" t="s">
        <v>1944</v>
      </c>
      <c r="C193" s="679" t="s">
        <v>1321</v>
      </c>
      <c r="D193" s="679" t="s">
        <v>77</v>
      </c>
      <c r="G193" s="650" t="s">
        <v>1020</v>
      </c>
      <c r="H193" s="650" t="s">
        <v>1021</v>
      </c>
    </row>
    <row r="194" spans="1:8" ht="14.25" customHeight="1">
      <c r="A194" s="689" t="s">
        <v>1945</v>
      </c>
      <c r="B194" s="678" t="s">
        <v>1946</v>
      </c>
      <c r="C194" s="679" t="s">
        <v>1321</v>
      </c>
      <c r="D194" s="679" t="s">
        <v>1936</v>
      </c>
      <c r="G194" s="650" t="s">
        <v>782</v>
      </c>
      <c r="H194" s="650" t="s">
        <v>1947</v>
      </c>
    </row>
    <row r="195" spans="1:8" ht="14.25" customHeight="1">
      <c r="A195" s="689" t="s">
        <v>1948</v>
      </c>
      <c r="B195" s="678" t="s">
        <v>1949</v>
      </c>
      <c r="C195" s="679" t="s">
        <v>1321</v>
      </c>
      <c r="D195" s="679" t="s">
        <v>1936</v>
      </c>
      <c r="G195" s="650" t="s">
        <v>783</v>
      </c>
      <c r="H195" s="650" t="s">
        <v>1950</v>
      </c>
    </row>
    <row r="196" spans="1:8" ht="14.25" customHeight="1">
      <c r="A196" s="689" t="s">
        <v>1951</v>
      </c>
      <c r="B196" s="678" t="s">
        <v>1952</v>
      </c>
      <c r="C196" s="679" t="s">
        <v>1321</v>
      </c>
      <c r="D196" s="679" t="s">
        <v>76</v>
      </c>
      <c r="G196" s="650" t="s">
        <v>1022</v>
      </c>
      <c r="H196" s="650" t="s">
        <v>1023</v>
      </c>
    </row>
    <row r="197" spans="1:8" ht="14.25" customHeight="1">
      <c r="A197" s="689" t="s">
        <v>1953</v>
      </c>
      <c r="B197" s="678" t="s">
        <v>1954</v>
      </c>
      <c r="C197" s="679" t="s">
        <v>1321</v>
      </c>
      <c r="D197" s="679" t="s">
        <v>76</v>
      </c>
      <c r="G197" s="650" t="s">
        <v>1022</v>
      </c>
      <c r="H197" s="650" t="s">
        <v>1024</v>
      </c>
    </row>
    <row r="198" spans="1:8" ht="14.25" customHeight="1">
      <c r="A198" s="689" t="s">
        <v>1955</v>
      </c>
      <c r="B198" s="678" t="s">
        <v>1956</v>
      </c>
      <c r="C198" s="679" t="s">
        <v>1321</v>
      </c>
      <c r="D198" s="679" t="s">
        <v>76</v>
      </c>
      <c r="G198" s="650" t="s">
        <v>1025</v>
      </c>
      <c r="H198" s="650" t="s">
        <v>1026</v>
      </c>
    </row>
    <row r="199" spans="1:8" ht="14.25" customHeight="1">
      <c r="A199" s="689" t="s">
        <v>1957</v>
      </c>
      <c r="B199" s="678" t="s">
        <v>1958</v>
      </c>
      <c r="C199" s="679" t="s">
        <v>1321</v>
      </c>
      <c r="D199" s="679" t="s">
        <v>76</v>
      </c>
      <c r="G199" s="650" t="s">
        <v>1424</v>
      </c>
      <c r="H199" s="650" t="s">
        <v>1423</v>
      </c>
    </row>
    <row r="200" spans="1:8" ht="14.25" customHeight="1">
      <c r="A200" s="689" t="s">
        <v>1959</v>
      </c>
      <c r="B200" s="678" t="s">
        <v>897</v>
      </c>
      <c r="C200" s="679" t="s">
        <v>1321</v>
      </c>
      <c r="D200" s="679" t="s">
        <v>79</v>
      </c>
      <c r="G200" s="650" t="s">
        <v>1027</v>
      </c>
      <c r="H200" s="650" t="s">
        <v>1028</v>
      </c>
    </row>
    <row r="201" spans="1:8" ht="14.25" customHeight="1">
      <c r="A201" s="689" t="s">
        <v>1960</v>
      </c>
      <c r="B201" s="678" t="s">
        <v>1961</v>
      </c>
      <c r="C201" s="679" t="s">
        <v>1321</v>
      </c>
      <c r="D201" s="679" t="s">
        <v>1962</v>
      </c>
      <c r="G201" s="650" t="s">
        <v>1027</v>
      </c>
      <c r="H201" s="650" t="s">
        <v>1029</v>
      </c>
    </row>
    <row r="202" spans="1:8" ht="14.25" customHeight="1">
      <c r="A202" s="678" t="s">
        <v>1963</v>
      </c>
      <c r="B202" s="678" t="s">
        <v>1964</v>
      </c>
      <c r="C202" s="679" t="s">
        <v>1321</v>
      </c>
      <c r="D202" s="679" t="s">
        <v>1344</v>
      </c>
      <c r="G202" s="650" t="s">
        <v>1030</v>
      </c>
      <c r="H202" s="650" t="s">
        <v>1031</v>
      </c>
    </row>
    <row r="203" spans="1:8" ht="14.25" customHeight="1">
      <c r="A203" s="689" t="s">
        <v>1965</v>
      </c>
      <c r="B203" s="678" t="s">
        <v>1966</v>
      </c>
      <c r="C203" s="679" t="s">
        <v>1321</v>
      </c>
      <c r="D203" s="679" t="s">
        <v>47</v>
      </c>
      <c r="G203" s="650" t="s">
        <v>1030</v>
      </c>
      <c r="H203" s="650" t="s">
        <v>1032</v>
      </c>
    </row>
    <row r="204" spans="1:8" ht="14.25" customHeight="1">
      <c r="A204" s="688" t="s">
        <v>1967</v>
      </c>
      <c r="B204" s="688" t="s">
        <v>1968</v>
      </c>
      <c r="C204" s="679" t="s">
        <v>1321</v>
      </c>
      <c r="D204" s="679" t="s">
        <v>35</v>
      </c>
      <c r="G204" s="650" t="s">
        <v>1379</v>
      </c>
      <c r="H204" s="650" t="s">
        <v>1969</v>
      </c>
    </row>
    <row r="205" spans="1:8" ht="14.25" customHeight="1">
      <c r="A205" s="689" t="s">
        <v>1970</v>
      </c>
      <c r="B205" s="678" t="s">
        <v>1971</v>
      </c>
      <c r="C205" s="679" t="s">
        <v>1321</v>
      </c>
      <c r="D205" s="679" t="s">
        <v>35</v>
      </c>
      <c r="G205" s="650" t="s">
        <v>1426</v>
      </c>
      <c r="H205" s="650" t="s">
        <v>1425</v>
      </c>
    </row>
    <row r="206" spans="1:8" ht="14.25" customHeight="1">
      <c r="A206" s="689" t="s">
        <v>1972</v>
      </c>
      <c r="B206" s="678" t="s">
        <v>1973</v>
      </c>
      <c r="C206" s="679" t="s">
        <v>1321</v>
      </c>
      <c r="D206" s="679" t="s">
        <v>35</v>
      </c>
      <c r="G206" s="650" t="s">
        <v>1033</v>
      </c>
      <c r="H206" s="650" t="s">
        <v>1974</v>
      </c>
    </row>
    <row r="207" spans="1:8" ht="14.25" customHeight="1">
      <c r="A207" s="689" t="s">
        <v>1975</v>
      </c>
      <c r="B207" s="678" t="s">
        <v>1976</v>
      </c>
      <c r="C207" s="679" t="s">
        <v>1321</v>
      </c>
      <c r="D207" s="679" t="s">
        <v>35</v>
      </c>
      <c r="G207" s="650" t="s">
        <v>1033</v>
      </c>
      <c r="H207" s="650" t="s">
        <v>1035</v>
      </c>
    </row>
    <row r="208" spans="1:8" ht="14.25" customHeight="1">
      <c r="A208" s="689" t="s">
        <v>1977</v>
      </c>
      <c r="B208" s="678" t="s">
        <v>1978</v>
      </c>
      <c r="C208" s="679" t="s">
        <v>1321</v>
      </c>
      <c r="D208" s="679" t="s">
        <v>35</v>
      </c>
      <c r="G208" s="650" t="s">
        <v>1036</v>
      </c>
      <c r="H208" s="650" t="s">
        <v>1037</v>
      </c>
    </row>
    <row r="209" spans="1:8" ht="14.25" customHeight="1">
      <c r="A209" s="689" t="s">
        <v>1979</v>
      </c>
      <c r="B209" s="678" t="s">
        <v>1980</v>
      </c>
      <c r="C209" s="679" t="s">
        <v>1321</v>
      </c>
      <c r="D209" s="679" t="s">
        <v>35</v>
      </c>
      <c r="G209" s="650" t="s">
        <v>1036</v>
      </c>
      <c r="H209" s="650" t="s">
        <v>1038</v>
      </c>
    </row>
    <row r="210" spans="1:8" ht="14.25" customHeight="1">
      <c r="A210" s="689" t="s">
        <v>1981</v>
      </c>
      <c r="B210" s="678" t="s">
        <v>1982</v>
      </c>
      <c r="C210" s="679" t="s">
        <v>1321</v>
      </c>
      <c r="D210" s="679" t="s">
        <v>43</v>
      </c>
      <c r="G210" s="650" t="s">
        <v>1039</v>
      </c>
      <c r="H210" s="650" t="s">
        <v>1040</v>
      </c>
    </row>
    <row r="211" spans="1:8" ht="14.25" customHeight="1">
      <c r="A211" s="689" t="s">
        <v>1983</v>
      </c>
      <c r="B211" s="678" t="s">
        <v>1984</v>
      </c>
      <c r="C211" s="679" t="s">
        <v>1321</v>
      </c>
      <c r="D211" s="679" t="s">
        <v>43</v>
      </c>
      <c r="G211" s="650" t="s">
        <v>1041</v>
      </c>
      <c r="H211" s="650" t="s">
        <v>1042</v>
      </c>
    </row>
    <row r="212" spans="1:8" ht="14.25" customHeight="1">
      <c r="A212" s="689" t="s">
        <v>1985</v>
      </c>
      <c r="B212" s="678" t="s">
        <v>1986</v>
      </c>
      <c r="C212" s="679" t="s">
        <v>1321</v>
      </c>
      <c r="D212" s="679" t="s">
        <v>43</v>
      </c>
      <c r="G212" s="650" t="s">
        <v>1043</v>
      </c>
      <c r="H212" s="650" t="s">
        <v>1044</v>
      </c>
    </row>
    <row r="213" spans="1:8" ht="14.25" customHeight="1">
      <c r="A213" s="689" t="s">
        <v>1987</v>
      </c>
      <c r="B213" s="678" t="s">
        <v>1988</v>
      </c>
      <c r="C213" s="679" t="s">
        <v>1321</v>
      </c>
      <c r="D213" s="679" t="s">
        <v>43</v>
      </c>
      <c r="G213" s="650" t="s">
        <v>1045</v>
      </c>
      <c r="H213" s="650" t="s">
        <v>1046</v>
      </c>
    </row>
    <row r="214" spans="1:8" ht="14.25" customHeight="1">
      <c r="A214" s="689" t="s">
        <v>1989</v>
      </c>
      <c r="B214" s="678" t="s">
        <v>1990</v>
      </c>
      <c r="C214" s="679" t="s">
        <v>1321</v>
      </c>
      <c r="D214" s="679" t="s">
        <v>33</v>
      </c>
      <c r="G214" s="650" t="s">
        <v>1050</v>
      </c>
      <c r="H214" s="650" t="s">
        <v>1051</v>
      </c>
    </row>
    <row r="215" spans="1:8" ht="14.25" customHeight="1">
      <c r="A215" s="689" t="s">
        <v>1991</v>
      </c>
      <c r="B215" s="678" t="s">
        <v>1992</v>
      </c>
      <c r="C215" s="679" t="s">
        <v>1321</v>
      </c>
      <c r="D215" s="679" t="s">
        <v>43</v>
      </c>
      <c r="G215" s="650" t="s">
        <v>1052</v>
      </c>
      <c r="H215" s="650" t="s">
        <v>1053</v>
      </c>
    </row>
    <row r="216" spans="1:8" ht="14.25" customHeight="1">
      <c r="A216" s="689" t="s">
        <v>1993</v>
      </c>
      <c r="B216" s="678" t="s">
        <v>1994</v>
      </c>
      <c r="C216" s="679" t="s">
        <v>1321</v>
      </c>
      <c r="D216" s="679" t="s">
        <v>57</v>
      </c>
      <c r="G216" s="650" t="s">
        <v>1054</v>
      </c>
      <c r="H216" s="650" t="s">
        <v>1055</v>
      </c>
    </row>
    <row r="217" spans="1:8" ht="14.25" customHeight="1">
      <c r="A217" s="689" t="s">
        <v>1995</v>
      </c>
      <c r="B217" s="678" t="s">
        <v>1996</v>
      </c>
      <c r="C217" s="679" t="s">
        <v>1321</v>
      </c>
      <c r="D217" s="679" t="s">
        <v>57</v>
      </c>
      <c r="G217" s="650" t="s">
        <v>1056</v>
      </c>
      <c r="H217" s="650" t="s">
        <v>1057</v>
      </c>
    </row>
    <row r="218" spans="1:8" ht="14.25" customHeight="1">
      <c r="A218" s="689" t="s">
        <v>1997</v>
      </c>
      <c r="B218" s="678" t="s">
        <v>1998</v>
      </c>
      <c r="C218" s="679" t="s">
        <v>1321</v>
      </c>
      <c r="D218" s="679" t="s">
        <v>28</v>
      </c>
      <c r="G218" s="650" t="s">
        <v>1058</v>
      </c>
      <c r="H218" s="650" t="s">
        <v>1059</v>
      </c>
    </row>
    <row r="219" spans="1:8" ht="14.25" customHeight="1">
      <c r="A219" s="678" t="s">
        <v>1999</v>
      </c>
      <c r="B219" s="678" t="s">
        <v>2000</v>
      </c>
      <c r="C219" s="679" t="s">
        <v>1321</v>
      </c>
      <c r="D219" s="679" t="s">
        <v>55</v>
      </c>
      <c r="G219" s="650" t="s">
        <v>1060</v>
      </c>
      <c r="H219" s="650" t="s">
        <v>1061</v>
      </c>
    </row>
    <row r="220" spans="1:8" ht="14.25" customHeight="1">
      <c r="A220" s="689" t="s">
        <v>2001</v>
      </c>
      <c r="B220" s="678" t="s">
        <v>2002</v>
      </c>
      <c r="C220" s="679" t="s">
        <v>1321</v>
      </c>
      <c r="D220" s="679" t="s">
        <v>55</v>
      </c>
      <c r="G220" s="650" t="s">
        <v>1062</v>
      </c>
      <c r="H220" s="650" t="s">
        <v>1063</v>
      </c>
    </row>
    <row r="221" spans="1:8" ht="14.25" customHeight="1">
      <c r="A221" s="689" t="s">
        <v>2003</v>
      </c>
      <c r="B221" s="678" t="s">
        <v>2004</v>
      </c>
      <c r="C221" s="679" t="s">
        <v>1321</v>
      </c>
      <c r="D221" s="679" t="s">
        <v>55</v>
      </c>
      <c r="G221" s="650" t="s">
        <v>1064</v>
      </c>
      <c r="H221" s="650" t="s">
        <v>1065</v>
      </c>
    </row>
    <row r="222" spans="1:8" ht="14.25" customHeight="1">
      <c r="A222" s="689" t="s">
        <v>2005</v>
      </c>
      <c r="B222" s="678" t="s">
        <v>2006</v>
      </c>
      <c r="C222" s="679" t="s">
        <v>1321</v>
      </c>
      <c r="D222" s="679" t="s">
        <v>55</v>
      </c>
      <c r="G222" s="650" t="s">
        <v>1066</v>
      </c>
      <c r="H222" s="650" t="s">
        <v>1067</v>
      </c>
    </row>
    <row r="223" spans="1:8" ht="14.25" customHeight="1">
      <c r="A223" s="689" t="s">
        <v>2007</v>
      </c>
      <c r="B223" s="678" t="s">
        <v>936</v>
      </c>
      <c r="C223" s="679" t="s">
        <v>1321</v>
      </c>
      <c r="D223" s="679" t="s">
        <v>55</v>
      </c>
      <c r="G223" s="650" t="s">
        <v>1068</v>
      </c>
      <c r="H223" s="650" t="s">
        <v>1069</v>
      </c>
    </row>
    <row r="224" spans="1:8" ht="14.25" customHeight="1">
      <c r="A224" s="689" t="s">
        <v>2008</v>
      </c>
      <c r="B224" s="678" t="s">
        <v>2009</v>
      </c>
      <c r="C224" s="679" t="s">
        <v>1321</v>
      </c>
      <c r="D224" s="679" t="s">
        <v>39</v>
      </c>
      <c r="G224" s="650" t="s">
        <v>1070</v>
      </c>
      <c r="H224" s="650" t="s">
        <v>1071</v>
      </c>
    </row>
    <row r="225" spans="1:8" ht="14.25" customHeight="1">
      <c r="A225" s="689" t="s">
        <v>2010</v>
      </c>
      <c r="B225" s="678" t="s">
        <v>2011</v>
      </c>
      <c r="C225" s="679" t="s">
        <v>1321</v>
      </c>
      <c r="D225" s="679" t="s">
        <v>53</v>
      </c>
      <c r="G225" s="650" t="s">
        <v>1072</v>
      </c>
      <c r="H225" s="650" t="s">
        <v>1073</v>
      </c>
    </row>
    <row r="226" spans="1:8" ht="14.25" customHeight="1">
      <c r="A226" s="689" t="s">
        <v>2012</v>
      </c>
      <c r="B226" s="678" t="s">
        <v>2013</v>
      </c>
      <c r="C226" s="679" t="s">
        <v>1321</v>
      </c>
      <c r="D226" s="679" t="s">
        <v>53</v>
      </c>
      <c r="G226" s="650" t="s">
        <v>1074</v>
      </c>
      <c r="H226" s="650" t="s">
        <v>1075</v>
      </c>
    </row>
    <row r="227" spans="1:8" ht="14.25" customHeight="1">
      <c r="A227" s="689" t="s">
        <v>2014</v>
      </c>
      <c r="B227" s="678" t="s">
        <v>2015</v>
      </c>
      <c r="C227" s="679" t="s">
        <v>1321</v>
      </c>
      <c r="D227" s="679" t="s">
        <v>53</v>
      </c>
      <c r="G227" s="650" t="s">
        <v>1066</v>
      </c>
      <c r="H227" s="650" t="s">
        <v>1076</v>
      </c>
    </row>
    <row r="228" spans="1:8" ht="14.25" customHeight="1">
      <c r="A228" s="689" t="s">
        <v>2016</v>
      </c>
      <c r="B228" s="678" t="s">
        <v>2017</v>
      </c>
      <c r="C228" s="679" t="s">
        <v>1321</v>
      </c>
      <c r="D228" s="679" t="s">
        <v>53</v>
      </c>
      <c r="G228" s="650" t="s">
        <v>1077</v>
      </c>
      <c r="H228" s="650" t="s">
        <v>1142</v>
      </c>
    </row>
    <row r="229" spans="1:8" ht="14.25" customHeight="1">
      <c r="A229" s="678" t="s">
        <v>2018</v>
      </c>
      <c r="B229" s="678" t="s">
        <v>2019</v>
      </c>
      <c r="C229" s="679" t="s">
        <v>1321</v>
      </c>
      <c r="D229" s="679" t="s">
        <v>53</v>
      </c>
      <c r="G229" s="650" t="s">
        <v>1079</v>
      </c>
      <c r="H229" s="650" t="s">
        <v>1080</v>
      </c>
    </row>
    <row r="230" spans="1:8" ht="14.25" customHeight="1">
      <c r="A230" s="678" t="s">
        <v>2020</v>
      </c>
      <c r="B230" s="678" t="s">
        <v>2021</v>
      </c>
      <c r="C230" s="679" t="s">
        <v>1321</v>
      </c>
      <c r="D230" s="679" t="s">
        <v>71</v>
      </c>
      <c r="G230" s="650" t="s">
        <v>1077</v>
      </c>
      <c r="H230" s="650" t="s">
        <v>2022</v>
      </c>
    </row>
    <row r="231" spans="1:8" ht="14.25" customHeight="1">
      <c r="A231" s="689" t="s">
        <v>2023</v>
      </c>
      <c r="B231" s="678" t="s">
        <v>954</v>
      </c>
      <c r="C231" s="679" t="s">
        <v>1321</v>
      </c>
      <c r="D231" s="679" t="s">
        <v>57</v>
      </c>
      <c r="G231" s="650" t="s">
        <v>1428</v>
      </c>
      <c r="H231" s="650" t="s">
        <v>1427</v>
      </c>
    </row>
    <row r="232" spans="1:8" ht="14.25" customHeight="1">
      <c r="A232" s="689" t="s">
        <v>2024</v>
      </c>
      <c r="B232" s="678" t="s">
        <v>2025</v>
      </c>
      <c r="C232" s="679" t="s">
        <v>1321</v>
      </c>
      <c r="D232" s="679" t="s">
        <v>84</v>
      </c>
      <c r="G232" s="650" t="s">
        <v>1085</v>
      </c>
      <c r="H232" s="650" t="s">
        <v>1086</v>
      </c>
    </row>
    <row r="233" spans="1:8" ht="14.25" customHeight="1">
      <c r="A233" s="689" t="s">
        <v>2026</v>
      </c>
      <c r="B233" s="678" t="s">
        <v>2027</v>
      </c>
      <c r="C233" s="679" t="s">
        <v>1321</v>
      </c>
      <c r="D233" s="679" t="s">
        <v>86</v>
      </c>
      <c r="G233" s="650" t="s">
        <v>1087</v>
      </c>
      <c r="H233" s="650" t="s">
        <v>1088</v>
      </c>
    </row>
    <row r="234" spans="1:8" ht="14.25" customHeight="1">
      <c r="A234" s="690" t="s">
        <v>2028</v>
      </c>
      <c r="B234" s="685" t="s">
        <v>2029</v>
      </c>
      <c r="C234" s="679" t="s">
        <v>92</v>
      </c>
      <c r="D234" s="679" t="s">
        <v>97</v>
      </c>
      <c r="G234" s="650" t="s">
        <v>1089</v>
      </c>
      <c r="H234" s="650" t="s">
        <v>1090</v>
      </c>
    </row>
    <row r="235" spans="1:8" ht="14.25" customHeight="1">
      <c r="A235" s="690" t="s">
        <v>2030</v>
      </c>
      <c r="B235" s="685" t="s">
        <v>2031</v>
      </c>
      <c r="C235" s="679" t="s">
        <v>92</v>
      </c>
      <c r="D235" s="679" t="s">
        <v>97</v>
      </c>
      <c r="G235" s="650" t="s">
        <v>1091</v>
      </c>
      <c r="H235" s="650" t="s">
        <v>1092</v>
      </c>
    </row>
    <row r="236" spans="1:8" ht="14.25" customHeight="1">
      <c r="A236" s="685" t="s">
        <v>2032</v>
      </c>
      <c r="B236" s="685" t="s">
        <v>2033</v>
      </c>
      <c r="C236" s="679" t="s">
        <v>92</v>
      </c>
      <c r="D236" s="679" t="s">
        <v>97</v>
      </c>
      <c r="G236" s="650" t="s">
        <v>1093</v>
      </c>
      <c r="H236" s="650" t="s">
        <v>1094</v>
      </c>
    </row>
    <row r="237" spans="1:8" ht="14.25" customHeight="1">
      <c r="A237" s="690" t="s">
        <v>2034</v>
      </c>
      <c r="B237" s="685" t="s">
        <v>2035</v>
      </c>
      <c r="C237" s="679" t="s">
        <v>92</v>
      </c>
      <c r="D237" s="679" t="s">
        <v>97</v>
      </c>
      <c r="G237" s="650" t="s">
        <v>1095</v>
      </c>
      <c r="H237" s="650" t="s">
        <v>1096</v>
      </c>
    </row>
    <row r="238" spans="1:8" ht="14.25" customHeight="1">
      <c r="A238" s="690" t="s">
        <v>2036</v>
      </c>
      <c r="B238" s="685" t="s">
        <v>2037</v>
      </c>
      <c r="C238" s="679" t="s">
        <v>92</v>
      </c>
      <c r="D238" s="679" t="s">
        <v>97</v>
      </c>
      <c r="G238" s="650" t="s">
        <v>1097</v>
      </c>
      <c r="H238" s="650" t="s">
        <v>1098</v>
      </c>
    </row>
    <row r="239" spans="1:8" ht="14.25" customHeight="1">
      <c r="A239" s="690" t="s">
        <v>2038</v>
      </c>
      <c r="B239" s="685" t="s">
        <v>2039</v>
      </c>
      <c r="C239" s="679" t="s">
        <v>92</v>
      </c>
      <c r="D239" s="679" t="s">
        <v>97</v>
      </c>
      <c r="G239" s="650" t="s">
        <v>1099</v>
      </c>
      <c r="H239" s="650" t="s">
        <v>1100</v>
      </c>
    </row>
    <row r="240" spans="1:8" ht="14.25" customHeight="1">
      <c r="A240" s="690" t="s">
        <v>2040</v>
      </c>
      <c r="B240" s="685" t="s">
        <v>2041</v>
      </c>
      <c r="C240" s="679" t="s">
        <v>92</v>
      </c>
      <c r="D240" s="679" t="s">
        <v>97</v>
      </c>
      <c r="G240" s="650" t="s">
        <v>1101</v>
      </c>
      <c r="H240" s="650" t="s">
        <v>1102</v>
      </c>
    </row>
    <row r="241" spans="1:8" ht="14.25" customHeight="1">
      <c r="A241" s="690" t="s">
        <v>2042</v>
      </c>
      <c r="B241" s="685" t="s">
        <v>2043</v>
      </c>
      <c r="C241" s="679" t="s">
        <v>92</v>
      </c>
      <c r="D241" s="679" t="s">
        <v>97</v>
      </c>
      <c r="G241" s="650" t="s">
        <v>1103</v>
      </c>
      <c r="H241" s="650" t="s">
        <v>1104</v>
      </c>
    </row>
    <row r="242" spans="1:8" ht="14.25" customHeight="1">
      <c r="A242" s="677" t="s">
        <v>2044</v>
      </c>
      <c r="B242" s="685" t="s">
        <v>2045</v>
      </c>
      <c r="C242" s="679" t="s">
        <v>92</v>
      </c>
      <c r="D242" s="679" t="s">
        <v>98</v>
      </c>
      <c r="G242" s="650" t="s">
        <v>1105</v>
      </c>
      <c r="H242" s="650" t="s">
        <v>1106</v>
      </c>
    </row>
    <row r="243" spans="1:8" ht="14.25" customHeight="1">
      <c r="A243" s="690" t="s">
        <v>2046</v>
      </c>
      <c r="B243" s="685" t="s">
        <v>2047</v>
      </c>
      <c r="C243" s="679" t="s">
        <v>92</v>
      </c>
      <c r="D243" s="679" t="s">
        <v>97</v>
      </c>
      <c r="G243" s="650" t="s">
        <v>1105</v>
      </c>
      <c r="H243" s="650" t="s">
        <v>1107</v>
      </c>
    </row>
    <row r="244" spans="1:8" ht="14.25" customHeight="1">
      <c r="A244" s="690" t="s">
        <v>2048</v>
      </c>
      <c r="B244" s="685" t="s">
        <v>2049</v>
      </c>
      <c r="C244" s="679" t="s">
        <v>92</v>
      </c>
      <c r="D244" s="679" t="s">
        <v>97</v>
      </c>
      <c r="G244" s="650" t="s">
        <v>1108</v>
      </c>
      <c r="H244" s="650" t="s">
        <v>2050</v>
      </c>
    </row>
    <row r="245" spans="1:8" ht="14.25" customHeight="1">
      <c r="A245" s="690" t="s">
        <v>2051</v>
      </c>
      <c r="B245" s="685" t="s">
        <v>2052</v>
      </c>
      <c r="C245" s="679" t="s">
        <v>92</v>
      </c>
      <c r="D245" s="679" t="s">
        <v>97</v>
      </c>
      <c r="G245" s="650" t="s">
        <v>724</v>
      </c>
      <c r="H245" s="650" t="s">
        <v>785</v>
      </c>
    </row>
    <row r="246" spans="1:8" ht="14.25" customHeight="1">
      <c r="A246" s="690" t="s">
        <v>2053</v>
      </c>
      <c r="B246" s="685" t="s">
        <v>2054</v>
      </c>
      <c r="C246" s="679" t="s">
        <v>92</v>
      </c>
      <c r="D246" s="679" t="s">
        <v>97</v>
      </c>
      <c r="G246" s="650" t="s">
        <v>784</v>
      </c>
      <c r="H246" s="650" t="s">
        <v>2055</v>
      </c>
    </row>
    <row r="247" spans="1:8" ht="14.25" customHeight="1">
      <c r="A247" s="685" t="s">
        <v>2056</v>
      </c>
      <c r="B247" s="685" t="s">
        <v>2057</v>
      </c>
      <c r="C247" s="679" t="s">
        <v>92</v>
      </c>
      <c r="D247" s="679" t="s">
        <v>97</v>
      </c>
      <c r="G247" s="650" t="s">
        <v>1109</v>
      </c>
      <c r="H247" s="650" t="s">
        <v>2058</v>
      </c>
    </row>
    <row r="248" spans="1:8" ht="14.25" customHeight="1">
      <c r="A248" s="690" t="s">
        <v>2059</v>
      </c>
      <c r="B248" s="685" t="s">
        <v>2060</v>
      </c>
      <c r="C248" s="679" t="s">
        <v>92</v>
      </c>
      <c r="D248" s="679" t="s">
        <v>97</v>
      </c>
      <c r="G248" s="650" t="s">
        <v>1380</v>
      </c>
      <c r="H248" s="650" t="s">
        <v>2061</v>
      </c>
    </row>
    <row r="249" spans="1:8" ht="14.25" customHeight="1">
      <c r="A249" s="689" t="s">
        <v>2062</v>
      </c>
      <c r="B249" s="678" t="s">
        <v>2063</v>
      </c>
      <c r="C249" s="679" t="s">
        <v>92</v>
      </c>
      <c r="D249" s="679" t="s">
        <v>97</v>
      </c>
      <c r="G249" s="650" t="s">
        <v>1381</v>
      </c>
      <c r="H249" s="650" t="s">
        <v>2064</v>
      </c>
    </row>
    <row r="250" spans="1:8" ht="14.25" customHeight="1">
      <c r="A250" s="690" t="s">
        <v>2065</v>
      </c>
      <c r="B250" s="685" t="s">
        <v>2066</v>
      </c>
      <c r="C250" s="679" t="s">
        <v>92</v>
      </c>
      <c r="D250" s="679" t="s">
        <v>98</v>
      </c>
      <c r="G250" s="650" t="s">
        <v>1382</v>
      </c>
      <c r="H250" s="650" t="s">
        <v>2067</v>
      </c>
    </row>
    <row r="251" spans="1:8" ht="14.25" customHeight="1">
      <c r="A251" s="689" t="s">
        <v>2068</v>
      </c>
      <c r="B251" s="678" t="s">
        <v>2069</v>
      </c>
      <c r="C251" s="679" t="s">
        <v>92</v>
      </c>
      <c r="D251" s="679" t="s">
        <v>98</v>
      </c>
      <c r="G251" s="650" t="s">
        <v>1111</v>
      </c>
      <c r="H251" s="650" t="s">
        <v>2070</v>
      </c>
    </row>
    <row r="252" spans="1:8" ht="14.25" customHeight="1">
      <c r="A252" s="690" t="s">
        <v>2071</v>
      </c>
      <c r="B252" s="685" t="s">
        <v>2072</v>
      </c>
      <c r="C252" s="679" t="s">
        <v>92</v>
      </c>
      <c r="D252" s="679" t="s">
        <v>98</v>
      </c>
      <c r="G252" s="650" t="s">
        <v>786</v>
      </c>
      <c r="H252" s="650" t="s">
        <v>1113</v>
      </c>
    </row>
    <row r="253" spans="1:8" ht="14.25" customHeight="1">
      <c r="A253" s="718" t="s">
        <v>2073</v>
      </c>
      <c r="B253" s="719" t="s">
        <v>2074</v>
      </c>
      <c r="C253" s="679" t="s">
        <v>92</v>
      </c>
      <c r="D253" s="679" t="s">
        <v>98</v>
      </c>
      <c r="G253" s="650" t="s">
        <v>1383</v>
      </c>
      <c r="H253" s="650" t="s">
        <v>2075</v>
      </c>
    </row>
    <row r="254" spans="1:8" ht="14.25" customHeight="1">
      <c r="A254" s="720" t="s">
        <v>2076</v>
      </c>
      <c r="B254" s="685" t="s">
        <v>2077</v>
      </c>
      <c r="C254" s="679" t="s">
        <v>92</v>
      </c>
      <c r="D254" s="679" t="s">
        <v>97</v>
      </c>
      <c r="G254" s="650" t="s">
        <v>1384</v>
      </c>
      <c r="H254" s="650" t="s">
        <v>2078</v>
      </c>
    </row>
    <row r="255" spans="1:8" ht="14.25" customHeight="1">
      <c r="A255" s="718" t="s">
        <v>2079</v>
      </c>
      <c r="B255" s="678" t="s">
        <v>2080</v>
      </c>
      <c r="C255" s="679" t="s">
        <v>92</v>
      </c>
      <c r="D255" s="679" t="s">
        <v>97</v>
      </c>
      <c r="G255" s="650" t="s">
        <v>1385</v>
      </c>
      <c r="H255" s="650" t="s">
        <v>2081</v>
      </c>
    </row>
    <row r="256" spans="1:8" ht="14.25" customHeight="1">
      <c r="A256" s="720" t="s">
        <v>2082</v>
      </c>
      <c r="B256" s="685" t="s">
        <v>2083</v>
      </c>
      <c r="C256" s="679" t="s">
        <v>92</v>
      </c>
      <c r="D256" s="679" t="s">
        <v>98</v>
      </c>
      <c r="G256" s="650" t="s">
        <v>1114</v>
      </c>
      <c r="H256" s="650" t="s">
        <v>2084</v>
      </c>
    </row>
    <row r="257" spans="1:8" ht="14.25" customHeight="1">
      <c r="A257" s="718" t="s">
        <v>2085</v>
      </c>
      <c r="B257" s="719" t="s">
        <v>2086</v>
      </c>
      <c r="C257" s="679" t="s">
        <v>92</v>
      </c>
      <c r="D257" s="679" t="s">
        <v>98</v>
      </c>
      <c r="G257" s="650" t="s">
        <v>787</v>
      </c>
      <c r="H257" s="650" t="s">
        <v>2087</v>
      </c>
    </row>
    <row r="258" spans="1:8" ht="14.25" customHeight="1">
      <c r="A258" s="721" t="s">
        <v>2088</v>
      </c>
      <c r="B258" s="678" t="s">
        <v>2089</v>
      </c>
      <c r="C258" s="679" t="s">
        <v>92</v>
      </c>
      <c r="D258" s="679" t="s">
        <v>98</v>
      </c>
      <c r="G258" s="650" t="s">
        <v>1116</v>
      </c>
      <c r="H258" s="650" t="s">
        <v>2090</v>
      </c>
    </row>
    <row r="259" spans="1:8" ht="14.25" customHeight="1">
      <c r="A259" s="689" t="s">
        <v>2091</v>
      </c>
      <c r="B259" s="678" t="s">
        <v>2092</v>
      </c>
      <c r="C259" s="679" t="s">
        <v>92</v>
      </c>
      <c r="D259" s="679" t="s">
        <v>98</v>
      </c>
      <c r="G259" s="650" t="s">
        <v>1117</v>
      </c>
      <c r="H259" s="650" t="s">
        <v>2093</v>
      </c>
    </row>
    <row r="260" spans="1:8" ht="14.25" customHeight="1">
      <c r="A260" s="690" t="s">
        <v>2094</v>
      </c>
      <c r="B260" s="685" t="s">
        <v>2095</v>
      </c>
      <c r="C260" s="679" t="s">
        <v>92</v>
      </c>
      <c r="D260" s="679" t="s">
        <v>97</v>
      </c>
      <c r="G260" s="650" t="s">
        <v>1386</v>
      </c>
      <c r="H260" s="650" t="s">
        <v>2096</v>
      </c>
    </row>
    <row r="261" spans="1:8" ht="14.25" customHeight="1">
      <c r="A261" s="689" t="s">
        <v>2097</v>
      </c>
      <c r="B261" s="678" t="s">
        <v>2098</v>
      </c>
      <c r="C261" s="679" t="s">
        <v>92</v>
      </c>
      <c r="D261" s="679" t="s">
        <v>97</v>
      </c>
      <c r="G261" s="650" t="s">
        <v>1118</v>
      </c>
      <c r="H261" s="650" t="s">
        <v>2099</v>
      </c>
    </row>
    <row r="262" spans="1:8" ht="14.25" customHeight="1">
      <c r="A262" s="690" t="s">
        <v>2100</v>
      </c>
      <c r="B262" s="685" t="s">
        <v>2101</v>
      </c>
      <c r="C262" s="679" t="s">
        <v>92</v>
      </c>
      <c r="D262" s="679" t="s">
        <v>97</v>
      </c>
      <c r="G262" s="650" t="s">
        <v>1118</v>
      </c>
      <c r="H262" s="650" t="s">
        <v>2102</v>
      </c>
    </row>
    <row r="263" spans="1:8" ht="14.25" customHeight="1">
      <c r="A263" s="689" t="s">
        <v>2103</v>
      </c>
      <c r="B263" s="678" t="s">
        <v>2104</v>
      </c>
      <c r="C263" s="679" t="s">
        <v>92</v>
      </c>
      <c r="D263" s="679" t="s">
        <v>97</v>
      </c>
      <c r="G263" s="650" t="s">
        <v>788</v>
      </c>
      <c r="H263" s="650" t="s">
        <v>1120</v>
      </c>
    </row>
    <row r="264" spans="1:8" ht="14.25" customHeight="1">
      <c r="A264" s="690" t="s">
        <v>2105</v>
      </c>
      <c r="B264" s="685" t="s">
        <v>2106</v>
      </c>
      <c r="C264" s="679" t="s">
        <v>92</v>
      </c>
      <c r="D264" s="679" t="s">
        <v>97</v>
      </c>
      <c r="G264" s="650" t="s">
        <v>1335</v>
      </c>
      <c r="H264" s="650" t="s">
        <v>2107</v>
      </c>
    </row>
    <row r="265" spans="1:8" ht="14.25" customHeight="1">
      <c r="A265" s="689" t="s">
        <v>2108</v>
      </c>
      <c r="B265" s="678" t="s">
        <v>2109</v>
      </c>
      <c r="C265" s="679" t="s">
        <v>92</v>
      </c>
      <c r="D265" s="679" t="s">
        <v>97</v>
      </c>
      <c r="G265" s="650" t="s">
        <v>789</v>
      </c>
      <c r="H265" s="650" t="s">
        <v>2110</v>
      </c>
    </row>
    <row r="266" spans="1:8" ht="14.25" customHeight="1">
      <c r="A266" s="690" t="s">
        <v>2111</v>
      </c>
      <c r="B266" s="685" t="s">
        <v>2112</v>
      </c>
      <c r="C266" s="679" t="s">
        <v>92</v>
      </c>
      <c r="D266" s="679" t="s">
        <v>97</v>
      </c>
      <c r="G266" s="650" t="s">
        <v>1121</v>
      </c>
      <c r="H266" s="650" t="s">
        <v>2113</v>
      </c>
    </row>
    <row r="267" spans="1:8" ht="14.25" customHeight="1">
      <c r="A267" s="689" t="s">
        <v>2114</v>
      </c>
      <c r="B267" s="678" t="s">
        <v>2115</v>
      </c>
      <c r="C267" s="679" t="s">
        <v>92</v>
      </c>
      <c r="D267" s="679" t="s">
        <v>97</v>
      </c>
      <c r="G267" s="650" t="s">
        <v>1122</v>
      </c>
      <c r="H267" s="650" t="s">
        <v>2116</v>
      </c>
    </row>
    <row r="268" spans="1:8" ht="14.25" customHeight="1">
      <c r="A268" s="690" t="s">
        <v>2117</v>
      </c>
      <c r="B268" s="685" t="s">
        <v>2118</v>
      </c>
      <c r="C268" s="679" t="s">
        <v>92</v>
      </c>
      <c r="D268" s="679" t="s">
        <v>97</v>
      </c>
      <c r="G268" s="650" t="s">
        <v>790</v>
      </c>
      <c r="H268" s="650" t="s">
        <v>2119</v>
      </c>
    </row>
    <row r="269" spans="1:8" ht="14.25" customHeight="1">
      <c r="A269" s="690" t="s">
        <v>2120</v>
      </c>
      <c r="B269" s="685" t="s">
        <v>2121</v>
      </c>
      <c r="C269" s="679" t="s">
        <v>92</v>
      </c>
      <c r="D269" s="679" t="s">
        <v>97</v>
      </c>
      <c r="G269" s="650" t="s">
        <v>1123</v>
      </c>
      <c r="H269" s="650" t="s">
        <v>2122</v>
      </c>
    </row>
    <row r="270" spans="1:8" ht="14.25" customHeight="1">
      <c r="A270" s="689" t="s">
        <v>2123</v>
      </c>
      <c r="B270" s="678" t="s">
        <v>2124</v>
      </c>
      <c r="C270" s="679" t="s">
        <v>92</v>
      </c>
      <c r="D270" s="679" t="s">
        <v>97</v>
      </c>
      <c r="G270" s="650" t="s">
        <v>1124</v>
      </c>
      <c r="H270" s="650" t="s">
        <v>2125</v>
      </c>
    </row>
    <row r="271" spans="1:8" ht="14.25" customHeight="1">
      <c r="A271" s="690" t="s">
        <v>2126</v>
      </c>
      <c r="B271" s="685" t="s">
        <v>2127</v>
      </c>
      <c r="C271" s="679" t="s">
        <v>92</v>
      </c>
      <c r="D271" s="679" t="s">
        <v>97</v>
      </c>
      <c r="G271" s="650" t="s">
        <v>791</v>
      </c>
      <c r="H271" s="650" t="s">
        <v>2128</v>
      </c>
    </row>
    <row r="272" spans="1:8" ht="14.25" customHeight="1">
      <c r="A272" s="690" t="s">
        <v>2129</v>
      </c>
      <c r="B272" s="685" t="s">
        <v>2130</v>
      </c>
      <c r="C272" s="679" t="s">
        <v>92</v>
      </c>
      <c r="D272" s="679" t="s">
        <v>97</v>
      </c>
      <c r="G272" s="650" t="s">
        <v>792</v>
      </c>
      <c r="H272" s="650" t="s">
        <v>2131</v>
      </c>
    </row>
    <row r="273" spans="1:8" ht="14.25" customHeight="1">
      <c r="A273" s="685" t="s">
        <v>2132</v>
      </c>
      <c r="B273" s="685" t="s">
        <v>2033</v>
      </c>
      <c r="C273" s="679" t="s">
        <v>92</v>
      </c>
      <c r="D273" s="679" t="s">
        <v>97</v>
      </c>
      <c r="G273" s="650" t="s">
        <v>793</v>
      </c>
      <c r="H273" s="650" t="s">
        <v>2133</v>
      </c>
    </row>
    <row r="274" spans="1:8" ht="14.25" customHeight="1">
      <c r="A274" s="689" t="s">
        <v>2134</v>
      </c>
      <c r="B274" s="678" t="s">
        <v>2135</v>
      </c>
      <c r="C274" s="679" t="s">
        <v>92</v>
      </c>
      <c r="D274" s="679" t="s">
        <v>97</v>
      </c>
      <c r="G274" s="650" t="s">
        <v>1014</v>
      </c>
      <c r="H274" s="650" t="s">
        <v>2136</v>
      </c>
    </row>
    <row r="275" spans="1:8" ht="14.25" customHeight="1">
      <c r="A275" s="685" t="s">
        <v>2137</v>
      </c>
      <c r="B275" s="685" t="s">
        <v>2138</v>
      </c>
      <c r="C275" s="679" t="s">
        <v>92</v>
      </c>
      <c r="D275" s="679" t="s">
        <v>97</v>
      </c>
      <c r="G275" s="650" t="s">
        <v>1125</v>
      </c>
      <c r="H275" s="650" t="s">
        <v>2139</v>
      </c>
    </row>
    <row r="276" spans="1:8" ht="14.25" customHeight="1">
      <c r="A276" s="690" t="s">
        <v>2140</v>
      </c>
      <c r="B276" s="685" t="s">
        <v>2141</v>
      </c>
      <c r="C276" s="679" t="s">
        <v>92</v>
      </c>
      <c r="D276" s="679" t="s">
        <v>97</v>
      </c>
      <c r="G276" s="650" t="s">
        <v>1018</v>
      </c>
      <c r="H276" s="650" t="s">
        <v>2142</v>
      </c>
    </row>
    <row r="277" spans="1:8" ht="14.25" customHeight="1">
      <c r="A277" s="689" t="s">
        <v>2143</v>
      </c>
      <c r="B277" s="678" t="s">
        <v>2144</v>
      </c>
      <c r="C277" s="679" t="s">
        <v>92</v>
      </c>
      <c r="D277" s="679" t="s">
        <v>97</v>
      </c>
      <c r="G277" s="650" t="s">
        <v>1126</v>
      </c>
      <c r="H277" s="650" t="s">
        <v>2145</v>
      </c>
    </row>
    <row r="278" spans="1:8" ht="14.25" customHeight="1">
      <c r="A278" s="690" t="s">
        <v>2146</v>
      </c>
      <c r="B278" s="685" t="s">
        <v>2147</v>
      </c>
      <c r="C278" s="679" t="s">
        <v>92</v>
      </c>
      <c r="D278" s="679" t="s">
        <v>97</v>
      </c>
      <c r="G278" s="650" t="s">
        <v>1127</v>
      </c>
      <c r="H278" s="650" t="s">
        <v>2148</v>
      </c>
    </row>
    <row r="279" spans="1:8" ht="14.25" customHeight="1">
      <c r="A279" s="677" t="s">
        <v>2149</v>
      </c>
      <c r="B279" s="685" t="s">
        <v>2150</v>
      </c>
      <c r="C279" s="679" t="s">
        <v>92</v>
      </c>
      <c r="D279" s="679" t="s">
        <v>98</v>
      </c>
      <c r="G279" s="650" t="s">
        <v>1128</v>
      </c>
      <c r="H279" s="650" t="s">
        <v>2151</v>
      </c>
    </row>
    <row r="280" spans="1:8" ht="14.25" customHeight="1">
      <c r="A280" s="690" t="s">
        <v>2152</v>
      </c>
      <c r="B280" s="685" t="s">
        <v>2153</v>
      </c>
      <c r="C280" s="679" t="s">
        <v>92</v>
      </c>
      <c r="D280" s="679" t="s">
        <v>97</v>
      </c>
      <c r="G280" s="650" t="s">
        <v>1129</v>
      </c>
      <c r="H280" s="650" t="s">
        <v>2154</v>
      </c>
    </row>
    <row r="281" spans="1:8" ht="14.25" customHeight="1">
      <c r="A281" s="690" t="s">
        <v>2155</v>
      </c>
      <c r="B281" s="685" t="s">
        <v>2156</v>
      </c>
      <c r="C281" s="679" t="s">
        <v>92</v>
      </c>
      <c r="D281" s="679" t="s">
        <v>97</v>
      </c>
      <c r="G281" s="650" t="s">
        <v>794</v>
      </c>
      <c r="H281" s="650" t="s">
        <v>2157</v>
      </c>
    </row>
    <row r="282" spans="1:8" ht="14.25" customHeight="1">
      <c r="A282" s="690" t="s">
        <v>2158</v>
      </c>
      <c r="B282" s="685" t="s">
        <v>2159</v>
      </c>
      <c r="C282" s="679" t="s">
        <v>92</v>
      </c>
      <c r="D282" s="679" t="s">
        <v>97</v>
      </c>
      <c r="G282" s="650" t="s">
        <v>1130</v>
      </c>
      <c r="H282" s="650" t="s">
        <v>2160</v>
      </c>
    </row>
    <row r="283" spans="1:8" ht="14.25" customHeight="1">
      <c r="A283" s="689" t="s">
        <v>2161</v>
      </c>
      <c r="B283" s="678" t="s">
        <v>2162</v>
      </c>
      <c r="C283" s="679" t="s">
        <v>92</v>
      </c>
      <c r="D283" s="679" t="s">
        <v>97</v>
      </c>
      <c r="G283" s="650" t="s">
        <v>795</v>
      </c>
      <c r="H283" s="650" t="s">
        <v>2163</v>
      </c>
    </row>
    <row r="284" spans="1:8" ht="14.25" customHeight="1">
      <c r="A284" s="690" t="s">
        <v>2164</v>
      </c>
      <c r="B284" s="685" t="s">
        <v>2165</v>
      </c>
      <c r="C284" s="679" t="s">
        <v>92</v>
      </c>
      <c r="D284" s="679" t="s">
        <v>97</v>
      </c>
      <c r="G284" s="650" t="s">
        <v>1033</v>
      </c>
      <c r="H284" s="650" t="s">
        <v>2166</v>
      </c>
    </row>
    <row r="285" spans="1:8" ht="14.25" customHeight="1">
      <c r="A285" s="690" t="s">
        <v>2167</v>
      </c>
      <c r="B285" s="685" t="s">
        <v>2168</v>
      </c>
      <c r="C285" s="679" t="s">
        <v>92</v>
      </c>
      <c r="D285" s="679" t="s">
        <v>97</v>
      </c>
      <c r="G285" s="650" t="s">
        <v>1036</v>
      </c>
      <c r="H285" s="650" t="s">
        <v>2169</v>
      </c>
    </row>
    <row r="286" spans="1:8" ht="14.25" customHeight="1">
      <c r="A286" s="689" t="s">
        <v>2170</v>
      </c>
      <c r="B286" s="678" t="s">
        <v>2171</v>
      </c>
      <c r="C286" s="679" t="s">
        <v>92</v>
      </c>
      <c r="D286" s="679" t="s">
        <v>97</v>
      </c>
      <c r="G286" s="650" t="s">
        <v>1132</v>
      </c>
      <c r="H286" s="650" t="s">
        <v>2172</v>
      </c>
    </row>
    <row r="287" spans="1:8" ht="14.25" customHeight="1">
      <c r="A287" s="690" t="s">
        <v>2173</v>
      </c>
      <c r="B287" s="685" t="s">
        <v>2174</v>
      </c>
      <c r="C287" s="679" t="s">
        <v>92</v>
      </c>
      <c r="D287" s="679" t="s">
        <v>97</v>
      </c>
      <c r="G287" s="650" t="s">
        <v>1133</v>
      </c>
      <c r="H287" s="650" t="s">
        <v>2175</v>
      </c>
    </row>
    <row r="288" spans="1:8" ht="14.25" customHeight="1">
      <c r="A288" s="690" t="s">
        <v>2176</v>
      </c>
      <c r="B288" s="685" t="s">
        <v>2177</v>
      </c>
      <c r="C288" s="679" t="s">
        <v>92</v>
      </c>
      <c r="D288" s="679" t="s">
        <v>97</v>
      </c>
      <c r="G288" s="650" t="s">
        <v>796</v>
      </c>
      <c r="H288" s="650" t="s">
        <v>2178</v>
      </c>
    </row>
    <row r="289" spans="1:8" ht="14.25" customHeight="1">
      <c r="A289" s="689" t="s">
        <v>2179</v>
      </c>
      <c r="B289" s="678" t="s">
        <v>2180</v>
      </c>
      <c r="C289" s="679" t="s">
        <v>92</v>
      </c>
      <c r="D289" s="679" t="s">
        <v>97</v>
      </c>
      <c r="G289" s="650" t="s">
        <v>797</v>
      </c>
      <c r="H289" s="650" t="s">
        <v>2181</v>
      </c>
    </row>
    <row r="290" spans="1:8" ht="14.25" customHeight="1">
      <c r="A290" s="690" t="s">
        <v>2182</v>
      </c>
      <c r="B290" s="685" t="s">
        <v>2183</v>
      </c>
      <c r="C290" s="679" t="s">
        <v>92</v>
      </c>
      <c r="D290" s="679" t="s">
        <v>97</v>
      </c>
      <c r="G290" s="650" t="s">
        <v>1134</v>
      </c>
      <c r="H290" s="650" t="s">
        <v>2184</v>
      </c>
    </row>
    <row r="291" spans="1:8" ht="14.25" customHeight="1">
      <c r="A291" s="677" t="s">
        <v>2185</v>
      </c>
      <c r="B291" s="685" t="s">
        <v>2186</v>
      </c>
      <c r="C291" s="679" t="s">
        <v>92</v>
      </c>
      <c r="D291" s="679" t="s">
        <v>98</v>
      </c>
      <c r="G291" s="650" t="s">
        <v>1135</v>
      </c>
      <c r="H291" s="650" t="s">
        <v>2187</v>
      </c>
    </row>
    <row r="292" spans="1:8" ht="14.25" customHeight="1">
      <c r="A292" s="690" t="s">
        <v>2188</v>
      </c>
      <c r="B292" s="685" t="s">
        <v>2189</v>
      </c>
      <c r="C292" s="679" t="s">
        <v>92</v>
      </c>
      <c r="D292" s="679" t="s">
        <v>97</v>
      </c>
      <c r="G292" s="650" t="s">
        <v>1136</v>
      </c>
      <c r="H292" s="650" t="s">
        <v>2190</v>
      </c>
    </row>
    <row r="293" spans="1:8" ht="14.25" customHeight="1">
      <c r="A293" s="690" t="s">
        <v>2191</v>
      </c>
      <c r="B293" s="722" t="s">
        <v>2192</v>
      </c>
      <c r="C293" s="679" t="s">
        <v>92</v>
      </c>
      <c r="D293" s="679" t="s">
        <v>97</v>
      </c>
      <c r="G293" s="650" t="s">
        <v>1137</v>
      </c>
      <c r="H293" s="650" t="s">
        <v>2193</v>
      </c>
    </row>
    <row r="294" spans="1:8" ht="14.25" customHeight="1">
      <c r="A294" s="690" t="s">
        <v>2194</v>
      </c>
      <c r="B294" s="722" t="s">
        <v>2195</v>
      </c>
      <c r="C294" s="679" t="s">
        <v>92</v>
      </c>
      <c r="D294" s="679" t="s">
        <v>97</v>
      </c>
      <c r="G294" s="650" t="s">
        <v>1138</v>
      </c>
      <c r="H294" s="650" t="s">
        <v>2196</v>
      </c>
    </row>
    <row r="295" spans="1:8" ht="14.25" customHeight="1">
      <c r="A295" s="689" t="s">
        <v>2197</v>
      </c>
      <c r="B295" s="719" t="s">
        <v>2198</v>
      </c>
      <c r="C295" s="679" t="s">
        <v>92</v>
      </c>
      <c r="D295" s="679" t="s">
        <v>97</v>
      </c>
      <c r="G295" s="650" t="s">
        <v>1139</v>
      </c>
      <c r="H295" s="650" t="s">
        <v>2199</v>
      </c>
    </row>
    <row r="296" spans="1:8" ht="14.25" customHeight="1">
      <c r="A296" s="690" t="s">
        <v>2200</v>
      </c>
      <c r="B296" s="722" t="s">
        <v>2201</v>
      </c>
      <c r="C296" s="679" t="s">
        <v>92</v>
      </c>
      <c r="D296" s="679" t="s">
        <v>97</v>
      </c>
      <c r="G296" s="650" t="s">
        <v>1140</v>
      </c>
      <c r="H296" s="650" t="s">
        <v>2202</v>
      </c>
    </row>
    <row r="297" spans="1:8" ht="14.25" customHeight="1">
      <c r="A297" s="689" t="s">
        <v>2203</v>
      </c>
      <c r="B297" s="719" t="s">
        <v>2204</v>
      </c>
      <c r="C297" s="679" t="s">
        <v>92</v>
      </c>
      <c r="D297" s="679" t="s">
        <v>97</v>
      </c>
      <c r="G297" s="650" t="s">
        <v>1138</v>
      </c>
      <c r="H297" s="650" t="s">
        <v>2205</v>
      </c>
    </row>
    <row r="298" spans="1:8" ht="14.25" customHeight="1">
      <c r="A298" s="690" t="s">
        <v>2206</v>
      </c>
      <c r="B298" s="685" t="s">
        <v>2207</v>
      </c>
      <c r="C298" s="679" t="s">
        <v>92</v>
      </c>
      <c r="D298" s="679" t="s">
        <v>98</v>
      </c>
      <c r="G298" s="650" t="s">
        <v>1141</v>
      </c>
      <c r="H298" s="650" t="s">
        <v>2208</v>
      </c>
    </row>
    <row r="299" spans="1:8" ht="14.25" customHeight="1">
      <c r="A299" s="689" t="s">
        <v>2209</v>
      </c>
      <c r="B299" s="678" t="s">
        <v>2210</v>
      </c>
      <c r="C299" s="679" t="s">
        <v>92</v>
      </c>
      <c r="D299" s="679" t="s">
        <v>98</v>
      </c>
      <c r="G299" s="650" t="s">
        <v>1141</v>
      </c>
      <c r="H299" s="650" t="s">
        <v>2211</v>
      </c>
    </row>
    <row r="300" spans="1:8" ht="14.25" customHeight="1">
      <c r="A300" s="690" t="s">
        <v>2212</v>
      </c>
      <c r="B300" s="685" t="s">
        <v>2213</v>
      </c>
      <c r="C300" s="679" t="s">
        <v>92</v>
      </c>
      <c r="D300" s="679" t="s">
        <v>98</v>
      </c>
      <c r="G300" s="650" t="s">
        <v>1144</v>
      </c>
      <c r="H300" s="650" t="s">
        <v>2214</v>
      </c>
    </row>
    <row r="301" spans="1:8" ht="14.25" customHeight="1">
      <c r="A301" s="689" t="s">
        <v>2215</v>
      </c>
      <c r="B301" s="678" t="s">
        <v>2216</v>
      </c>
      <c r="C301" s="679" t="s">
        <v>92</v>
      </c>
      <c r="D301" s="679" t="s">
        <v>98</v>
      </c>
      <c r="G301" s="650" t="s">
        <v>1145</v>
      </c>
      <c r="H301" s="650" t="s">
        <v>2217</v>
      </c>
    </row>
    <row r="302" spans="1:8" ht="14.25" customHeight="1">
      <c r="A302" s="677" t="s">
        <v>2218</v>
      </c>
      <c r="B302" s="685" t="s">
        <v>2219</v>
      </c>
      <c r="C302" s="679" t="s">
        <v>92</v>
      </c>
      <c r="D302" s="679" t="s">
        <v>98</v>
      </c>
      <c r="G302" s="650" t="s">
        <v>1146</v>
      </c>
      <c r="H302" s="650" t="s">
        <v>2220</v>
      </c>
    </row>
    <row r="303" spans="1:8" ht="14.25" customHeight="1">
      <c r="A303" s="690" t="s">
        <v>2221</v>
      </c>
      <c r="B303" s="685" t="s">
        <v>2222</v>
      </c>
      <c r="C303" s="679" t="s">
        <v>92</v>
      </c>
      <c r="D303" s="679" t="s">
        <v>97</v>
      </c>
      <c r="G303" s="650" t="s">
        <v>1147</v>
      </c>
      <c r="H303" s="650" t="s">
        <v>2223</v>
      </c>
    </row>
    <row r="304" spans="1:8" ht="14.25" customHeight="1">
      <c r="A304" s="690" t="s">
        <v>2224</v>
      </c>
      <c r="B304" s="685" t="s">
        <v>2225</v>
      </c>
      <c r="C304" s="679" t="s">
        <v>92</v>
      </c>
      <c r="D304" s="679" t="s">
        <v>97</v>
      </c>
      <c r="G304" s="650" t="s">
        <v>1148</v>
      </c>
      <c r="H304" s="650" t="s">
        <v>2226</v>
      </c>
    </row>
    <row r="305" spans="1:8" ht="14.25" customHeight="1">
      <c r="A305" s="690" t="s">
        <v>2227</v>
      </c>
      <c r="B305" s="685" t="s">
        <v>2228</v>
      </c>
      <c r="C305" s="679" t="s">
        <v>92</v>
      </c>
      <c r="D305" s="679" t="s">
        <v>97</v>
      </c>
      <c r="G305" s="650" t="s">
        <v>1149</v>
      </c>
      <c r="H305" s="650" t="s">
        <v>2229</v>
      </c>
    </row>
    <row r="306" spans="1:8" ht="14.25" customHeight="1">
      <c r="A306" s="690" t="s">
        <v>2230</v>
      </c>
      <c r="B306" s="685" t="s">
        <v>2231</v>
      </c>
      <c r="C306" s="679" t="s">
        <v>92</v>
      </c>
      <c r="D306" s="679" t="s">
        <v>97</v>
      </c>
      <c r="G306" s="650" t="s">
        <v>1150</v>
      </c>
      <c r="H306" s="650" t="s">
        <v>2232</v>
      </c>
    </row>
    <row r="307" spans="1:8" ht="14.25" customHeight="1">
      <c r="A307" s="689" t="s">
        <v>2233</v>
      </c>
      <c r="B307" s="678" t="s">
        <v>2234</v>
      </c>
      <c r="C307" s="679" t="s">
        <v>92</v>
      </c>
      <c r="D307" s="679" t="s">
        <v>97</v>
      </c>
      <c r="G307" s="650" t="s">
        <v>1387</v>
      </c>
      <c r="H307" s="650" t="s">
        <v>1152</v>
      </c>
    </row>
    <row r="308" spans="1:8" ht="14.25" customHeight="1">
      <c r="A308" s="690" t="s">
        <v>2235</v>
      </c>
      <c r="B308" s="685" t="s">
        <v>2236</v>
      </c>
      <c r="C308" s="679" t="s">
        <v>92</v>
      </c>
      <c r="D308" s="679" t="s">
        <v>97</v>
      </c>
      <c r="G308" s="650" t="s">
        <v>1151</v>
      </c>
      <c r="H308" s="650" t="s">
        <v>2237</v>
      </c>
    </row>
    <row r="309" spans="1:8" ht="14.25" customHeight="1">
      <c r="A309" s="678" t="s">
        <v>2238</v>
      </c>
      <c r="B309" s="678" t="s">
        <v>2239</v>
      </c>
      <c r="C309" s="679" t="s">
        <v>92</v>
      </c>
      <c r="D309" s="679" t="s">
        <v>97</v>
      </c>
      <c r="G309" s="650" t="s">
        <v>725</v>
      </c>
      <c r="H309" s="650" t="s">
        <v>2240</v>
      </c>
    </row>
    <row r="310" spans="1:8" ht="14.25" customHeight="1">
      <c r="A310" s="690" t="s">
        <v>2241</v>
      </c>
      <c r="B310" s="685" t="s">
        <v>2242</v>
      </c>
      <c r="C310" s="679" t="s">
        <v>92</v>
      </c>
      <c r="D310" s="679" t="s">
        <v>97</v>
      </c>
      <c r="G310" s="650" t="s">
        <v>1153</v>
      </c>
      <c r="H310" s="650" t="s">
        <v>1155</v>
      </c>
    </row>
    <row r="311" spans="1:8" ht="14.25" customHeight="1">
      <c r="A311" s="690" t="s">
        <v>2243</v>
      </c>
      <c r="B311" s="685" t="s">
        <v>2244</v>
      </c>
      <c r="C311" s="679" t="s">
        <v>92</v>
      </c>
      <c r="D311" s="679" t="s">
        <v>97</v>
      </c>
      <c r="G311" s="650" t="s">
        <v>1156</v>
      </c>
      <c r="H311" s="650" t="s">
        <v>1157</v>
      </c>
    </row>
    <row r="312" spans="1:8" ht="14.25" customHeight="1">
      <c r="A312" s="690" t="s">
        <v>2245</v>
      </c>
      <c r="B312" s="685" t="s">
        <v>2246</v>
      </c>
      <c r="C312" s="679" t="s">
        <v>92</v>
      </c>
      <c r="D312" s="679" t="s">
        <v>97</v>
      </c>
      <c r="G312" s="650" t="s">
        <v>1158</v>
      </c>
      <c r="H312" s="650" t="s">
        <v>1159</v>
      </c>
    </row>
    <row r="313" spans="1:8" ht="14.25" customHeight="1">
      <c r="A313" s="690" t="s">
        <v>2247</v>
      </c>
      <c r="B313" s="685" t="s">
        <v>2248</v>
      </c>
      <c r="C313" s="679" t="s">
        <v>92</v>
      </c>
      <c r="D313" s="679" t="s">
        <v>97</v>
      </c>
      <c r="G313" s="650" t="s">
        <v>1160</v>
      </c>
      <c r="H313" s="650" t="s">
        <v>1161</v>
      </c>
    </row>
    <row r="314" spans="1:8" ht="14.25" customHeight="1">
      <c r="A314" s="678" t="s">
        <v>2249</v>
      </c>
      <c r="B314" s="678" t="s">
        <v>2250</v>
      </c>
      <c r="C314" s="679" t="s">
        <v>92</v>
      </c>
      <c r="D314" s="679" t="s">
        <v>97</v>
      </c>
      <c r="G314" s="650" t="s">
        <v>1162</v>
      </c>
      <c r="H314" s="650" t="s">
        <v>1163</v>
      </c>
    </row>
    <row r="315" spans="1:8" ht="14.25" customHeight="1">
      <c r="A315" s="690" t="s">
        <v>2251</v>
      </c>
      <c r="B315" s="685" t="s">
        <v>2252</v>
      </c>
      <c r="C315" s="679" t="s">
        <v>92</v>
      </c>
      <c r="D315" s="679" t="s">
        <v>97</v>
      </c>
      <c r="G315" s="650" t="s">
        <v>1164</v>
      </c>
      <c r="H315" s="650" t="s">
        <v>1165</v>
      </c>
    </row>
    <row r="316" spans="1:8" ht="14.25" customHeight="1">
      <c r="A316" s="678" t="s">
        <v>2253</v>
      </c>
      <c r="B316" s="678" t="s">
        <v>2254</v>
      </c>
      <c r="C316" s="679" t="s">
        <v>92</v>
      </c>
      <c r="D316" s="679" t="s">
        <v>97</v>
      </c>
      <c r="G316" s="650" t="s">
        <v>1166</v>
      </c>
      <c r="H316" s="650" t="s">
        <v>1167</v>
      </c>
    </row>
    <row r="317" spans="1:8" ht="14.25" customHeight="1">
      <c r="A317" s="690" t="s">
        <v>2255</v>
      </c>
      <c r="B317" s="685" t="s">
        <v>2256</v>
      </c>
      <c r="C317" s="679" t="s">
        <v>92</v>
      </c>
      <c r="D317" s="679" t="s">
        <v>97</v>
      </c>
      <c r="G317" s="650" t="s">
        <v>1168</v>
      </c>
      <c r="H317" s="650" t="s">
        <v>2257</v>
      </c>
    </row>
    <row r="318" spans="1:8" ht="14.25" customHeight="1">
      <c r="A318" s="690" t="s">
        <v>2258</v>
      </c>
      <c r="B318" s="685" t="s">
        <v>2259</v>
      </c>
      <c r="C318" s="679" t="s">
        <v>92</v>
      </c>
      <c r="D318" s="679" t="s">
        <v>97</v>
      </c>
      <c r="G318" s="650" t="s">
        <v>1169</v>
      </c>
      <c r="H318" s="650" t="s">
        <v>1170</v>
      </c>
    </row>
    <row r="319" spans="1:8" ht="14.25" customHeight="1">
      <c r="A319" s="678" t="s">
        <v>2260</v>
      </c>
      <c r="B319" s="678" t="s">
        <v>2261</v>
      </c>
      <c r="C319" s="679" t="s">
        <v>92</v>
      </c>
      <c r="D319" s="679" t="s">
        <v>97</v>
      </c>
      <c r="G319" s="650" t="s">
        <v>1171</v>
      </c>
      <c r="H319" s="650" t="s">
        <v>1172</v>
      </c>
    </row>
    <row r="320" spans="1:8" ht="14.25" customHeight="1">
      <c r="A320" s="690" t="s">
        <v>2262</v>
      </c>
      <c r="B320" s="685" t="s">
        <v>2263</v>
      </c>
      <c r="C320" s="679" t="s">
        <v>92</v>
      </c>
      <c r="D320" s="679" t="s">
        <v>98</v>
      </c>
      <c r="G320" s="650" t="s">
        <v>1173</v>
      </c>
      <c r="H320" s="650" t="s">
        <v>1174</v>
      </c>
    </row>
    <row r="321" spans="1:8" ht="14.25" customHeight="1">
      <c r="A321" s="678" t="s">
        <v>2264</v>
      </c>
      <c r="B321" s="678" t="s">
        <v>2265</v>
      </c>
      <c r="C321" s="679" t="s">
        <v>92</v>
      </c>
      <c r="D321" s="679" t="s">
        <v>98</v>
      </c>
      <c r="G321" s="650" t="s">
        <v>1175</v>
      </c>
      <c r="H321" s="650" t="s">
        <v>1176</v>
      </c>
    </row>
    <row r="322" spans="1:8" ht="14.25" customHeight="1">
      <c r="A322" s="677" t="s">
        <v>2266</v>
      </c>
      <c r="B322" s="685" t="s">
        <v>2267</v>
      </c>
      <c r="C322" s="679" t="s">
        <v>92</v>
      </c>
      <c r="D322" s="679" t="s">
        <v>98</v>
      </c>
      <c r="G322" s="650" t="s">
        <v>1177</v>
      </c>
      <c r="H322" s="650" t="s">
        <v>1178</v>
      </c>
    </row>
    <row r="323" spans="1:8" ht="14.25" customHeight="1">
      <c r="A323" s="690" t="s">
        <v>2268</v>
      </c>
      <c r="B323" s="685" t="s">
        <v>2269</v>
      </c>
      <c r="C323" s="679" t="s">
        <v>92</v>
      </c>
      <c r="D323" s="679" t="s">
        <v>97</v>
      </c>
      <c r="G323" s="650" t="s">
        <v>1179</v>
      </c>
      <c r="H323" s="650" t="s">
        <v>1180</v>
      </c>
    </row>
    <row r="324" spans="1:8" ht="14.25" customHeight="1">
      <c r="A324" s="690" t="s">
        <v>2270</v>
      </c>
      <c r="B324" s="685" t="s">
        <v>2271</v>
      </c>
      <c r="C324" s="679" t="s">
        <v>92</v>
      </c>
      <c r="D324" s="679" t="s">
        <v>97</v>
      </c>
      <c r="G324" s="650" t="s">
        <v>1181</v>
      </c>
      <c r="H324" s="650" t="s">
        <v>1182</v>
      </c>
    </row>
    <row r="325" spans="1:8" ht="14.25" customHeight="1">
      <c r="A325" s="678" t="s">
        <v>2272</v>
      </c>
      <c r="B325" s="678" t="s">
        <v>2273</v>
      </c>
      <c r="C325" s="679" t="s">
        <v>92</v>
      </c>
      <c r="D325" s="679" t="s">
        <v>97</v>
      </c>
      <c r="G325" s="650" t="s">
        <v>1185</v>
      </c>
      <c r="H325" s="650" t="s">
        <v>1186</v>
      </c>
    </row>
    <row r="326" spans="1:8" ht="14.25" customHeight="1">
      <c r="A326" s="677" t="s">
        <v>2274</v>
      </c>
      <c r="B326" s="688" t="s">
        <v>2275</v>
      </c>
      <c r="C326" s="679" t="s">
        <v>92</v>
      </c>
      <c r="D326" s="679" t="s">
        <v>106</v>
      </c>
      <c r="G326" s="650" t="s">
        <v>799</v>
      </c>
      <c r="H326" s="650" t="s">
        <v>2276</v>
      </c>
    </row>
    <row r="327" spans="1:8" ht="14.25" customHeight="1">
      <c r="A327" s="678" t="s">
        <v>2277</v>
      </c>
      <c r="B327" s="678" t="s">
        <v>2278</v>
      </c>
      <c r="C327" s="679" t="s">
        <v>92</v>
      </c>
      <c r="D327" s="679">
        <v>0</v>
      </c>
      <c r="G327" s="650" t="s">
        <v>1187</v>
      </c>
      <c r="H327" s="650" t="s">
        <v>1188</v>
      </c>
    </row>
    <row r="328" spans="1:8" ht="14.25" customHeight="1">
      <c r="A328" s="685" t="s">
        <v>2279</v>
      </c>
      <c r="B328" s="685" t="s">
        <v>2280</v>
      </c>
      <c r="C328" s="679" t="s">
        <v>92</v>
      </c>
      <c r="D328" s="679" t="s">
        <v>97</v>
      </c>
      <c r="G328" s="650" t="s">
        <v>1189</v>
      </c>
      <c r="H328" s="650" t="s">
        <v>1190</v>
      </c>
    </row>
    <row r="329" spans="1:8" ht="14.25" customHeight="1">
      <c r="A329" s="685" t="s">
        <v>2281</v>
      </c>
      <c r="B329" s="685" t="s">
        <v>2282</v>
      </c>
      <c r="C329" s="679" t="s">
        <v>92</v>
      </c>
      <c r="D329" s="679" t="s">
        <v>97</v>
      </c>
      <c r="G329" s="650" t="s">
        <v>1191</v>
      </c>
      <c r="H329" s="650" t="s">
        <v>1192</v>
      </c>
    </row>
    <row r="330" spans="1:8" ht="14.25" customHeight="1">
      <c r="A330" s="690" t="s">
        <v>2283</v>
      </c>
      <c r="B330" s="685" t="s">
        <v>2284</v>
      </c>
      <c r="C330" s="679" t="s">
        <v>92</v>
      </c>
      <c r="D330" s="679" t="s">
        <v>97</v>
      </c>
      <c r="G330" s="650" t="s">
        <v>1193</v>
      </c>
      <c r="H330" s="650" t="s">
        <v>1194</v>
      </c>
    </row>
    <row r="331" spans="1:8" ht="14.25" customHeight="1">
      <c r="A331" s="678" t="s">
        <v>2285</v>
      </c>
      <c r="B331" s="678" t="s">
        <v>2286</v>
      </c>
      <c r="C331" s="679" t="s">
        <v>92</v>
      </c>
      <c r="D331" s="679" t="s">
        <v>97</v>
      </c>
      <c r="G331" s="650" t="s">
        <v>1195</v>
      </c>
      <c r="H331" s="650" t="s">
        <v>1196</v>
      </c>
    </row>
    <row r="332" spans="1:8" ht="14.25" customHeight="1">
      <c r="A332" s="677" t="s">
        <v>2287</v>
      </c>
      <c r="B332" s="688" t="s">
        <v>2288</v>
      </c>
      <c r="C332" s="679" t="s">
        <v>92</v>
      </c>
      <c r="D332" s="679" t="s">
        <v>103</v>
      </c>
      <c r="G332" s="650" t="s">
        <v>800</v>
      </c>
      <c r="H332" s="650" t="s">
        <v>1208</v>
      </c>
    </row>
    <row r="333" spans="1:8" ht="14.25" customHeight="1">
      <c r="A333" s="678" t="s">
        <v>2289</v>
      </c>
      <c r="B333" s="678" t="s">
        <v>2290</v>
      </c>
      <c r="C333" s="679" t="s">
        <v>92</v>
      </c>
      <c r="D333" s="679" t="s">
        <v>103</v>
      </c>
      <c r="G333" s="650" t="s">
        <v>1197</v>
      </c>
      <c r="H333" s="650" t="s">
        <v>1198</v>
      </c>
    </row>
    <row r="334" spans="1:8" ht="14.25" customHeight="1">
      <c r="A334" s="689" t="s">
        <v>2291</v>
      </c>
      <c r="B334" s="678" t="s">
        <v>2292</v>
      </c>
      <c r="C334" s="679" t="s">
        <v>92</v>
      </c>
      <c r="D334" s="679" t="s">
        <v>102</v>
      </c>
      <c r="G334" s="650" t="s">
        <v>1199</v>
      </c>
      <c r="H334" s="650" t="s">
        <v>1200</v>
      </c>
    </row>
    <row r="335" spans="1:8" ht="14.25" customHeight="1">
      <c r="A335" s="678" t="s">
        <v>2293</v>
      </c>
      <c r="B335" s="678" t="s">
        <v>2294</v>
      </c>
      <c r="C335" s="679" t="s">
        <v>92</v>
      </c>
      <c r="D335" s="679" t="s">
        <v>102</v>
      </c>
      <c r="G335" s="650" t="s">
        <v>1201</v>
      </c>
      <c r="H335" s="650" t="s">
        <v>1202</v>
      </c>
    </row>
    <row r="336" spans="1:8" ht="14.25" customHeight="1">
      <c r="A336" s="689" t="s">
        <v>2295</v>
      </c>
      <c r="B336" s="678" t="s">
        <v>2296</v>
      </c>
      <c r="C336" s="679" t="s">
        <v>92</v>
      </c>
      <c r="D336" s="679" t="s">
        <v>102</v>
      </c>
      <c r="G336" s="650" t="s">
        <v>1203</v>
      </c>
      <c r="H336" s="650" t="s">
        <v>1204</v>
      </c>
    </row>
    <row r="337" spans="1:8" ht="14.25" customHeight="1">
      <c r="A337" s="678" t="s">
        <v>2297</v>
      </c>
      <c r="B337" s="678" t="s">
        <v>2298</v>
      </c>
      <c r="C337" s="679" t="s">
        <v>92</v>
      </c>
      <c r="D337" s="679" t="s">
        <v>102</v>
      </c>
      <c r="G337" s="650" t="s">
        <v>1205</v>
      </c>
      <c r="H337" s="650" t="s">
        <v>1206</v>
      </c>
    </row>
    <row r="338" spans="1:8" ht="14.25" customHeight="1">
      <c r="A338" s="677" t="s">
        <v>2299</v>
      </c>
      <c r="B338" s="685" t="s">
        <v>2052</v>
      </c>
      <c r="C338" s="679" t="s">
        <v>92</v>
      </c>
      <c r="D338" s="679" t="s">
        <v>98</v>
      </c>
      <c r="G338" s="650" t="s">
        <v>1209</v>
      </c>
      <c r="H338" s="650" t="s">
        <v>1210</v>
      </c>
    </row>
    <row r="339" spans="1:8" ht="14.25" customHeight="1">
      <c r="A339" s="690" t="s">
        <v>2300</v>
      </c>
      <c r="B339" s="685" t="s">
        <v>2301</v>
      </c>
      <c r="C339" s="679" t="s">
        <v>92</v>
      </c>
      <c r="D339" s="679" t="s">
        <v>97</v>
      </c>
      <c r="G339" s="650" t="s">
        <v>1211</v>
      </c>
      <c r="H339" s="650" t="s">
        <v>1212</v>
      </c>
    </row>
    <row r="340" spans="1:8" ht="14.25" customHeight="1">
      <c r="A340" s="690" t="s">
        <v>2302</v>
      </c>
      <c r="B340" s="685" t="s">
        <v>2303</v>
      </c>
      <c r="C340" s="679" t="s">
        <v>92</v>
      </c>
      <c r="D340" s="679" t="s">
        <v>97</v>
      </c>
      <c r="G340" s="650" t="s">
        <v>1389</v>
      </c>
      <c r="H340" s="650" t="s">
        <v>2304</v>
      </c>
    </row>
    <row r="341" spans="1:8" ht="14.25" customHeight="1">
      <c r="A341" s="690" t="s">
        <v>2305</v>
      </c>
      <c r="B341" s="685" t="s">
        <v>2306</v>
      </c>
      <c r="C341" s="679" t="s">
        <v>92</v>
      </c>
      <c r="D341" s="679" t="s">
        <v>97</v>
      </c>
      <c r="G341" s="650" t="s">
        <v>1213</v>
      </c>
      <c r="H341" s="650" t="s">
        <v>1214</v>
      </c>
    </row>
    <row r="342" spans="1:8" ht="14.25" customHeight="1">
      <c r="A342" s="678" t="s">
        <v>2307</v>
      </c>
      <c r="B342" s="678" t="s">
        <v>2308</v>
      </c>
      <c r="C342" s="679" t="s">
        <v>92</v>
      </c>
      <c r="D342" s="679" t="s">
        <v>97</v>
      </c>
      <c r="G342" s="650" t="s">
        <v>1215</v>
      </c>
      <c r="H342" s="650" t="s">
        <v>1216</v>
      </c>
    </row>
    <row r="343" spans="1:8" ht="14.25" customHeight="1">
      <c r="A343" s="690" t="s">
        <v>2309</v>
      </c>
      <c r="B343" s="685" t="s">
        <v>2310</v>
      </c>
      <c r="C343" s="679" t="s">
        <v>92</v>
      </c>
      <c r="D343" s="679" t="s">
        <v>98</v>
      </c>
      <c r="G343" s="650" t="s">
        <v>1217</v>
      </c>
      <c r="H343" s="650" t="s">
        <v>1218</v>
      </c>
    </row>
    <row r="344" spans="1:8" ht="14.25" customHeight="1">
      <c r="A344" s="678" t="s">
        <v>2311</v>
      </c>
      <c r="B344" s="678" t="s">
        <v>2312</v>
      </c>
      <c r="C344" s="679" t="s">
        <v>92</v>
      </c>
      <c r="D344" s="679" t="s">
        <v>98</v>
      </c>
      <c r="G344" s="650" t="s">
        <v>1219</v>
      </c>
      <c r="H344" s="650" t="s">
        <v>1220</v>
      </c>
    </row>
    <row r="345" spans="1:8" ht="14.25" customHeight="1">
      <c r="A345" s="689" t="s">
        <v>2313</v>
      </c>
      <c r="B345" s="678" t="s">
        <v>2314</v>
      </c>
      <c r="C345" s="679" t="s">
        <v>92</v>
      </c>
      <c r="D345" s="679" t="s">
        <v>104</v>
      </c>
      <c r="G345" s="650" t="s">
        <v>1221</v>
      </c>
      <c r="H345" s="650" t="s">
        <v>1222</v>
      </c>
    </row>
    <row r="346" spans="1:8" ht="14.25" customHeight="1">
      <c r="A346" s="678" t="s">
        <v>2315</v>
      </c>
      <c r="B346" s="678" t="s">
        <v>2316</v>
      </c>
      <c r="C346" s="679" t="s">
        <v>92</v>
      </c>
      <c r="D346" s="679" t="s">
        <v>97</v>
      </c>
      <c r="G346" s="650" t="s">
        <v>1223</v>
      </c>
      <c r="H346" s="650" t="s">
        <v>1224</v>
      </c>
    </row>
    <row r="347" spans="1:8" ht="14.25" customHeight="1">
      <c r="A347" s="677" t="s">
        <v>2317</v>
      </c>
      <c r="B347" s="688" t="s">
        <v>2318</v>
      </c>
      <c r="C347" s="679" t="s">
        <v>152</v>
      </c>
      <c r="D347" s="679" t="s">
        <v>153</v>
      </c>
      <c r="G347" s="650" t="s">
        <v>1225</v>
      </c>
      <c r="H347" s="650" t="s">
        <v>2319</v>
      </c>
    </row>
    <row r="348" spans="1:8" ht="14.25" customHeight="1">
      <c r="A348" s="677" t="s">
        <v>2320</v>
      </c>
      <c r="B348" s="688" t="s">
        <v>2321</v>
      </c>
      <c r="C348" s="679" t="s">
        <v>152</v>
      </c>
      <c r="D348" s="679" t="s">
        <v>186</v>
      </c>
      <c r="G348" s="650" t="s">
        <v>1156</v>
      </c>
      <c r="H348" s="650" t="s">
        <v>2322</v>
      </c>
    </row>
    <row r="349" spans="1:8" ht="14.25" customHeight="1">
      <c r="A349" s="678" t="s">
        <v>2323</v>
      </c>
      <c r="B349" s="678" t="s">
        <v>2324</v>
      </c>
      <c r="C349" s="679" t="s">
        <v>152</v>
      </c>
      <c r="D349" s="679" t="s">
        <v>153</v>
      </c>
      <c r="G349" s="650" t="s">
        <v>1226</v>
      </c>
      <c r="H349" s="650" t="s">
        <v>2325</v>
      </c>
    </row>
    <row r="350" spans="1:8" ht="14.25" customHeight="1">
      <c r="A350" s="677" t="s">
        <v>2326</v>
      </c>
      <c r="B350" s="688" t="s">
        <v>2327</v>
      </c>
      <c r="C350" s="679" t="s">
        <v>152</v>
      </c>
      <c r="D350" s="679" t="s">
        <v>106</v>
      </c>
      <c r="G350" s="650" t="s">
        <v>1160</v>
      </c>
      <c r="H350" s="650" t="s">
        <v>2328</v>
      </c>
    </row>
    <row r="351" spans="1:8" ht="14.25" customHeight="1">
      <c r="A351" s="678" t="s">
        <v>2329</v>
      </c>
      <c r="B351" s="678" t="s">
        <v>2330</v>
      </c>
      <c r="C351" s="679" t="s">
        <v>152</v>
      </c>
      <c r="D351" s="679" t="s">
        <v>106</v>
      </c>
      <c r="G351" s="650" t="s">
        <v>1162</v>
      </c>
      <c r="H351" s="650" t="s">
        <v>2331</v>
      </c>
    </row>
    <row r="352" spans="1:8" ht="14.25" customHeight="1">
      <c r="A352" s="677" t="s">
        <v>2332</v>
      </c>
      <c r="B352" s="688" t="s">
        <v>2333</v>
      </c>
      <c r="C352" s="679" t="s">
        <v>152</v>
      </c>
      <c r="D352" s="679" t="s">
        <v>156</v>
      </c>
      <c r="G352" s="650" t="s">
        <v>1164</v>
      </c>
      <c r="H352" s="650" t="s">
        <v>2334</v>
      </c>
    </row>
    <row r="353" spans="1:8" ht="14.25" customHeight="1">
      <c r="A353" s="678" t="s">
        <v>2335</v>
      </c>
      <c r="B353" s="678" t="s">
        <v>2336</v>
      </c>
      <c r="C353" s="679" t="s">
        <v>152</v>
      </c>
      <c r="D353" s="679" t="s">
        <v>156</v>
      </c>
      <c r="G353" s="650" t="s">
        <v>801</v>
      </c>
      <c r="H353" s="650" t="s">
        <v>2337</v>
      </c>
    </row>
    <row r="354" spans="1:8" ht="14.25" customHeight="1">
      <c r="A354" s="677" t="s">
        <v>2338</v>
      </c>
      <c r="B354" s="688" t="s">
        <v>2339</v>
      </c>
      <c r="C354" s="679" t="s">
        <v>152</v>
      </c>
      <c r="D354" s="679" t="s">
        <v>156</v>
      </c>
      <c r="G354" s="650" t="s">
        <v>1166</v>
      </c>
      <c r="H354" s="650" t="s">
        <v>2340</v>
      </c>
    </row>
    <row r="355" spans="1:8" ht="14.25" customHeight="1">
      <c r="A355" s="678" t="s">
        <v>2341</v>
      </c>
      <c r="B355" s="678" t="s">
        <v>2342</v>
      </c>
      <c r="C355" s="679" t="s">
        <v>152</v>
      </c>
      <c r="D355" s="679" t="s">
        <v>156</v>
      </c>
      <c r="G355" s="650" t="s">
        <v>1227</v>
      </c>
      <c r="H355" s="650" t="s">
        <v>2343</v>
      </c>
    </row>
    <row r="356" spans="1:8" ht="14.25" customHeight="1">
      <c r="A356" s="677" t="s">
        <v>2344</v>
      </c>
      <c r="B356" s="688" t="s">
        <v>2345</v>
      </c>
      <c r="C356" s="679" t="s">
        <v>152</v>
      </c>
      <c r="D356" s="679" t="s">
        <v>153</v>
      </c>
      <c r="G356" s="650" t="s">
        <v>802</v>
      </c>
      <c r="H356" s="650" t="s">
        <v>2346</v>
      </c>
    </row>
    <row r="357" spans="1:8" ht="14.25" customHeight="1">
      <c r="A357" s="688" t="s">
        <v>2347</v>
      </c>
      <c r="B357" s="688" t="s">
        <v>2348</v>
      </c>
      <c r="C357" s="679" t="s">
        <v>152</v>
      </c>
      <c r="D357" s="679" t="s">
        <v>153</v>
      </c>
      <c r="G357" s="650" t="s">
        <v>1169</v>
      </c>
      <c r="H357" s="650" t="s">
        <v>2349</v>
      </c>
    </row>
    <row r="358" spans="1:8" ht="14.25" customHeight="1">
      <c r="A358" s="677" t="s">
        <v>2350</v>
      </c>
      <c r="B358" s="688" t="s">
        <v>2351</v>
      </c>
      <c r="C358" s="679" t="s">
        <v>152</v>
      </c>
      <c r="D358" s="679" t="s">
        <v>153</v>
      </c>
      <c r="G358" s="650" t="s">
        <v>1171</v>
      </c>
      <c r="H358" s="650" t="s">
        <v>2352</v>
      </c>
    </row>
    <row r="359" spans="1:8" ht="14.25" customHeight="1">
      <c r="A359" s="677" t="s">
        <v>2353</v>
      </c>
      <c r="B359" s="688" t="s">
        <v>2354</v>
      </c>
      <c r="C359" s="679" t="s">
        <v>152</v>
      </c>
      <c r="D359" s="679" t="s">
        <v>153</v>
      </c>
      <c r="G359" s="650" t="s">
        <v>1173</v>
      </c>
      <c r="H359" s="650" t="s">
        <v>2355</v>
      </c>
    </row>
    <row r="360" spans="1:8" ht="14.25" customHeight="1">
      <c r="A360" s="677" t="s">
        <v>2356</v>
      </c>
      <c r="B360" s="688" t="s">
        <v>2357</v>
      </c>
      <c r="C360" s="679" t="s">
        <v>152</v>
      </c>
      <c r="D360" s="679" t="s">
        <v>153</v>
      </c>
      <c r="G360" s="650" t="s">
        <v>1228</v>
      </c>
      <c r="H360" s="650" t="s">
        <v>2358</v>
      </c>
    </row>
    <row r="361" spans="1:8" ht="14.25" customHeight="1">
      <c r="A361" s="677" t="s">
        <v>2356</v>
      </c>
      <c r="B361" s="688" t="s">
        <v>2357</v>
      </c>
      <c r="C361" s="679" t="s">
        <v>152</v>
      </c>
      <c r="D361" s="679" t="s">
        <v>153</v>
      </c>
      <c r="G361" s="650" t="s">
        <v>1229</v>
      </c>
      <c r="H361" s="650" t="s">
        <v>2359</v>
      </c>
    </row>
    <row r="362" spans="1:8" ht="14.25" customHeight="1">
      <c r="A362" s="677" t="s">
        <v>2360</v>
      </c>
      <c r="B362" s="688" t="s">
        <v>2361</v>
      </c>
      <c r="C362" s="679" t="s">
        <v>152</v>
      </c>
      <c r="D362" s="679" t="s">
        <v>186</v>
      </c>
      <c r="G362" s="650" t="s">
        <v>1179</v>
      </c>
      <c r="H362" s="650" t="s">
        <v>2362</v>
      </c>
    </row>
    <row r="363" spans="1:8" ht="14.25" customHeight="1">
      <c r="A363" s="677" t="s">
        <v>2363</v>
      </c>
      <c r="B363" s="688" t="s">
        <v>2364</v>
      </c>
      <c r="C363" s="679" t="s">
        <v>152</v>
      </c>
      <c r="D363" s="679" t="s">
        <v>186</v>
      </c>
      <c r="G363" s="650" t="s">
        <v>1181</v>
      </c>
      <c r="H363" s="650" t="s">
        <v>2365</v>
      </c>
    </row>
    <row r="364" spans="1:8" ht="14.25" customHeight="1">
      <c r="A364" s="677" t="s">
        <v>2366</v>
      </c>
      <c r="B364" s="688" t="s">
        <v>2367</v>
      </c>
      <c r="C364" s="679" t="s">
        <v>152</v>
      </c>
      <c r="D364" s="679" t="s">
        <v>186</v>
      </c>
      <c r="G364" s="650" t="s">
        <v>1231</v>
      </c>
      <c r="H364" s="650" t="s">
        <v>2368</v>
      </c>
    </row>
    <row r="365" spans="1:8" ht="14.25" customHeight="1">
      <c r="A365" s="677" t="s">
        <v>2369</v>
      </c>
      <c r="B365" s="688" t="s">
        <v>2370</v>
      </c>
      <c r="C365" s="679" t="s">
        <v>152</v>
      </c>
      <c r="D365" s="679" t="s">
        <v>153</v>
      </c>
      <c r="G365" s="650" t="s">
        <v>803</v>
      </c>
      <c r="H365" s="650" t="s">
        <v>2371</v>
      </c>
    </row>
    <row r="366" spans="1:8" ht="14.25" customHeight="1">
      <c r="A366" s="677" t="s">
        <v>2372</v>
      </c>
      <c r="B366" s="688" t="s">
        <v>2373</v>
      </c>
      <c r="C366" s="679" t="s">
        <v>152</v>
      </c>
      <c r="D366" s="679" t="s">
        <v>186</v>
      </c>
      <c r="G366" s="650" t="s">
        <v>1187</v>
      </c>
      <c r="H366" s="650" t="s">
        <v>2374</v>
      </c>
    </row>
    <row r="367" spans="1:8" ht="14.25" customHeight="1">
      <c r="A367" s="677" t="s">
        <v>1434</v>
      </c>
      <c r="B367" s="688" t="s">
        <v>2375</v>
      </c>
      <c r="C367" s="679" t="s">
        <v>161</v>
      </c>
      <c r="D367" s="679" t="s">
        <v>164</v>
      </c>
      <c r="G367" s="650" t="s">
        <v>1189</v>
      </c>
      <c r="H367" s="650" t="s">
        <v>2376</v>
      </c>
    </row>
    <row r="368" spans="1:8" ht="14.25" customHeight="1">
      <c r="A368" s="678" t="s">
        <v>2377</v>
      </c>
      <c r="B368" s="678" t="s">
        <v>2378</v>
      </c>
      <c r="C368" s="679" t="s">
        <v>161</v>
      </c>
      <c r="D368" s="679" t="s">
        <v>164</v>
      </c>
      <c r="G368" s="650" t="s">
        <v>1191</v>
      </c>
      <c r="H368" s="650" t="s">
        <v>2379</v>
      </c>
    </row>
    <row r="369" spans="1:8" ht="14.25" customHeight="1">
      <c r="A369" s="677" t="s">
        <v>2380</v>
      </c>
      <c r="B369" s="688" t="s">
        <v>2381</v>
      </c>
      <c r="C369" s="679" t="s">
        <v>161</v>
      </c>
      <c r="D369" s="679" t="s">
        <v>168</v>
      </c>
      <c r="G369" s="650" t="s">
        <v>1193</v>
      </c>
      <c r="H369" s="650" t="s">
        <v>2382</v>
      </c>
    </row>
    <row r="370" spans="1:8" ht="14.25" customHeight="1">
      <c r="A370" s="678" t="s">
        <v>2383</v>
      </c>
      <c r="B370" s="678" t="s">
        <v>2384</v>
      </c>
      <c r="C370" s="679" t="s">
        <v>161</v>
      </c>
      <c r="D370" s="679" t="s">
        <v>168</v>
      </c>
      <c r="G370" s="650" t="s">
        <v>1195</v>
      </c>
      <c r="H370" s="650" t="s">
        <v>2385</v>
      </c>
    </row>
    <row r="371" spans="1:8" ht="14.25" customHeight="1">
      <c r="A371" s="677" t="s">
        <v>2386</v>
      </c>
      <c r="B371" s="688" t="s">
        <v>2387</v>
      </c>
      <c r="C371" s="679" t="s">
        <v>161</v>
      </c>
      <c r="D371" s="679" t="s">
        <v>166</v>
      </c>
      <c r="G371" s="650" t="s">
        <v>1197</v>
      </c>
      <c r="H371" s="650" t="s">
        <v>2388</v>
      </c>
    </row>
    <row r="372" spans="1:8" ht="14.25" customHeight="1">
      <c r="A372" s="678" t="s">
        <v>2389</v>
      </c>
      <c r="B372" s="678" t="s">
        <v>2390</v>
      </c>
      <c r="C372" s="679" t="s">
        <v>161</v>
      </c>
      <c r="D372" s="679" t="s">
        <v>166</v>
      </c>
      <c r="G372" s="650" t="s">
        <v>1199</v>
      </c>
      <c r="H372" s="650" t="s">
        <v>2391</v>
      </c>
    </row>
    <row r="373" spans="1:8" ht="14.25" customHeight="1">
      <c r="A373" s="677" t="s">
        <v>2392</v>
      </c>
      <c r="B373" s="688" t="s">
        <v>2393</v>
      </c>
      <c r="C373" s="679" t="s">
        <v>161</v>
      </c>
      <c r="D373" s="679" t="s">
        <v>167</v>
      </c>
      <c r="G373" s="650" t="s">
        <v>1201</v>
      </c>
      <c r="H373" s="650" t="s">
        <v>2394</v>
      </c>
    </row>
    <row r="374" spans="1:8" ht="14.25" customHeight="1">
      <c r="A374" s="689" t="s">
        <v>2395</v>
      </c>
      <c r="B374" s="678" t="s">
        <v>2396</v>
      </c>
      <c r="C374" s="679" t="s">
        <v>161</v>
      </c>
      <c r="D374" s="679" t="s">
        <v>167</v>
      </c>
      <c r="G374" s="650" t="s">
        <v>1203</v>
      </c>
      <c r="H374" s="650" t="s">
        <v>2397</v>
      </c>
    </row>
    <row r="375" spans="1:8" ht="14.25" customHeight="1">
      <c r="A375" s="677" t="s">
        <v>2398</v>
      </c>
      <c r="B375" s="688" t="s">
        <v>2399</v>
      </c>
      <c r="C375" s="679" t="s">
        <v>161</v>
      </c>
      <c r="D375" s="679" t="s">
        <v>166</v>
      </c>
      <c r="G375" s="650" t="s">
        <v>1232</v>
      </c>
      <c r="H375" s="650" t="s">
        <v>2400</v>
      </c>
    </row>
    <row r="376" spans="1:8" ht="14.25" customHeight="1">
      <c r="A376" s="689" t="s">
        <v>2401</v>
      </c>
      <c r="B376" s="678" t="s">
        <v>2402</v>
      </c>
      <c r="C376" s="679" t="s">
        <v>161</v>
      </c>
      <c r="D376" s="679" t="s">
        <v>166</v>
      </c>
      <c r="G376" s="650" t="s">
        <v>1209</v>
      </c>
      <c r="H376" s="650" t="s">
        <v>2403</v>
      </c>
    </row>
    <row r="377" spans="1:8" ht="14.25" customHeight="1">
      <c r="A377" s="677" t="s">
        <v>2404</v>
      </c>
      <c r="B377" s="688" t="s">
        <v>2405</v>
      </c>
      <c r="C377" s="679" t="s">
        <v>1325</v>
      </c>
      <c r="D377" s="679" t="s">
        <v>172</v>
      </c>
      <c r="G377" s="650" t="s">
        <v>1211</v>
      </c>
      <c r="H377" s="650" t="s">
        <v>2406</v>
      </c>
    </row>
    <row r="378" spans="1:8" ht="14.25" customHeight="1">
      <c r="A378" s="677" t="s">
        <v>2407</v>
      </c>
      <c r="B378" s="688" t="s">
        <v>2408</v>
      </c>
      <c r="C378" s="679" t="s">
        <v>180</v>
      </c>
      <c r="D378" s="679" t="s">
        <v>192</v>
      </c>
      <c r="G378" s="650" t="s">
        <v>1389</v>
      </c>
      <c r="H378" s="650" t="s">
        <v>2409</v>
      </c>
    </row>
    <row r="379" spans="1:8" ht="14.25" customHeight="1">
      <c r="A379" s="689" t="s">
        <v>2410</v>
      </c>
      <c r="B379" s="678" t="s">
        <v>2411</v>
      </c>
      <c r="C379" s="679" t="s">
        <v>161</v>
      </c>
      <c r="D379" s="679" t="s">
        <v>97</v>
      </c>
      <c r="G379" s="650" t="s">
        <v>1235</v>
      </c>
      <c r="H379" s="650" t="s">
        <v>2412</v>
      </c>
    </row>
    <row r="380" spans="1:8" ht="14.25" customHeight="1">
      <c r="A380" s="677" t="s">
        <v>2413</v>
      </c>
      <c r="B380" s="688" t="s">
        <v>2414</v>
      </c>
      <c r="C380" s="679" t="s">
        <v>161</v>
      </c>
      <c r="D380" s="679" t="s">
        <v>1339</v>
      </c>
      <c r="G380" s="650" t="s">
        <v>1236</v>
      </c>
      <c r="H380" s="650" t="s">
        <v>2415</v>
      </c>
    </row>
    <row r="381" spans="1:8" ht="14.25" customHeight="1">
      <c r="A381" s="677" t="s">
        <v>2416</v>
      </c>
      <c r="B381" s="688" t="s">
        <v>2417</v>
      </c>
      <c r="C381" s="679" t="s">
        <v>161</v>
      </c>
      <c r="D381" s="679" t="s">
        <v>172</v>
      </c>
      <c r="G381" s="650" t="s">
        <v>1237</v>
      </c>
      <c r="H381" s="650" t="s">
        <v>2418</v>
      </c>
    </row>
    <row r="382" spans="1:8" ht="14.25" customHeight="1">
      <c r="A382" s="689" t="s">
        <v>2419</v>
      </c>
      <c r="B382" s="678" t="s">
        <v>2420</v>
      </c>
      <c r="C382" s="679" t="s">
        <v>161</v>
      </c>
      <c r="D382" s="679" t="s">
        <v>172</v>
      </c>
      <c r="G382" s="650" t="s">
        <v>1238</v>
      </c>
      <c r="H382" s="650" t="s">
        <v>2421</v>
      </c>
    </row>
    <row r="383" spans="1:8" ht="14.25" customHeight="1">
      <c r="A383" s="677" t="s">
        <v>2422</v>
      </c>
      <c r="B383" s="688" t="s">
        <v>2423</v>
      </c>
      <c r="C383" s="679" t="s">
        <v>161</v>
      </c>
      <c r="D383" s="679" t="s">
        <v>172</v>
      </c>
      <c r="G383" s="650" t="s">
        <v>1239</v>
      </c>
      <c r="H383" s="650" t="s">
        <v>2424</v>
      </c>
    </row>
    <row r="384" spans="1:8" ht="14.25" customHeight="1">
      <c r="A384" s="689" t="s">
        <v>2425</v>
      </c>
      <c r="B384" s="678" t="s">
        <v>2426</v>
      </c>
      <c r="C384" s="679" t="s">
        <v>161</v>
      </c>
      <c r="D384" s="679" t="s">
        <v>172</v>
      </c>
      <c r="G384" s="650" t="s">
        <v>1240</v>
      </c>
      <c r="H384" s="650" t="s">
        <v>2427</v>
      </c>
    </row>
    <row r="385" spans="1:8" ht="14.25" customHeight="1">
      <c r="A385" s="677" t="s">
        <v>2428</v>
      </c>
      <c r="B385" s="688" t="s">
        <v>2429</v>
      </c>
      <c r="C385" s="679" t="s">
        <v>161</v>
      </c>
      <c r="D385" s="679" t="s">
        <v>172</v>
      </c>
      <c r="G385" s="650" t="s">
        <v>1241</v>
      </c>
      <c r="H385" s="650" t="s">
        <v>2430</v>
      </c>
    </row>
    <row r="386" spans="1:8" ht="14.25" customHeight="1">
      <c r="A386" s="678" t="s">
        <v>2431</v>
      </c>
      <c r="B386" s="678" t="s">
        <v>2432</v>
      </c>
      <c r="C386" s="679" t="s">
        <v>161</v>
      </c>
      <c r="D386" s="679" t="s">
        <v>172</v>
      </c>
      <c r="G386" s="650" t="s">
        <v>1243</v>
      </c>
      <c r="H386" s="650" t="s">
        <v>2433</v>
      </c>
    </row>
    <row r="387" spans="1:8" ht="14.25" customHeight="1">
      <c r="A387" s="677" t="s">
        <v>2434</v>
      </c>
      <c r="B387" s="688" t="s">
        <v>2435</v>
      </c>
      <c r="C387" s="679" t="s">
        <v>176</v>
      </c>
      <c r="D387" s="679" t="s">
        <v>177</v>
      </c>
      <c r="G387" s="650" t="s">
        <v>1166</v>
      </c>
      <c r="H387" s="650" t="s">
        <v>2436</v>
      </c>
    </row>
    <row r="388" spans="1:8" ht="14.25" customHeight="1">
      <c r="A388" s="678" t="s">
        <v>2437</v>
      </c>
      <c r="B388" s="678" t="s">
        <v>2438</v>
      </c>
      <c r="C388" s="679" t="s">
        <v>176</v>
      </c>
      <c r="D388" s="679" t="s">
        <v>177</v>
      </c>
      <c r="G388" s="650" t="s">
        <v>1169</v>
      </c>
      <c r="H388" s="650" t="s">
        <v>2439</v>
      </c>
    </row>
    <row r="389" spans="1:8" ht="14.25" customHeight="1">
      <c r="A389" s="677" t="s">
        <v>2440</v>
      </c>
      <c r="B389" s="688" t="s">
        <v>2441</v>
      </c>
      <c r="C389" s="679" t="s">
        <v>176</v>
      </c>
      <c r="D389" s="679" t="s">
        <v>177</v>
      </c>
      <c r="G389" s="650" t="s">
        <v>1171</v>
      </c>
      <c r="H389" s="650" t="s">
        <v>2442</v>
      </c>
    </row>
    <row r="390" spans="1:8" ht="14.25" customHeight="1">
      <c r="A390" s="678" t="s">
        <v>2443</v>
      </c>
      <c r="B390" s="678" t="s">
        <v>2444</v>
      </c>
      <c r="C390" s="679" t="s">
        <v>176</v>
      </c>
      <c r="D390" s="679" t="s">
        <v>177</v>
      </c>
      <c r="G390" s="650" t="s">
        <v>1244</v>
      </c>
      <c r="H390" s="650" t="s">
        <v>2445</v>
      </c>
    </row>
    <row r="391" spans="1:8" ht="14.25" customHeight="1">
      <c r="A391" s="677" t="s">
        <v>2446</v>
      </c>
      <c r="B391" s="688" t="s">
        <v>2447</v>
      </c>
      <c r="C391" s="679" t="s">
        <v>176</v>
      </c>
      <c r="D391" s="679" t="s">
        <v>177</v>
      </c>
      <c r="G391" s="650" t="s">
        <v>1175</v>
      </c>
      <c r="H391" s="650" t="s">
        <v>2448</v>
      </c>
    </row>
    <row r="392" spans="1:8" ht="14.25" customHeight="1">
      <c r="A392" s="678" t="s">
        <v>2449</v>
      </c>
      <c r="B392" s="678" t="s">
        <v>2450</v>
      </c>
      <c r="C392" s="679" t="s">
        <v>176</v>
      </c>
      <c r="D392" s="679" t="s">
        <v>177</v>
      </c>
      <c r="G392" s="650" t="s">
        <v>1245</v>
      </c>
      <c r="H392" s="650" t="s">
        <v>2451</v>
      </c>
    </row>
    <row r="393" spans="1:8" ht="14.25" customHeight="1">
      <c r="A393" s="677" t="s">
        <v>2452</v>
      </c>
      <c r="B393" s="688" t="s">
        <v>2453</v>
      </c>
      <c r="C393" s="679" t="s">
        <v>152</v>
      </c>
      <c r="D393" s="679" t="s">
        <v>153</v>
      </c>
      <c r="G393" s="650" t="s">
        <v>1247</v>
      </c>
      <c r="H393" s="650" t="s">
        <v>2454</v>
      </c>
    </row>
    <row r="394" spans="1:8" ht="14.25" customHeight="1">
      <c r="A394" s="678" t="s">
        <v>2455</v>
      </c>
      <c r="B394" s="678" t="s">
        <v>2456</v>
      </c>
      <c r="C394" s="679" t="s">
        <v>152</v>
      </c>
      <c r="D394" s="679" t="s">
        <v>153</v>
      </c>
      <c r="G394" s="650" t="s">
        <v>1179</v>
      </c>
      <c r="H394" s="650" t="s">
        <v>2457</v>
      </c>
    </row>
    <row r="395" spans="1:8" ht="14.25" customHeight="1">
      <c r="A395" s="677" t="s">
        <v>2458</v>
      </c>
      <c r="B395" s="688" t="s">
        <v>2459</v>
      </c>
      <c r="C395" s="679" t="s">
        <v>152</v>
      </c>
      <c r="D395" s="679" t="s">
        <v>153</v>
      </c>
      <c r="G395" s="650" t="s">
        <v>1181</v>
      </c>
      <c r="H395" s="650" t="s">
        <v>2460</v>
      </c>
    </row>
    <row r="396" spans="1:8" ht="14.25" customHeight="1">
      <c r="A396" s="678" t="s">
        <v>2461</v>
      </c>
      <c r="B396" s="678" t="s">
        <v>2462</v>
      </c>
      <c r="C396" s="679" t="s">
        <v>152</v>
      </c>
      <c r="D396" s="679" t="s">
        <v>153</v>
      </c>
      <c r="G396" s="650" t="s">
        <v>1248</v>
      </c>
      <c r="H396" s="650" t="s">
        <v>2463</v>
      </c>
    </row>
    <row r="397" spans="1:8" ht="14.25" customHeight="1">
      <c r="A397" s="677" t="s">
        <v>2464</v>
      </c>
      <c r="B397" s="688" t="s">
        <v>2465</v>
      </c>
      <c r="C397" s="679" t="s">
        <v>152</v>
      </c>
      <c r="D397" s="679" t="s">
        <v>153</v>
      </c>
      <c r="G397" s="650" t="s">
        <v>1231</v>
      </c>
      <c r="H397" s="650" t="s">
        <v>2466</v>
      </c>
    </row>
    <row r="398" spans="1:8" ht="14.25" customHeight="1">
      <c r="A398" s="678" t="s">
        <v>2467</v>
      </c>
      <c r="B398" s="678" t="s">
        <v>2468</v>
      </c>
      <c r="C398" s="679" t="s">
        <v>152</v>
      </c>
      <c r="D398" s="679" t="s">
        <v>153</v>
      </c>
      <c r="G398" s="650" t="s">
        <v>804</v>
      </c>
      <c r="H398" s="650" t="s">
        <v>2469</v>
      </c>
    </row>
    <row r="399" spans="1:8" ht="14.25" customHeight="1">
      <c r="A399" s="677" t="s">
        <v>2470</v>
      </c>
      <c r="B399" s="688" t="s">
        <v>2471</v>
      </c>
      <c r="C399" s="679" t="s">
        <v>152</v>
      </c>
      <c r="D399" s="679" t="s">
        <v>153</v>
      </c>
      <c r="G399" s="650" t="s">
        <v>1249</v>
      </c>
      <c r="H399" s="650" t="s">
        <v>2472</v>
      </c>
    </row>
    <row r="400" spans="1:8" ht="14.25" customHeight="1">
      <c r="A400" s="677" t="s">
        <v>2473</v>
      </c>
      <c r="B400" s="688" t="s">
        <v>2474</v>
      </c>
      <c r="C400" s="679" t="s">
        <v>152</v>
      </c>
      <c r="D400" s="679" t="s">
        <v>153</v>
      </c>
      <c r="G400" s="650" t="s">
        <v>1187</v>
      </c>
      <c r="H400" s="650" t="s">
        <v>2475</v>
      </c>
    </row>
    <row r="401" spans="1:8" ht="14.25" customHeight="1">
      <c r="A401" s="678" t="s">
        <v>2476</v>
      </c>
      <c r="B401" s="678" t="s">
        <v>2477</v>
      </c>
      <c r="C401" s="679" t="s">
        <v>152</v>
      </c>
      <c r="D401" s="679" t="s">
        <v>153</v>
      </c>
      <c r="G401" s="650" t="s">
        <v>1189</v>
      </c>
      <c r="H401" s="650" t="s">
        <v>2478</v>
      </c>
    </row>
    <row r="402" spans="1:8" ht="14.25" customHeight="1">
      <c r="A402" s="677" t="s">
        <v>2479</v>
      </c>
      <c r="B402" s="688" t="s">
        <v>2480</v>
      </c>
      <c r="C402" s="679" t="s">
        <v>152</v>
      </c>
      <c r="D402" s="679" t="s">
        <v>153</v>
      </c>
      <c r="G402" s="650" t="s">
        <v>1191</v>
      </c>
      <c r="H402" s="650" t="s">
        <v>2481</v>
      </c>
    </row>
    <row r="403" spans="1:8" ht="14.25" customHeight="1">
      <c r="A403" s="678" t="s">
        <v>2482</v>
      </c>
      <c r="B403" s="678" t="s">
        <v>2483</v>
      </c>
      <c r="C403" s="679" t="s">
        <v>152</v>
      </c>
      <c r="D403" s="679" t="s">
        <v>153</v>
      </c>
      <c r="G403" s="650" t="s">
        <v>1250</v>
      </c>
      <c r="H403" s="650" t="s">
        <v>2484</v>
      </c>
    </row>
    <row r="404" spans="1:8" ht="14.25" customHeight="1">
      <c r="A404" s="677" t="s">
        <v>2485</v>
      </c>
      <c r="B404" s="688" t="s">
        <v>2486</v>
      </c>
      <c r="C404" s="679" t="s">
        <v>152</v>
      </c>
      <c r="D404" s="679" t="s">
        <v>153</v>
      </c>
      <c r="G404" s="650" t="s">
        <v>1195</v>
      </c>
      <c r="H404" s="650" t="s">
        <v>2487</v>
      </c>
    </row>
    <row r="405" spans="1:8" ht="14.25" customHeight="1">
      <c r="A405" s="678" t="s">
        <v>2488</v>
      </c>
      <c r="B405" s="678" t="s">
        <v>2489</v>
      </c>
      <c r="C405" s="679" t="s">
        <v>152</v>
      </c>
      <c r="D405" s="679" t="s">
        <v>153</v>
      </c>
      <c r="G405" s="650" t="s">
        <v>1197</v>
      </c>
      <c r="H405" s="650" t="s">
        <v>2490</v>
      </c>
    </row>
    <row r="406" spans="1:8" ht="14.25" customHeight="1">
      <c r="A406" s="677" t="s">
        <v>2491</v>
      </c>
      <c r="B406" s="688" t="s">
        <v>2492</v>
      </c>
      <c r="C406" s="679" t="s">
        <v>152</v>
      </c>
      <c r="D406" s="679" t="s">
        <v>153</v>
      </c>
      <c r="G406" s="650" t="s">
        <v>1199</v>
      </c>
      <c r="H406" s="650" t="s">
        <v>2493</v>
      </c>
    </row>
    <row r="407" spans="1:8" ht="14.25" customHeight="1">
      <c r="A407" s="678" t="s">
        <v>2494</v>
      </c>
      <c r="B407" s="678" t="s">
        <v>2495</v>
      </c>
      <c r="C407" s="679" t="s">
        <v>152</v>
      </c>
      <c r="D407" s="679" t="s">
        <v>153</v>
      </c>
      <c r="G407" s="650" t="s">
        <v>1201</v>
      </c>
      <c r="H407" s="650" t="s">
        <v>2496</v>
      </c>
    </row>
    <row r="408" spans="1:8" ht="14.25" customHeight="1">
      <c r="A408" s="677" t="s">
        <v>2497</v>
      </c>
      <c r="B408" s="688" t="s">
        <v>2498</v>
      </c>
      <c r="C408" s="679" t="s">
        <v>152</v>
      </c>
      <c r="D408" s="679" t="s">
        <v>153</v>
      </c>
      <c r="G408" s="650" t="s">
        <v>1203</v>
      </c>
      <c r="H408" s="650" t="s">
        <v>2499</v>
      </c>
    </row>
    <row r="409" spans="1:8" ht="14.25" customHeight="1">
      <c r="A409" s="677" t="s">
        <v>2500</v>
      </c>
      <c r="B409" s="688" t="s">
        <v>2501</v>
      </c>
      <c r="C409" s="679" t="s">
        <v>152</v>
      </c>
      <c r="D409" s="679" t="s">
        <v>153</v>
      </c>
      <c r="G409" s="650" t="s">
        <v>1251</v>
      </c>
      <c r="H409" s="650" t="s">
        <v>2502</v>
      </c>
    </row>
    <row r="410" spans="1:8" ht="14.25" customHeight="1">
      <c r="A410" s="678" t="s">
        <v>2503</v>
      </c>
      <c r="B410" s="678" t="s">
        <v>2504</v>
      </c>
      <c r="C410" s="679" t="s">
        <v>152</v>
      </c>
      <c r="D410" s="679" t="s">
        <v>153</v>
      </c>
      <c r="G410" s="650" t="s">
        <v>1209</v>
      </c>
      <c r="H410" s="650" t="s">
        <v>2505</v>
      </c>
    </row>
    <row r="411" spans="1:8" ht="14.25" customHeight="1">
      <c r="A411" s="677" t="s">
        <v>2506</v>
      </c>
      <c r="B411" s="688" t="s">
        <v>2507</v>
      </c>
      <c r="C411" s="679" t="s">
        <v>152</v>
      </c>
      <c r="D411" s="679" t="s">
        <v>153</v>
      </c>
      <c r="G411" s="650" t="s">
        <v>1211</v>
      </c>
      <c r="H411" s="650" t="s">
        <v>2508</v>
      </c>
    </row>
    <row r="412" spans="1:8" ht="14.25" customHeight="1">
      <c r="A412" s="678" t="s">
        <v>2509</v>
      </c>
      <c r="B412" s="678" t="s">
        <v>2510</v>
      </c>
      <c r="C412" s="679" t="s">
        <v>152</v>
      </c>
      <c r="D412" s="679" t="s">
        <v>153</v>
      </c>
      <c r="G412" s="650" t="s">
        <v>1389</v>
      </c>
      <c r="H412" s="650" t="s">
        <v>2511</v>
      </c>
    </row>
    <row r="413" spans="1:8" ht="14.25" customHeight="1">
      <c r="A413" s="677" t="s">
        <v>2512</v>
      </c>
      <c r="B413" s="688" t="s">
        <v>2513</v>
      </c>
      <c r="C413" s="679" t="s">
        <v>152</v>
      </c>
      <c r="D413" s="679" t="s">
        <v>153</v>
      </c>
      <c r="G413" s="650" t="s">
        <v>1254</v>
      </c>
      <c r="H413" s="650" t="s">
        <v>2514</v>
      </c>
    </row>
    <row r="414" spans="1:8" ht="14.25" customHeight="1">
      <c r="A414" s="677" t="s">
        <v>2515</v>
      </c>
      <c r="B414" s="688" t="s">
        <v>2516</v>
      </c>
      <c r="C414" s="679" t="s">
        <v>152</v>
      </c>
      <c r="D414" s="679" t="s">
        <v>153</v>
      </c>
      <c r="G414" s="650" t="s">
        <v>1256</v>
      </c>
      <c r="H414" s="650" t="s">
        <v>2517</v>
      </c>
    </row>
    <row r="415" spans="1:8" ht="14.25" customHeight="1">
      <c r="A415" s="677" t="s">
        <v>2518</v>
      </c>
      <c r="B415" s="688" t="s">
        <v>2519</v>
      </c>
      <c r="C415" s="679" t="s">
        <v>152</v>
      </c>
      <c r="D415" s="679" t="s">
        <v>153</v>
      </c>
      <c r="G415" s="650" t="s">
        <v>1257</v>
      </c>
      <c r="H415" s="650" t="s">
        <v>2520</v>
      </c>
    </row>
    <row r="416" spans="1:8" ht="14.25" customHeight="1">
      <c r="A416" s="678" t="s">
        <v>2521</v>
      </c>
      <c r="B416" s="678" t="s">
        <v>2522</v>
      </c>
      <c r="C416" s="679" t="s">
        <v>152</v>
      </c>
      <c r="D416" s="679" t="s">
        <v>153</v>
      </c>
      <c r="G416" s="650" t="s">
        <v>1258</v>
      </c>
      <c r="H416" s="650" t="s">
        <v>2523</v>
      </c>
    </row>
    <row r="417" spans="1:8" ht="14.25" customHeight="1">
      <c r="A417" s="677" t="s">
        <v>2524</v>
      </c>
      <c r="B417" s="688" t="s">
        <v>2525</v>
      </c>
      <c r="C417" s="679" t="s">
        <v>152</v>
      </c>
      <c r="D417" s="679" t="s">
        <v>153</v>
      </c>
      <c r="G417" s="650" t="s">
        <v>1259</v>
      </c>
      <c r="H417" s="650" t="s">
        <v>2526</v>
      </c>
    </row>
    <row r="418" spans="1:8" ht="14.25" customHeight="1">
      <c r="A418" s="677" t="s">
        <v>2527</v>
      </c>
      <c r="B418" s="688" t="s">
        <v>2528</v>
      </c>
      <c r="C418" s="679" t="s">
        <v>152</v>
      </c>
      <c r="D418" s="679" t="s">
        <v>153</v>
      </c>
      <c r="G418" s="650" t="s">
        <v>1260</v>
      </c>
      <c r="H418" s="650" t="s">
        <v>2529</v>
      </c>
    </row>
    <row r="419" spans="1:8" ht="14.25" customHeight="1">
      <c r="A419" s="677" t="s">
        <v>2530</v>
      </c>
      <c r="B419" s="688" t="s">
        <v>2531</v>
      </c>
      <c r="C419" s="679" t="s">
        <v>152</v>
      </c>
      <c r="D419" s="679" t="s">
        <v>154</v>
      </c>
      <c r="G419" s="650" t="s">
        <v>1261</v>
      </c>
      <c r="H419" s="650" t="s">
        <v>2532</v>
      </c>
    </row>
    <row r="420" spans="1:8" ht="14.25" customHeight="1">
      <c r="A420" s="678" t="s">
        <v>2533</v>
      </c>
      <c r="B420" s="678" t="s">
        <v>2534</v>
      </c>
      <c r="C420" s="679" t="s">
        <v>152</v>
      </c>
      <c r="D420" s="679" t="s">
        <v>154</v>
      </c>
      <c r="G420" s="650" t="s">
        <v>1158</v>
      </c>
      <c r="H420" s="650" t="s">
        <v>2535</v>
      </c>
    </row>
    <row r="421" spans="1:8" ht="14.25" customHeight="1">
      <c r="A421" s="677" t="s">
        <v>2536</v>
      </c>
      <c r="B421" s="688" t="s">
        <v>2537</v>
      </c>
      <c r="C421" s="679" t="s">
        <v>152</v>
      </c>
      <c r="D421" s="679" t="s">
        <v>154</v>
      </c>
      <c r="G421" s="650" t="s">
        <v>805</v>
      </c>
      <c r="H421" s="650" t="s">
        <v>2538</v>
      </c>
    </row>
    <row r="422" spans="1:8" ht="14.25" customHeight="1">
      <c r="A422" s="677" t="s">
        <v>2539</v>
      </c>
      <c r="B422" s="688" t="s">
        <v>2540</v>
      </c>
      <c r="C422" s="679" t="s">
        <v>152</v>
      </c>
      <c r="D422" s="679" t="s">
        <v>154</v>
      </c>
      <c r="G422" s="650" t="s">
        <v>1166</v>
      </c>
      <c r="H422" s="650" t="s">
        <v>2541</v>
      </c>
    </row>
    <row r="423" spans="1:8" ht="14.25" customHeight="1">
      <c r="A423" s="689" t="s">
        <v>2542</v>
      </c>
      <c r="B423" s="678" t="s">
        <v>2543</v>
      </c>
      <c r="C423" s="679" t="s">
        <v>152</v>
      </c>
      <c r="D423" s="679" t="s">
        <v>154</v>
      </c>
      <c r="G423" s="650" t="s">
        <v>806</v>
      </c>
      <c r="H423" s="650" t="s">
        <v>2544</v>
      </c>
    </row>
    <row r="424" spans="1:8" ht="14.25" customHeight="1">
      <c r="A424" s="677" t="s">
        <v>2545</v>
      </c>
      <c r="B424" s="688" t="s">
        <v>2546</v>
      </c>
      <c r="C424" s="679" t="s">
        <v>152</v>
      </c>
      <c r="D424" s="679" t="s">
        <v>154</v>
      </c>
      <c r="G424" s="650" t="s">
        <v>1169</v>
      </c>
      <c r="H424" s="650" t="s">
        <v>2547</v>
      </c>
    </row>
    <row r="425" spans="1:8" ht="14.25" customHeight="1">
      <c r="A425" s="677" t="s">
        <v>2548</v>
      </c>
      <c r="B425" s="688" t="s">
        <v>2549</v>
      </c>
      <c r="C425" s="679" t="s">
        <v>152</v>
      </c>
      <c r="D425" s="679" t="s">
        <v>154</v>
      </c>
      <c r="G425" s="650" t="s">
        <v>1171</v>
      </c>
      <c r="H425" s="650" t="s">
        <v>2550</v>
      </c>
    </row>
    <row r="426" spans="1:8" ht="14.25" customHeight="1">
      <c r="A426" s="677" t="s">
        <v>2551</v>
      </c>
      <c r="B426" s="688" t="s">
        <v>2552</v>
      </c>
      <c r="C426" s="679" t="s">
        <v>152</v>
      </c>
      <c r="D426" s="679" t="s">
        <v>154</v>
      </c>
      <c r="G426" s="650" t="s">
        <v>1244</v>
      </c>
      <c r="H426" s="650" t="s">
        <v>2553</v>
      </c>
    </row>
    <row r="427" spans="1:8" ht="14.25" customHeight="1">
      <c r="A427" s="677" t="s">
        <v>2554</v>
      </c>
      <c r="B427" s="688" t="s">
        <v>2555</v>
      </c>
      <c r="C427" s="679" t="s">
        <v>152</v>
      </c>
      <c r="D427" s="679" t="s">
        <v>154</v>
      </c>
      <c r="G427" s="650" t="s">
        <v>1175</v>
      </c>
      <c r="H427" s="650" t="s">
        <v>2556</v>
      </c>
    </row>
    <row r="428" spans="1:8" ht="14.25" customHeight="1">
      <c r="A428" s="677" t="s">
        <v>2557</v>
      </c>
      <c r="B428" s="688" t="s">
        <v>2558</v>
      </c>
      <c r="C428" s="679" t="s">
        <v>152</v>
      </c>
      <c r="D428" s="679" t="s">
        <v>154</v>
      </c>
      <c r="G428" s="650" t="s">
        <v>1245</v>
      </c>
      <c r="H428" s="650" t="s">
        <v>2559</v>
      </c>
    </row>
    <row r="429" spans="1:8" ht="14.25" customHeight="1">
      <c r="A429" s="689" t="s">
        <v>2560</v>
      </c>
      <c r="B429" s="678" t="s">
        <v>2561</v>
      </c>
      <c r="C429" s="679" t="s">
        <v>152</v>
      </c>
      <c r="D429" s="679" t="s">
        <v>154</v>
      </c>
      <c r="G429" s="650" t="s">
        <v>1229</v>
      </c>
      <c r="H429" s="650" t="s">
        <v>2562</v>
      </c>
    </row>
    <row r="430" spans="1:8" ht="14.25" customHeight="1">
      <c r="A430" s="677" t="s">
        <v>2563</v>
      </c>
      <c r="B430" s="688" t="s">
        <v>2564</v>
      </c>
      <c r="C430" s="679" t="s">
        <v>152</v>
      </c>
      <c r="D430" s="679" t="s">
        <v>154</v>
      </c>
      <c r="G430" s="650" t="s">
        <v>1179</v>
      </c>
      <c r="H430" s="650" t="s">
        <v>2565</v>
      </c>
    </row>
    <row r="431" spans="1:8" ht="14.25" customHeight="1">
      <c r="A431" s="677" t="s">
        <v>2566</v>
      </c>
      <c r="B431" s="688" t="s">
        <v>2567</v>
      </c>
      <c r="C431" s="679" t="s">
        <v>152</v>
      </c>
      <c r="D431" s="679" t="s">
        <v>154</v>
      </c>
      <c r="G431" s="650" t="s">
        <v>1181</v>
      </c>
      <c r="H431" s="650" t="s">
        <v>2568</v>
      </c>
    </row>
    <row r="432" spans="1:8" ht="14.25" customHeight="1">
      <c r="A432" s="677" t="s">
        <v>2569</v>
      </c>
      <c r="B432" s="688" t="s">
        <v>2570</v>
      </c>
      <c r="C432" s="679" t="s">
        <v>152</v>
      </c>
      <c r="D432" s="679" t="s">
        <v>154</v>
      </c>
      <c r="G432" s="650" t="s">
        <v>1231</v>
      </c>
      <c r="H432" s="650" t="s">
        <v>2571</v>
      </c>
    </row>
    <row r="433" spans="1:8" ht="14.25" customHeight="1">
      <c r="A433" s="677" t="s">
        <v>2572</v>
      </c>
      <c r="B433" s="688" t="s">
        <v>2573</v>
      </c>
      <c r="C433" s="679" t="s">
        <v>152</v>
      </c>
      <c r="D433" s="679" t="s">
        <v>154</v>
      </c>
      <c r="G433" s="650" t="s">
        <v>807</v>
      </c>
      <c r="H433" s="650" t="s">
        <v>2574</v>
      </c>
    </row>
    <row r="434" spans="1:8" ht="14.25" customHeight="1">
      <c r="A434" s="677" t="s">
        <v>2575</v>
      </c>
      <c r="B434" s="688" t="s">
        <v>2576</v>
      </c>
      <c r="C434" s="679" t="s">
        <v>152</v>
      </c>
      <c r="D434" s="679" t="s">
        <v>154</v>
      </c>
      <c r="G434" s="650" t="s">
        <v>1187</v>
      </c>
      <c r="H434" s="650" t="s">
        <v>2577</v>
      </c>
    </row>
    <row r="435" spans="1:8" ht="14.25" customHeight="1">
      <c r="A435" s="689" t="s">
        <v>2578</v>
      </c>
      <c r="B435" s="678" t="s">
        <v>2579</v>
      </c>
      <c r="C435" s="679" t="s">
        <v>152</v>
      </c>
      <c r="D435" s="679" t="s">
        <v>154</v>
      </c>
      <c r="G435" s="650" t="s">
        <v>1395</v>
      </c>
      <c r="H435" s="650" t="s">
        <v>2580</v>
      </c>
    </row>
    <row r="436" spans="1:8" ht="14.25" customHeight="1">
      <c r="A436" s="677" t="s">
        <v>2581</v>
      </c>
      <c r="B436" s="688" t="s">
        <v>2582</v>
      </c>
      <c r="C436" s="679" t="s">
        <v>152</v>
      </c>
      <c r="D436" s="679" t="s">
        <v>154</v>
      </c>
      <c r="G436" s="650" t="s">
        <v>1191</v>
      </c>
      <c r="H436" s="650" t="s">
        <v>2583</v>
      </c>
    </row>
    <row r="437" spans="1:8" ht="14.25" customHeight="1">
      <c r="A437" s="677" t="s">
        <v>2584</v>
      </c>
      <c r="B437" s="688" t="s">
        <v>2585</v>
      </c>
      <c r="C437" s="679" t="s">
        <v>152</v>
      </c>
      <c r="D437" s="679" t="s">
        <v>154</v>
      </c>
      <c r="G437" s="650" t="s">
        <v>1193</v>
      </c>
      <c r="H437" s="650" t="s">
        <v>2586</v>
      </c>
    </row>
    <row r="438" spans="1:8" ht="14.25" customHeight="1">
      <c r="A438" s="689" t="s">
        <v>2587</v>
      </c>
      <c r="B438" s="678" t="s">
        <v>2588</v>
      </c>
      <c r="C438" s="679" t="s">
        <v>152</v>
      </c>
      <c r="D438" s="679" t="s">
        <v>153</v>
      </c>
      <c r="G438" s="650" t="s">
        <v>1195</v>
      </c>
      <c r="H438" s="650" t="s">
        <v>2589</v>
      </c>
    </row>
    <row r="439" spans="1:8" ht="14.25" customHeight="1">
      <c r="A439" s="689" t="s">
        <v>2590</v>
      </c>
      <c r="B439" s="678" t="s">
        <v>2591</v>
      </c>
      <c r="C439" s="679" t="s">
        <v>152</v>
      </c>
      <c r="D439" s="679" t="s">
        <v>153</v>
      </c>
      <c r="G439" s="650" t="s">
        <v>808</v>
      </c>
      <c r="H439" s="650" t="s">
        <v>1267</v>
      </c>
    </row>
    <row r="440" spans="1:8" ht="14.25" customHeight="1">
      <c r="A440" s="677" t="s">
        <v>2592</v>
      </c>
      <c r="B440" s="688" t="s">
        <v>2593</v>
      </c>
      <c r="C440" s="679" t="s">
        <v>152</v>
      </c>
      <c r="D440" s="679" t="s">
        <v>153</v>
      </c>
      <c r="G440" s="650" t="s">
        <v>1197</v>
      </c>
      <c r="H440" s="650" t="s">
        <v>2594</v>
      </c>
    </row>
    <row r="441" spans="1:8" ht="14.25" customHeight="1">
      <c r="A441" s="689" t="s">
        <v>2595</v>
      </c>
      <c r="B441" s="678" t="s">
        <v>2596</v>
      </c>
      <c r="C441" s="679" t="s">
        <v>152</v>
      </c>
      <c r="D441" s="679" t="s">
        <v>153</v>
      </c>
      <c r="G441" s="650" t="s">
        <v>1199</v>
      </c>
      <c r="H441" s="650" t="s">
        <v>2597</v>
      </c>
    </row>
    <row r="442" spans="1:8" ht="14.25" customHeight="1">
      <c r="A442" s="677" t="s">
        <v>2598</v>
      </c>
      <c r="B442" s="688" t="s">
        <v>2599</v>
      </c>
      <c r="C442" s="679" t="s">
        <v>152</v>
      </c>
      <c r="D442" s="679" t="s">
        <v>154</v>
      </c>
      <c r="G442" s="650" t="s">
        <v>1201</v>
      </c>
      <c r="H442" s="650" t="s">
        <v>2600</v>
      </c>
    </row>
    <row r="443" spans="1:8" ht="14.25" customHeight="1">
      <c r="A443" s="689" t="s">
        <v>2601</v>
      </c>
      <c r="B443" s="678" t="s">
        <v>2602</v>
      </c>
      <c r="C443" s="679" t="s">
        <v>152</v>
      </c>
      <c r="D443" s="679" t="s">
        <v>154</v>
      </c>
      <c r="G443" s="650" t="s">
        <v>1203</v>
      </c>
      <c r="H443" s="650" t="s">
        <v>2603</v>
      </c>
    </row>
    <row r="444" spans="1:8" ht="14.25" customHeight="1">
      <c r="A444" s="689" t="s">
        <v>2604</v>
      </c>
      <c r="B444" s="678" t="s">
        <v>2605</v>
      </c>
      <c r="C444" s="679" t="s">
        <v>152</v>
      </c>
      <c r="D444" s="679" t="s">
        <v>154</v>
      </c>
      <c r="G444" s="650" t="s">
        <v>1265</v>
      </c>
      <c r="H444" s="650" t="s">
        <v>2606</v>
      </c>
    </row>
    <row r="445" spans="1:8" ht="14.25" customHeight="1">
      <c r="A445" s="689" t="s">
        <v>2607</v>
      </c>
      <c r="B445" s="678" t="s">
        <v>2608</v>
      </c>
      <c r="C445" s="679" t="s">
        <v>152</v>
      </c>
      <c r="D445" s="679" t="s">
        <v>154</v>
      </c>
      <c r="G445" s="650" t="s">
        <v>1209</v>
      </c>
      <c r="H445" s="650" t="s">
        <v>2609</v>
      </c>
    </row>
    <row r="446" spans="1:8" ht="14.25" customHeight="1">
      <c r="A446" s="677" t="s">
        <v>1078</v>
      </c>
      <c r="B446" s="688" t="s">
        <v>2610</v>
      </c>
      <c r="C446" s="679" t="s">
        <v>180</v>
      </c>
      <c r="D446" s="679" t="s">
        <v>182</v>
      </c>
      <c r="G446" s="650" t="s">
        <v>1211</v>
      </c>
      <c r="H446" s="650" t="s">
        <v>2611</v>
      </c>
    </row>
    <row r="447" spans="1:8" ht="14.25" customHeight="1">
      <c r="A447" s="689" t="s">
        <v>2612</v>
      </c>
      <c r="B447" s="678" t="s">
        <v>2613</v>
      </c>
      <c r="C447" s="679" t="s">
        <v>180</v>
      </c>
      <c r="D447" s="679" t="s">
        <v>97</v>
      </c>
      <c r="G447" s="650" t="s">
        <v>1389</v>
      </c>
      <c r="H447" s="650" t="s">
        <v>2614</v>
      </c>
    </row>
    <row r="448" spans="1:8" ht="14.25" customHeight="1">
      <c r="A448" s="678" t="s">
        <v>2615</v>
      </c>
      <c r="B448" s="678" t="s">
        <v>2616</v>
      </c>
      <c r="C448" s="679"/>
      <c r="D448" s="679"/>
      <c r="G448" s="650" t="s">
        <v>809</v>
      </c>
      <c r="H448" s="650" t="s">
        <v>2617</v>
      </c>
    </row>
    <row r="449" spans="1:8" ht="14.25" customHeight="1">
      <c r="A449" s="677" t="s">
        <v>2618</v>
      </c>
      <c r="B449" s="688" t="s">
        <v>2619</v>
      </c>
      <c r="C449" s="679" t="s">
        <v>180</v>
      </c>
      <c r="D449" s="679" t="s">
        <v>184</v>
      </c>
      <c r="G449" s="650" t="s">
        <v>1268</v>
      </c>
      <c r="H449" s="650" t="s">
        <v>2620</v>
      </c>
    </row>
    <row r="450" spans="1:8" ht="14.25" customHeight="1">
      <c r="A450" s="689" t="s">
        <v>2621</v>
      </c>
      <c r="B450" s="678" t="s">
        <v>2622</v>
      </c>
      <c r="C450" s="679" t="s">
        <v>180</v>
      </c>
      <c r="D450" s="679" t="s">
        <v>184</v>
      </c>
      <c r="G450" s="650" t="s">
        <v>1269</v>
      </c>
      <c r="H450" s="650" t="s">
        <v>2623</v>
      </c>
    </row>
    <row r="451" spans="1:8" ht="14.25" customHeight="1">
      <c r="A451" s="688" t="s">
        <v>2624</v>
      </c>
      <c r="B451" s="688" t="s">
        <v>2616</v>
      </c>
      <c r="C451" s="679"/>
      <c r="D451" s="679"/>
      <c r="G451" s="650" t="s">
        <v>1270</v>
      </c>
      <c r="H451" s="650" t="s">
        <v>2625</v>
      </c>
    </row>
    <row r="452" spans="1:8" ht="14.25" customHeight="1">
      <c r="A452" s="688" t="s">
        <v>1084</v>
      </c>
      <c r="B452" s="688" t="s">
        <v>2626</v>
      </c>
      <c r="C452" s="679" t="s">
        <v>180</v>
      </c>
      <c r="D452" s="679" t="s">
        <v>185</v>
      </c>
      <c r="G452" s="650" t="s">
        <v>1271</v>
      </c>
      <c r="H452" s="650" t="s">
        <v>2627</v>
      </c>
    </row>
    <row r="453" spans="1:8" ht="14.25" customHeight="1">
      <c r="A453" s="689" t="s">
        <v>2628</v>
      </c>
      <c r="B453" s="678" t="s">
        <v>2629</v>
      </c>
      <c r="C453" s="679" t="s">
        <v>180</v>
      </c>
      <c r="D453" s="679" t="s">
        <v>185</v>
      </c>
      <c r="G453" s="650" t="s">
        <v>1272</v>
      </c>
      <c r="H453" s="650" t="s">
        <v>2630</v>
      </c>
    </row>
    <row r="454" spans="1:8" ht="14.25" customHeight="1">
      <c r="A454" s="689" t="s">
        <v>2631</v>
      </c>
      <c r="B454" s="678" t="s">
        <v>2616</v>
      </c>
      <c r="C454" s="679"/>
      <c r="D454" s="679"/>
      <c r="G454" s="650" t="s">
        <v>1273</v>
      </c>
      <c r="H454" s="650" t="s">
        <v>2632</v>
      </c>
    </row>
    <row r="455" spans="1:8" ht="14.25" customHeight="1">
      <c r="A455" s="688" t="s">
        <v>2633</v>
      </c>
      <c r="B455" s="688" t="s">
        <v>2634</v>
      </c>
      <c r="C455" s="679" t="s">
        <v>180</v>
      </c>
      <c r="D455" s="679" t="s">
        <v>184</v>
      </c>
      <c r="G455" s="650" t="s">
        <v>810</v>
      </c>
      <c r="H455" s="650" t="s">
        <v>2635</v>
      </c>
    </row>
    <row r="456" spans="1:8" ht="14.25" customHeight="1">
      <c r="A456" s="689" t="s">
        <v>2636</v>
      </c>
      <c r="B456" s="678" t="s">
        <v>2637</v>
      </c>
      <c r="C456" s="679" t="s">
        <v>180</v>
      </c>
      <c r="D456" s="679" t="s">
        <v>184</v>
      </c>
      <c r="G456" s="650" t="s">
        <v>811</v>
      </c>
      <c r="H456" s="650" t="s">
        <v>2638</v>
      </c>
    </row>
    <row r="457" spans="1:8" ht="14.25" customHeight="1">
      <c r="A457" s="677" t="s">
        <v>2639</v>
      </c>
      <c r="B457" s="688" t="s">
        <v>2640</v>
      </c>
      <c r="C457" s="679" t="s">
        <v>180</v>
      </c>
      <c r="D457" s="679" t="s">
        <v>182</v>
      </c>
      <c r="G457" s="650" t="s">
        <v>812</v>
      </c>
      <c r="H457" s="650" t="s">
        <v>2641</v>
      </c>
    </row>
    <row r="458" spans="1:8" ht="14.25" customHeight="1">
      <c r="A458" s="677" t="s">
        <v>2642</v>
      </c>
      <c r="B458" s="688" t="s">
        <v>2643</v>
      </c>
      <c r="C458" s="679" t="s">
        <v>180</v>
      </c>
      <c r="D458" s="679" t="s">
        <v>194</v>
      </c>
      <c r="G458" s="650" t="s">
        <v>813</v>
      </c>
      <c r="H458" s="650" t="s">
        <v>2644</v>
      </c>
    </row>
    <row r="459" spans="1:8" ht="14.25" customHeight="1">
      <c r="A459" s="689" t="s">
        <v>2645</v>
      </c>
      <c r="B459" s="678" t="s">
        <v>2646</v>
      </c>
      <c r="C459" s="679" t="s">
        <v>1325</v>
      </c>
      <c r="D459" s="679" t="s">
        <v>97</v>
      </c>
      <c r="G459" s="650" t="s">
        <v>1158</v>
      </c>
      <c r="H459" s="650" t="s">
        <v>2647</v>
      </c>
    </row>
    <row r="460" spans="1:8" ht="14.25" customHeight="1">
      <c r="A460" s="677" t="s">
        <v>2648</v>
      </c>
      <c r="B460" s="688" t="s">
        <v>2649</v>
      </c>
      <c r="C460" s="679" t="s">
        <v>1325</v>
      </c>
      <c r="D460" s="679" t="s">
        <v>183</v>
      </c>
      <c r="G460" s="650" t="s">
        <v>1397</v>
      </c>
      <c r="H460" s="650" t="s">
        <v>2650</v>
      </c>
    </row>
    <row r="461" spans="1:8" ht="14.25" customHeight="1">
      <c r="A461" s="688" t="s">
        <v>2651</v>
      </c>
      <c r="B461" s="688" t="s">
        <v>2652</v>
      </c>
      <c r="C461" s="679" t="s">
        <v>180</v>
      </c>
      <c r="D461" s="679" t="s">
        <v>183</v>
      </c>
      <c r="G461" s="650" t="s">
        <v>1166</v>
      </c>
      <c r="H461" s="650" t="s">
        <v>2653</v>
      </c>
    </row>
    <row r="462" spans="1:8" ht="14.25" customHeight="1">
      <c r="A462" s="689" t="s">
        <v>2654</v>
      </c>
      <c r="B462" s="678" t="s">
        <v>2655</v>
      </c>
      <c r="C462" s="679" t="s">
        <v>180</v>
      </c>
      <c r="D462" s="679" t="s">
        <v>97</v>
      </c>
      <c r="G462" s="650" t="s">
        <v>1274</v>
      </c>
      <c r="H462" s="650" t="s">
        <v>2656</v>
      </c>
    </row>
    <row r="463" spans="1:8" ht="14.25" customHeight="1">
      <c r="A463" s="688" t="s">
        <v>2657</v>
      </c>
      <c r="B463" s="688" t="s">
        <v>2658</v>
      </c>
      <c r="C463" s="679" t="s">
        <v>180</v>
      </c>
      <c r="D463" s="679" t="s">
        <v>183</v>
      </c>
      <c r="G463" s="650" t="s">
        <v>1171</v>
      </c>
      <c r="H463" s="650" t="s">
        <v>2659</v>
      </c>
    </row>
    <row r="464" spans="1:8" ht="14.25" customHeight="1">
      <c r="A464" s="689" t="s">
        <v>2660</v>
      </c>
      <c r="B464" s="678" t="s">
        <v>2661</v>
      </c>
      <c r="C464" s="679" t="s">
        <v>180</v>
      </c>
      <c r="D464" s="679" t="s">
        <v>97</v>
      </c>
      <c r="G464" s="650" t="s">
        <v>1173</v>
      </c>
      <c r="H464" s="650" t="s">
        <v>2662</v>
      </c>
    </row>
    <row r="465" spans="1:8" ht="14.25" customHeight="1">
      <c r="A465" s="677" t="s">
        <v>2663</v>
      </c>
      <c r="B465" s="688" t="s">
        <v>2664</v>
      </c>
      <c r="C465" s="679" t="s">
        <v>180</v>
      </c>
      <c r="D465" s="679" t="s">
        <v>183</v>
      </c>
      <c r="G465" s="650" t="s">
        <v>1175</v>
      </c>
      <c r="H465" s="650" t="s">
        <v>2665</v>
      </c>
    </row>
    <row r="466" spans="1:8" ht="14.25" customHeight="1">
      <c r="A466" s="689" t="s">
        <v>2666</v>
      </c>
      <c r="B466" s="678" t="s">
        <v>2667</v>
      </c>
      <c r="C466" s="679" t="s">
        <v>1325</v>
      </c>
      <c r="D466" s="679" t="s">
        <v>183</v>
      </c>
      <c r="G466" s="650" t="s">
        <v>1275</v>
      </c>
      <c r="H466" s="650" t="s">
        <v>2668</v>
      </c>
    </row>
    <row r="467" spans="1:8" ht="14.25" customHeight="1">
      <c r="A467" s="677" t="s">
        <v>2669</v>
      </c>
      <c r="B467" s="688" t="s">
        <v>2670</v>
      </c>
      <c r="C467" s="679" t="s">
        <v>180</v>
      </c>
      <c r="D467" s="679" t="s">
        <v>186</v>
      </c>
      <c r="G467" s="650" t="s">
        <v>1179</v>
      </c>
      <c r="H467" s="650" t="s">
        <v>2671</v>
      </c>
    </row>
    <row r="468" spans="1:8" ht="14.25" customHeight="1">
      <c r="A468" s="689" t="s">
        <v>2672</v>
      </c>
      <c r="B468" s="678" t="s">
        <v>2673</v>
      </c>
      <c r="C468" s="679" t="s">
        <v>180</v>
      </c>
      <c r="D468" s="679" t="s">
        <v>97</v>
      </c>
      <c r="G468" s="650" t="s">
        <v>1181</v>
      </c>
      <c r="H468" s="650" t="s">
        <v>2674</v>
      </c>
    </row>
    <row r="469" spans="1:8" ht="14.25" customHeight="1">
      <c r="A469" s="677" t="s">
        <v>2675</v>
      </c>
      <c r="B469" s="688" t="s">
        <v>2676</v>
      </c>
      <c r="C469" s="679" t="s">
        <v>180</v>
      </c>
      <c r="D469" s="679" t="s">
        <v>186</v>
      </c>
      <c r="G469" s="650" t="s">
        <v>1276</v>
      </c>
      <c r="H469" s="650" t="s">
        <v>2677</v>
      </c>
    </row>
    <row r="470" spans="1:8" ht="14.25" customHeight="1">
      <c r="A470" s="689" t="s">
        <v>2678</v>
      </c>
      <c r="B470" s="678" t="s">
        <v>2679</v>
      </c>
      <c r="C470" s="679" t="s">
        <v>1325</v>
      </c>
      <c r="D470" s="679" t="s">
        <v>97</v>
      </c>
      <c r="G470" s="650" t="s">
        <v>1231</v>
      </c>
      <c r="H470" s="650" t="s">
        <v>2680</v>
      </c>
    </row>
    <row r="471" spans="1:8" ht="14.25" customHeight="1">
      <c r="A471" s="677" t="s">
        <v>2681</v>
      </c>
      <c r="B471" s="688" t="s">
        <v>2682</v>
      </c>
      <c r="C471" s="679" t="s">
        <v>180</v>
      </c>
      <c r="D471" s="679" t="s">
        <v>2683</v>
      </c>
      <c r="G471" s="650" t="s">
        <v>1187</v>
      </c>
      <c r="H471" s="650" t="s">
        <v>2684</v>
      </c>
    </row>
    <row r="472" spans="1:8" ht="14.25" customHeight="1">
      <c r="A472" s="689" t="s">
        <v>2685</v>
      </c>
      <c r="B472" s="678" t="s">
        <v>2686</v>
      </c>
      <c r="C472" s="679" t="s">
        <v>180</v>
      </c>
      <c r="D472" s="679" t="s">
        <v>97</v>
      </c>
      <c r="G472" s="650" t="s">
        <v>1189</v>
      </c>
      <c r="H472" s="650" t="s">
        <v>2687</v>
      </c>
    </row>
    <row r="473" spans="1:8" ht="14.25" customHeight="1">
      <c r="A473" s="677" t="s">
        <v>2688</v>
      </c>
      <c r="B473" s="688" t="s">
        <v>2689</v>
      </c>
      <c r="C473" s="679" t="s">
        <v>180</v>
      </c>
      <c r="D473" s="679" t="s">
        <v>191</v>
      </c>
      <c r="G473" s="650" t="s">
        <v>1191</v>
      </c>
      <c r="H473" s="650" t="s">
        <v>2690</v>
      </c>
    </row>
    <row r="474" spans="1:8" ht="14.25" customHeight="1">
      <c r="A474" s="689" t="s">
        <v>2691</v>
      </c>
      <c r="B474" s="678" t="s">
        <v>2692</v>
      </c>
      <c r="C474" s="679" t="s">
        <v>1325</v>
      </c>
      <c r="D474" s="679" t="s">
        <v>97</v>
      </c>
      <c r="G474" s="650" t="s">
        <v>1193</v>
      </c>
      <c r="H474" s="650" t="s">
        <v>2693</v>
      </c>
    </row>
    <row r="475" spans="1:8" ht="14.25" customHeight="1">
      <c r="A475" s="685" t="s">
        <v>2694</v>
      </c>
      <c r="B475" s="685" t="s">
        <v>2695</v>
      </c>
      <c r="C475" s="679" t="s">
        <v>92</v>
      </c>
      <c r="D475" s="679" t="s">
        <v>97</v>
      </c>
      <c r="G475" s="650" t="s">
        <v>1195</v>
      </c>
      <c r="H475" s="650" t="s">
        <v>2696</v>
      </c>
    </row>
    <row r="476" spans="1:8" ht="14.25" customHeight="1">
      <c r="A476" s="690" t="s">
        <v>2697</v>
      </c>
      <c r="B476" s="685" t="s">
        <v>2057</v>
      </c>
      <c r="C476" s="679" t="s">
        <v>92</v>
      </c>
      <c r="D476" s="679" t="s">
        <v>97</v>
      </c>
      <c r="G476" s="650" t="s">
        <v>1197</v>
      </c>
      <c r="H476" s="650" t="s">
        <v>2698</v>
      </c>
    </row>
    <row r="477" spans="1:8" ht="14.25" customHeight="1">
      <c r="A477" s="690" t="s">
        <v>2699</v>
      </c>
      <c r="B477" s="685" t="s">
        <v>2700</v>
      </c>
      <c r="C477" s="679" t="s">
        <v>92</v>
      </c>
      <c r="D477" s="679" t="s">
        <v>97</v>
      </c>
      <c r="G477" s="650" t="s">
        <v>1199</v>
      </c>
      <c r="H477" s="650" t="s">
        <v>2701</v>
      </c>
    </row>
    <row r="478" spans="1:8" ht="14.25" customHeight="1">
      <c r="A478" s="690" t="s">
        <v>2702</v>
      </c>
      <c r="B478" s="685" t="s">
        <v>2703</v>
      </c>
      <c r="C478" s="679" t="s">
        <v>92</v>
      </c>
      <c r="D478" s="679" t="s">
        <v>98</v>
      </c>
      <c r="G478" s="650" t="s">
        <v>1201</v>
      </c>
      <c r="H478" s="650" t="s">
        <v>2704</v>
      </c>
    </row>
    <row r="479" spans="1:8" ht="14.25" customHeight="1">
      <c r="A479" s="720" t="s">
        <v>2705</v>
      </c>
      <c r="B479" s="722" t="s">
        <v>2706</v>
      </c>
      <c r="C479" s="679" t="s">
        <v>92</v>
      </c>
      <c r="D479" s="679" t="s">
        <v>98</v>
      </c>
      <c r="G479" s="650" t="s">
        <v>1203</v>
      </c>
      <c r="H479" s="650" t="s">
        <v>2707</v>
      </c>
    </row>
    <row r="480" spans="1:8" ht="14.25" customHeight="1">
      <c r="A480" s="690" t="s">
        <v>2708</v>
      </c>
      <c r="B480" s="685" t="s">
        <v>2709</v>
      </c>
      <c r="C480" s="679" t="s">
        <v>92</v>
      </c>
      <c r="D480" s="679" t="s">
        <v>97</v>
      </c>
      <c r="G480" s="650" t="s">
        <v>1277</v>
      </c>
      <c r="H480" s="650" t="s">
        <v>2710</v>
      </c>
    </row>
    <row r="481" spans="1:8" ht="14.25" customHeight="1">
      <c r="A481" s="690" t="s">
        <v>2711</v>
      </c>
      <c r="B481" s="685" t="s">
        <v>2712</v>
      </c>
      <c r="C481" s="679" t="s">
        <v>92</v>
      </c>
      <c r="D481" s="679" t="s">
        <v>98</v>
      </c>
      <c r="G481" s="650" t="s">
        <v>1209</v>
      </c>
      <c r="H481" s="650" t="s">
        <v>2713</v>
      </c>
    </row>
    <row r="482" spans="1:8" ht="14.25" customHeight="1">
      <c r="A482" s="677" t="s">
        <v>2714</v>
      </c>
      <c r="B482" s="688" t="s">
        <v>2715</v>
      </c>
      <c r="C482" s="679" t="s">
        <v>92</v>
      </c>
      <c r="D482" s="679" t="s">
        <v>98</v>
      </c>
      <c r="G482" s="650" t="s">
        <v>1211</v>
      </c>
      <c r="H482" s="650" t="s">
        <v>2716</v>
      </c>
    </row>
    <row r="483" spans="1:8" ht="14.25" customHeight="1">
      <c r="A483" s="690" t="s">
        <v>2717</v>
      </c>
      <c r="B483" s="685" t="s">
        <v>2718</v>
      </c>
      <c r="C483" s="679" t="s">
        <v>92</v>
      </c>
      <c r="D483" s="679" t="s">
        <v>97</v>
      </c>
      <c r="G483" s="650" t="s">
        <v>1389</v>
      </c>
      <c r="H483" s="650" t="s">
        <v>2719</v>
      </c>
    </row>
    <row r="484" spans="1:8" ht="14.25" customHeight="1">
      <c r="A484" s="690" t="s">
        <v>2720</v>
      </c>
      <c r="B484" s="685" t="s">
        <v>2721</v>
      </c>
      <c r="C484" s="679" t="s">
        <v>92</v>
      </c>
      <c r="D484" s="679" t="s">
        <v>97</v>
      </c>
      <c r="G484" s="650" t="s">
        <v>814</v>
      </c>
      <c r="H484" s="650" t="s">
        <v>2722</v>
      </c>
    </row>
    <row r="485" spans="1:8" ht="14.25" customHeight="1">
      <c r="A485" s="690" t="s">
        <v>2723</v>
      </c>
      <c r="B485" s="685" t="s">
        <v>2724</v>
      </c>
      <c r="C485" s="679" t="s">
        <v>92</v>
      </c>
      <c r="D485" s="679" t="s">
        <v>97</v>
      </c>
      <c r="G485" s="650" t="s">
        <v>1279</v>
      </c>
      <c r="H485" s="650" t="s">
        <v>2725</v>
      </c>
    </row>
    <row r="486" spans="1:8" ht="14.25" customHeight="1">
      <c r="A486" s="690" t="s">
        <v>2726</v>
      </c>
      <c r="B486" s="685" t="s">
        <v>2727</v>
      </c>
      <c r="C486" s="679" t="s">
        <v>92</v>
      </c>
      <c r="D486" s="679" t="s">
        <v>97</v>
      </c>
      <c r="G486" s="650" t="s">
        <v>1280</v>
      </c>
      <c r="H486" s="650" t="s">
        <v>2728</v>
      </c>
    </row>
    <row r="487" spans="1:8" ht="14.25" customHeight="1">
      <c r="A487" s="690" t="s">
        <v>2729</v>
      </c>
      <c r="B487" s="685" t="s">
        <v>2730</v>
      </c>
      <c r="C487" s="679" t="s">
        <v>92</v>
      </c>
      <c r="D487" s="679" t="s">
        <v>97</v>
      </c>
      <c r="G487" s="650" t="s">
        <v>1281</v>
      </c>
      <c r="H487" s="650" t="s">
        <v>2731</v>
      </c>
    </row>
    <row r="488" spans="1:8" ht="14.25" customHeight="1">
      <c r="A488" s="690" t="s">
        <v>2732</v>
      </c>
      <c r="B488" s="685" t="s">
        <v>2733</v>
      </c>
      <c r="C488" s="679" t="s">
        <v>92</v>
      </c>
      <c r="D488" s="679" t="s">
        <v>97</v>
      </c>
      <c r="G488" s="650" t="s">
        <v>1282</v>
      </c>
      <c r="H488" s="650" t="s">
        <v>2734</v>
      </c>
    </row>
    <row r="489" spans="1:8" ht="14.25" customHeight="1">
      <c r="A489" s="690" t="s">
        <v>2735</v>
      </c>
      <c r="B489" s="685" t="s">
        <v>2736</v>
      </c>
      <c r="C489" s="679" t="s">
        <v>92</v>
      </c>
      <c r="D489" s="679" t="s">
        <v>97</v>
      </c>
      <c r="G489" s="650" t="s">
        <v>1283</v>
      </c>
      <c r="H489" s="650" t="s">
        <v>2737</v>
      </c>
    </row>
    <row r="490" spans="1:8" ht="14.25" customHeight="1">
      <c r="A490" s="690" t="s">
        <v>2738</v>
      </c>
      <c r="B490" s="685" t="s">
        <v>2739</v>
      </c>
      <c r="C490" s="679" t="s">
        <v>92</v>
      </c>
      <c r="D490" s="679" t="s">
        <v>97</v>
      </c>
      <c r="G490" s="650" t="s">
        <v>1284</v>
      </c>
      <c r="H490" s="650" t="s">
        <v>2740</v>
      </c>
    </row>
    <row r="491" spans="1:8" ht="14.25" customHeight="1">
      <c r="A491" s="685" t="s">
        <v>2741</v>
      </c>
      <c r="B491" s="685" t="s">
        <v>2739</v>
      </c>
      <c r="C491" s="679" t="s">
        <v>92</v>
      </c>
      <c r="D491" s="679" t="s">
        <v>97</v>
      </c>
      <c r="G491" s="650" t="s">
        <v>726</v>
      </c>
      <c r="H491" s="650" t="s">
        <v>2742</v>
      </c>
    </row>
    <row r="492" spans="1:8" ht="14.25" customHeight="1">
      <c r="A492" s="690" t="s">
        <v>2743</v>
      </c>
      <c r="B492" s="685" t="s">
        <v>2744</v>
      </c>
      <c r="C492" s="679" t="s">
        <v>92</v>
      </c>
      <c r="D492" s="679" t="s">
        <v>97</v>
      </c>
      <c r="G492" s="650" t="s">
        <v>727</v>
      </c>
      <c r="H492" s="650" t="s">
        <v>2745</v>
      </c>
    </row>
    <row r="493" spans="1:8" ht="14.25" customHeight="1">
      <c r="A493" s="690" t="s">
        <v>2746</v>
      </c>
      <c r="B493" s="685" t="s">
        <v>2747</v>
      </c>
      <c r="C493" s="679" t="s">
        <v>92</v>
      </c>
      <c r="D493" s="679" t="s">
        <v>97</v>
      </c>
      <c r="G493" s="650" t="s">
        <v>728</v>
      </c>
      <c r="H493" s="650" t="s">
        <v>2748</v>
      </c>
    </row>
    <row r="494" spans="1:8" ht="14.25" customHeight="1">
      <c r="A494" s="690" t="s">
        <v>2749</v>
      </c>
      <c r="B494" s="685" t="s">
        <v>2750</v>
      </c>
      <c r="C494" s="679" t="s">
        <v>92</v>
      </c>
      <c r="D494" s="679" t="s">
        <v>97</v>
      </c>
      <c r="G494" s="650" t="s">
        <v>1287</v>
      </c>
      <c r="H494" s="650" t="s">
        <v>2751</v>
      </c>
    </row>
    <row r="495" spans="1:8" ht="14.25" customHeight="1">
      <c r="A495" s="677" t="s">
        <v>2752</v>
      </c>
      <c r="B495" s="685" t="s">
        <v>2753</v>
      </c>
      <c r="C495" s="679" t="s">
        <v>92</v>
      </c>
      <c r="D495" s="679" t="s">
        <v>98</v>
      </c>
      <c r="G495" s="650" t="s">
        <v>1288</v>
      </c>
      <c r="H495" s="650" t="s">
        <v>1289</v>
      </c>
    </row>
    <row r="496" spans="1:8" ht="14.25" customHeight="1">
      <c r="A496" s="690" t="s">
        <v>2754</v>
      </c>
      <c r="B496" s="685" t="s">
        <v>2755</v>
      </c>
      <c r="C496" s="679" t="s">
        <v>92</v>
      </c>
      <c r="D496" s="679" t="s">
        <v>97</v>
      </c>
      <c r="G496" s="650" t="s">
        <v>1400</v>
      </c>
      <c r="H496" s="650" t="s">
        <v>2756</v>
      </c>
    </row>
    <row r="497" spans="1:8" ht="14.25" customHeight="1">
      <c r="A497" s="698" t="s">
        <v>2757</v>
      </c>
      <c r="B497" s="679" t="s">
        <v>2758</v>
      </c>
      <c r="C497" s="679" t="s">
        <v>92</v>
      </c>
      <c r="D497" s="679" t="s">
        <v>97</v>
      </c>
      <c r="G497" s="650" t="s">
        <v>1290</v>
      </c>
      <c r="H497" s="650" t="s">
        <v>1291</v>
      </c>
    </row>
    <row r="498" spans="1:8" ht="14.25" customHeight="1">
      <c r="A498" s="690" t="s">
        <v>2759</v>
      </c>
      <c r="B498" s="685" t="s">
        <v>2760</v>
      </c>
      <c r="C498" s="679" t="s">
        <v>92</v>
      </c>
      <c r="D498" s="679" t="s">
        <v>97</v>
      </c>
      <c r="G498" s="650" t="s">
        <v>1294</v>
      </c>
      <c r="H498" s="650" t="s">
        <v>1295</v>
      </c>
    </row>
    <row r="499" spans="1:8" ht="14.25" customHeight="1">
      <c r="A499" s="690" t="s">
        <v>2761</v>
      </c>
      <c r="B499" s="685" t="s">
        <v>2762</v>
      </c>
      <c r="C499" s="679" t="s">
        <v>92</v>
      </c>
      <c r="D499" s="679" t="s">
        <v>97</v>
      </c>
      <c r="G499" s="650" t="s">
        <v>1297</v>
      </c>
      <c r="H499" s="650" t="s">
        <v>2763</v>
      </c>
    </row>
    <row r="500" spans="1:8" ht="14.25" customHeight="1">
      <c r="A500" s="690" t="s">
        <v>2764</v>
      </c>
      <c r="B500" s="685" t="s">
        <v>2765</v>
      </c>
      <c r="C500" s="679" t="s">
        <v>92</v>
      </c>
      <c r="D500" s="679" t="s">
        <v>97</v>
      </c>
      <c r="G500" s="650" t="s">
        <v>1298</v>
      </c>
      <c r="H500" s="650" t="s">
        <v>2766</v>
      </c>
    </row>
    <row r="501" spans="1:8" ht="14.25" customHeight="1">
      <c r="A501" s="690" t="s">
        <v>2767</v>
      </c>
      <c r="B501" s="685" t="s">
        <v>2768</v>
      </c>
      <c r="C501" s="679" t="s">
        <v>92</v>
      </c>
      <c r="D501" s="679" t="s">
        <v>97</v>
      </c>
      <c r="G501" s="650" t="s">
        <v>1301</v>
      </c>
      <c r="H501" s="650" t="s">
        <v>2769</v>
      </c>
    </row>
    <row r="502" spans="1:8" ht="14.25" customHeight="1">
      <c r="A502" s="698" t="s">
        <v>2770</v>
      </c>
      <c r="B502" s="722" t="s">
        <v>2771</v>
      </c>
      <c r="C502" s="679" t="s">
        <v>92</v>
      </c>
      <c r="D502" s="679" t="s">
        <v>97</v>
      </c>
      <c r="G502" s="650" t="s">
        <v>1302</v>
      </c>
      <c r="H502" s="650" t="s">
        <v>2772</v>
      </c>
    </row>
    <row r="503" spans="1:8" ht="14.25" customHeight="1">
      <c r="A503" s="690" t="s">
        <v>2773</v>
      </c>
      <c r="B503" s="723" t="s">
        <v>2774</v>
      </c>
      <c r="C503" s="679" t="s">
        <v>92</v>
      </c>
      <c r="D503" s="679" t="s">
        <v>97</v>
      </c>
      <c r="G503" s="650" t="s">
        <v>1303</v>
      </c>
      <c r="H503" s="650" t="s">
        <v>2775</v>
      </c>
    </row>
    <row r="504" spans="1:8" ht="14.25" customHeight="1">
      <c r="A504" s="702" t="s">
        <v>2776</v>
      </c>
      <c r="B504" s="724" t="s">
        <v>2777</v>
      </c>
      <c r="C504" s="679" t="s">
        <v>92</v>
      </c>
      <c r="D504" s="679" t="s">
        <v>98</v>
      </c>
      <c r="G504" s="650" t="s">
        <v>1306</v>
      </c>
      <c r="H504" s="650" t="s">
        <v>2778</v>
      </c>
    </row>
    <row r="505" spans="1:8" ht="14.25" customHeight="1">
      <c r="A505" s="698" t="s">
        <v>2779</v>
      </c>
      <c r="B505" s="722" t="s">
        <v>2780</v>
      </c>
      <c r="C505" s="679" t="s">
        <v>92</v>
      </c>
      <c r="D505" s="679" t="s">
        <v>97</v>
      </c>
      <c r="G505" s="650" t="s">
        <v>1309</v>
      </c>
      <c r="H505" s="650" t="s">
        <v>2781</v>
      </c>
    </row>
    <row r="506" spans="1:8" ht="14.25" customHeight="1">
      <c r="A506" s="690" t="s">
        <v>2782</v>
      </c>
      <c r="B506" s="722" t="s">
        <v>2783</v>
      </c>
      <c r="C506" s="679" t="s">
        <v>92</v>
      </c>
      <c r="D506" s="679" t="s">
        <v>97</v>
      </c>
      <c r="G506" s="650" t="s">
        <v>1312</v>
      </c>
      <c r="H506" s="650" t="s">
        <v>1310</v>
      </c>
    </row>
    <row r="507" spans="1:8" ht="14.25" customHeight="1">
      <c r="A507" s="690" t="s">
        <v>2784</v>
      </c>
      <c r="B507" s="685" t="s">
        <v>2785</v>
      </c>
      <c r="C507" s="679" t="s">
        <v>92</v>
      </c>
      <c r="D507" s="679" t="s">
        <v>97</v>
      </c>
      <c r="G507" s="650" t="s">
        <v>1313</v>
      </c>
      <c r="H507" s="650" t="s">
        <v>1315</v>
      </c>
    </row>
    <row r="508" spans="1:8" ht="14.25" customHeight="1">
      <c r="A508" s="690" t="s">
        <v>2786</v>
      </c>
      <c r="B508" s="685" t="s">
        <v>2787</v>
      </c>
      <c r="C508" s="679" t="s">
        <v>92</v>
      </c>
      <c r="D508" s="679" t="s">
        <v>97</v>
      </c>
      <c r="G508" s="650" t="s">
        <v>1404</v>
      </c>
      <c r="H508" s="650" t="s">
        <v>2788</v>
      </c>
    </row>
    <row r="509" spans="1:8" ht="14.25" customHeight="1">
      <c r="A509" s="690" t="s">
        <v>2789</v>
      </c>
      <c r="B509" s="685" t="s">
        <v>2790</v>
      </c>
      <c r="C509" s="679" t="s">
        <v>92</v>
      </c>
      <c r="D509" s="679" t="s">
        <v>98</v>
      </c>
      <c r="G509" s="650" t="s">
        <v>1316</v>
      </c>
      <c r="H509" s="650" t="s">
        <v>2791</v>
      </c>
    </row>
    <row r="510" spans="1:8" ht="14.25" customHeight="1">
      <c r="A510" s="690" t="s">
        <v>2792</v>
      </c>
      <c r="B510" s="685" t="s">
        <v>2793</v>
      </c>
      <c r="C510" s="679" t="s">
        <v>92</v>
      </c>
      <c r="D510" s="679" t="s">
        <v>98</v>
      </c>
      <c r="G510" s="650" t="s">
        <v>1405</v>
      </c>
      <c r="H510" s="650" t="s">
        <v>2794</v>
      </c>
    </row>
    <row r="511" spans="1:8" ht="14.25" customHeight="1">
      <c r="A511" s="677" t="s">
        <v>2795</v>
      </c>
      <c r="B511" s="685" t="s">
        <v>2796</v>
      </c>
      <c r="C511" s="679" t="s">
        <v>92</v>
      </c>
      <c r="D511" s="679" t="s">
        <v>98</v>
      </c>
    </row>
    <row r="512" spans="1:8" ht="14.25" customHeight="1">
      <c r="A512" s="690" t="s">
        <v>2797</v>
      </c>
      <c r="B512" s="685" t="s">
        <v>2798</v>
      </c>
      <c r="C512" s="679" t="s">
        <v>92</v>
      </c>
      <c r="D512" s="679" t="s">
        <v>97</v>
      </c>
    </row>
    <row r="513" spans="1:4" ht="14.25" customHeight="1">
      <c r="A513" s="690" t="s">
        <v>2799</v>
      </c>
      <c r="B513" s="685" t="s">
        <v>2800</v>
      </c>
      <c r="C513" s="679" t="s">
        <v>92</v>
      </c>
      <c r="D513" s="679" t="s">
        <v>97</v>
      </c>
    </row>
    <row r="514" spans="1:4" ht="14.25" customHeight="1">
      <c r="A514" s="690" t="s">
        <v>2801</v>
      </c>
      <c r="B514" s="685" t="s">
        <v>2802</v>
      </c>
      <c r="C514" s="679" t="s">
        <v>92</v>
      </c>
      <c r="D514" s="679" t="s">
        <v>97</v>
      </c>
    </row>
    <row r="515" spans="1:4" ht="14.25" customHeight="1">
      <c r="A515" s="690" t="s">
        <v>2803</v>
      </c>
      <c r="B515" s="685" t="s">
        <v>2804</v>
      </c>
      <c r="C515" s="679" t="s">
        <v>92</v>
      </c>
      <c r="D515" s="679" t="s">
        <v>97</v>
      </c>
    </row>
    <row r="516" spans="1:4" ht="14.25" customHeight="1">
      <c r="A516" s="690" t="s">
        <v>2805</v>
      </c>
      <c r="B516" s="685" t="s">
        <v>2806</v>
      </c>
      <c r="C516" s="679" t="s">
        <v>92</v>
      </c>
      <c r="D516" s="679" t="s">
        <v>97</v>
      </c>
    </row>
    <row r="517" spans="1:4" ht="14.25" customHeight="1">
      <c r="A517" s="690" t="s">
        <v>2807</v>
      </c>
      <c r="B517" s="685" t="s">
        <v>2808</v>
      </c>
      <c r="C517" s="679" t="s">
        <v>92</v>
      </c>
      <c r="D517" s="679" t="s">
        <v>97</v>
      </c>
    </row>
    <row r="518" spans="1:4" ht="14.25" customHeight="1">
      <c r="A518" s="690" t="s">
        <v>2809</v>
      </c>
      <c r="B518" s="685" t="s">
        <v>2810</v>
      </c>
      <c r="C518" s="679" t="s">
        <v>92</v>
      </c>
      <c r="D518" s="679" t="s">
        <v>97</v>
      </c>
    </row>
    <row r="519" spans="1:4" ht="14.25" customHeight="1">
      <c r="A519" s="690" t="s">
        <v>2811</v>
      </c>
      <c r="B519" s="685" t="s">
        <v>2812</v>
      </c>
      <c r="C519" s="679" t="s">
        <v>92</v>
      </c>
      <c r="D519" s="679" t="s">
        <v>97</v>
      </c>
    </row>
    <row r="520" spans="1:4" ht="14.25" customHeight="1">
      <c r="A520" s="690" t="s">
        <v>2813</v>
      </c>
      <c r="B520" s="685" t="s">
        <v>2814</v>
      </c>
      <c r="C520" s="679" t="s">
        <v>92</v>
      </c>
      <c r="D520" s="679" t="s">
        <v>97</v>
      </c>
    </row>
    <row r="521" spans="1:4" ht="14.25" customHeight="1">
      <c r="A521" s="690" t="s">
        <v>2815</v>
      </c>
      <c r="B521" s="685" t="s">
        <v>2816</v>
      </c>
      <c r="C521" s="679" t="s">
        <v>92</v>
      </c>
      <c r="D521" s="679" t="s">
        <v>97</v>
      </c>
    </row>
    <row r="522" spans="1:4" ht="14.25" customHeight="1">
      <c r="A522" s="690" t="s">
        <v>2817</v>
      </c>
      <c r="B522" s="685" t="s">
        <v>2818</v>
      </c>
      <c r="C522" s="679" t="s">
        <v>92</v>
      </c>
      <c r="D522" s="679" t="s">
        <v>97</v>
      </c>
    </row>
    <row r="523" spans="1:4" ht="14.25" customHeight="1">
      <c r="A523" s="690" t="s">
        <v>2819</v>
      </c>
      <c r="B523" s="685" t="s">
        <v>2820</v>
      </c>
      <c r="C523" s="679" t="s">
        <v>92</v>
      </c>
      <c r="D523" s="679" t="s">
        <v>97</v>
      </c>
    </row>
    <row r="524" spans="1:4" ht="14.25" customHeight="1">
      <c r="A524" s="690" t="s">
        <v>2821</v>
      </c>
      <c r="B524" s="685" t="s">
        <v>2822</v>
      </c>
      <c r="C524" s="679" t="s">
        <v>92</v>
      </c>
      <c r="D524" s="679" t="s">
        <v>98</v>
      </c>
    </row>
    <row r="525" spans="1:4" ht="14.25" customHeight="1">
      <c r="A525" s="677" t="s">
        <v>2823</v>
      </c>
      <c r="B525" s="685" t="s">
        <v>2824</v>
      </c>
      <c r="C525" s="679" t="s">
        <v>92</v>
      </c>
      <c r="D525" s="679" t="s">
        <v>98</v>
      </c>
    </row>
    <row r="526" spans="1:4" ht="14.25" customHeight="1">
      <c r="A526" s="690" t="s">
        <v>2825</v>
      </c>
      <c r="B526" s="685" t="s">
        <v>2826</v>
      </c>
      <c r="C526" s="679" t="s">
        <v>92</v>
      </c>
      <c r="D526" s="679" t="s">
        <v>97</v>
      </c>
    </row>
    <row r="527" spans="1:4" ht="14.25" customHeight="1">
      <c r="A527" s="685" t="s">
        <v>2827</v>
      </c>
      <c r="B527" s="685" t="s">
        <v>2828</v>
      </c>
      <c r="C527" s="679" t="s">
        <v>92</v>
      </c>
      <c r="D527" s="679" t="s">
        <v>97</v>
      </c>
    </row>
    <row r="528" spans="1:4" ht="14.25" customHeight="1">
      <c r="A528" s="677" t="s">
        <v>2829</v>
      </c>
      <c r="B528" s="688" t="s">
        <v>2830</v>
      </c>
      <c r="C528" s="679" t="s">
        <v>92</v>
      </c>
      <c r="D528" s="679" t="s">
        <v>106</v>
      </c>
    </row>
    <row r="529" spans="1:4" ht="14.25" customHeight="1">
      <c r="A529" s="685" t="s">
        <v>2831</v>
      </c>
      <c r="B529" s="685" t="s">
        <v>2832</v>
      </c>
      <c r="C529" s="679" t="s">
        <v>92</v>
      </c>
      <c r="D529" s="679" t="s">
        <v>97</v>
      </c>
    </row>
    <row r="530" spans="1:4" ht="14.25" customHeight="1">
      <c r="A530" s="685" t="s">
        <v>2833</v>
      </c>
      <c r="B530" s="685" t="s">
        <v>2834</v>
      </c>
      <c r="C530" s="679" t="s">
        <v>92</v>
      </c>
      <c r="D530" s="679" t="s">
        <v>97</v>
      </c>
    </row>
    <row r="531" spans="1:4" ht="14.25" customHeight="1">
      <c r="A531" s="690" t="s">
        <v>2835</v>
      </c>
      <c r="B531" s="685" t="s">
        <v>2836</v>
      </c>
      <c r="C531" s="679" t="s">
        <v>92</v>
      </c>
      <c r="D531" s="679" t="s">
        <v>97</v>
      </c>
    </row>
    <row r="532" spans="1:4" ht="14.25" customHeight="1">
      <c r="A532" s="677" t="s">
        <v>2837</v>
      </c>
      <c r="B532" s="688" t="s">
        <v>2838</v>
      </c>
      <c r="C532" s="679" t="s">
        <v>92</v>
      </c>
      <c r="D532" s="679" t="s">
        <v>103</v>
      </c>
    </row>
    <row r="533" spans="1:4" ht="14.25" customHeight="1">
      <c r="A533" s="689" t="s">
        <v>2839</v>
      </c>
      <c r="B533" s="678" t="s">
        <v>2840</v>
      </c>
      <c r="C533" s="679" t="s">
        <v>92</v>
      </c>
      <c r="D533" s="679" t="s">
        <v>102</v>
      </c>
    </row>
    <row r="534" spans="1:4" ht="14.25" customHeight="1">
      <c r="A534" s="689" t="s">
        <v>2841</v>
      </c>
      <c r="B534" s="678" t="s">
        <v>2842</v>
      </c>
      <c r="C534" s="679" t="s">
        <v>92</v>
      </c>
      <c r="D534" s="679" t="s">
        <v>102</v>
      </c>
    </row>
    <row r="535" spans="1:4" ht="14.25" customHeight="1">
      <c r="A535" s="677" t="s">
        <v>2843</v>
      </c>
      <c r="B535" s="685" t="s">
        <v>2844</v>
      </c>
      <c r="C535" s="679" t="s">
        <v>92</v>
      </c>
      <c r="D535" s="679" t="s">
        <v>98</v>
      </c>
    </row>
    <row r="536" spans="1:4" ht="14.25" customHeight="1">
      <c r="A536" s="690" t="s">
        <v>2845</v>
      </c>
      <c r="B536" s="685" t="s">
        <v>2846</v>
      </c>
      <c r="C536" s="679" t="s">
        <v>92</v>
      </c>
      <c r="D536" s="679" t="s">
        <v>97</v>
      </c>
    </row>
    <row r="537" spans="1:4" ht="14.25" customHeight="1">
      <c r="A537" s="690" t="s">
        <v>2847</v>
      </c>
      <c r="B537" s="685" t="s">
        <v>2848</v>
      </c>
      <c r="C537" s="679" t="s">
        <v>92</v>
      </c>
      <c r="D537" s="679" t="s">
        <v>97</v>
      </c>
    </row>
    <row r="538" spans="1:4" ht="14.25" customHeight="1">
      <c r="A538" s="690" t="s">
        <v>2849</v>
      </c>
      <c r="B538" s="685" t="s">
        <v>2850</v>
      </c>
      <c r="C538" s="679" t="s">
        <v>92</v>
      </c>
      <c r="D538" s="679" t="s">
        <v>97</v>
      </c>
    </row>
    <row r="539" spans="1:4" ht="14.25" customHeight="1">
      <c r="A539" s="690" t="s">
        <v>2851</v>
      </c>
      <c r="B539" s="685" t="s">
        <v>2852</v>
      </c>
      <c r="C539" s="679" t="s">
        <v>92</v>
      </c>
      <c r="D539" s="679" t="s">
        <v>98</v>
      </c>
    </row>
    <row r="540" spans="1:4" ht="14.25" customHeight="1">
      <c r="A540" s="677" t="s">
        <v>2853</v>
      </c>
      <c r="B540" s="688" t="s">
        <v>2854</v>
      </c>
      <c r="C540" s="679" t="s">
        <v>152</v>
      </c>
      <c r="D540" s="679" t="s">
        <v>153</v>
      </c>
    </row>
    <row r="541" spans="1:4" ht="14.25" customHeight="1">
      <c r="A541" s="677" t="s">
        <v>2855</v>
      </c>
      <c r="B541" s="688" t="s">
        <v>2856</v>
      </c>
      <c r="C541" s="679" t="s">
        <v>152</v>
      </c>
      <c r="D541" s="679" t="s">
        <v>186</v>
      </c>
    </row>
    <row r="542" spans="1:4" ht="14.25" customHeight="1">
      <c r="A542" s="677" t="s">
        <v>2857</v>
      </c>
      <c r="B542" s="688" t="s">
        <v>2858</v>
      </c>
      <c r="C542" s="679" t="s">
        <v>152</v>
      </c>
      <c r="D542" s="679" t="s">
        <v>186</v>
      </c>
    </row>
    <row r="543" spans="1:4" ht="14.25" customHeight="1">
      <c r="A543" s="725" t="s">
        <v>2859</v>
      </c>
      <c r="B543" s="726" t="s">
        <v>2860</v>
      </c>
      <c r="C543" s="679" t="s">
        <v>152</v>
      </c>
      <c r="D543" s="679" t="s">
        <v>106</v>
      </c>
    </row>
    <row r="544" spans="1:4" ht="14.25" customHeight="1">
      <c r="A544" s="677" t="s">
        <v>2861</v>
      </c>
      <c r="B544" s="688" t="s">
        <v>2862</v>
      </c>
      <c r="C544" s="679" t="s">
        <v>152</v>
      </c>
      <c r="D544" s="679" t="s">
        <v>156</v>
      </c>
    </row>
    <row r="545" spans="1:4" ht="14.25" customHeight="1">
      <c r="A545" s="677" t="s">
        <v>2863</v>
      </c>
      <c r="B545" s="688" t="s">
        <v>2864</v>
      </c>
      <c r="C545" s="679" t="s">
        <v>152</v>
      </c>
      <c r="D545" s="679" t="s">
        <v>156</v>
      </c>
    </row>
    <row r="546" spans="1:4" ht="14.25" customHeight="1">
      <c r="A546" s="677" t="s">
        <v>2865</v>
      </c>
      <c r="B546" s="688" t="s">
        <v>2866</v>
      </c>
      <c r="C546" s="679" t="s">
        <v>152</v>
      </c>
      <c r="D546" s="679" t="s">
        <v>153</v>
      </c>
    </row>
    <row r="547" spans="1:4" ht="14.25" customHeight="1">
      <c r="A547" s="677" t="s">
        <v>2867</v>
      </c>
      <c r="B547" s="688" t="s">
        <v>2868</v>
      </c>
      <c r="C547" s="679" t="s">
        <v>152</v>
      </c>
      <c r="D547" s="679" t="s">
        <v>153</v>
      </c>
    </row>
    <row r="548" spans="1:4" ht="14.25" customHeight="1">
      <c r="A548" s="688" t="s">
        <v>2869</v>
      </c>
      <c r="B548" s="688" t="s">
        <v>2870</v>
      </c>
      <c r="C548" s="679" t="s">
        <v>152</v>
      </c>
      <c r="D548" s="679" t="s">
        <v>153</v>
      </c>
    </row>
    <row r="549" spans="1:4" ht="14.25" customHeight="1">
      <c r="A549" s="688" t="s">
        <v>2871</v>
      </c>
      <c r="B549" s="688" t="s">
        <v>2872</v>
      </c>
      <c r="C549" s="679" t="s">
        <v>152</v>
      </c>
      <c r="D549" s="679" t="s">
        <v>153</v>
      </c>
    </row>
    <row r="550" spans="1:4" ht="14.25" customHeight="1">
      <c r="A550" s="677" t="s">
        <v>2873</v>
      </c>
      <c r="B550" s="688" t="s">
        <v>2874</v>
      </c>
      <c r="C550" s="679" t="s">
        <v>152</v>
      </c>
      <c r="D550" s="679" t="s">
        <v>153</v>
      </c>
    </row>
    <row r="551" spans="1:4" ht="14.25" customHeight="1">
      <c r="A551" s="677" t="s">
        <v>2875</v>
      </c>
      <c r="B551" s="688" t="s">
        <v>2876</v>
      </c>
      <c r="C551" s="679" t="s">
        <v>152</v>
      </c>
      <c r="D551" s="679" t="s">
        <v>153</v>
      </c>
    </row>
    <row r="552" spans="1:4" ht="14.25" customHeight="1">
      <c r="A552" s="677" t="s">
        <v>2877</v>
      </c>
      <c r="B552" s="688" t="s">
        <v>2878</v>
      </c>
      <c r="C552" s="679" t="s">
        <v>152</v>
      </c>
      <c r="D552" s="679" t="s">
        <v>153</v>
      </c>
    </row>
    <row r="553" spans="1:4" ht="14.25" customHeight="1">
      <c r="A553" s="677" t="s">
        <v>2879</v>
      </c>
      <c r="B553" s="688" t="s">
        <v>2880</v>
      </c>
      <c r="C553" s="679" t="s">
        <v>152</v>
      </c>
      <c r="D553" s="679" t="s">
        <v>153</v>
      </c>
    </row>
    <row r="554" spans="1:4" ht="14.25" customHeight="1">
      <c r="A554" s="677" t="s">
        <v>2881</v>
      </c>
      <c r="B554" s="688" t="s">
        <v>2882</v>
      </c>
      <c r="C554" s="679" t="s">
        <v>152</v>
      </c>
      <c r="D554" s="679" t="s">
        <v>153</v>
      </c>
    </row>
    <row r="555" spans="1:4" ht="14.25" customHeight="1">
      <c r="A555" s="677" t="s">
        <v>2881</v>
      </c>
      <c r="B555" s="688" t="s">
        <v>2882</v>
      </c>
      <c r="C555" s="679" t="s">
        <v>152</v>
      </c>
      <c r="D555" s="679" t="s">
        <v>153</v>
      </c>
    </row>
    <row r="556" spans="1:4" ht="14.25" customHeight="1">
      <c r="A556" s="677" t="s">
        <v>2883</v>
      </c>
      <c r="B556" s="688" t="s">
        <v>2884</v>
      </c>
      <c r="C556" s="679" t="s">
        <v>152</v>
      </c>
      <c r="D556" s="679" t="s">
        <v>153</v>
      </c>
    </row>
    <row r="557" spans="1:4" ht="14.25" customHeight="1">
      <c r="A557" s="677" t="s">
        <v>2883</v>
      </c>
      <c r="B557" s="688" t="s">
        <v>2884</v>
      </c>
      <c r="C557" s="679" t="s">
        <v>152</v>
      </c>
      <c r="D557" s="679" t="s">
        <v>153</v>
      </c>
    </row>
    <row r="558" spans="1:4" ht="14.25" customHeight="1">
      <c r="A558" s="677" t="s">
        <v>2885</v>
      </c>
      <c r="B558" s="688" t="s">
        <v>2886</v>
      </c>
      <c r="C558" s="679" t="s">
        <v>152</v>
      </c>
      <c r="D558" s="679" t="s">
        <v>153</v>
      </c>
    </row>
    <row r="559" spans="1:4" ht="14.25" customHeight="1">
      <c r="A559" s="677" t="s">
        <v>2887</v>
      </c>
      <c r="B559" s="688" t="s">
        <v>2888</v>
      </c>
      <c r="C559" s="679" t="s">
        <v>152</v>
      </c>
      <c r="D559" s="679" t="s">
        <v>186</v>
      </c>
    </row>
    <row r="560" spans="1:4" ht="14.25" customHeight="1">
      <c r="A560" s="677" t="s">
        <v>2889</v>
      </c>
      <c r="B560" s="688" t="s">
        <v>2890</v>
      </c>
      <c r="C560" s="679" t="s">
        <v>152</v>
      </c>
      <c r="D560" s="679" t="s">
        <v>153</v>
      </c>
    </row>
    <row r="561" spans="1:4" ht="14.25" customHeight="1">
      <c r="A561" s="677" t="s">
        <v>2891</v>
      </c>
      <c r="B561" s="688" t="s">
        <v>2892</v>
      </c>
      <c r="C561" s="679" t="s">
        <v>152</v>
      </c>
      <c r="D561" s="679" t="s">
        <v>186</v>
      </c>
    </row>
    <row r="562" spans="1:4" ht="14.25" customHeight="1">
      <c r="A562" s="677" t="s">
        <v>2893</v>
      </c>
      <c r="B562" s="688" t="s">
        <v>2894</v>
      </c>
      <c r="C562" s="679" t="s">
        <v>152</v>
      </c>
      <c r="D562" s="679" t="s">
        <v>153</v>
      </c>
    </row>
    <row r="563" spans="1:4" ht="14.25" customHeight="1">
      <c r="A563" s="677" t="s">
        <v>2895</v>
      </c>
      <c r="B563" s="688" t="s">
        <v>2896</v>
      </c>
      <c r="C563" s="679" t="s">
        <v>152</v>
      </c>
      <c r="D563" s="679" t="s">
        <v>186</v>
      </c>
    </row>
    <row r="564" spans="1:4" ht="14.25" customHeight="1">
      <c r="A564" s="677" t="s">
        <v>2897</v>
      </c>
      <c r="B564" s="688" t="s">
        <v>2898</v>
      </c>
      <c r="C564" s="679" t="s">
        <v>152</v>
      </c>
      <c r="D564" s="679" t="s">
        <v>153</v>
      </c>
    </row>
    <row r="565" spans="1:4" ht="14.25" customHeight="1">
      <c r="A565" s="677" t="s">
        <v>2899</v>
      </c>
      <c r="B565" s="688" t="s">
        <v>2900</v>
      </c>
      <c r="C565" s="679" t="s">
        <v>152</v>
      </c>
      <c r="D565" s="679" t="s">
        <v>153</v>
      </c>
    </row>
    <row r="566" spans="1:4" ht="14.25" customHeight="1">
      <c r="A566" s="677" t="s">
        <v>2901</v>
      </c>
      <c r="B566" s="688" t="s">
        <v>2902</v>
      </c>
      <c r="C566" s="679" t="s">
        <v>152</v>
      </c>
      <c r="D566" s="679" t="s">
        <v>153</v>
      </c>
    </row>
    <row r="567" spans="1:4" ht="14.25" customHeight="1">
      <c r="A567" s="677" t="s">
        <v>2903</v>
      </c>
      <c r="B567" s="688" t="s">
        <v>2904</v>
      </c>
      <c r="C567" s="679" t="s">
        <v>152</v>
      </c>
      <c r="D567" s="679" t="s">
        <v>186</v>
      </c>
    </row>
    <row r="568" spans="1:4" ht="14.25" customHeight="1">
      <c r="A568" s="688" t="s">
        <v>2903</v>
      </c>
      <c r="B568" s="688" t="s">
        <v>2904</v>
      </c>
      <c r="C568" s="679" t="s">
        <v>152</v>
      </c>
      <c r="D568" s="679" t="s">
        <v>186</v>
      </c>
    </row>
    <row r="569" spans="1:4" ht="14.25" customHeight="1">
      <c r="A569" s="688" t="s">
        <v>2905</v>
      </c>
      <c r="B569" s="688" t="s">
        <v>2906</v>
      </c>
      <c r="C569" s="679" t="s">
        <v>152</v>
      </c>
      <c r="D569" s="679" t="s">
        <v>153</v>
      </c>
    </row>
    <row r="570" spans="1:4" ht="14.25" customHeight="1">
      <c r="A570" s="677" t="s">
        <v>2907</v>
      </c>
      <c r="B570" s="688" t="s">
        <v>2908</v>
      </c>
      <c r="C570" s="679" t="s">
        <v>161</v>
      </c>
      <c r="D570" s="679" t="s">
        <v>164</v>
      </c>
    </row>
    <row r="571" spans="1:4" ht="14.25" customHeight="1">
      <c r="A571" s="677" t="s">
        <v>2909</v>
      </c>
      <c r="B571" s="688" t="s">
        <v>2910</v>
      </c>
      <c r="C571" s="679" t="s">
        <v>161</v>
      </c>
      <c r="D571" s="679" t="s">
        <v>168</v>
      </c>
    </row>
    <row r="572" spans="1:4" ht="14.25" customHeight="1">
      <c r="A572" s="677" t="s">
        <v>2911</v>
      </c>
      <c r="B572" s="688" t="s">
        <v>2912</v>
      </c>
      <c r="C572" s="679" t="s">
        <v>161</v>
      </c>
      <c r="D572" s="679" t="s">
        <v>166</v>
      </c>
    </row>
    <row r="573" spans="1:4" ht="14.25" customHeight="1">
      <c r="A573" s="677" t="s">
        <v>2913</v>
      </c>
      <c r="B573" s="727" t="s">
        <v>2914</v>
      </c>
      <c r="C573" s="679" t="s">
        <v>161</v>
      </c>
      <c r="D573" s="679" t="s">
        <v>167</v>
      </c>
    </row>
    <row r="574" spans="1:4" ht="14.25" customHeight="1">
      <c r="A574" s="677" t="s">
        <v>2915</v>
      </c>
      <c r="B574" s="688" t="s">
        <v>2916</v>
      </c>
      <c r="C574" s="679" t="s">
        <v>161</v>
      </c>
      <c r="D574" s="679" t="s">
        <v>169</v>
      </c>
    </row>
    <row r="575" spans="1:4" ht="14.25" customHeight="1">
      <c r="A575" s="677" t="s">
        <v>2917</v>
      </c>
      <c r="B575" s="688" t="s">
        <v>2918</v>
      </c>
      <c r="C575" s="679" t="s">
        <v>161</v>
      </c>
      <c r="D575" s="679" t="s">
        <v>166</v>
      </c>
    </row>
    <row r="576" spans="1:4" ht="14.25" customHeight="1">
      <c r="A576" s="677" t="s">
        <v>2919</v>
      </c>
      <c r="B576" s="688" t="s">
        <v>2920</v>
      </c>
      <c r="C576" s="679" t="s">
        <v>1325</v>
      </c>
      <c r="D576" s="679" t="s">
        <v>172</v>
      </c>
    </row>
    <row r="577" spans="1:4" ht="14.25" customHeight="1">
      <c r="A577" s="677" t="s">
        <v>2921</v>
      </c>
      <c r="B577" s="688" t="s">
        <v>2922</v>
      </c>
      <c r="C577" s="679" t="s">
        <v>180</v>
      </c>
      <c r="D577" s="679" t="s">
        <v>192</v>
      </c>
    </row>
    <row r="578" spans="1:4" ht="14.25" customHeight="1">
      <c r="A578" s="677" t="s">
        <v>2923</v>
      </c>
      <c r="B578" s="688" t="s">
        <v>2924</v>
      </c>
      <c r="C578" s="679" t="s">
        <v>161</v>
      </c>
      <c r="D578" s="679" t="s">
        <v>1339</v>
      </c>
    </row>
    <row r="579" spans="1:4" ht="14.25" customHeight="1">
      <c r="A579" s="677" t="s">
        <v>2925</v>
      </c>
      <c r="B579" s="688" t="s">
        <v>2926</v>
      </c>
      <c r="C579" s="679" t="s">
        <v>161</v>
      </c>
      <c r="D579" s="679" t="s">
        <v>172</v>
      </c>
    </row>
    <row r="580" spans="1:4" ht="14.25" customHeight="1">
      <c r="A580" s="677" t="s">
        <v>2927</v>
      </c>
      <c r="B580" s="688" t="s">
        <v>2928</v>
      </c>
      <c r="C580" s="679" t="s">
        <v>161</v>
      </c>
      <c r="D580" s="679" t="s">
        <v>172</v>
      </c>
    </row>
    <row r="581" spans="1:4" ht="14.25" customHeight="1">
      <c r="A581" s="677" t="s">
        <v>2929</v>
      </c>
      <c r="B581" s="688" t="s">
        <v>2930</v>
      </c>
      <c r="C581" s="679" t="s">
        <v>161</v>
      </c>
      <c r="D581" s="679" t="s">
        <v>172</v>
      </c>
    </row>
    <row r="582" spans="1:4" ht="14.25" customHeight="1">
      <c r="A582" s="677" t="s">
        <v>2931</v>
      </c>
      <c r="B582" s="688" t="s">
        <v>2932</v>
      </c>
      <c r="C582" s="679" t="s">
        <v>176</v>
      </c>
      <c r="D582" s="679" t="s">
        <v>177</v>
      </c>
    </row>
    <row r="583" spans="1:4" ht="14.25" customHeight="1">
      <c r="A583" s="677" t="s">
        <v>2933</v>
      </c>
      <c r="B583" s="688" t="s">
        <v>2934</v>
      </c>
      <c r="C583" s="679" t="s">
        <v>176</v>
      </c>
      <c r="D583" s="679" t="s">
        <v>177</v>
      </c>
    </row>
    <row r="584" spans="1:4" ht="14.25" customHeight="1">
      <c r="A584" s="677" t="s">
        <v>2935</v>
      </c>
      <c r="B584" s="688" t="s">
        <v>2936</v>
      </c>
      <c r="C584" s="679" t="s">
        <v>176</v>
      </c>
      <c r="D584" s="679" t="s">
        <v>177</v>
      </c>
    </row>
    <row r="585" spans="1:4" ht="14.25" customHeight="1">
      <c r="A585" s="677" t="s">
        <v>2937</v>
      </c>
      <c r="B585" s="688" t="s">
        <v>2938</v>
      </c>
      <c r="C585" s="679" t="s">
        <v>152</v>
      </c>
      <c r="D585" s="679" t="s">
        <v>153</v>
      </c>
    </row>
    <row r="586" spans="1:4" ht="14.25" customHeight="1">
      <c r="A586" s="677" t="s">
        <v>2939</v>
      </c>
      <c r="B586" s="688" t="s">
        <v>2940</v>
      </c>
      <c r="C586" s="679" t="s">
        <v>152</v>
      </c>
      <c r="D586" s="679" t="s">
        <v>153</v>
      </c>
    </row>
    <row r="587" spans="1:4" ht="14.25" customHeight="1">
      <c r="A587" s="677" t="s">
        <v>2941</v>
      </c>
      <c r="B587" s="688" t="s">
        <v>2942</v>
      </c>
      <c r="C587" s="679" t="s">
        <v>152</v>
      </c>
      <c r="D587" s="679" t="s">
        <v>153</v>
      </c>
    </row>
    <row r="588" spans="1:4" ht="14.25" customHeight="1">
      <c r="A588" s="677" t="s">
        <v>2943</v>
      </c>
      <c r="B588" s="688" t="s">
        <v>2944</v>
      </c>
      <c r="C588" s="679" t="s">
        <v>152</v>
      </c>
      <c r="D588" s="679" t="s">
        <v>153</v>
      </c>
    </row>
    <row r="589" spans="1:4" ht="14.25" customHeight="1">
      <c r="A589" s="677" t="s">
        <v>2945</v>
      </c>
      <c r="B589" s="688" t="s">
        <v>2946</v>
      </c>
      <c r="C589" s="679" t="s">
        <v>152</v>
      </c>
      <c r="D589" s="679" t="s">
        <v>153</v>
      </c>
    </row>
    <row r="590" spans="1:4" ht="14.25" customHeight="1">
      <c r="A590" s="677" t="s">
        <v>2947</v>
      </c>
      <c r="B590" s="688" t="s">
        <v>2948</v>
      </c>
      <c r="C590" s="679" t="s">
        <v>152</v>
      </c>
      <c r="D590" s="679" t="s">
        <v>153</v>
      </c>
    </row>
    <row r="591" spans="1:4" ht="14.25" customHeight="1">
      <c r="A591" s="677" t="s">
        <v>2949</v>
      </c>
      <c r="B591" s="688" t="s">
        <v>2950</v>
      </c>
      <c r="C591" s="679" t="s">
        <v>152</v>
      </c>
      <c r="D591" s="679" t="s">
        <v>153</v>
      </c>
    </row>
    <row r="592" spans="1:4" ht="14.25" customHeight="1">
      <c r="A592" s="677" t="s">
        <v>2951</v>
      </c>
      <c r="B592" s="688" t="s">
        <v>2952</v>
      </c>
      <c r="C592" s="679" t="s">
        <v>152</v>
      </c>
      <c r="D592" s="679" t="s">
        <v>153</v>
      </c>
    </row>
    <row r="593" spans="1:4" ht="14.25" customHeight="1">
      <c r="A593" s="677" t="s">
        <v>2953</v>
      </c>
      <c r="B593" s="688" t="s">
        <v>2954</v>
      </c>
      <c r="C593" s="679" t="s">
        <v>152</v>
      </c>
      <c r="D593" s="679" t="s">
        <v>153</v>
      </c>
    </row>
    <row r="594" spans="1:4" ht="14.25" customHeight="1">
      <c r="A594" s="677" t="s">
        <v>2955</v>
      </c>
      <c r="B594" s="688" t="s">
        <v>2956</v>
      </c>
      <c r="C594" s="679" t="s">
        <v>152</v>
      </c>
      <c r="D594" s="679" t="s">
        <v>153</v>
      </c>
    </row>
    <row r="595" spans="1:4" ht="14.25" customHeight="1">
      <c r="A595" s="677" t="s">
        <v>2957</v>
      </c>
      <c r="B595" s="688" t="s">
        <v>2958</v>
      </c>
      <c r="C595" s="679" t="s">
        <v>152</v>
      </c>
      <c r="D595" s="679" t="s">
        <v>153</v>
      </c>
    </row>
    <row r="596" spans="1:4" ht="14.25" customHeight="1">
      <c r="A596" s="677" t="s">
        <v>2959</v>
      </c>
      <c r="B596" s="688" t="s">
        <v>2960</v>
      </c>
      <c r="C596" s="679" t="s">
        <v>152</v>
      </c>
      <c r="D596" s="679" t="s">
        <v>153</v>
      </c>
    </row>
    <row r="597" spans="1:4" ht="14.25" customHeight="1">
      <c r="A597" s="677" t="s">
        <v>2961</v>
      </c>
      <c r="B597" s="688" t="s">
        <v>2962</v>
      </c>
      <c r="C597" s="679" t="s">
        <v>152</v>
      </c>
      <c r="D597" s="679" t="s">
        <v>153</v>
      </c>
    </row>
    <row r="598" spans="1:4" ht="14.25" customHeight="1">
      <c r="A598" s="677" t="s">
        <v>2963</v>
      </c>
      <c r="B598" s="688" t="s">
        <v>2964</v>
      </c>
      <c r="C598" s="679" t="s">
        <v>152</v>
      </c>
      <c r="D598" s="679" t="s">
        <v>153</v>
      </c>
    </row>
    <row r="599" spans="1:4" ht="14.25" customHeight="1">
      <c r="A599" s="677" t="s">
        <v>2965</v>
      </c>
      <c r="B599" s="688" t="s">
        <v>2966</v>
      </c>
      <c r="C599" s="679" t="s">
        <v>152</v>
      </c>
      <c r="D599" s="679" t="s">
        <v>153</v>
      </c>
    </row>
    <row r="600" spans="1:4" ht="14.25" customHeight="1">
      <c r="A600" s="677" t="s">
        <v>2967</v>
      </c>
      <c r="B600" s="688" t="s">
        <v>2968</v>
      </c>
      <c r="C600" s="679" t="s">
        <v>152</v>
      </c>
      <c r="D600" s="679" t="s">
        <v>153</v>
      </c>
    </row>
    <row r="601" spans="1:4" ht="14.25" customHeight="1">
      <c r="A601" s="677" t="s">
        <v>2969</v>
      </c>
      <c r="B601" s="726" t="s">
        <v>2970</v>
      </c>
      <c r="C601" s="679" t="s">
        <v>152</v>
      </c>
      <c r="D601" s="679" t="s">
        <v>154</v>
      </c>
    </row>
    <row r="602" spans="1:4" ht="14.25" customHeight="1">
      <c r="A602" s="677" t="s">
        <v>2971</v>
      </c>
      <c r="B602" s="726" t="s">
        <v>2972</v>
      </c>
      <c r="C602" s="679" t="s">
        <v>152</v>
      </c>
      <c r="D602" s="679" t="s">
        <v>154</v>
      </c>
    </row>
    <row r="603" spans="1:4" ht="14.25" customHeight="1">
      <c r="A603" s="677" t="s">
        <v>2973</v>
      </c>
      <c r="B603" s="688" t="s">
        <v>2974</v>
      </c>
      <c r="C603" s="679" t="s">
        <v>152</v>
      </c>
      <c r="D603" s="679" t="s">
        <v>154</v>
      </c>
    </row>
    <row r="604" spans="1:4" ht="14.25" customHeight="1">
      <c r="A604" s="677" t="s">
        <v>2975</v>
      </c>
      <c r="B604" s="688" t="s">
        <v>2976</v>
      </c>
      <c r="C604" s="679" t="s">
        <v>152</v>
      </c>
      <c r="D604" s="679" t="s">
        <v>154</v>
      </c>
    </row>
    <row r="605" spans="1:4" ht="14.25" customHeight="1">
      <c r="A605" s="677" t="s">
        <v>2977</v>
      </c>
      <c r="B605" s="688" t="s">
        <v>2978</v>
      </c>
      <c r="C605" s="679" t="s">
        <v>152</v>
      </c>
      <c r="D605" s="679" t="s">
        <v>154</v>
      </c>
    </row>
    <row r="606" spans="1:4" ht="14.25" customHeight="1">
      <c r="A606" s="677" t="s">
        <v>2979</v>
      </c>
      <c r="B606" s="688" t="s">
        <v>2980</v>
      </c>
      <c r="C606" s="679" t="s">
        <v>152</v>
      </c>
      <c r="D606" s="679" t="s">
        <v>154</v>
      </c>
    </row>
    <row r="607" spans="1:4" ht="14.25" customHeight="1">
      <c r="A607" s="677" t="s">
        <v>2981</v>
      </c>
      <c r="B607" s="688" t="s">
        <v>2982</v>
      </c>
      <c r="C607" s="679" t="s">
        <v>152</v>
      </c>
      <c r="D607" s="679" t="s">
        <v>154</v>
      </c>
    </row>
    <row r="608" spans="1:4" ht="14.25" customHeight="1">
      <c r="A608" s="677" t="s">
        <v>2983</v>
      </c>
      <c r="B608" s="688" t="s">
        <v>2984</v>
      </c>
      <c r="C608" s="679" t="s">
        <v>152</v>
      </c>
      <c r="D608" s="679" t="s">
        <v>154</v>
      </c>
    </row>
    <row r="609" spans="1:4" ht="14.25" customHeight="1">
      <c r="A609" s="677" t="s">
        <v>2985</v>
      </c>
      <c r="B609" s="688" t="s">
        <v>2986</v>
      </c>
      <c r="C609" s="679" t="s">
        <v>152</v>
      </c>
      <c r="D609" s="679" t="s">
        <v>154</v>
      </c>
    </row>
    <row r="610" spans="1:4" ht="14.25" customHeight="1">
      <c r="A610" s="677" t="s">
        <v>2987</v>
      </c>
      <c r="B610" s="688" t="s">
        <v>2988</v>
      </c>
      <c r="C610" s="679" t="s">
        <v>152</v>
      </c>
      <c r="D610" s="679" t="s">
        <v>154</v>
      </c>
    </row>
    <row r="611" spans="1:4" ht="14.25" customHeight="1">
      <c r="A611" s="677" t="s">
        <v>2989</v>
      </c>
      <c r="B611" s="688" t="s">
        <v>2990</v>
      </c>
      <c r="C611" s="679" t="s">
        <v>152</v>
      </c>
      <c r="D611" s="679" t="s">
        <v>154</v>
      </c>
    </row>
    <row r="612" spans="1:4" ht="14.25" customHeight="1">
      <c r="A612" s="677" t="s">
        <v>2991</v>
      </c>
      <c r="B612" s="688" t="s">
        <v>2992</v>
      </c>
      <c r="C612" s="679" t="s">
        <v>152</v>
      </c>
      <c r="D612" s="679" t="s">
        <v>154</v>
      </c>
    </row>
    <row r="613" spans="1:4" ht="14.25" customHeight="1">
      <c r="A613" s="677" t="s">
        <v>2993</v>
      </c>
      <c r="B613" s="688" t="s">
        <v>2994</v>
      </c>
      <c r="C613" s="679" t="s">
        <v>152</v>
      </c>
      <c r="D613" s="679" t="s">
        <v>154</v>
      </c>
    </row>
    <row r="614" spans="1:4" ht="14.25" customHeight="1">
      <c r="A614" s="677" t="s">
        <v>2995</v>
      </c>
      <c r="B614" s="688" t="s">
        <v>2996</v>
      </c>
      <c r="C614" s="679" t="s">
        <v>152</v>
      </c>
      <c r="D614" s="679" t="s">
        <v>153</v>
      </c>
    </row>
    <row r="615" spans="1:4" ht="14.25" customHeight="1">
      <c r="A615" s="677" t="s">
        <v>2997</v>
      </c>
      <c r="B615" s="688" t="s">
        <v>2998</v>
      </c>
      <c r="C615" s="679" t="s">
        <v>152</v>
      </c>
      <c r="D615" s="679" t="s">
        <v>153</v>
      </c>
    </row>
    <row r="616" spans="1:4" ht="14.25" customHeight="1">
      <c r="A616" s="689" t="s">
        <v>2999</v>
      </c>
      <c r="B616" s="678" t="s">
        <v>3000</v>
      </c>
      <c r="C616" s="679" t="s">
        <v>152</v>
      </c>
      <c r="D616" s="679" t="s">
        <v>154</v>
      </c>
    </row>
    <row r="617" spans="1:4" ht="14.25" customHeight="1">
      <c r="A617" s="677" t="s">
        <v>3001</v>
      </c>
      <c r="B617" s="688" t="s">
        <v>3002</v>
      </c>
      <c r="C617" s="679" t="s">
        <v>180</v>
      </c>
      <c r="D617" s="679" t="s">
        <v>182</v>
      </c>
    </row>
    <row r="618" spans="1:4" ht="14.25" customHeight="1">
      <c r="A618" s="678" t="s">
        <v>3003</v>
      </c>
      <c r="B618" s="678" t="s">
        <v>3004</v>
      </c>
      <c r="C618" s="679"/>
      <c r="D618" s="679"/>
    </row>
    <row r="619" spans="1:4" ht="14.25" customHeight="1">
      <c r="A619" s="688" t="s">
        <v>3005</v>
      </c>
      <c r="B619" s="688" t="s">
        <v>3006</v>
      </c>
      <c r="C619" s="679" t="s">
        <v>180</v>
      </c>
      <c r="D619" s="679" t="s">
        <v>184</v>
      </c>
    </row>
    <row r="620" spans="1:4" ht="14.25" customHeight="1">
      <c r="A620" s="689" t="s">
        <v>3007</v>
      </c>
      <c r="B620" s="678" t="s">
        <v>3004</v>
      </c>
      <c r="C620" s="679"/>
      <c r="D620" s="679"/>
    </row>
    <row r="621" spans="1:4" ht="14.25" customHeight="1">
      <c r="A621" s="688" t="s">
        <v>3008</v>
      </c>
      <c r="B621" s="688" t="s">
        <v>3009</v>
      </c>
      <c r="C621" s="679" t="s">
        <v>180</v>
      </c>
      <c r="D621" s="679" t="s">
        <v>185</v>
      </c>
    </row>
    <row r="622" spans="1:4" ht="14.25" customHeight="1">
      <c r="A622" s="689" t="s">
        <v>3010</v>
      </c>
      <c r="B622" s="678" t="s">
        <v>3004</v>
      </c>
      <c r="C622" s="679"/>
      <c r="D622" s="679"/>
    </row>
    <row r="623" spans="1:4" ht="14.25" customHeight="1">
      <c r="A623" s="688" t="s">
        <v>3011</v>
      </c>
      <c r="B623" s="688" t="s">
        <v>3012</v>
      </c>
      <c r="C623" s="679" t="s">
        <v>180</v>
      </c>
      <c r="D623" s="679" t="s">
        <v>184</v>
      </c>
    </row>
    <row r="624" spans="1:4" ht="14.25" customHeight="1">
      <c r="A624" s="677" t="s">
        <v>3013</v>
      </c>
      <c r="B624" s="688" t="s">
        <v>3014</v>
      </c>
      <c r="C624" s="679" t="s">
        <v>180</v>
      </c>
      <c r="D624" s="679" t="s">
        <v>182</v>
      </c>
    </row>
    <row r="625" spans="1:4" ht="14.25" customHeight="1">
      <c r="A625" s="677" t="s">
        <v>3015</v>
      </c>
      <c r="B625" s="688" t="s">
        <v>3016</v>
      </c>
      <c r="C625" s="679" t="s">
        <v>180</v>
      </c>
      <c r="D625" s="679" t="s">
        <v>194</v>
      </c>
    </row>
    <row r="626" spans="1:4" ht="14.25" customHeight="1">
      <c r="A626" s="677" t="s">
        <v>3017</v>
      </c>
      <c r="B626" s="688" t="s">
        <v>2920</v>
      </c>
      <c r="C626" s="679" t="s">
        <v>161</v>
      </c>
      <c r="D626" s="679" t="s">
        <v>1339</v>
      </c>
    </row>
    <row r="627" spans="1:4" ht="14.25" customHeight="1">
      <c r="A627" s="688" t="s">
        <v>3018</v>
      </c>
      <c r="B627" s="688" t="s">
        <v>3019</v>
      </c>
      <c r="C627" s="679" t="s">
        <v>180</v>
      </c>
      <c r="D627" s="679" t="s">
        <v>183</v>
      </c>
    </row>
    <row r="628" spans="1:4" ht="14.25" customHeight="1">
      <c r="A628" s="688" t="s">
        <v>3020</v>
      </c>
      <c r="B628" s="688" t="s">
        <v>3021</v>
      </c>
      <c r="C628" s="679" t="s">
        <v>180</v>
      </c>
      <c r="D628" s="679" t="s">
        <v>183</v>
      </c>
    </row>
    <row r="629" spans="1:4" ht="14.25" customHeight="1">
      <c r="A629" s="677" t="s">
        <v>3022</v>
      </c>
      <c r="B629" s="688" t="s">
        <v>3023</v>
      </c>
      <c r="C629" s="679" t="s">
        <v>180</v>
      </c>
      <c r="D629" s="679" t="s">
        <v>183</v>
      </c>
    </row>
    <row r="630" spans="1:4" ht="14.25" customHeight="1">
      <c r="A630" s="677" t="s">
        <v>3024</v>
      </c>
      <c r="B630" s="688" t="s">
        <v>3025</v>
      </c>
      <c r="C630" s="679" t="s">
        <v>180</v>
      </c>
      <c r="D630" s="679" t="s">
        <v>186</v>
      </c>
    </row>
    <row r="631" spans="1:4" ht="14.25" customHeight="1">
      <c r="A631" s="677" t="s">
        <v>3026</v>
      </c>
      <c r="B631" s="688" t="s">
        <v>3027</v>
      </c>
      <c r="C631" s="679" t="s">
        <v>180</v>
      </c>
      <c r="D631" s="679" t="s">
        <v>186</v>
      </c>
    </row>
    <row r="632" spans="1:4" ht="14.25" customHeight="1">
      <c r="A632" s="677" t="s">
        <v>3028</v>
      </c>
      <c r="B632" s="688" t="s">
        <v>3029</v>
      </c>
      <c r="C632" s="679" t="s">
        <v>180</v>
      </c>
      <c r="D632" s="679" t="s">
        <v>2683</v>
      </c>
    </row>
    <row r="633" spans="1:4" ht="14.25" customHeight="1">
      <c r="A633" s="677" t="s">
        <v>3030</v>
      </c>
      <c r="B633" s="688" t="s">
        <v>3031</v>
      </c>
      <c r="C633" s="679" t="s">
        <v>180</v>
      </c>
      <c r="D633" s="679" t="s">
        <v>191</v>
      </c>
    </row>
    <row r="634" spans="1:4" ht="14.25" customHeight="1">
      <c r="A634" s="677" t="s">
        <v>3032</v>
      </c>
      <c r="B634" s="688" t="s">
        <v>3033</v>
      </c>
      <c r="C634" s="679" t="s">
        <v>1325</v>
      </c>
      <c r="D634" s="679" t="s">
        <v>183</v>
      </c>
    </row>
    <row r="635" spans="1:4" ht="14.25" customHeight="1">
      <c r="A635" s="677" t="s">
        <v>3034</v>
      </c>
      <c r="B635" s="688" t="s">
        <v>3035</v>
      </c>
      <c r="C635" s="679" t="s">
        <v>180</v>
      </c>
      <c r="D635" s="679" t="s">
        <v>188</v>
      </c>
    </row>
    <row r="636" spans="1:4" ht="14.25" customHeight="1">
      <c r="A636" s="677" t="s">
        <v>3036</v>
      </c>
      <c r="B636" s="688" t="s">
        <v>2938</v>
      </c>
      <c r="C636" s="679" t="s">
        <v>152</v>
      </c>
      <c r="D636" s="679" t="s">
        <v>153</v>
      </c>
    </row>
    <row r="637" spans="1:4" ht="14.25" customHeight="1">
      <c r="A637" s="677" t="s">
        <v>3037</v>
      </c>
      <c r="B637" s="688" t="s">
        <v>2940</v>
      </c>
      <c r="C637" s="679" t="s">
        <v>152</v>
      </c>
      <c r="D637" s="679" t="s">
        <v>153</v>
      </c>
    </row>
    <row r="638" spans="1:4" ht="14.25" customHeight="1">
      <c r="A638" s="677" t="s">
        <v>3038</v>
      </c>
      <c r="B638" s="688" t="s">
        <v>2942</v>
      </c>
      <c r="C638" s="679" t="s">
        <v>152</v>
      </c>
      <c r="D638" s="679" t="s">
        <v>153</v>
      </c>
    </row>
    <row r="639" spans="1:4" ht="14.25" customHeight="1">
      <c r="A639" s="677" t="s">
        <v>3039</v>
      </c>
      <c r="B639" s="688" t="s">
        <v>2944</v>
      </c>
      <c r="C639" s="679" t="s">
        <v>152</v>
      </c>
      <c r="D639" s="679" t="s">
        <v>153</v>
      </c>
    </row>
    <row r="640" spans="1:4" ht="14.25" customHeight="1">
      <c r="A640" s="702" t="s">
        <v>3040</v>
      </c>
      <c r="B640" s="727" t="s">
        <v>2946</v>
      </c>
      <c r="C640" s="679" t="s">
        <v>152</v>
      </c>
      <c r="D640" s="679" t="s">
        <v>153</v>
      </c>
    </row>
    <row r="641" spans="1:4" ht="14.25" customHeight="1">
      <c r="A641" s="677" t="s">
        <v>3041</v>
      </c>
      <c r="B641" s="688" t="s">
        <v>2948</v>
      </c>
      <c r="C641" s="679" t="s">
        <v>152</v>
      </c>
      <c r="D641" s="679" t="s">
        <v>153</v>
      </c>
    </row>
    <row r="642" spans="1:4" ht="14.25" customHeight="1">
      <c r="A642" s="677" t="s">
        <v>3042</v>
      </c>
      <c r="B642" s="688" t="s">
        <v>2950</v>
      </c>
      <c r="C642" s="679" t="s">
        <v>152</v>
      </c>
      <c r="D642" s="679" t="s">
        <v>153</v>
      </c>
    </row>
    <row r="643" spans="1:4" ht="14.25" customHeight="1">
      <c r="A643" s="677" t="s">
        <v>3043</v>
      </c>
      <c r="B643" s="688" t="s">
        <v>2952</v>
      </c>
      <c r="C643" s="679" t="s">
        <v>152</v>
      </c>
      <c r="D643" s="679" t="s">
        <v>153</v>
      </c>
    </row>
    <row r="644" spans="1:4" ht="14.25" customHeight="1">
      <c r="A644" s="677" t="s">
        <v>3044</v>
      </c>
      <c r="B644" s="688" t="s">
        <v>2954</v>
      </c>
      <c r="C644" s="679" t="s">
        <v>152</v>
      </c>
      <c r="D644" s="679" t="s">
        <v>153</v>
      </c>
    </row>
    <row r="645" spans="1:4" ht="14.25" customHeight="1">
      <c r="A645" s="677" t="s">
        <v>3045</v>
      </c>
      <c r="B645" s="688" t="s">
        <v>2956</v>
      </c>
      <c r="C645" s="679" t="s">
        <v>152</v>
      </c>
      <c r="D645" s="679" t="s">
        <v>153</v>
      </c>
    </row>
    <row r="646" spans="1:4" ht="14.25" customHeight="1">
      <c r="A646" s="677" t="s">
        <v>3046</v>
      </c>
      <c r="B646" s="688" t="s">
        <v>2958</v>
      </c>
      <c r="C646" s="679" t="s">
        <v>152</v>
      </c>
      <c r="D646" s="679" t="s">
        <v>153</v>
      </c>
    </row>
    <row r="647" spans="1:4" ht="14.25" customHeight="1">
      <c r="A647" s="677" t="s">
        <v>3047</v>
      </c>
      <c r="B647" s="688" t="s">
        <v>2960</v>
      </c>
      <c r="C647" s="679" t="s">
        <v>152</v>
      </c>
      <c r="D647" s="679" t="s">
        <v>153</v>
      </c>
    </row>
    <row r="648" spans="1:4" ht="14.25" customHeight="1">
      <c r="A648" s="677" t="s">
        <v>3048</v>
      </c>
      <c r="B648" s="688" t="s">
        <v>2962</v>
      </c>
      <c r="C648" s="679" t="s">
        <v>152</v>
      </c>
      <c r="D648" s="679" t="s">
        <v>153</v>
      </c>
    </row>
    <row r="649" spans="1:4" ht="14.25" customHeight="1">
      <c r="A649" s="677" t="s">
        <v>3049</v>
      </c>
      <c r="B649" s="688" t="s">
        <v>2964</v>
      </c>
      <c r="C649" s="679" t="s">
        <v>152</v>
      </c>
      <c r="D649" s="679" t="s">
        <v>153</v>
      </c>
    </row>
    <row r="650" spans="1:4" ht="14.25" customHeight="1">
      <c r="A650" s="702" t="s">
        <v>3050</v>
      </c>
      <c r="B650" s="703" t="s">
        <v>2966</v>
      </c>
      <c r="C650" s="679" t="s">
        <v>152</v>
      </c>
      <c r="D650" s="679" t="s">
        <v>153</v>
      </c>
    </row>
    <row r="651" spans="1:4" ht="14.25" customHeight="1">
      <c r="A651" s="677" t="s">
        <v>3051</v>
      </c>
      <c r="B651" s="685" t="s">
        <v>2984</v>
      </c>
      <c r="C651" s="679" t="s">
        <v>152</v>
      </c>
      <c r="D651" s="679" t="s">
        <v>154</v>
      </c>
    </row>
    <row r="652" spans="1:4" ht="14.25" customHeight="1">
      <c r="A652" s="677" t="s">
        <v>3052</v>
      </c>
      <c r="B652" s="688" t="s">
        <v>3053</v>
      </c>
      <c r="C652" s="679" t="s">
        <v>152</v>
      </c>
      <c r="D652" s="679" t="s">
        <v>154</v>
      </c>
    </row>
    <row r="653" spans="1:4" ht="14.25" customHeight="1">
      <c r="A653" s="677" t="s">
        <v>3054</v>
      </c>
      <c r="B653" s="688" t="s">
        <v>3055</v>
      </c>
      <c r="C653" s="679" t="s">
        <v>152</v>
      </c>
      <c r="D653" s="679" t="s">
        <v>154</v>
      </c>
    </row>
    <row r="654" spans="1:4" ht="14.25" customHeight="1">
      <c r="A654" s="677" t="s">
        <v>3056</v>
      </c>
      <c r="B654" s="688" t="s">
        <v>3057</v>
      </c>
      <c r="C654" s="679" t="s">
        <v>152</v>
      </c>
      <c r="D654" s="679" t="s">
        <v>153</v>
      </c>
    </row>
    <row r="655" spans="1:4" ht="14.25" customHeight="1">
      <c r="A655" s="677" t="s">
        <v>3058</v>
      </c>
      <c r="B655" s="688" t="s">
        <v>2998</v>
      </c>
      <c r="C655" s="679" t="s">
        <v>152</v>
      </c>
      <c r="D655" s="679" t="s">
        <v>153</v>
      </c>
    </row>
    <row r="656" spans="1:4" ht="14.25" customHeight="1">
      <c r="A656" s="677" t="s">
        <v>3059</v>
      </c>
      <c r="B656" s="688" t="s">
        <v>3060</v>
      </c>
      <c r="C656" s="679" t="s">
        <v>152</v>
      </c>
      <c r="D656" s="679" t="s">
        <v>154</v>
      </c>
    </row>
    <row r="657" spans="1:4" ht="14.25" customHeight="1">
      <c r="A657" s="689" t="s">
        <v>3061</v>
      </c>
      <c r="B657" s="678" t="s">
        <v>3000</v>
      </c>
      <c r="C657" s="679" t="s">
        <v>152</v>
      </c>
      <c r="D657" s="679" t="s">
        <v>154</v>
      </c>
    </row>
    <row r="658" spans="1:4" ht="14.25" customHeight="1">
      <c r="A658" s="677" t="s">
        <v>3062</v>
      </c>
      <c r="B658" s="688" t="s">
        <v>1153</v>
      </c>
      <c r="C658" s="679" t="s">
        <v>92</v>
      </c>
      <c r="D658" s="679" t="s">
        <v>111</v>
      </c>
    </row>
    <row r="659" spans="1:4" ht="14.25" customHeight="1">
      <c r="A659" s="677" t="s">
        <v>3063</v>
      </c>
      <c r="B659" s="688" t="s">
        <v>1156</v>
      </c>
      <c r="C659" s="679" t="s">
        <v>92</v>
      </c>
      <c r="D659" s="679" t="s">
        <v>112</v>
      </c>
    </row>
    <row r="660" spans="1:4" ht="14.25" customHeight="1">
      <c r="A660" s="677" t="s">
        <v>3064</v>
      </c>
      <c r="B660" s="688" t="s">
        <v>1158</v>
      </c>
      <c r="C660" s="679" t="s">
        <v>92</v>
      </c>
      <c r="D660" s="679" t="s">
        <v>114</v>
      </c>
    </row>
    <row r="661" spans="1:4" ht="14.25" customHeight="1">
      <c r="A661" s="677" t="s">
        <v>3065</v>
      </c>
      <c r="B661" s="688" t="s">
        <v>3066</v>
      </c>
      <c r="C661" s="679" t="s">
        <v>92</v>
      </c>
      <c r="D661" s="679" t="s">
        <v>115</v>
      </c>
    </row>
    <row r="662" spans="1:4" ht="14.25" customHeight="1">
      <c r="A662" s="677" t="s">
        <v>3067</v>
      </c>
      <c r="B662" s="688" t="s">
        <v>1162</v>
      </c>
      <c r="C662" s="679" t="s">
        <v>92</v>
      </c>
      <c r="D662" s="679" t="s">
        <v>117</v>
      </c>
    </row>
    <row r="663" spans="1:4" ht="14.25" customHeight="1">
      <c r="A663" s="677" t="s">
        <v>3068</v>
      </c>
      <c r="B663" s="688" t="s">
        <v>1164</v>
      </c>
      <c r="C663" s="679" t="s">
        <v>92</v>
      </c>
      <c r="D663" s="679" t="s">
        <v>113</v>
      </c>
    </row>
    <row r="664" spans="1:4" ht="14.25" customHeight="1">
      <c r="A664" s="677" t="s">
        <v>3069</v>
      </c>
      <c r="B664" s="688" t="s">
        <v>1166</v>
      </c>
      <c r="C664" s="679" t="s">
        <v>92</v>
      </c>
      <c r="D664" s="679" t="s">
        <v>116</v>
      </c>
    </row>
    <row r="665" spans="1:4" ht="14.25" customHeight="1">
      <c r="A665" s="677" t="s">
        <v>3070</v>
      </c>
      <c r="B665" s="688" t="s">
        <v>3071</v>
      </c>
      <c r="C665" s="679" t="s">
        <v>92</v>
      </c>
      <c r="D665" s="679" t="s">
        <v>116</v>
      </c>
    </row>
    <row r="666" spans="1:4" ht="14.25" customHeight="1">
      <c r="A666" s="677" t="s">
        <v>3072</v>
      </c>
      <c r="B666" s="727" t="s">
        <v>3073</v>
      </c>
      <c r="C666" s="679" t="s">
        <v>92</v>
      </c>
      <c r="D666" s="679" t="s">
        <v>116</v>
      </c>
    </row>
    <row r="667" spans="1:4" ht="14.25" customHeight="1">
      <c r="A667" s="677" t="s">
        <v>3074</v>
      </c>
      <c r="B667" s="688" t="s">
        <v>1169</v>
      </c>
      <c r="C667" s="679" t="s">
        <v>92</v>
      </c>
      <c r="D667" s="679" t="s">
        <v>204</v>
      </c>
    </row>
    <row r="668" spans="1:4" ht="14.25" customHeight="1">
      <c r="A668" s="677" t="s">
        <v>3075</v>
      </c>
      <c r="B668" s="688" t="s">
        <v>3076</v>
      </c>
      <c r="C668" s="679" t="s">
        <v>92</v>
      </c>
      <c r="D668" s="679" t="s">
        <v>120</v>
      </c>
    </row>
    <row r="669" spans="1:4" ht="14.25" customHeight="1">
      <c r="A669" s="677" t="s">
        <v>3077</v>
      </c>
      <c r="B669" s="688" t="s">
        <v>1173</v>
      </c>
      <c r="C669" s="679" t="s">
        <v>92</v>
      </c>
      <c r="D669" s="679" t="s">
        <v>121</v>
      </c>
    </row>
    <row r="670" spans="1:4" ht="14.25" customHeight="1">
      <c r="A670" s="677" t="s">
        <v>3078</v>
      </c>
      <c r="B670" s="688" t="s">
        <v>1175</v>
      </c>
      <c r="C670" s="679" t="s">
        <v>92</v>
      </c>
      <c r="D670" s="679" t="s">
        <v>122</v>
      </c>
    </row>
    <row r="671" spans="1:4" ht="14.25" customHeight="1">
      <c r="A671" s="677" t="s">
        <v>3079</v>
      </c>
      <c r="B671" s="688" t="s">
        <v>1177</v>
      </c>
      <c r="C671" s="679" t="s">
        <v>92</v>
      </c>
      <c r="D671" s="679" t="s">
        <v>124</v>
      </c>
    </row>
    <row r="672" spans="1:4" ht="14.25" customHeight="1">
      <c r="A672" s="677" t="s">
        <v>3080</v>
      </c>
      <c r="B672" s="688" t="s">
        <v>1179</v>
      </c>
      <c r="C672" s="679" t="s">
        <v>92</v>
      </c>
      <c r="D672" s="679" t="s">
        <v>127</v>
      </c>
    </row>
    <row r="673" spans="1:4" ht="14.25" customHeight="1">
      <c r="A673" s="677" t="s">
        <v>3081</v>
      </c>
      <c r="B673" s="688" t="s">
        <v>1181</v>
      </c>
      <c r="C673" s="679" t="s">
        <v>92</v>
      </c>
      <c r="D673" s="679" t="s">
        <v>125</v>
      </c>
    </row>
    <row r="674" spans="1:4" ht="14.25" customHeight="1">
      <c r="A674" s="688" t="s">
        <v>3082</v>
      </c>
      <c r="B674" s="688" t="s">
        <v>1185</v>
      </c>
      <c r="C674" s="679" t="s">
        <v>92</v>
      </c>
      <c r="D674" s="679" t="s">
        <v>126</v>
      </c>
    </row>
    <row r="675" spans="1:4" ht="14.25" customHeight="1">
      <c r="A675" s="677" t="s">
        <v>3083</v>
      </c>
      <c r="B675" s="688" t="s">
        <v>1187</v>
      </c>
      <c r="C675" s="679" t="s">
        <v>92</v>
      </c>
      <c r="D675" s="679" t="s">
        <v>135</v>
      </c>
    </row>
    <row r="676" spans="1:4" ht="14.25" customHeight="1">
      <c r="A676" s="677" t="s">
        <v>3084</v>
      </c>
      <c r="B676" s="688" t="s">
        <v>1189</v>
      </c>
      <c r="C676" s="679" t="s">
        <v>161</v>
      </c>
      <c r="D676" s="679" t="s">
        <v>136</v>
      </c>
    </row>
    <row r="677" spans="1:4" ht="14.25" customHeight="1">
      <c r="A677" s="677" t="s">
        <v>3085</v>
      </c>
      <c r="B677" s="688" t="s">
        <v>1191</v>
      </c>
      <c r="C677" s="679" t="s">
        <v>92</v>
      </c>
      <c r="D677" s="679" t="s">
        <v>141</v>
      </c>
    </row>
    <row r="678" spans="1:4" ht="14.25" customHeight="1">
      <c r="A678" s="677" t="s">
        <v>3086</v>
      </c>
      <c r="B678" s="688" t="s">
        <v>1193</v>
      </c>
      <c r="C678" s="679" t="s">
        <v>92</v>
      </c>
      <c r="D678" s="679" t="s">
        <v>131</v>
      </c>
    </row>
    <row r="679" spans="1:4" ht="14.25" customHeight="1">
      <c r="A679" s="677" t="s">
        <v>3087</v>
      </c>
      <c r="B679" s="688" t="s">
        <v>1195</v>
      </c>
      <c r="C679" s="679" t="s">
        <v>92</v>
      </c>
      <c r="D679" s="679" t="s">
        <v>139</v>
      </c>
    </row>
    <row r="680" spans="1:4" ht="14.25" customHeight="1">
      <c r="A680" s="677" t="s">
        <v>3088</v>
      </c>
      <c r="B680" s="688" t="s">
        <v>1197</v>
      </c>
      <c r="C680" s="679" t="s">
        <v>92</v>
      </c>
      <c r="D680" s="679" t="s">
        <v>132</v>
      </c>
    </row>
    <row r="681" spans="1:4" ht="14.25" customHeight="1">
      <c r="A681" s="677" t="s">
        <v>3089</v>
      </c>
      <c r="B681" s="688" t="s">
        <v>1199</v>
      </c>
      <c r="C681" s="679" t="s">
        <v>92</v>
      </c>
      <c r="D681" s="679" t="s">
        <v>137</v>
      </c>
    </row>
    <row r="682" spans="1:4" ht="14.25" customHeight="1">
      <c r="A682" s="677" t="s">
        <v>3090</v>
      </c>
      <c r="B682" s="688" t="s">
        <v>1201</v>
      </c>
      <c r="C682" s="679" t="s">
        <v>92</v>
      </c>
      <c r="D682" s="679" t="s">
        <v>138</v>
      </c>
    </row>
    <row r="683" spans="1:4" ht="14.25" customHeight="1">
      <c r="A683" s="677" t="s">
        <v>3091</v>
      </c>
      <c r="B683" s="688" t="s">
        <v>1203</v>
      </c>
      <c r="C683" s="679" t="s">
        <v>92</v>
      </c>
      <c r="D683" s="679" t="s">
        <v>140</v>
      </c>
    </row>
    <row r="684" spans="1:4" ht="14.25" customHeight="1">
      <c r="A684" s="677" t="s">
        <v>3092</v>
      </c>
      <c r="B684" s="688" t="s">
        <v>1205</v>
      </c>
      <c r="C684" s="679" t="s">
        <v>92</v>
      </c>
      <c r="D684" s="679" t="s">
        <v>133</v>
      </c>
    </row>
    <row r="685" spans="1:4" ht="14.25" customHeight="1">
      <c r="A685" s="677" t="s">
        <v>3093</v>
      </c>
      <c r="B685" s="688" t="s">
        <v>1209</v>
      </c>
      <c r="C685" s="679" t="s">
        <v>92</v>
      </c>
      <c r="D685" s="679" t="s">
        <v>134</v>
      </c>
    </row>
    <row r="686" spans="1:4" ht="14.25" customHeight="1">
      <c r="A686" s="677" t="s">
        <v>3094</v>
      </c>
      <c r="B686" s="688" t="s">
        <v>1211</v>
      </c>
      <c r="C686" s="679" t="s">
        <v>1325</v>
      </c>
      <c r="D686" s="679" t="s">
        <v>221</v>
      </c>
    </row>
    <row r="687" spans="1:4" ht="14.25" customHeight="1">
      <c r="A687" s="677" t="s">
        <v>3095</v>
      </c>
      <c r="B687" s="688" t="s">
        <v>1389</v>
      </c>
      <c r="C687" s="679" t="s">
        <v>1325</v>
      </c>
      <c r="D687" s="679" t="s">
        <v>213</v>
      </c>
    </row>
    <row r="688" spans="1:4" ht="14.25" customHeight="1">
      <c r="A688" s="677" t="s">
        <v>3096</v>
      </c>
      <c r="B688" s="688" t="s">
        <v>1213</v>
      </c>
      <c r="C688" s="679" t="s">
        <v>1325</v>
      </c>
      <c r="D688" s="679" t="s">
        <v>210</v>
      </c>
    </row>
    <row r="689" spans="1:4" ht="14.25" customHeight="1">
      <c r="A689" s="677" t="s">
        <v>3097</v>
      </c>
      <c r="B689" s="688" t="s">
        <v>1215</v>
      </c>
      <c r="C689" s="679" t="s">
        <v>92</v>
      </c>
      <c r="D689" s="679" t="s">
        <v>205</v>
      </c>
    </row>
    <row r="690" spans="1:4" ht="14.25" customHeight="1">
      <c r="A690" s="677" t="s">
        <v>3098</v>
      </c>
      <c r="B690" s="688" t="s">
        <v>1217</v>
      </c>
      <c r="C690" s="679" t="s">
        <v>1325</v>
      </c>
      <c r="D690" s="679" t="s">
        <v>209</v>
      </c>
    </row>
    <row r="691" spans="1:4" ht="14.25" customHeight="1">
      <c r="A691" s="677" t="s">
        <v>3099</v>
      </c>
      <c r="B691" s="688" t="s">
        <v>1219</v>
      </c>
      <c r="C691" s="679" t="s">
        <v>1325</v>
      </c>
      <c r="D691" s="679" t="s">
        <v>206</v>
      </c>
    </row>
    <row r="692" spans="1:4" ht="14.25" customHeight="1">
      <c r="A692" s="677" t="s">
        <v>3100</v>
      </c>
      <c r="B692" s="688" t="s">
        <v>3101</v>
      </c>
      <c r="C692" s="679" t="s">
        <v>1325</v>
      </c>
      <c r="D692" s="679" t="s">
        <v>208</v>
      </c>
    </row>
    <row r="693" spans="1:4" ht="14.25" customHeight="1">
      <c r="A693" s="677" t="s">
        <v>3102</v>
      </c>
      <c r="B693" s="688" t="s">
        <v>1221</v>
      </c>
      <c r="C693" s="679" t="s">
        <v>1325</v>
      </c>
      <c r="D693" s="679" t="s">
        <v>207</v>
      </c>
    </row>
    <row r="694" spans="1:4" ht="14.25" customHeight="1">
      <c r="A694" s="677" t="s">
        <v>3103</v>
      </c>
      <c r="B694" s="688" t="s">
        <v>1223</v>
      </c>
      <c r="C694" s="679" t="s">
        <v>1325</v>
      </c>
      <c r="D694" s="679" t="s">
        <v>211</v>
      </c>
    </row>
    <row r="695" spans="1:4" ht="14.25" customHeight="1">
      <c r="A695" s="677" t="s">
        <v>3104</v>
      </c>
      <c r="B695" s="688" t="s">
        <v>1390</v>
      </c>
      <c r="C695" s="679" t="s">
        <v>1325</v>
      </c>
      <c r="D695" s="679" t="s">
        <v>214</v>
      </c>
    </row>
    <row r="696" spans="1:4" ht="14.25" customHeight="1">
      <c r="A696" s="677" t="s">
        <v>3105</v>
      </c>
      <c r="B696" s="688" t="s">
        <v>1225</v>
      </c>
      <c r="C696" s="679" t="s">
        <v>152</v>
      </c>
      <c r="D696" s="679" t="s">
        <v>111</v>
      </c>
    </row>
    <row r="697" spans="1:4" ht="14.25" customHeight="1">
      <c r="A697" s="677" t="s">
        <v>3106</v>
      </c>
      <c r="B697" s="688" t="s">
        <v>1156</v>
      </c>
      <c r="C697" s="679" t="s">
        <v>152</v>
      </c>
      <c r="D697" s="679" t="s">
        <v>112</v>
      </c>
    </row>
    <row r="698" spans="1:4" ht="14.25" customHeight="1">
      <c r="A698" s="677" t="s">
        <v>3107</v>
      </c>
      <c r="B698" s="688" t="s">
        <v>1226</v>
      </c>
      <c r="C698" s="679" t="s">
        <v>152</v>
      </c>
      <c r="D698" s="679" t="s">
        <v>114</v>
      </c>
    </row>
    <row r="699" spans="1:4" ht="14.25" customHeight="1">
      <c r="A699" s="677" t="s">
        <v>3108</v>
      </c>
      <c r="B699" s="688" t="s">
        <v>3066</v>
      </c>
      <c r="C699" s="679" t="s">
        <v>152</v>
      </c>
      <c r="D699" s="679" t="s">
        <v>115</v>
      </c>
    </row>
    <row r="700" spans="1:4" ht="14.25" customHeight="1">
      <c r="A700" s="677" t="s">
        <v>3109</v>
      </c>
      <c r="B700" s="688" t="s">
        <v>1162</v>
      </c>
      <c r="C700" s="679" t="s">
        <v>1325</v>
      </c>
      <c r="D700" s="679" t="s">
        <v>223</v>
      </c>
    </row>
    <row r="701" spans="1:4" ht="14.25" customHeight="1">
      <c r="A701" s="677" t="s">
        <v>3110</v>
      </c>
      <c r="B701" s="688" t="s">
        <v>1164</v>
      </c>
      <c r="C701" s="679" t="s">
        <v>152</v>
      </c>
      <c r="D701" s="679" t="s">
        <v>113</v>
      </c>
    </row>
    <row r="702" spans="1:4" ht="14.25" customHeight="1">
      <c r="A702" s="677" t="s">
        <v>3111</v>
      </c>
      <c r="B702" s="688" t="s">
        <v>1166</v>
      </c>
      <c r="C702" s="679" t="s">
        <v>152</v>
      </c>
      <c r="D702" s="679" t="s">
        <v>116</v>
      </c>
    </row>
    <row r="703" spans="1:4" ht="14.25" customHeight="1">
      <c r="A703" s="677" t="s">
        <v>3112</v>
      </c>
      <c r="B703" s="688" t="s">
        <v>3113</v>
      </c>
      <c r="C703" s="679" t="s">
        <v>152</v>
      </c>
      <c r="D703" s="679" t="s">
        <v>116</v>
      </c>
    </row>
    <row r="704" spans="1:4" ht="14.25" customHeight="1">
      <c r="A704" s="677" t="s">
        <v>3114</v>
      </c>
      <c r="B704" s="688" t="s">
        <v>1169</v>
      </c>
      <c r="C704" s="679" t="s">
        <v>152</v>
      </c>
      <c r="D704" s="679" t="s">
        <v>204</v>
      </c>
    </row>
    <row r="705" spans="1:4" ht="14.25" customHeight="1">
      <c r="A705" s="677" t="s">
        <v>3115</v>
      </c>
      <c r="B705" s="688" t="s">
        <v>3076</v>
      </c>
      <c r="C705" s="679" t="s">
        <v>152</v>
      </c>
      <c r="D705" s="679" t="s">
        <v>120</v>
      </c>
    </row>
    <row r="706" spans="1:4" ht="14.25" customHeight="1">
      <c r="A706" s="677" t="s">
        <v>3116</v>
      </c>
      <c r="B706" s="688" t="s">
        <v>1173</v>
      </c>
      <c r="C706" s="679" t="s">
        <v>152</v>
      </c>
      <c r="D706" s="679" t="s">
        <v>121</v>
      </c>
    </row>
    <row r="707" spans="1:4" ht="14.25" customHeight="1">
      <c r="A707" s="677" t="s">
        <v>3117</v>
      </c>
      <c r="B707" s="688" t="s">
        <v>1228</v>
      </c>
      <c r="C707" s="679" t="s">
        <v>152</v>
      </c>
      <c r="D707" s="679" t="s">
        <v>122</v>
      </c>
    </row>
    <row r="708" spans="1:4" ht="14.25" customHeight="1">
      <c r="A708" s="677" t="s">
        <v>3118</v>
      </c>
      <c r="B708" s="688" t="s">
        <v>1229</v>
      </c>
      <c r="C708" s="679" t="s">
        <v>152</v>
      </c>
      <c r="D708" s="679" t="s">
        <v>124</v>
      </c>
    </row>
    <row r="709" spans="1:4" ht="14.25" customHeight="1">
      <c r="A709" s="677" t="s">
        <v>3119</v>
      </c>
      <c r="B709" s="688" t="s">
        <v>1179</v>
      </c>
      <c r="C709" s="679" t="s">
        <v>152</v>
      </c>
      <c r="D709" s="679" t="s">
        <v>127</v>
      </c>
    </row>
    <row r="710" spans="1:4" ht="14.25" customHeight="1">
      <c r="A710" s="677" t="s">
        <v>3120</v>
      </c>
      <c r="B710" s="688" t="s">
        <v>1181</v>
      </c>
      <c r="C710" s="679" t="s">
        <v>152</v>
      </c>
      <c r="D710" s="679" t="s">
        <v>125</v>
      </c>
    </row>
    <row r="711" spans="1:4" ht="14.25" customHeight="1">
      <c r="A711" s="688" t="s">
        <v>3121</v>
      </c>
      <c r="B711" s="688" t="s">
        <v>1231</v>
      </c>
      <c r="C711" s="679" t="s">
        <v>152</v>
      </c>
      <c r="D711" s="679" t="s">
        <v>126</v>
      </c>
    </row>
    <row r="712" spans="1:4" ht="14.25" customHeight="1">
      <c r="A712" s="677" t="s">
        <v>3122</v>
      </c>
      <c r="B712" s="688" t="s">
        <v>1187</v>
      </c>
      <c r="C712" s="679" t="s">
        <v>152</v>
      </c>
      <c r="D712" s="679" t="s">
        <v>135</v>
      </c>
    </row>
    <row r="713" spans="1:4" ht="14.25" customHeight="1">
      <c r="A713" s="677" t="s">
        <v>3123</v>
      </c>
      <c r="B713" s="688" t="s">
        <v>1189</v>
      </c>
      <c r="C713" s="679" t="s">
        <v>161</v>
      </c>
      <c r="D713" s="679" t="s">
        <v>136</v>
      </c>
    </row>
    <row r="714" spans="1:4" ht="14.25" customHeight="1">
      <c r="A714" s="677" t="s">
        <v>3124</v>
      </c>
      <c r="B714" s="688" t="s">
        <v>1191</v>
      </c>
      <c r="C714" s="679" t="s">
        <v>152</v>
      </c>
      <c r="D714" s="679" t="s">
        <v>141</v>
      </c>
    </row>
    <row r="715" spans="1:4" ht="14.25" customHeight="1">
      <c r="A715" s="677" t="s">
        <v>3125</v>
      </c>
      <c r="B715" s="688" t="s">
        <v>1193</v>
      </c>
      <c r="C715" s="679" t="s">
        <v>152</v>
      </c>
      <c r="D715" s="679" t="s">
        <v>131</v>
      </c>
    </row>
    <row r="716" spans="1:4" ht="14.25" customHeight="1">
      <c r="A716" s="677" t="s">
        <v>3126</v>
      </c>
      <c r="B716" s="688" t="s">
        <v>1195</v>
      </c>
      <c r="C716" s="679" t="s">
        <v>152</v>
      </c>
      <c r="D716" s="679" t="s">
        <v>139</v>
      </c>
    </row>
    <row r="717" spans="1:4" ht="14.25" customHeight="1">
      <c r="A717" s="677" t="s">
        <v>3127</v>
      </c>
      <c r="B717" s="688" t="s">
        <v>1197</v>
      </c>
      <c r="C717" s="679" t="s">
        <v>152</v>
      </c>
      <c r="D717" s="679" t="s">
        <v>132</v>
      </c>
    </row>
    <row r="718" spans="1:4" ht="14.25" customHeight="1">
      <c r="A718" s="677" t="s">
        <v>3128</v>
      </c>
      <c r="B718" s="688" t="s">
        <v>1199</v>
      </c>
      <c r="C718" s="679" t="s">
        <v>152</v>
      </c>
      <c r="D718" s="679" t="s">
        <v>137</v>
      </c>
    </row>
    <row r="719" spans="1:4" ht="14.25" customHeight="1">
      <c r="A719" s="677" t="s">
        <v>3129</v>
      </c>
      <c r="B719" s="688" t="s">
        <v>1201</v>
      </c>
      <c r="C719" s="679" t="s">
        <v>152</v>
      </c>
      <c r="D719" s="679" t="s">
        <v>138</v>
      </c>
    </row>
    <row r="720" spans="1:4" ht="14.25" customHeight="1">
      <c r="A720" s="677" t="s">
        <v>3130</v>
      </c>
      <c r="B720" s="688" t="s">
        <v>1203</v>
      </c>
      <c r="C720" s="679" t="s">
        <v>3131</v>
      </c>
      <c r="D720" s="679" t="s">
        <v>140</v>
      </c>
    </row>
    <row r="721" spans="1:4" ht="14.25" customHeight="1">
      <c r="A721" s="677" t="s">
        <v>3132</v>
      </c>
      <c r="B721" s="688" t="s">
        <v>1232</v>
      </c>
      <c r="C721" s="679" t="s">
        <v>152</v>
      </c>
      <c r="D721" s="679" t="s">
        <v>133</v>
      </c>
    </row>
    <row r="722" spans="1:4" ht="14.25" customHeight="1">
      <c r="A722" s="677" t="s">
        <v>3133</v>
      </c>
      <c r="B722" s="688" t="s">
        <v>1209</v>
      </c>
      <c r="C722" s="679" t="s">
        <v>152</v>
      </c>
      <c r="D722" s="679" t="s">
        <v>134</v>
      </c>
    </row>
    <row r="723" spans="1:4" ht="14.25" customHeight="1">
      <c r="A723" s="677" t="s">
        <v>3134</v>
      </c>
      <c r="B723" s="688" t="s">
        <v>1211</v>
      </c>
      <c r="C723" s="679" t="s">
        <v>1325</v>
      </c>
      <c r="D723" s="679" t="s">
        <v>221</v>
      </c>
    </row>
    <row r="724" spans="1:4" ht="14.25" customHeight="1">
      <c r="A724" s="677" t="s">
        <v>3135</v>
      </c>
      <c r="B724" s="688" t="s">
        <v>1389</v>
      </c>
      <c r="C724" s="679" t="s">
        <v>1325</v>
      </c>
      <c r="D724" s="679" t="s">
        <v>213</v>
      </c>
    </row>
    <row r="725" spans="1:4" ht="14.25" customHeight="1">
      <c r="A725" s="677" t="s">
        <v>3136</v>
      </c>
      <c r="B725" s="688" t="s">
        <v>1235</v>
      </c>
      <c r="C725" s="679" t="s">
        <v>152</v>
      </c>
      <c r="D725" s="679" t="s">
        <v>210</v>
      </c>
    </row>
    <row r="726" spans="1:4" ht="14.25" customHeight="1">
      <c r="A726" s="677" t="s">
        <v>3137</v>
      </c>
      <c r="B726" s="688" t="s">
        <v>1236</v>
      </c>
      <c r="C726" s="679" t="s">
        <v>152</v>
      </c>
      <c r="D726" s="679" t="s">
        <v>205</v>
      </c>
    </row>
    <row r="727" spans="1:4" ht="14.25" customHeight="1">
      <c r="A727" s="677" t="s">
        <v>3138</v>
      </c>
      <c r="B727" s="688" t="s">
        <v>1237</v>
      </c>
      <c r="C727" s="679" t="s">
        <v>152</v>
      </c>
      <c r="D727" s="679" t="s">
        <v>209</v>
      </c>
    </row>
    <row r="728" spans="1:4" ht="14.25" customHeight="1">
      <c r="A728" s="677" t="s">
        <v>3139</v>
      </c>
      <c r="B728" s="688" t="s">
        <v>1238</v>
      </c>
      <c r="C728" s="679" t="s">
        <v>152</v>
      </c>
      <c r="D728" s="679" t="s">
        <v>206</v>
      </c>
    </row>
    <row r="729" spans="1:4" ht="14.25" customHeight="1">
      <c r="A729" s="677" t="s">
        <v>3140</v>
      </c>
      <c r="B729" s="688" t="s">
        <v>3141</v>
      </c>
      <c r="C729" s="679" t="s">
        <v>152</v>
      </c>
      <c r="D729" s="679" t="s">
        <v>208</v>
      </c>
    </row>
    <row r="730" spans="1:4" ht="14.25" customHeight="1">
      <c r="A730" s="677" t="s">
        <v>3142</v>
      </c>
      <c r="B730" s="688" t="s">
        <v>1239</v>
      </c>
      <c r="C730" s="679" t="s">
        <v>152</v>
      </c>
      <c r="D730" s="679" t="s">
        <v>207</v>
      </c>
    </row>
    <row r="731" spans="1:4" ht="14.25" customHeight="1">
      <c r="A731" s="677" t="s">
        <v>3143</v>
      </c>
      <c r="B731" s="688" t="s">
        <v>1240</v>
      </c>
      <c r="C731" s="679" t="s">
        <v>152</v>
      </c>
      <c r="D731" s="679" t="s">
        <v>211</v>
      </c>
    </row>
    <row r="732" spans="1:4" ht="14.25" customHeight="1">
      <c r="A732" s="677" t="s">
        <v>3144</v>
      </c>
      <c r="B732" s="688" t="s">
        <v>1392</v>
      </c>
      <c r="C732" s="679" t="s">
        <v>152</v>
      </c>
      <c r="D732" s="679" t="s">
        <v>1331</v>
      </c>
    </row>
    <row r="733" spans="1:4" ht="14.25" customHeight="1">
      <c r="A733" s="677" t="s">
        <v>3145</v>
      </c>
      <c r="B733" s="703" t="s">
        <v>1241</v>
      </c>
      <c r="C733" s="679" t="s">
        <v>161</v>
      </c>
      <c r="D733" s="679" t="s">
        <v>130</v>
      </c>
    </row>
    <row r="734" spans="1:4" ht="14.25" customHeight="1">
      <c r="A734" s="677" t="s">
        <v>3146</v>
      </c>
      <c r="B734" s="688" t="s">
        <v>1243</v>
      </c>
      <c r="C734" s="679" t="s">
        <v>161</v>
      </c>
      <c r="D734" s="679" t="s">
        <v>130</v>
      </c>
    </row>
    <row r="735" spans="1:4" ht="14.25" customHeight="1">
      <c r="A735" s="677" t="s">
        <v>3147</v>
      </c>
      <c r="B735" s="688" t="s">
        <v>1166</v>
      </c>
      <c r="C735" s="679" t="s">
        <v>161</v>
      </c>
      <c r="D735" s="679" t="s">
        <v>129</v>
      </c>
    </row>
    <row r="736" spans="1:4" ht="14.25" customHeight="1">
      <c r="A736" s="677" t="s">
        <v>3148</v>
      </c>
      <c r="B736" s="688" t="s">
        <v>1169</v>
      </c>
      <c r="C736" s="679" t="s">
        <v>161</v>
      </c>
      <c r="D736" s="679" t="s">
        <v>204</v>
      </c>
    </row>
    <row r="737" spans="1:4" ht="14.25" customHeight="1">
      <c r="A737" s="677" t="s">
        <v>3149</v>
      </c>
      <c r="B737" s="688" t="s">
        <v>3076</v>
      </c>
      <c r="C737" s="679" t="s">
        <v>161</v>
      </c>
      <c r="D737" s="679" t="s">
        <v>120</v>
      </c>
    </row>
    <row r="738" spans="1:4" ht="14.25" customHeight="1">
      <c r="A738" s="677" t="s">
        <v>3150</v>
      </c>
      <c r="B738" s="688" t="s">
        <v>1244</v>
      </c>
      <c r="C738" s="679" t="s">
        <v>161</v>
      </c>
      <c r="D738" s="679" t="s">
        <v>121</v>
      </c>
    </row>
    <row r="739" spans="1:4" ht="14.25" customHeight="1">
      <c r="A739" s="677" t="s">
        <v>3151</v>
      </c>
      <c r="B739" s="688" t="s">
        <v>1175</v>
      </c>
      <c r="C739" s="679" t="s">
        <v>161</v>
      </c>
      <c r="D739" s="679" t="s">
        <v>122</v>
      </c>
    </row>
    <row r="740" spans="1:4" ht="14.25" customHeight="1">
      <c r="A740" s="677" t="s">
        <v>3152</v>
      </c>
      <c r="B740" s="688" t="s">
        <v>1245</v>
      </c>
      <c r="C740" s="679" t="s">
        <v>161</v>
      </c>
      <c r="D740" s="679" t="s">
        <v>123</v>
      </c>
    </row>
    <row r="741" spans="1:4" ht="14.25" customHeight="1">
      <c r="A741" s="677" t="s">
        <v>3153</v>
      </c>
      <c r="B741" s="688" t="s">
        <v>1247</v>
      </c>
      <c r="C741" s="679" t="s">
        <v>161</v>
      </c>
      <c r="D741" s="679" t="s">
        <v>124</v>
      </c>
    </row>
    <row r="742" spans="1:4" ht="14.25" customHeight="1">
      <c r="A742" s="677" t="s">
        <v>3154</v>
      </c>
      <c r="B742" s="688" t="s">
        <v>1179</v>
      </c>
      <c r="C742" s="679" t="s">
        <v>161</v>
      </c>
      <c r="D742" s="679" t="s">
        <v>127</v>
      </c>
    </row>
    <row r="743" spans="1:4" ht="14.25" customHeight="1">
      <c r="A743" s="677" t="s">
        <v>3155</v>
      </c>
      <c r="B743" s="688" t="s">
        <v>1181</v>
      </c>
      <c r="C743" s="679" t="s">
        <v>161</v>
      </c>
      <c r="D743" s="679" t="s">
        <v>125</v>
      </c>
    </row>
    <row r="744" spans="1:4" ht="14.25" customHeight="1">
      <c r="A744" s="688" t="s">
        <v>3156</v>
      </c>
      <c r="B744" s="688" t="s">
        <v>1248</v>
      </c>
      <c r="C744" s="679" t="s">
        <v>161</v>
      </c>
      <c r="D744" s="679" t="s">
        <v>126</v>
      </c>
    </row>
    <row r="745" spans="1:4" ht="14.25" customHeight="1">
      <c r="A745" s="688" t="s">
        <v>3157</v>
      </c>
      <c r="B745" s="688" t="s">
        <v>1231</v>
      </c>
      <c r="C745" s="679" t="s">
        <v>161</v>
      </c>
      <c r="D745" s="679" t="s">
        <v>126</v>
      </c>
    </row>
    <row r="746" spans="1:4" ht="14.25" customHeight="1">
      <c r="A746" s="677" t="s">
        <v>3158</v>
      </c>
      <c r="B746" s="688" t="s">
        <v>1249</v>
      </c>
      <c r="C746" s="679" t="s">
        <v>161</v>
      </c>
      <c r="D746" s="679" t="s">
        <v>130</v>
      </c>
    </row>
    <row r="747" spans="1:4" ht="14.25" customHeight="1">
      <c r="A747" s="677" t="s">
        <v>3159</v>
      </c>
      <c r="B747" s="688" t="s">
        <v>1187</v>
      </c>
      <c r="C747" s="679" t="s">
        <v>161</v>
      </c>
      <c r="D747" s="679" t="s">
        <v>135</v>
      </c>
    </row>
    <row r="748" spans="1:4" ht="14.25" customHeight="1">
      <c r="A748" s="677" t="s">
        <v>3160</v>
      </c>
      <c r="B748" s="688" t="s">
        <v>1189</v>
      </c>
      <c r="C748" s="679" t="s">
        <v>161</v>
      </c>
      <c r="D748" s="679" t="s">
        <v>136</v>
      </c>
    </row>
    <row r="749" spans="1:4" ht="14.25" customHeight="1">
      <c r="A749" s="677" t="s">
        <v>3161</v>
      </c>
      <c r="B749" s="688" t="s">
        <v>1191</v>
      </c>
      <c r="C749" s="679" t="s">
        <v>161</v>
      </c>
      <c r="D749" s="679" t="s">
        <v>141</v>
      </c>
    </row>
    <row r="750" spans="1:4" ht="14.25" customHeight="1">
      <c r="A750" s="677" t="s">
        <v>3162</v>
      </c>
      <c r="B750" s="688" t="s">
        <v>1250</v>
      </c>
      <c r="C750" s="679" t="s">
        <v>161</v>
      </c>
      <c r="D750" s="679" t="s">
        <v>131</v>
      </c>
    </row>
    <row r="751" spans="1:4" ht="14.25" customHeight="1">
      <c r="A751" s="677" t="s">
        <v>3163</v>
      </c>
      <c r="B751" s="688" t="s">
        <v>1195</v>
      </c>
      <c r="C751" s="679" t="s">
        <v>161</v>
      </c>
      <c r="D751" s="679" t="s">
        <v>139</v>
      </c>
    </row>
    <row r="752" spans="1:4" ht="14.25" customHeight="1">
      <c r="A752" s="677" t="s">
        <v>3164</v>
      </c>
      <c r="B752" s="727" t="s">
        <v>1197</v>
      </c>
      <c r="C752" s="679" t="s">
        <v>161</v>
      </c>
      <c r="D752" s="679" t="s">
        <v>132</v>
      </c>
    </row>
    <row r="753" spans="1:4" ht="14.25" customHeight="1">
      <c r="A753" s="677" t="s">
        <v>3165</v>
      </c>
      <c r="B753" s="688" t="s">
        <v>1199</v>
      </c>
      <c r="C753" s="679" t="s">
        <v>161</v>
      </c>
      <c r="D753" s="679" t="s">
        <v>137</v>
      </c>
    </row>
    <row r="754" spans="1:4" ht="14.25" customHeight="1">
      <c r="A754" s="677" t="s">
        <v>3166</v>
      </c>
      <c r="B754" s="688" t="s">
        <v>1201</v>
      </c>
      <c r="C754" s="679" t="s">
        <v>161</v>
      </c>
      <c r="D754" s="679" t="s">
        <v>138</v>
      </c>
    </row>
    <row r="755" spans="1:4" ht="14.25" customHeight="1">
      <c r="A755" s="677" t="s">
        <v>3167</v>
      </c>
      <c r="B755" s="688" t="s">
        <v>1203</v>
      </c>
      <c r="C755" s="679" t="s">
        <v>161</v>
      </c>
      <c r="D755" s="679" t="s">
        <v>140</v>
      </c>
    </row>
    <row r="756" spans="1:4" ht="14.25" customHeight="1">
      <c r="A756" s="677" t="s">
        <v>3168</v>
      </c>
      <c r="B756" s="688" t="s">
        <v>1251</v>
      </c>
      <c r="C756" s="679" t="s">
        <v>161</v>
      </c>
      <c r="D756" s="679" t="s">
        <v>133</v>
      </c>
    </row>
    <row r="757" spans="1:4" ht="14.25" customHeight="1">
      <c r="A757" s="677" t="s">
        <v>3169</v>
      </c>
      <c r="B757" s="688" t="s">
        <v>1209</v>
      </c>
      <c r="C757" s="679" t="s">
        <v>161</v>
      </c>
      <c r="D757" s="679" t="s">
        <v>134</v>
      </c>
    </row>
    <row r="758" spans="1:4" ht="14.25" customHeight="1">
      <c r="A758" s="677" t="s">
        <v>3170</v>
      </c>
      <c r="B758" s="688" t="s">
        <v>1211</v>
      </c>
      <c r="C758" s="679" t="s">
        <v>1325</v>
      </c>
      <c r="D758" s="679" t="s">
        <v>221</v>
      </c>
    </row>
    <row r="759" spans="1:4" ht="14.25" customHeight="1">
      <c r="A759" s="677" t="s">
        <v>3171</v>
      </c>
      <c r="B759" s="688" t="s">
        <v>1389</v>
      </c>
      <c r="C759" s="679" t="s">
        <v>1325</v>
      </c>
      <c r="D759" s="679" t="s">
        <v>213</v>
      </c>
    </row>
    <row r="760" spans="1:4" ht="14.25" customHeight="1">
      <c r="A760" s="677" t="s">
        <v>3172</v>
      </c>
      <c r="B760" s="688" t="s">
        <v>1254</v>
      </c>
      <c r="C760" s="679" t="s">
        <v>1325</v>
      </c>
      <c r="D760" s="679" t="s">
        <v>212</v>
      </c>
    </row>
    <row r="761" spans="1:4" ht="14.25" customHeight="1">
      <c r="A761" s="677" t="s">
        <v>3173</v>
      </c>
      <c r="B761" s="688" t="s">
        <v>1256</v>
      </c>
      <c r="C761" s="679" t="s">
        <v>161</v>
      </c>
      <c r="D761" s="679" t="s">
        <v>210</v>
      </c>
    </row>
    <row r="762" spans="1:4" ht="14.25" customHeight="1">
      <c r="A762" s="677" t="s">
        <v>3174</v>
      </c>
      <c r="B762" s="688" t="s">
        <v>1257</v>
      </c>
      <c r="C762" s="679" t="s">
        <v>161</v>
      </c>
      <c r="D762" s="679" t="s">
        <v>205</v>
      </c>
    </row>
    <row r="763" spans="1:4" ht="14.25" customHeight="1">
      <c r="A763" s="677" t="s">
        <v>3175</v>
      </c>
      <c r="B763" s="688" t="s">
        <v>1258</v>
      </c>
      <c r="C763" s="679" t="s">
        <v>161</v>
      </c>
      <c r="D763" s="679" t="s">
        <v>209</v>
      </c>
    </row>
    <row r="764" spans="1:4" ht="14.25" customHeight="1">
      <c r="A764" s="677" t="s">
        <v>3176</v>
      </c>
      <c r="B764" s="688" t="s">
        <v>1259</v>
      </c>
      <c r="C764" s="679" t="s">
        <v>161</v>
      </c>
      <c r="D764" s="679" t="s">
        <v>206</v>
      </c>
    </row>
    <row r="765" spans="1:4" ht="14.25" customHeight="1">
      <c r="A765" s="677" t="s">
        <v>3177</v>
      </c>
      <c r="B765" s="688" t="s">
        <v>3178</v>
      </c>
      <c r="C765" s="679" t="s">
        <v>161</v>
      </c>
      <c r="D765" s="679" t="s">
        <v>208</v>
      </c>
    </row>
    <row r="766" spans="1:4" ht="14.25" customHeight="1">
      <c r="A766" s="677" t="s">
        <v>3179</v>
      </c>
      <c r="B766" s="688" t="s">
        <v>1260</v>
      </c>
      <c r="C766" s="679" t="s">
        <v>161</v>
      </c>
      <c r="D766" s="679" t="s">
        <v>207</v>
      </c>
    </row>
    <row r="767" spans="1:4" ht="14.25" customHeight="1">
      <c r="A767" s="677" t="s">
        <v>3180</v>
      </c>
      <c r="B767" s="688" t="s">
        <v>1261</v>
      </c>
      <c r="C767" s="679" t="s">
        <v>161</v>
      </c>
      <c r="D767" s="679" t="s">
        <v>211</v>
      </c>
    </row>
    <row r="768" spans="1:4" ht="14.25" customHeight="1">
      <c r="A768" s="677" t="s">
        <v>3181</v>
      </c>
      <c r="B768" s="688" t="s">
        <v>1393</v>
      </c>
      <c r="C768" s="679" t="s">
        <v>161</v>
      </c>
      <c r="D768" s="679" t="s">
        <v>1331</v>
      </c>
    </row>
    <row r="769" spans="1:4" ht="14.25" customHeight="1">
      <c r="A769" s="677" t="s">
        <v>3182</v>
      </c>
      <c r="B769" s="688" t="s">
        <v>1158</v>
      </c>
      <c r="C769" s="679" t="s">
        <v>176</v>
      </c>
      <c r="D769" s="679" t="s">
        <v>130</v>
      </c>
    </row>
    <row r="770" spans="1:4" ht="14.25" customHeight="1">
      <c r="A770" s="677" t="s">
        <v>3183</v>
      </c>
      <c r="B770" s="688" t="s">
        <v>1397</v>
      </c>
      <c r="C770" s="679" t="s">
        <v>176</v>
      </c>
      <c r="D770" s="679" t="s">
        <v>130</v>
      </c>
    </row>
    <row r="771" spans="1:4" ht="14.25" customHeight="1">
      <c r="A771" s="677" t="s">
        <v>3184</v>
      </c>
      <c r="B771" s="688" t="s">
        <v>1169</v>
      </c>
      <c r="C771" s="679" t="s">
        <v>176</v>
      </c>
      <c r="D771" s="679" t="s">
        <v>204</v>
      </c>
    </row>
    <row r="772" spans="1:4" ht="14.25" customHeight="1">
      <c r="A772" s="677" t="s">
        <v>3185</v>
      </c>
      <c r="B772" s="688" t="s">
        <v>3076</v>
      </c>
      <c r="C772" s="679" t="s">
        <v>176</v>
      </c>
      <c r="D772" s="679" t="s">
        <v>120</v>
      </c>
    </row>
    <row r="773" spans="1:4" ht="14.25" customHeight="1">
      <c r="A773" s="677" t="s">
        <v>3186</v>
      </c>
      <c r="B773" s="688" t="s">
        <v>1244</v>
      </c>
      <c r="C773" s="679" t="s">
        <v>176</v>
      </c>
      <c r="D773" s="679" t="s">
        <v>121</v>
      </c>
    </row>
    <row r="774" spans="1:4" ht="14.25" customHeight="1">
      <c r="A774" s="702" t="s">
        <v>3187</v>
      </c>
      <c r="B774" s="726" t="s">
        <v>1175</v>
      </c>
      <c r="C774" s="679" t="s">
        <v>176</v>
      </c>
      <c r="D774" s="679" t="s">
        <v>122</v>
      </c>
    </row>
    <row r="775" spans="1:4" ht="14.25" customHeight="1">
      <c r="A775" s="677" t="s">
        <v>3188</v>
      </c>
      <c r="B775" s="688" t="s">
        <v>1245</v>
      </c>
      <c r="C775" s="679" t="s">
        <v>176</v>
      </c>
      <c r="D775" s="679" t="s">
        <v>123</v>
      </c>
    </row>
    <row r="776" spans="1:4" ht="14.25" customHeight="1">
      <c r="A776" s="677" t="s">
        <v>3189</v>
      </c>
      <c r="B776" s="688" t="s">
        <v>1229</v>
      </c>
      <c r="C776" s="679" t="s">
        <v>176</v>
      </c>
      <c r="D776" s="679" t="s">
        <v>124</v>
      </c>
    </row>
    <row r="777" spans="1:4" ht="14.25" customHeight="1">
      <c r="A777" s="677" t="s">
        <v>3190</v>
      </c>
      <c r="B777" s="688" t="s">
        <v>1179</v>
      </c>
      <c r="C777" s="679" t="s">
        <v>176</v>
      </c>
      <c r="D777" s="679" t="s">
        <v>127</v>
      </c>
    </row>
    <row r="778" spans="1:4" ht="14.25" customHeight="1">
      <c r="A778" s="677" t="s">
        <v>3191</v>
      </c>
      <c r="B778" s="688" t="s">
        <v>1181</v>
      </c>
      <c r="C778" s="679" t="s">
        <v>176</v>
      </c>
      <c r="D778" s="679" t="s">
        <v>125</v>
      </c>
    </row>
    <row r="779" spans="1:4" ht="14.25" customHeight="1">
      <c r="A779" s="688" t="s">
        <v>3192</v>
      </c>
      <c r="B779" s="688" t="s">
        <v>1231</v>
      </c>
      <c r="C779" s="679" t="s">
        <v>176</v>
      </c>
      <c r="D779" s="679" t="s">
        <v>126</v>
      </c>
    </row>
    <row r="780" spans="1:4" ht="14.25" customHeight="1">
      <c r="A780" s="677" t="s">
        <v>3193</v>
      </c>
      <c r="B780" s="688" t="s">
        <v>1249</v>
      </c>
      <c r="C780" s="679" t="s">
        <v>176</v>
      </c>
      <c r="D780" s="679" t="s">
        <v>130</v>
      </c>
    </row>
    <row r="781" spans="1:4" ht="14.25" customHeight="1">
      <c r="A781" s="677" t="s">
        <v>3194</v>
      </c>
      <c r="B781" s="688" t="s">
        <v>1187</v>
      </c>
      <c r="C781" s="679" t="s">
        <v>176</v>
      </c>
      <c r="D781" s="679" t="s">
        <v>135</v>
      </c>
    </row>
    <row r="782" spans="1:4" ht="14.25" customHeight="1">
      <c r="A782" s="677" t="s">
        <v>3195</v>
      </c>
      <c r="B782" s="688" t="s">
        <v>1395</v>
      </c>
      <c r="C782" s="679" t="s">
        <v>176</v>
      </c>
      <c r="D782" s="679" t="s">
        <v>136</v>
      </c>
    </row>
    <row r="783" spans="1:4" ht="14.25" customHeight="1">
      <c r="A783" s="677" t="s">
        <v>3196</v>
      </c>
      <c r="B783" s="688" t="s">
        <v>1191</v>
      </c>
      <c r="C783" s="679" t="s">
        <v>176</v>
      </c>
      <c r="D783" s="679" t="s">
        <v>141</v>
      </c>
    </row>
    <row r="784" spans="1:4" ht="14.25" customHeight="1">
      <c r="A784" s="677" t="s">
        <v>3197</v>
      </c>
      <c r="B784" s="688" t="s">
        <v>1193</v>
      </c>
      <c r="C784" s="679" t="s">
        <v>176</v>
      </c>
      <c r="D784" s="679" t="s">
        <v>131</v>
      </c>
    </row>
    <row r="785" spans="1:4" ht="14.25" customHeight="1">
      <c r="A785" s="677" t="s">
        <v>3198</v>
      </c>
      <c r="B785" s="688" t="s">
        <v>1195</v>
      </c>
      <c r="C785" s="679" t="s">
        <v>176</v>
      </c>
      <c r="D785" s="679" t="s">
        <v>139</v>
      </c>
    </row>
    <row r="786" spans="1:4" ht="14.25" customHeight="1">
      <c r="A786" s="677" t="s">
        <v>3199</v>
      </c>
      <c r="B786" s="688" t="s">
        <v>1197</v>
      </c>
      <c r="C786" s="679" t="s">
        <v>176</v>
      </c>
      <c r="D786" s="679" t="s">
        <v>132</v>
      </c>
    </row>
    <row r="787" spans="1:4" ht="14.25" customHeight="1">
      <c r="A787" s="677" t="s">
        <v>3200</v>
      </c>
      <c r="B787" s="688" t="s">
        <v>1199</v>
      </c>
      <c r="C787" s="679" t="s">
        <v>176</v>
      </c>
      <c r="D787" s="679" t="s">
        <v>137</v>
      </c>
    </row>
    <row r="788" spans="1:4" ht="14.25" customHeight="1">
      <c r="A788" s="677" t="s">
        <v>3201</v>
      </c>
      <c r="B788" s="688" t="s">
        <v>1201</v>
      </c>
      <c r="C788" s="679" t="s">
        <v>176</v>
      </c>
      <c r="D788" s="679" t="s">
        <v>138</v>
      </c>
    </row>
    <row r="789" spans="1:4" ht="14.25" customHeight="1">
      <c r="A789" s="677" t="s">
        <v>3202</v>
      </c>
      <c r="B789" s="688" t="s">
        <v>1203</v>
      </c>
      <c r="C789" s="679" t="s">
        <v>176</v>
      </c>
      <c r="D789" s="679" t="s">
        <v>140</v>
      </c>
    </row>
    <row r="790" spans="1:4" ht="14.25" customHeight="1">
      <c r="A790" s="677" t="s">
        <v>3203</v>
      </c>
      <c r="B790" s="688" t="s">
        <v>1265</v>
      </c>
      <c r="C790" s="679" t="s">
        <v>176</v>
      </c>
      <c r="D790" s="679" t="s">
        <v>133</v>
      </c>
    </row>
    <row r="791" spans="1:4" ht="14.25" customHeight="1">
      <c r="A791" s="677" t="s">
        <v>3204</v>
      </c>
      <c r="B791" s="688" t="s">
        <v>1209</v>
      </c>
      <c r="C791" s="679" t="s">
        <v>176</v>
      </c>
      <c r="D791" s="679" t="s">
        <v>134</v>
      </c>
    </row>
    <row r="792" spans="1:4" ht="14.25" customHeight="1">
      <c r="A792" s="677" t="s">
        <v>3205</v>
      </c>
      <c r="B792" s="688" t="s">
        <v>1211</v>
      </c>
      <c r="C792" s="679" t="s">
        <v>1325</v>
      </c>
      <c r="D792" s="679" t="s">
        <v>221</v>
      </c>
    </row>
    <row r="793" spans="1:4" ht="14.25" customHeight="1">
      <c r="A793" s="677" t="s">
        <v>3206</v>
      </c>
      <c r="B793" s="688" t="s">
        <v>1389</v>
      </c>
      <c r="C793" s="679" t="s">
        <v>1325</v>
      </c>
      <c r="D793" s="679" t="s">
        <v>213</v>
      </c>
    </row>
    <row r="794" spans="1:4" ht="14.25" customHeight="1">
      <c r="A794" s="677" t="s">
        <v>3207</v>
      </c>
      <c r="B794" s="688" t="s">
        <v>1268</v>
      </c>
      <c r="C794" s="679" t="s">
        <v>176</v>
      </c>
      <c r="D794" s="679" t="s">
        <v>210</v>
      </c>
    </row>
    <row r="795" spans="1:4" ht="14.25" customHeight="1">
      <c r="A795" s="677" t="s">
        <v>3208</v>
      </c>
      <c r="B795" s="688" t="s">
        <v>1269</v>
      </c>
      <c r="C795" s="679" t="s">
        <v>176</v>
      </c>
      <c r="D795" s="679" t="s">
        <v>205</v>
      </c>
    </row>
    <row r="796" spans="1:4" ht="14.25" customHeight="1">
      <c r="A796" s="677" t="s">
        <v>3209</v>
      </c>
      <c r="B796" s="688" t="s">
        <v>1270</v>
      </c>
      <c r="C796" s="679" t="s">
        <v>1325</v>
      </c>
      <c r="D796" s="679" t="s">
        <v>209</v>
      </c>
    </row>
    <row r="797" spans="1:4" ht="14.25" customHeight="1">
      <c r="A797" s="677" t="s">
        <v>3210</v>
      </c>
      <c r="B797" s="688" t="s">
        <v>1271</v>
      </c>
      <c r="C797" s="679" t="s">
        <v>176</v>
      </c>
      <c r="D797" s="679" t="s">
        <v>206</v>
      </c>
    </row>
    <row r="798" spans="1:4" ht="14.25" customHeight="1">
      <c r="A798" s="677" t="s">
        <v>3211</v>
      </c>
      <c r="B798" s="688" t="s">
        <v>3212</v>
      </c>
      <c r="C798" s="679" t="s">
        <v>176</v>
      </c>
      <c r="D798" s="679" t="s">
        <v>208</v>
      </c>
    </row>
    <row r="799" spans="1:4" ht="14.25" customHeight="1">
      <c r="A799" s="677" t="s">
        <v>3213</v>
      </c>
      <c r="B799" s="688" t="s">
        <v>1272</v>
      </c>
      <c r="C799" s="679" t="s">
        <v>176</v>
      </c>
      <c r="D799" s="679" t="s">
        <v>207</v>
      </c>
    </row>
    <row r="800" spans="1:4" ht="14.25" customHeight="1">
      <c r="A800" s="688" t="s">
        <v>3214</v>
      </c>
      <c r="B800" s="688" t="s">
        <v>1273</v>
      </c>
      <c r="C800" s="679" t="s">
        <v>176</v>
      </c>
      <c r="D800" s="679" t="s">
        <v>211</v>
      </c>
    </row>
    <row r="801" spans="1:4" ht="14.25" customHeight="1">
      <c r="A801" s="677" t="s">
        <v>3215</v>
      </c>
      <c r="B801" s="688" t="s">
        <v>1396</v>
      </c>
      <c r="C801" s="679" t="s">
        <v>176</v>
      </c>
      <c r="D801" s="679" t="s">
        <v>1331</v>
      </c>
    </row>
    <row r="802" spans="1:4" ht="14.25" customHeight="1">
      <c r="A802" s="677" t="s">
        <v>3216</v>
      </c>
      <c r="B802" s="688" t="s">
        <v>1158</v>
      </c>
      <c r="C802" s="679" t="s">
        <v>180</v>
      </c>
      <c r="D802" s="679" t="s">
        <v>130</v>
      </c>
    </row>
    <row r="803" spans="1:4" ht="14.25" customHeight="1">
      <c r="A803" s="677" t="s">
        <v>3217</v>
      </c>
      <c r="B803" s="688" t="s">
        <v>1397</v>
      </c>
      <c r="C803" s="679" t="s">
        <v>180</v>
      </c>
      <c r="D803" s="679" t="s">
        <v>130</v>
      </c>
    </row>
    <row r="804" spans="1:4" ht="14.25" customHeight="1">
      <c r="A804" s="677" t="s">
        <v>3218</v>
      </c>
      <c r="B804" s="688" t="s">
        <v>1166</v>
      </c>
      <c r="C804" s="679" t="s">
        <v>180</v>
      </c>
      <c r="D804" s="679" t="s">
        <v>129</v>
      </c>
    </row>
    <row r="805" spans="1:4" ht="14.25" customHeight="1">
      <c r="A805" s="677" t="s">
        <v>3219</v>
      </c>
      <c r="B805" s="688" t="s">
        <v>1274</v>
      </c>
      <c r="C805" s="679" t="s">
        <v>180</v>
      </c>
      <c r="D805" s="679" t="s">
        <v>204</v>
      </c>
    </row>
    <row r="806" spans="1:4" ht="14.25" customHeight="1">
      <c r="A806" s="677" t="s">
        <v>3220</v>
      </c>
      <c r="B806" s="688" t="s">
        <v>3076</v>
      </c>
      <c r="C806" s="679" t="s">
        <v>180</v>
      </c>
      <c r="D806" s="679" t="s">
        <v>120</v>
      </c>
    </row>
    <row r="807" spans="1:4" ht="14.25" customHeight="1">
      <c r="A807" s="677" t="s">
        <v>3221</v>
      </c>
      <c r="B807" s="688" t="s">
        <v>1173</v>
      </c>
      <c r="C807" s="679" t="s">
        <v>180</v>
      </c>
      <c r="D807" s="679" t="s">
        <v>121</v>
      </c>
    </row>
    <row r="808" spans="1:4" ht="14.25" customHeight="1">
      <c r="A808" s="677" t="s">
        <v>3222</v>
      </c>
      <c r="B808" s="688" t="s">
        <v>1175</v>
      </c>
      <c r="C808" s="679" t="s">
        <v>180</v>
      </c>
      <c r="D808" s="679" t="s">
        <v>122</v>
      </c>
    </row>
    <row r="809" spans="1:4" ht="14.25" customHeight="1">
      <c r="A809" s="677" t="s">
        <v>3223</v>
      </c>
      <c r="B809" s="688" t="s">
        <v>1275</v>
      </c>
      <c r="C809" s="679" t="s">
        <v>180</v>
      </c>
      <c r="D809" s="679" t="s">
        <v>124</v>
      </c>
    </row>
    <row r="810" spans="1:4" ht="14.25" customHeight="1">
      <c r="A810" s="677" t="s">
        <v>3224</v>
      </c>
      <c r="B810" s="688" t="s">
        <v>1179</v>
      </c>
      <c r="C810" s="679" t="s">
        <v>180</v>
      </c>
      <c r="D810" s="679" t="s">
        <v>127</v>
      </c>
    </row>
    <row r="811" spans="1:4" ht="14.25" customHeight="1">
      <c r="A811" s="688" t="s">
        <v>3225</v>
      </c>
      <c r="B811" s="688" t="s">
        <v>1181</v>
      </c>
      <c r="C811" s="679" t="s">
        <v>180</v>
      </c>
      <c r="D811" s="679" t="s">
        <v>125</v>
      </c>
    </row>
    <row r="812" spans="1:4" ht="14.25" customHeight="1">
      <c r="A812" s="688" t="s">
        <v>3226</v>
      </c>
      <c r="B812" s="688" t="s">
        <v>1276</v>
      </c>
      <c r="C812" s="679" t="s">
        <v>180</v>
      </c>
      <c r="D812" s="679" t="s">
        <v>126</v>
      </c>
    </row>
    <row r="813" spans="1:4" ht="14.25" customHeight="1">
      <c r="A813" s="677" t="s">
        <v>3227</v>
      </c>
      <c r="B813" s="688" t="s">
        <v>1231</v>
      </c>
      <c r="C813" s="679" t="s">
        <v>180</v>
      </c>
      <c r="D813" s="679" t="s">
        <v>126</v>
      </c>
    </row>
    <row r="814" spans="1:4" ht="14.25" customHeight="1">
      <c r="A814" s="677" t="s">
        <v>3228</v>
      </c>
      <c r="B814" s="688" t="s">
        <v>1187</v>
      </c>
      <c r="C814" s="679" t="s">
        <v>180</v>
      </c>
      <c r="D814" s="679" t="s">
        <v>135</v>
      </c>
    </row>
    <row r="815" spans="1:4" ht="14.25" customHeight="1">
      <c r="A815" s="677" t="s">
        <v>3229</v>
      </c>
      <c r="B815" s="688" t="s">
        <v>1189</v>
      </c>
      <c r="C815" s="679" t="s">
        <v>161</v>
      </c>
      <c r="D815" s="679" t="s">
        <v>136</v>
      </c>
    </row>
    <row r="816" spans="1:4" ht="14.25" customHeight="1">
      <c r="A816" s="677" t="s">
        <v>3230</v>
      </c>
      <c r="B816" s="688" t="s">
        <v>1191</v>
      </c>
      <c r="C816" s="679" t="s">
        <v>180</v>
      </c>
      <c r="D816" s="679" t="s">
        <v>141</v>
      </c>
    </row>
    <row r="817" spans="1:4" ht="14.25" customHeight="1">
      <c r="A817" s="677" t="s">
        <v>3231</v>
      </c>
      <c r="B817" s="688" t="s">
        <v>1193</v>
      </c>
      <c r="C817" s="679" t="s">
        <v>180</v>
      </c>
      <c r="D817" s="679" t="s">
        <v>131</v>
      </c>
    </row>
    <row r="818" spans="1:4" ht="14.25" customHeight="1">
      <c r="A818" s="677" t="s">
        <v>3232</v>
      </c>
      <c r="B818" s="688" t="s">
        <v>1195</v>
      </c>
      <c r="C818" s="679" t="s">
        <v>180</v>
      </c>
      <c r="D818" s="679" t="s">
        <v>139</v>
      </c>
    </row>
    <row r="819" spans="1:4" ht="14.25" customHeight="1">
      <c r="A819" s="677" t="s">
        <v>3233</v>
      </c>
      <c r="B819" s="688" t="s">
        <v>1197</v>
      </c>
      <c r="C819" s="679" t="s">
        <v>180</v>
      </c>
      <c r="D819" s="679" t="s">
        <v>132</v>
      </c>
    </row>
    <row r="820" spans="1:4" ht="14.25" customHeight="1">
      <c r="A820" s="677" t="s">
        <v>3234</v>
      </c>
      <c r="B820" s="688" t="s">
        <v>1199</v>
      </c>
      <c r="C820" s="679" t="s">
        <v>180</v>
      </c>
      <c r="D820" s="679" t="s">
        <v>137</v>
      </c>
    </row>
    <row r="821" spans="1:4" ht="14.25" customHeight="1">
      <c r="A821" s="677" t="s">
        <v>3235</v>
      </c>
      <c r="B821" s="688" t="s">
        <v>1201</v>
      </c>
      <c r="C821" s="679" t="s">
        <v>180</v>
      </c>
      <c r="D821" s="679" t="s">
        <v>138</v>
      </c>
    </row>
    <row r="822" spans="1:4" ht="14.25" customHeight="1">
      <c r="A822" s="677" t="s">
        <v>3236</v>
      </c>
      <c r="B822" s="688" t="s">
        <v>1203</v>
      </c>
      <c r="C822" s="679" t="s">
        <v>180</v>
      </c>
      <c r="D822" s="679" t="s">
        <v>140</v>
      </c>
    </row>
    <row r="823" spans="1:4" ht="14.25" customHeight="1">
      <c r="A823" s="677" t="s">
        <v>3237</v>
      </c>
      <c r="B823" s="688" t="s">
        <v>1277</v>
      </c>
      <c r="C823" s="679" t="s">
        <v>180</v>
      </c>
      <c r="D823" s="679" t="s">
        <v>133</v>
      </c>
    </row>
    <row r="824" spans="1:4" ht="14.25" customHeight="1">
      <c r="A824" s="677" t="s">
        <v>3238</v>
      </c>
      <c r="B824" s="688" t="s">
        <v>1209</v>
      </c>
      <c r="C824" s="679" t="s">
        <v>180</v>
      </c>
      <c r="D824" s="679" t="s">
        <v>134</v>
      </c>
    </row>
    <row r="825" spans="1:4" ht="14.25" customHeight="1">
      <c r="A825" s="677" t="s">
        <v>3239</v>
      </c>
      <c r="B825" s="688" t="s">
        <v>1211</v>
      </c>
      <c r="C825" s="679" t="s">
        <v>1325</v>
      </c>
      <c r="D825" s="679" t="s">
        <v>221</v>
      </c>
    </row>
    <row r="826" spans="1:4" ht="14.25" customHeight="1">
      <c r="A826" s="677" t="s">
        <v>3240</v>
      </c>
      <c r="B826" s="688" t="s">
        <v>1389</v>
      </c>
      <c r="C826" s="679" t="s">
        <v>1325</v>
      </c>
      <c r="D826" s="679" t="s">
        <v>213</v>
      </c>
    </row>
    <row r="827" spans="1:4" ht="14.25" customHeight="1">
      <c r="A827" s="677" t="s">
        <v>3241</v>
      </c>
      <c r="B827" s="688" t="s">
        <v>1279</v>
      </c>
      <c r="C827" s="679" t="s">
        <v>180</v>
      </c>
      <c r="D827" s="679" t="s">
        <v>210</v>
      </c>
    </row>
    <row r="828" spans="1:4" ht="14.25" customHeight="1">
      <c r="A828" s="677" t="s">
        <v>3242</v>
      </c>
      <c r="B828" s="688" t="s">
        <v>1280</v>
      </c>
      <c r="C828" s="679" t="s">
        <v>180</v>
      </c>
      <c r="D828" s="679" t="s">
        <v>205</v>
      </c>
    </row>
    <row r="829" spans="1:4" ht="14.25" customHeight="1">
      <c r="A829" s="677" t="s">
        <v>3243</v>
      </c>
      <c r="B829" s="688" t="s">
        <v>1281</v>
      </c>
      <c r="C829" s="679" t="s">
        <v>180</v>
      </c>
      <c r="D829" s="679" t="s">
        <v>209</v>
      </c>
    </row>
    <row r="830" spans="1:4" ht="14.25" customHeight="1">
      <c r="A830" s="677" t="s">
        <v>3244</v>
      </c>
      <c r="B830" s="688" t="s">
        <v>1282</v>
      </c>
      <c r="C830" s="679" t="s">
        <v>180</v>
      </c>
      <c r="D830" s="679" t="s">
        <v>206</v>
      </c>
    </row>
    <row r="831" spans="1:4" ht="14.25" customHeight="1">
      <c r="A831" s="677" t="s">
        <v>3245</v>
      </c>
      <c r="B831" s="688" t="s">
        <v>3246</v>
      </c>
      <c r="C831" s="679" t="s">
        <v>180</v>
      </c>
      <c r="D831" s="679" t="s">
        <v>208</v>
      </c>
    </row>
    <row r="832" spans="1:4" ht="14.25" customHeight="1">
      <c r="A832" s="677" t="s">
        <v>3247</v>
      </c>
      <c r="B832" s="688" t="s">
        <v>1283</v>
      </c>
      <c r="C832" s="679" t="s">
        <v>180</v>
      </c>
      <c r="D832" s="679" t="s">
        <v>207</v>
      </c>
    </row>
    <row r="833" spans="1:4" ht="14.25" customHeight="1">
      <c r="A833" s="677" t="s">
        <v>3248</v>
      </c>
      <c r="B833" s="688" t="s">
        <v>1284</v>
      </c>
      <c r="C833" s="679" t="s">
        <v>180</v>
      </c>
      <c r="D833" s="679" t="s">
        <v>211</v>
      </c>
    </row>
    <row r="834" spans="1:4" ht="14.25" customHeight="1">
      <c r="A834" s="677" t="s">
        <v>3249</v>
      </c>
      <c r="B834" s="688" t="s">
        <v>1398</v>
      </c>
      <c r="C834" s="679" t="s">
        <v>180</v>
      </c>
      <c r="D834" s="679" t="s">
        <v>1331</v>
      </c>
    </row>
    <row r="835" spans="1:4" ht="14.25" customHeight="1">
      <c r="A835" s="689" t="s">
        <v>3250</v>
      </c>
      <c r="B835" s="678" t="s">
        <v>3251</v>
      </c>
      <c r="C835" s="679" t="s">
        <v>1325</v>
      </c>
      <c r="D835" s="679"/>
    </row>
    <row r="836" spans="1:4" ht="14.25" customHeight="1">
      <c r="A836" s="688" t="s">
        <v>3252</v>
      </c>
      <c r="B836" s="688" t="s">
        <v>3253</v>
      </c>
      <c r="C836" s="679" t="s">
        <v>180</v>
      </c>
      <c r="D836" s="679" t="s">
        <v>188</v>
      </c>
    </row>
    <row r="837" spans="1:4" ht="14.25" customHeight="1">
      <c r="A837" s="688" t="s">
        <v>3254</v>
      </c>
      <c r="B837" s="688" t="s">
        <v>3255</v>
      </c>
      <c r="C837" s="679" t="s">
        <v>1325</v>
      </c>
      <c r="D837" s="679" t="s">
        <v>3256</v>
      </c>
    </row>
    <row r="838" spans="1:4" ht="14.25" customHeight="1">
      <c r="A838" s="677" t="s">
        <v>3257</v>
      </c>
      <c r="B838" s="688" t="s">
        <v>3258</v>
      </c>
      <c r="C838" s="679" t="s">
        <v>92</v>
      </c>
      <c r="D838" s="679" t="s">
        <v>145</v>
      </c>
    </row>
    <row r="839" spans="1:4" ht="14.25" customHeight="1">
      <c r="A839" s="677" t="s">
        <v>3259</v>
      </c>
      <c r="B839" s="688" t="s">
        <v>3260</v>
      </c>
      <c r="C839" s="679" t="s">
        <v>92</v>
      </c>
      <c r="D839" s="679" t="s">
        <v>148</v>
      </c>
    </row>
    <row r="840" spans="1:4" ht="14.25" customHeight="1">
      <c r="A840" s="677" t="s">
        <v>3261</v>
      </c>
      <c r="B840" s="688" t="s">
        <v>3262</v>
      </c>
      <c r="C840" s="679" t="s">
        <v>1325</v>
      </c>
      <c r="D840" s="679"/>
    </row>
    <row r="841" spans="1:4" ht="14.25" customHeight="1">
      <c r="A841" s="677" t="s">
        <v>3263</v>
      </c>
      <c r="B841" s="688" t="s">
        <v>3264</v>
      </c>
      <c r="C841" s="679" t="s">
        <v>92</v>
      </c>
      <c r="D841" s="679" t="s">
        <v>105</v>
      </c>
    </row>
    <row r="842" spans="1:4" ht="14.25" customHeight="1">
      <c r="A842" s="677" t="s">
        <v>3265</v>
      </c>
      <c r="B842" s="688" t="s">
        <v>3266</v>
      </c>
      <c r="C842" s="679" t="s">
        <v>92</v>
      </c>
      <c r="D842" s="679" t="s">
        <v>105</v>
      </c>
    </row>
    <row r="843" spans="1:4" ht="14.25" customHeight="1">
      <c r="A843" s="689" t="s">
        <v>3267</v>
      </c>
      <c r="B843" s="678" t="s">
        <v>3268</v>
      </c>
      <c r="C843" s="679" t="s">
        <v>1325</v>
      </c>
      <c r="D843" s="679" t="s">
        <v>97</v>
      </c>
    </row>
    <row r="844" spans="1:4" ht="14.25" customHeight="1">
      <c r="A844" s="677" t="s">
        <v>3269</v>
      </c>
      <c r="B844" s="688" t="s">
        <v>3270</v>
      </c>
      <c r="C844" s="679" t="s">
        <v>152</v>
      </c>
      <c r="D844" s="679" t="s">
        <v>105</v>
      </c>
    </row>
    <row r="845" spans="1:4" ht="14.25" customHeight="1">
      <c r="A845" s="689" t="s">
        <v>3271</v>
      </c>
      <c r="B845" s="678" t="s">
        <v>3272</v>
      </c>
      <c r="C845" s="679" t="s">
        <v>152</v>
      </c>
      <c r="D845" s="679" t="s">
        <v>105</v>
      </c>
    </row>
    <row r="846" spans="1:4" ht="14.25" customHeight="1">
      <c r="A846" s="677" t="s">
        <v>3273</v>
      </c>
      <c r="B846" s="688" t="s">
        <v>3274</v>
      </c>
      <c r="C846" s="679" t="s">
        <v>152</v>
      </c>
      <c r="D846" s="679"/>
    </row>
    <row r="847" spans="1:4" ht="14.25" customHeight="1">
      <c r="A847" s="677" t="s">
        <v>3275</v>
      </c>
      <c r="B847" s="688" t="s">
        <v>3276</v>
      </c>
      <c r="C847" s="679" t="s">
        <v>92</v>
      </c>
      <c r="D847" s="679" t="s">
        <v>105</v>
      </c>
    </row>
    <row r="848" spans="1:4" ht="14.25" customHeight="1">
      <c r="A848" s="689" t="s">
        <v>3277</v>
      </c>
      <c r="B848" s="678" t="s">
        <v>3278</v>
      </c>
      <c r="C848" s="679" t="s">
        <v>92</v>
      </c>
      <c r="D848" s="679">
        <v>0</v>
      </c>
    </row>
    <row r="849" spans="1:4" ht="14.25" customHeight="1">
      <c r="A849" s="688" t="s">
        <v>3279</v>
      </c>
      <c r="B849" s="688" t="s">
        <v>3280</v>
      </c>
      <c r="C849" s="679" t="s">
        <v>152</v>
      </c>
      <c r="D849" s="679"/>
    </row>
    <row r="850" spans="1:4" ht="14.25" customHeight="1">
      <c r="A850" s="689" t="s">
        <v>3281</v>
      </c>
      <c r="B850" s="678" t="s">
        <v>3282</v>
      </c>
      <c r="C850" s="679" t="s">
        <v>152</v>
      </c>
      <c r="D850" s="679" t="s">
        <v>153</v>
      </c>
    </row>
    <row r="851" spans="1:4" ht="14.25" customHeight="1">
      <c r="A851" s="677" t="s">
        <v>3283</v>
      </c>
      <c r="B851" s="688" t="s">
        <v>3284</v>
      </c>
      <c r="C851" s="679" t="s">
        <v>92</v>
      </c>
      <c r="D851" s="679" t="s">
        <v>106</v>
      </c>
    </row>
    <row r="852" spans="1:4" ht="14.25" customHeight="1">
      <c r="A852" s="689" t="s">
        <v>3285</v>
      </c>
      <c r="B852" s="678" t="s">
        <v>3286</v>
      </c>
      <c r="C852" s="679" t="s">
        <v>92</v>
      </c>
      <c r="D852" s="679">
        <v>0</v>
      </c>
    </row>
    <row r="853" spans="1:4" ht="14.25" customHeight="1">
      <c r="A853" s="677" t="s">
        <v>3287</v>
      </c>
      <c r="B853" s="688" t="s">
        <v>3288</v>
      </c>
      <c r="C853" s="679" t="s">
        <v>92</v>
      </c>
      <c r="D853" s="679" t="s">
        <v>106</v>
      </c>
    </row>
    <row r="854" spans="1:4" ht="14.25" customHeight="1">
      <c r="A854" s="689" t="s">
        <v>3289</v>
      </c>
      <c r="B854" s="678" t="s">
        <v>3290</v>
      </c>
      <c r="C854" s="679" t="s">
        <v>92</v>
      </c>
      <c r="D854" s="679">
        <v>0</v>
      </c>
    </row>
    <row r="855" spans="1:4" ht="14.25" customHeight="1">
      <c r="A855" s="677" t="s">
        <v>3291</v>
      </c>
      <c r="B855" s="688" t="s">
        <v>3292</v>
      </c>
      <c r="C855" s="679" t="s">
        <v>152</v>
      </c>
      <c r="D855" s="679" t="s">
        <v>106</v>
      </c>
    </row>
    <row r="856" spans="1:4" ht="14.25" customHeight="1">
      <c r="A856" s="689" t="s">
        <v>3293</v>
      </c>
      <c r="B856" s="678" t="s">
        <v>3294</v>
      </c>
      <c r="C856" s="679" t="s">
        <v>152</v>
      </c>
      <c r="D856" s="679" t="s">
        <v>106</v>
      </c>
    </row>
    <row r="857" spans="1:4" ht="14.25" customHeight="1">
      <c r="A857" s="677" t="s">
        <v>3295</v>
      </c>
      <c r="B857" s="688" t="s">
        <v>3296</v>
      </c>
      <c r="C857" s="679" t="s">
        <v>152</v>
      </c>
      <c r="D857" s="679" t="s">
        <v>106</v>
      </c>
    </row>
    <row r="858" spans="1:4" ht="14.25" customHeight="1">
      <c r="A858" s="689" t="s">
        <v>3297</v>
      </c>
      <c r="B858" s="678" t="s">
        <v>3298</v>
      </c>
      <c r="C858" s="679" t="s">
        <v>152</v>
      </c>
      <c r="D858" s="679" t="s">
        <v>106</v>
      </c>
    </row>
    <row r="859" spans="1:4" ht="14.25" customHeight="1">
      <c r="A859" s="688" t="s">
        <v>3299</v>
      </c>
      <c r="B859" s="688" t="s">
        <v>3300</v>
      </c>
      <c r="C859" s="679" t="s">
        <v>1325</v>
      </c>
      <c r="D859" s="679" t="s">
        <v>149</v>
      </c>
    </row>
    <row r="860" spans="1:4" ht="14.25" customHeight="1">
      <c r="A860" s="688" t="s">
        <v>3301</v>
      </c>
      <c r="B860" s="688" t="s">
        <v>3302</v>
      </c>
      <c r="C860" s="679" t="s">
        <v>1325</v>
      </c>
      <c r="D860" s="679" t="s">
        <v>3256</v>
      </c>
    </row>
    <row r="861" spans="1:4" ht="14.25" customHeight="1">
      <c r="A861" s="688" t="s">
        <v>3303</v>
      </c>
      <c r="B861" s="688" t="s">
        <v>3304</v>
      </c>
      <c r="C861" s="679" t="s">
        <v>1325</v>
      </c>
      <c r="D861" s="679" t="s">
        <v>223</v>
      </c>
    </row>
    <row r="862" spans="1:4" ht="14.25" customHeight="1">
      <c r="A862" s="688" t="s">
        <v>3305</v>
      </c>
      <c r="B862" s="688" t="s">
        <v>3306</v>
      </c>
      <c r="C862" s="679" t="s">
        <v>1325</v>
      </c>
      <c r="D862" s="679" t="s">
        <v>222</v>
      </c>
    </row>
    <row r="863" spans="1:4" ht="14.25" customHeight="1">
      <c r="A863" s="688" t="s">
        <v>3307</v>
      </c>
      <c r="B863" s="688" t="s">
        <v>1316</v>
      </c>
      <c r="C863" s="679" t="s">
        <v>1325</v>
      </c>
      <c r="D863" s="679" t="s">
        <v>223</v>
      </c>
    </row>
    <row r="864" spans="1:4" ht="14.25" customHeight="1">
      <c r="A864" s="688" t="s">
        <v>3308</v>
      </c>
      <c r="B864" s="688" t="s">
        <v>1405</v>
      </c>
      <c r="C864" s="679" t="s">
        <v>1325</v>
      </c>
      <c r="D864" s="679" t="s">
        <v>142</v>
      </c>
    </row>
    <row r="865" spans="1:4" ht="14.25" customHeight="1">
      <c r="A865" s="677"/>
      <c r="B865" s="685"/>
      <c r="C865" s="679"/>
      <c r="D865" s="679"/>
    </row>
    <row r="866" spans="1:4" ht="14.25" customHeight="1">
      <c r="A866" s="677"/>
      <c r="B866" s="685"/>
      <c r="C866" s="679"/>
      <c r="D866" s="679"/>
    </row>
    <row r="867" spans="1:4" ht="14.25" customHeight="1">
      <c r="A867" s="677"/>
      <c r="B867" s="685"/>
      <c r="C867" s="679"/>
      <c r="D867" s="679"/>
    </row>
    <row r="868" spans="1:4" ht="14.25" customHeight="1">
      <c r="A868" s="677"/>
      <c r="B868" s="685"/>
      <c r="C868" s="679"/>
      <c r="D868" s="679"/>
    </row>
    <row r="869" spans="1:4" ht="14.25" customHeight="1">
      <c r="A869" s="677"/>
      <c r="B869" s="685"/>
      <c r="C869" s="679"/>
      <c r="D869" s="679"/>
    </row>
    <row r="870" spans="1:4" ht="14.25" customHeight="1">
      <c r="A870" s="677"/>
      <c r="B870" s="685"/>
      <c r="C870" s="679"/>
      <c r="D870" s="679"/>
    </row>
    <row r="871" spans="1:4" ht="14.25" customHeight="1">
      <c r="A871" s="677"/>
      <c r="B871" s="685"/>
      <c r="C871" s="679"/>
      <c r="D871" s="679"/>
    </row>
    <row r="872" spans="1:4" ht="14.25" customHeight="1">
      <c r="A872" s="728"/>
      <c r="B872" s="722"/>
      <c r="C872" s="679"/>
      <c r="D872" s="679"/>
    </row>
    <row r="873" spans="1:4" ht="14.25" customHeight="1">
      <c r="A873" s="677"/>
      <c r="B873" s="685"/>
      <c r="C873" s="679"/>
      <c r="D873" s="679"/>
    </row>
    <row r="874" spans="1:4" ht="14.25" customHeight="1">
      <c r="A874" s="677"/>
      <c r="B874" s="685"/>
      <c r="C874" s="679"/>
      <c r="D874" s="679"/>
    </row>
    <row r="875" spans="1:4" ht="14.25" customHeight="1">
      <c r="A875" s="677"/>
      <c r="B875" s="685"/>
      <c r="C875" s="679"/>
      <c r="D875" s="679"/>
    </row>
    <row r="876" spans="1:4" ht="14.25" customHeight="1">
      <c r="A876" s="677"/>
      <c r="B876" s="685"/>
      <c r="C876" s="679"/>
      <c r="D876" s="679"/>
    </row>
    <row r="877" spans="1:4" ht="14.25" customHeight="1">
      <c r="A877" s="677"/>
      <c r="B877" s="685"/>
      <c r="C877" s="679"/>
      <c r="D877" s="679"/>
    </row>
    <row r="878" spans="1:4" ht="14.25" customHeight="1">
      <c r="A878" s="677"/>
      <c r="B878" s="685"/>
      <c r="C878" s="679"/>
      <c r="D878" s="679"/>
    </row>
    <row r="879" spans="1:4" ht="14.25" customHeight="1">
      <c r="A879" s="677"/>
      <c r="B879" s="685"/>
      <c r="C879" s="679"/>
      <c r="D879" s="679"/>
    </row>
    <row r="880" spans="1:4" ht="14.25" customHeight="1">
      <c r="A880" s="677"/>
      <c r="B880" s="685"/>
      <c r="C880" s="679"/>
      <c r="D880" s="679"/>
    </row>
    <row r="881" spans="1:4" ht="14.25" customHeight="1">
      <c r="A881" s="677"/>
      <c r="B881" s="685"/>
      <c r="C881" s="679"/>
      <c r="D881" s="679"/>
    </row>
    <row r="882" spans="1:4" ht="14.25" customHeight="1">
      <c r="A882" s="677"/>
      <c r="B882" s="685"/>
      <c r="C882" s="679"/>
      <c r="D882" s="679"/>
    </row>
    <row r="883" spans="1:4" ht="14.25" customHeight="1">
      <c r="A883" s="677"/>
      <c r="B883" s="685"/>
      <c r="C883" s="679"/>
      <c r="D883" s="679"/>
    </row>
    <row r="884" spans="1:4" ht="14.25" customHeight="1">
      <c r="A884" s="704"/>
      <c r="B884" s="685"/>
      <c r="C884" s="679"/>
      <c r="D884" s="679"/>
    </row>
    <row r="885" spans="1:4" ht="14.25" customHeight="1">
      <c r="A885" s="704"/>
      <c r="B885" s="685"/>
      <c r="C885" s="679"/>
      <c r="D885" s="679"/>
    </row>
    <row r="886" spans="1:4" ht="14.25" customHeight="1">
      <c r="A886" s="677"/>
      <c r="B886" s="685"/>
      <c r="C886" s="679"/>
      <c r="D886" s="679"/>
    </row>
    <row r="887" spans="1:4" ht="14.25" customHeight="1">
      <c r="A887" s="677"/>
      <c r="B887" s="685"/>
      <c r="C887" s="679"/>
      <c r="D887" s="679"/>
    </row>
    <row r="888" spans="1:4" ht="14.25" customHeight="1">
      <c r="A888" s="677"/>
      <c r="B888" s="685"/>
      <c r="C888" s="679"/>
      <c r="D888" s="679"/>
    </row>
    <row r="889" spans="1:4" ht="14.25" customHeight="1">
      <c r="A889" s="702"/>
      <c r="B889" s="724"/>
      <c r="C889" s="679"/>
      <c r="D889" s="679"/>
    </row>
    <row r="890" spans="1:4" ht="14.25" customHeight="1">
      <c r="A890" s="677"/>
      <c r="B890" s="685"/>
      <c r="C890" s="679"/>
      <c r="D890" s="679"/>
    </row>
    <row r="891" spans="1:4" ht="14.25" customHeight="1">
      <c r="A891" s="677"/>
      <c r="B891" s="685"/>
      <c r="C891" s="679"/>
      <c r="D891" s="679"/>
    </row>
    <row r="892" spans="1:4" ht="14.25" customHeight="1">
      <c r="A892" s="677"/>
      <c r="B892" s="685"/>
      <c r="C892" s="679"/>
      <c r="D892" s="679"/>
    </row>
    <row r="893" spans="1:4" ht="14.25" customHeight="1">
      <c r="A893" s="677"/>
      <c r="B893" s="685"/>
      <c r="C893" s="679"/>
      <c r="D893" s="679"/>
    </row>
    <row r="894" spans="1:4" ht="14.25" customHeight="1">
      <c r="A894" s="677"/>
      <c r="B894" s="685"/>
      <c r="C894" s="679"/>
      <c r="D894" s="679"/>
    </row>
    <row r="895" spans="1:4" ht="14.25" customHeight="1">
      <c r="A895" s="677"/>
      <c r="B895" s="685"/>
      <c r="C895" s="679"/>
      <c r="D895" s="679"/>
    </row>
    <row r="896" spans="1:4" ht="14.25" customHeight="1">
      <c r="A896" s="677"/>
      <c r="B896" s="685"/>
      <c r="C896" s="679"/>
      <c r="D896" s="679"/>
    </row>
    <row r="897" spans="1:4" ht="14.25" customHeight="1">
      <c r="A897" s="677"/>
      <c r="B897" s="685"/>
      <c r="C897" s="679"/>
      <c r="D897" s="679"/>
    </row>
    <row r="898" spans="1:4" ht="14.25" customHeight="1">
      <c r="A898" s="677"/>
      <c r="B898" s="685"/>
      <c r="C898" s="679"/>
      <c r="D898" s="679"/>
    </row>
    <row r="899" spans="1:4" ht="14.25" customHeight="1">
      <c r="A899" s="677"/>
      <c r="B899" s="679"/>
      <c r="C899" s="679"/>
      <c r="D899" s="679"/>
    </row>
    <row r="900" spans="1:4" ht="14.25" customHeight="1">
      <c r="A900" s="677"/>
      <c r="B900" s="685"/>
      <c r="C900" s="679"/>
      <c r="D900" s="679"/>
    </row>
    <row r="901" spans="1:4" ht="14.25" customHeight="1">
      <c r="A901" s="677"/>
      <c r="B901" s="685"/>
      <c r="C901" s="679"/>
      <c r="D901" s="679"/>
    </row>
    <row r="902" spans="1:4" ht="14.25" customHeight="1">
      <c r="A902" s="677"/>
      <c r="B902" s="685"/>
      <c r="C902" s="679"/>
      <c r="D902" s="679"/>
    </row>
    <row r="903" spans="1:4" ht="14.25" customHeight="1">
      <c r="A903" s="677"/>
      <c r="B903" s="685"/>
      <c r="C903" s="679"/>
      <c r="D903" s="679"/>
    </row>
    <row r="904" spans="1:4" ht="14.25" customHeight="1">
      <c r="A904" s="677"/>
      <c r="B904" s="685"/>
      <c r="C904" s="679"/>
      <c r="D904" s="679"/>
    </row>
    <row r="905" spans="1:4" ht="14.25" customHeight="1">
      <c r="A905" s="677"/>
      <c r="B905" s="685"/>
      <c r="C905" s="679"/>
      <c r="D905" s="679"/>
    </row>
    <row r="906" spans="1:4" ht="14.25" customHeight="1">
      <c r="A906" s="677"/>
      <c r="B906" s="685"/>
      <c r="C906" s="679"/>
      <c r="D906" s="679"/>
    </row>
    <row r="907" spans="1:4" ht="14.25" customHeight="1">
      <c r="A907" s="677"/>
      <c r="B907" s="685"/>
      <c r="C907" s="679"/>
      <c r="D907" s="679"/>
    </row>
    <row r="908" spans="1:4" ht="14.25" customHeight="1">
      <c r="A908" s="677"/>
      <c r="B908" s="685"/>
      <c r="C908" s="679"/>
      <c r="D908" s="679"/>
    </row>
    <row r="909" spans="1:4" ht="14.25" customHeight="1">
      <c r="A909" s="677"/>
      <c r="B909" s="685"/>
      <c r="C909" s="679"/>
      <c r="D909" s="679"/>
    </row>
    <row r="910" spans="1:4" ht="14.25" customHeight="1">
      <c r="A910" s="677"/>
      <c r="B910" s="685"/>
      <c r="C910" s="679"/>
      <c r="D910" s="679"/>
    </row>
    <row r="911" spans="1:4" ht="14.25" customHeight="1">
      <c r="A911" s="677"/>
      <c r="B911" s="685"/>
      <c r="C911" s="679"/>
      <c r="D911" s="679"/>
    </row>
    <row r="912" spans="1:4" ht="14.25" customHeight="1">
      <c r="A912" s="677"/>
      <c r="B912" s="685"/>
      <c r="C912" s="679"/>
      <c r="D912" s="679"/>
    </row>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1" xr:uid="{00000000-0009-0000-0000-000011000000}"/>
  <dataValidations count="3">
    <dataValidation type="list" allowBlank="1" showErrorMessage="1" sqref="C2:C912" xr:uid="{00000000-0002-0000-1100-000000000000}">
      <formula1>$J$1:$J$11</formula1>
    </dataValidation>
    <dataValidation type="list" allowBlank="1" showErrorMessage="1" sqref="D1:D860" xr:uid="{00000000-0002-0000-1100-000001000000}">
      <formula1>$L$1:$L$140</formula1>
    </dataValidation>
    <dataValidation type="list" allowBlank="1" showErrorMessage="1" sqref="D861:D912" xr:uid="{00000000-0002-0000-1100-000002000000}">
      <formula1>$L$1:$L$134</formula1>
    </dataValidation>
  </dataValidation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Feuilles de calcul</vt:lpstr>
      </vt:variant>
      <vt:variant>
        <vt:i4>20</vt:i4>
      </vt:variant>
      <vt:variant>
        <vt:lpstr>Graphiques</vt:lpstr>
      </vt:variant>
      <vt:variant>
        <vt:i4>1</vt:i4>
      </vt:variant>
      <vt:variant>
        <vt:lpstr>Plages nommées</vt:lpstr>
      </vt:variant>
      <vt:variant>
        <vt:i4>2</vt:i4>
      </vt:variant>
    </vt:vector>
  </HeadingPairs>
  <TitlesOfParts>
    <vt:vector size="23" baseType="lpstr">
      <vt:lpstr>Parametres</vt:lpstr>
      <vt:lpstr>Bilan</vt:lpstr>
      <vt:lpstr>Budget original</vt:lpstr>
      <vt:lpstr>Réel 2024</vt:lpstr>
      <vt:lpstr>Capex</vt:lpstr>
      <vt:lpstr>Inventaire_Used</vt:lpstr>
      <vt:lpstr>Inventaire_Neuf</vt:lpstr>
      <vt:lpstr>Print_Mois</vt:lpstr>
      <vt:lpstr>2pager</vt:lpstr>
      <vt:lpstr>Démo</vt:lpstr>
      <vt:lpstr>Wholesale</vt:lpstr>
      <vt:lpstr>Vol &amp; Taux MOIS</vt:lpstr>
      <vt:lpstr>Print_AAD</vt:lpstr>
      <vt:lpstr>Mix Produits Volks Mois</vt:lpstr>
      <vt:lpstr>Vol &amp; Taux AAJ</vt:lpstr>
      <vt:lpstr>Mix Produits Volks AAJ</vt:lpstr>
      <vt:lpstr>BV_Data_An_Cour</vt:lpstr>
      <vt:lpstr>Data_Validation</vt:lpstr>
      <vt:lpstr>BV_Data_An_Prec</vt:lpstr>
      <vt:lpstr>Feuil1</vt:lpstr>
      <vt:lpstr>Chart1</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2025-05-09T21:30:37Z</cp:lastPrinted>
  <dcterms:created xsi:type="dcterms:W3CDTF">2023-01-24T17:19:21Z</dcterms:created>
  <dcterms:modified xsi:type="dcterms:W3CDTF">2025-06-10T19:44:13Z</dcterms:modified>
</cp:coreProperties>
</file>